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133750\Documents\KUL documenten\Doctoraat\5de jaar\thesis\Jury\"/>
    </mc:Choice>
  </mc:AlternateContent>
  <xr:revisionPtr revIDLastSave="0" documentId="8_{C4589CC6-3D62-4633-A3D6-B16499A1063C}" xr6:coauthVersionLast="36" xr6:coauthVersionMax="36" xr10:uidLastSave="{00000000-0000-0000-0000-000000000000}"/>
  <bookViews>
    <workbookView xWindow="0" yWindow="0" windowWidth="19008" windowHeight="8964" xr2:uid="{2DA5CF4C-A94D-4E60-8918-F3459DCDCE61}"/>
  </bookViews>
  <sheets>
    <sheet name="Sheet1" sheetId="1" r:id="rId1"/>
  </sheets>
  <definedNames>
    <definedName name="_xlnm._FilterDatabase" localSheetId="0" hidden="1">Sheet1!$A$1:$BZ$1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99" i="1" l="1"/>
  <c r="AA99" i="1"/>
  <c r="G99" i="1"/>
  <c r="G114" i="1" l="1"/>
  <c r="G115" i="1"/>
  <c r="G116" i="1"/>
  <c r="G117" i="1"/>
  <c r="G118" i="1"/>
  <c r="G119" i="1"/>
  <c r="G120" i="1"/>
  <c r="G121" i="1"/>
  <c r="G122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23" i="1"/>
  <c r="G60" i="1"/>
  <c r="G61" i="1"/>
  <c r="G62" i="1"/>
  <c r="G63" i="1"/>
  <c r="G64" i="1"/>
  <c r="G65" i="1"/>
  <c r="G66" i="1"/>
  <c r="G67" i="1"/>
  <c r="G9" i="1"/>
  <c r="G4" i="1"/>
  <c r="G5" i="1"/>
  <c r="G6" i="1"/>
  <c r="G7" i="1"/>
  <c r="G8" i="1"/>
  <c r="G17" i="1"/>
  <c r="G18" i="1"/>
  <c r="G19" i="1"/>
  <c r="G20" i="1"/>
  <c r="G21" i="1"/>
  <c r="G10" i="1"/>
  <c r="G22" i="1"/>
  <c r="G23" i="1"/>
  <c r="G24" i="1"/>
  <c r="G11" i="1"/>
  <c r="G12" i="1"/>
  <c r="G13" i="1"/>
  <c r="G14" i="1"/>
  <c r="G15" i="1"/>
  <c r="G16" i="1"/>
  <c r="G3" i="1"/>
  <c r="G80" i="1"/>
  <c r="G81" i="1"/>
  <c r="G82" i="1"/>
  <c r="G83" i="1"/>
  <c r="G68" i="1"/>
  <c r="G69" i="1"/>
  <c r="G70" i="1"/>
  <c r="G71" i="1"/>
  <c r="G84" i="1"/>
  <c r="G124" i="1"/>
  <c r="G125" i="1"/>
  <c r="G126" i="1"/>
  <c r="G127" i="1"/>
  <c r="G128" i="1"/>
  <c r="G129" i="1"/>
  <c r="G146" i="1"/>
  <c r="G147" i="1"/>
  <c r="G148" i="1"/>
  <c r="G55" i="1"/>
  <c r="G2" i="1"/>
  <c r="G100" i="1"/>
  <c r="G101" i="1"/>
  <c r="G102" i="1"/>
  <c r="G103" i="1"/>
  <c r="G25" i="1"/>
  <c r="G26" i="1"/>
  <c r="G27" i="1"/>
  <c r="G28" i="1"/>
  <c r="G29" i="1"/>
  <c r="G30" i="1"/>
  <c r="G31" i="1"/>
  <c r="G32" i="1"/>
  <c r="G33" i="1"/>
  <c r="G34" i="1"/>
  <c r="G43" i="1"/>
  <c r="G35" i="1"/>
  <c r="G44" i="1"/>
  <c r="G36" i="1"/>
  <c r="G37" i="1"/>
  <c r="G38" i="1"/>
  <c r="G39" i="1"/>
  <c r="G40" i="1"/>
  <c r="G41" i="1"/>
  <c r="G42" i="1"/>
  <c r="G45" i="1"/>
  <c r="G46" i="1"/>
  <c r="G47" i="1"/>
  <c r="G48" i="1"/>
  <c r="G49" i="1"/>
  <c r="G50" i="1"/>
  <c r="G51" i="1"/>
  <c r="G52" i="1"/>
  <c r="G53" i="1"/>
  <c r="G54" i="1"/>
  <c r="G58" i="1"/>
  <c r="G59" i="1"/>
  <c r="G57" i="1"/>
  <c r="G56" i="1"/>
  <c r="G149" i="1"/>
  <c r="G150" i="1"/>
  <c r="G151" i="1"/>
  <c r="G152" i="1"/>
  <c r="G153" i="1"/>
  <c r="G154" i="1"/>
  <c r="G155" i="1"/>
  <c r="G156" i="1"/>
  <c r="G104" i="1"/>
  <c r="G105" i="1"/>
  <c r="G106" i="1"/>
  <c r="G107" i="1"/>
  <c r="AB154" i="1" l="1"/>
  <c r="AA170" i="1" l="1"/>
  <c r="AB169" i="1"/>
  <c r="AA169" i="1"/>
  <c r="AB166" i="1"/>
  <c r="AA166" i="1"/>
  <c r="AB162" i="1"/>
  <c r="AA162" i="1"/>
  <c r="AA160" i="1"/>
  <c r="AB159" i="1"/>
  <c r="AA159" i="1"/>
  <c r="AB122" i="1"/>
  <c r="AA122" i="1"/>
  <c r="AB121" i="1"/>
  <c r="AA121" i="1"/>
  <c r="AB119" i="1"/>
  <c r="AA119" i="1"/>
  <c r="AB117" i="1"/>
  <c r="AA117" i="1"/>
  <c r="AB116" i="1"/>
  <c r="AA116" i="1"/>
  <c r="AB115" i="1"/>
  <c r="AA115" i="1"/>
  <c r="AB114" i="1"/>
  <c r="AA114" i="1"/>
  <c r="AB113" i="1"/>
  <c r="G113" i="1"/>
  <c r="G112" i="1"/>
  <c r="AB111" i="1"/>
  <c r="AA111" i="1"/>
  <c r="G111" i="1"/>
  <c r="AB110" i="1"/>
  <c r="AA110" i="1"/>
  <c r="G110" i="1"/>
  <c r="AB109" i="1"/>
  <c r="AA109" i="1"/>
  <c r="G109" i="1"/>
  <c r="AA108" i="1"/>
  <c r="G108" i="1"/>
  <c r="AB104" i="1"/>
  <c r="AA104" i="1"/>
  <c r="AB156" i="1"/>
  <c r="AA156" i="1"/>
  <c r="AA153" i="1"/>
  <c r="AB149" i="1"/>
  <c r="AA149" i="1"/>
  <c r="AB55" i="1"/>
  <c r="AA55" i="1"/>
  <c r="AB148" i="1"/>
  <c r="AA148" i="1"/>
  <c r="AB147" i="1"/>
  <c r="AA147" i="1"/>
  <c r="AB146" i="1"/>
  <c r="AA146" i="1"/>
  <c r="AB129" i="1"/>
  <c r="AA129" i="1"/>
  <c r="AB128" i="1"/>
  <c r="AA128" i="1"/>
  <c r="AB127" i="1"/>
  <c r="AA127" i="1"/>
  <c r="AB126" i="1"/>
  <c r="AA126" i="1"/>
  <c r="AB125" i="1"/>
  <c r="AA125" i="1"/>
  <c r="AB124" i="1"/>
  <c r="AA124" i="1"/>
  <c r="AB123" i="1"/>
  <c r="AA123" i="1"/>
  <c r="AB145" i="1"/>
  <c r="G145" i="1"/>
  <c r="G144" i="1"/>
  <c r="G143" i="1"/>
  <c r="G142" i="1"/>
  <c r="G141" i="1"/>
  <c r="G140" i="1"/>
  <c r="G139" i="1"/>
  <c r="G138" i="1"/>
  <c r="G137" i="1"/>
  <c r="G136" i="1"/>
  <c r="G135" i="1"/>
  <c r="AB134" i="1"/>
  <c r="AA134" i="1"/>
  <c r="G134" i="1"/>
  <c r="AB133" i="1"/>
  <c r="AA133" i="1"/>
  <c r="G133" i="1"/>
  <c r="G132" i="1"/>
  <c r="AB131" i="1"/>
  <c r="AA131" i="1"/>
  <c r="G131" i="1"/>
  <c r="AA130" i="1"/>
  <c r="G130" i="1"/>
  <c r="AB67" i="1"/>
  <c r="AA67" i="1"/>
  <c r="AB66" i="1"/>
  <c r="AB63" i="1"/>
  <c r="AA63" i="1"/>
  <c r="AB62" i="1"/>
  <c r="AA62" i="1"/>
  <c r="AB61" i="1"/>
  <c r="AA61" i="1"/>
  <c r="AB42" i="1"/>
  <c r="AA42" i="1"/>
  <c r="AB41" i="1"/>
  <c r="AA41" i="1"/>
  <c r="AB40" i="1"/>
  <c r="AA40" i="1"/>
  <c r="AB39" i="1"/>
  <c r="AA39" i="1"/>
  <c r="AB38" i="1"/>
  <c r="AA38" i="1"/>
  <c r="AB37" i="1"/>
  <c r="AA37" i="1"/>
  <c r="AB36" i="1"/>
  <c r="AA36" i="1"/>
  <c r="AB44" i="1"/>
  <c r="AA44" i="1"/>
  <c r="AB35" i="1"/>
  <c r="AA35" i="1"/>
  <c r="AB43" i="1"/>
  <c r="AA43" i="1"/>
  <c r="AB34" i="1"/>
  <c r="AA34" i="1"/>
  <c r="AB33" i="1"/>
  <c r="AA33" i="1"/>
  <c r="AB32" i="1"/>
  <c r="AA32" i="1"/>
  <c r="AB31" i="1"/>
  <c r="AA31" i="1"/>
  <c r="AB30" i="1"/>
  <c r="AA30" i="1"/>
  <c r="AB29" i="1"/>
  <c r="AA29" i="1"/>
  <c r="AB28" i="1"/>
  <c r="AA28" i="1"/>
  <c r="AB27" i="1"/>
  <c r="AA27" i="1"/>
  <c r="AB26" i="1"/>
  <c r="AA26" i="1"/>
  <c r="AB25" i="1"/>
  <c r="AA25" i="1"/>
  <c r="AB103" i="1"/>
  <c r="AA103" i="1"/>
  <c r="AB102" i="1"/>
  <c r="AA102" i="1"/>
  <c r="AB101" i="1"/>
  <c r="AA101" i="1"/>
  <c r="AB100" i="1"/>
  <c r="AA100" i="1"/>
  <c r="AB45" i="1"/>
  <c r="AA45" i="1"/>
  <c r="AB98" i="1"/>
  <c r="AA98" i="1"/>
  <c r="G98" i="1"/>
  <c r="AB97" i="1"/>
  <c r="AA97" i="1"/>
  <c r="G97" i="1"/>
  <c r="AB96" i="1"/>
  <c r="AA96" i="1"/>
  <c r="G96" i="1"/>
  <c r="AB95" i="1"/>
  <c r="AA95" i="1"/>
  <c r="G95" i="1"/>
  <c r="AB94" i="1"/>
  <c r="AA94" i="1"/>
  <c r="G94" i="1"/>
  <c r="AB93" i="1"/>
  <c r="AA93" i="1"/>
  <c r="G93" i="1"/>
  <c r="AB92" i="1"/>
  <c r="AA92" i="1"/>
  <c r="G92" i="1"/>
  <c r="AB91" i="1"/>
  <c r="AA91" i="1"/>
  <c r="G91" i="1"/>
  <c r="AB90" i="1"/>
  <c r="AA90" i="1"/>
  <c r="G90" i="1"/>
  <c r="AB89" i="1"/>
  <c r="AA89" i="1"/>
  <c r="G89" i="1"/>
  <c r="AB88" i="1"/>
  <c r="AA88" i="1"/>
  <c r="G88" i="1"/>
  <c r="G87" i="1"/>
  <c r="AB86" i="1"/>
  <c r="AA86" i="1"/>
  <c r="G86" i="1"/>
  <c r="AB85" i="1"/>
  <c r="AA85" i="1"/>
  <c r="G85" i="1"/>
  <c r="AB59" i="1"/>
  <c r="AA59" i="1"/>
  <c r="AB58" i="1"/>
  <c r="AA58" i="1"/>
  <c r="AB84" i="1"/>
  <c r="AA84" i="1"/>
  <c r="AB83" i="1"/>
  <c r="AA83" i="1"/>
  <c r="AB82" i="1"/>
  <c r="AA82" i="1"/>
  <c r="AB81" i="1"/>
  <c r="AA81" i="1"/>
  <c r="AA79" i="1"/>
  <c r="G79" i="1"/>
  <c r="AB78" i="1"/>
  <c r="AA78" i="1"/>
  <c r="G78" i="1"/>
  <c r="AB77" i="1"/>
  <c r="AA77" i="1"/>
  <c r="G77" i="1"/>
  <c r="G76" i="1"/>
  <c r="G75" i="1"/>
  <c r="AB74" i="1"/>
  <c r="AA74" i="1"/>
  <c r="G74" i="1"/>
  <c r="AB73" i="1"/>
  <c r="AA73" i="1"/>
  <c r="G73" i="1"/>
  <c r="AB72" i="1"/>
  <c r="AA72" i="1"/>
  <c r="G72" i="1"/>
  <c r="AB71" i="1"/>
  <c r="AA71" i="1"/>
  <c r="AB69" i="1"/>
  <c r="AB68" i="1"/>
  <c r="AA68" i="1"/>
  <c r="AB14" i="1"/>
  <c r="AB12" i="1"/>
  <c r="AA12" i="1"/>
  <c r="AB18" i="1"/>
  <c r="AB17" i="1"/>
  <c r="AB3" i="1"/>
  <c r="AA3" i="1"/>
  <c r="AB8" i="1"/>
  <c r="AA8" i="1"/>
  <c r="AB7" i="1"/>
  <c r="AA7" i="1"/>
  <c r="AB6" i="1"/>
  <c r="AA6" i="1"/>
  <c r="AB5" i="1"/>
  <c r="AA5" i="1"/>
  <c r="AB4" i="1"/>
  <c r="AA4" i="1"/>
  <c r="AB49" i="1"/>
  <c r="AA49" i="1"/>
  <c r="AB48" i="1"/>
  <c r="AA48" i="1"/>
  <c r="AB47" i="1"/>
  <c r="AA47" i="1"/>
  <c r="AB46" i="1"/>
  <c r="AA46" i="1"/>
  <c r="AB54" i="1"/>
  <c r="AA54" i="1"/>
  <c r="AB53" i="1"/>
  <c r="AA53" i="1"/>
  <c r="AB52" i="1"/>
  <c r="AA52" i="1"/>
  <c r="AB51" i="1"/>
  <c r="AA51" i="1"/>
  <c r="AB50" i="1"/>
  <c r="AA50" i="1"/>
  <c r="AB2" i="1"/>
  <c r="AA2" i="1"/>
</calcChain>
</file>

<file path=xl/sharedStrings.xml><?xml version="1.0" encoding="utf-8"?>
<sst xmlns="http://schemas.openxmlformats.org/spreadsheetml/2006/main" count="3719" uniqueCount="1625">
  <si>
    <t xml:space="preserve">Confident </t>
  </si>
  <si>
    <t>Systematic name</t>
  </si>
  <si>
    <t>RA Peaks N</t>
  </si>
  <si>
    <t>RA Peaks Unique</t>
  </si>
  <si>
    <t>RA Peaks coverage (95% conf)</t>
  </si>
  <si>
    <t>RAT Peaks N</t>
  </si>
  <si>
    <t>RAT Peaks Unique</t>
  </si>
  <si>
    <t>RAT Peaks coverage (95% conf)</t>
  </si>
  <si>
    <t>TPM</t>
  </si>
  <si>
    <t>CDS</t>
  </si>
  <si>
    <t>Contig name</t>
  </si>
  <si>
    <t>Translated ORF</t>
  </si>
  <si>
    <t>SignalP score</t>
  </si>
  <si>
    <t>CS position</t>
  </si>
  <si>
    <t>#aminoacids</t>
  </si>
  <si>
    <t xml:space="preserve"># Cys </t>
  </si>
  <si>
    <t xml:space="preserve">Monoisotopic mass </t>
  </si>
  <si>
    <t xml:space="preserve">Average mass Expasy </t>
  </si>
  <si>
    <t>InterProScan</t>
  </si>
  <si>
    <t>BLASTp against SwissProt Uniprot</t>
  </si>
  <si>
    <t>organism</t>
  </si>
  <si>
    <t>BLASTp against SwissProt Uniprot E value</t>
  </si>
  <si>
    <t>score</t>
  </si>
  <si>
    <t xml:space="preserve">identity </t>
  </si>
  <si>
    <t>entry name</t>
  </si>
  <si>
    <t>Yes</t>
  </si>
  <si>
    <t>TRINITY_DN12434_c0_g1_i1.p1</t>
  </si>
  <si>
    <t>-</t>
  </si>
  <si>
    <t>CGTCAAAGCTCTACGAAGGATCGTACAGTTCTCACAAGGCAATTGATAAAAATGAAACTCCTAATCCTAGTACTGACGTGTGCAGTGGCTGTTTGGGCCAGACCCGATAGTACTTACACAGATAAGTGGGACAATGTCAATGTCCATGAAATCCTCGAGTCCGATCGTTTGTTAAAAGGCTACGTGGACTGTTTATTAGATAAAGGTCGGTGCACGCCTGATGGCAAAGATTTGAAGCAGACCCTCCCTGATGCCCTTGAACACGAGTGCAGCAAATGTACCGAGAAACAGAAGTCCGGCGCGGACACAGTGATCAGCCATTTGGTTAACAAACGCCCGGAGTTATGGAAGGAGTTAGCAGTTAAATACGATCCCGAAAATATCTACCAAGAAAGATACAAGGACAAACTAGATTCGGTAAAGGAAAATCATTAAACGATTTTTAATCCTGGCTGGAGGATATGGCTCGTTTAATACTGACGTCATACGAAAAAAAAACGCAACTAATTTTTTTTTCAGTAAATCGGAGTTATACATATTTAGGATCAGCATAAAAAGCGTATTGGCCTGTACACTTTCTTTTATTTGCCCTTTCAAGAATCATCAGATGTATCTGTTTGTCTCATAAAGGCAGAATACATATATATGCATATTTATATACTAGTTTTTCCCCGCGGCCCCGCCCGCGTGATATCGGTTTTCCGCTACATGAGAAATCCCGAAACAATCCTAGCTTTATATAAAAAGTCTTAGAATCACCTT</t>
  </si>
  <si>
    <t>RQSSTKDRTVLTRQLIKMKLLILVLTCAVAVWARPDSTYTDKWDNVNVHEILESDRLLKGYVDCLLDKGRCTPDGKDLKQTLPDALEHECSKCTEKQKSGADTVISHLVNKRPELWKELAVKYDPENIYQERYKDKLDSVKENH</t>
  </si>
  <si>
    <t>0.901449</t>
  </si>
  <si>
    <t>CS pos: 33-34. VWA-RP. Pr: 0.8156</t>
  </si>
  <si>
    <t>RPDSTYTDKWDNVNVHEILESDRLLKGYVDCLLDKGRCTPDGKDLKQTLPDALEHECSKCTEKQKSGADTVISHLVNKRPELWKELAVKYDPENIYQERYKDKLDSVKENH</t>
  </si>
  <si>
    <t>Insect odorant-binding protein A10/Ejaculatory bulb-specific protein 3</t>
  </si>
  <si>
    <t>Allergen Tha p 1</t>
  </si>
  <si>
    <t>Thaumetopoea pityocampa (Pine processionary moth) (Bombyx pityocampa)</t>
  </si>
  <si>
    <t>Ejaculatory bulb-specific protein 3</t>
  </si>
  <si>
    <t>Drosophila melanogaster</t>
  </si>
  <si>
    <t>TRINITY_DN14079_c0_g1_i1.p1</t>
  </si>
  <si>
    <t>GAGCGTCAGAACTTCCAGTTTACCACACGACTTCATTAACGTGAAAACGGTTCAGATAAGCGCTGGGATATTTTTATCAGTTTAAAGACGTTCCAAAGTTGGAGCACAACGAGTACACACTGCAGGTGAGCTGAAGACCATCGTACCAAAAAGAGAAGCACCAAAGAAGATGAAGCTCCTGATATTTGCAACATTAATTGCTCTATCGTCTTCACTTCCGCAACTAAGTGAGGAAGCGGAGAAAGCTATAGACCTTACATACCAAGAAAAGAATAATTTATTTGAACTTGGATCTGTAGTAGGTGACATTTTAAGTGATAAAGGATGTCACGTTTCCTTCGGGTGTCACAAAGGATACTGCTGGGCCGGTTGTGGAAATCCTCGTAATCCATGGTCTTGGGGAGAGCATTGGTGCTATACTACAAAAACATATTCGCAAAGTTATTCCTACGTCGAATGCACACAAGATTCAGAGTGTAATGGCTGTTGGAGTTGCGGCGGACCTTGTTCAGCCTAGTAATTACATA</t>
  </si>
  <si>
    <t>MKLLIFATLIALSSSLPQLSEEAEKAIDLTYQEKNNLFELGSVVGDILSDKGCHVSFGCHKGYCWAGCGNPRNPWSWGEHWCYTTKTYSQSYSYVECTQDSECNGCWSCGGPCSA</t>
  </si>
  <si>
    <t>0.999281</t>
  </si>
  <si>
    <t>CS pos: 15-16. SSS-LP. Pr: 0.3389</t>
  </si>
  <si>
    <t>LPQLSEEAEKAIDLTYQEKNNLFELGSVVGDILSDKGCHVSFGCHKGYCWAGCGNPRNPWSWGEHWCYTTKTYSQSYSYVECTQDSECNGCWSCGGPCSA</t>
  </si>
  <si>
    <t>non predicted</t>
  </si>
  <si>
    <t>Allergen Tha p 2</t>
  </si>
  <si>
    <t>TRINITY_DN33010_c0_g1_i1.p1</t>
  </si>
  <si>
    <t>U-TPTX7-Tp1</t>
  </si>
  <si>
    <t>ATTTGTTTTTGAGTAGTGCACCTGAAAATACATAGACATGTATTTGCTGGCACTACTCTCCGTATTGGGAACGGCAGTCGCCTTCCCAGTGTCTGCTCCAGTCACCAAACAGCAGGACTTGGCAGCGCAATACGTGCTTCCGAGGGACACCATCCCCACCTTCTATGACGTCAGGCTGTTCATTAATCCGGACTACACGGAAAGCTTCAACGGCAGCGTGTCAATGAGGATTCTACCTTACATCGCAACCAGTATGATTACACTCCACGCAATGGAAATGGAGATATACAGCATACAAGTCTTCAGCGAAAGAGATCCGACTGTGGATTTATTCAGCAACTTCACGCTTGCCAATGATGACACTCACTTTTTGAGGATTCAGTTGAACACACCCTTAACAATATTGCAACCAGTCATCGTTAATATTGAGTACTTGTCGAGATACGCTGAGAACATGTTCGGAGTTTATGTTTCGACTTACGAATATAATAATGCTAGAGTCAACCTTGTGACGTCTCAGCTCCAGCCCACGTTTGCGCGGCGCGCATTCCCTTGCTACGACGAACCATCTTTAAAAGCTATTTTCAGGACCACTATTTATGCACCTGCAGCGTTCTCCGTTGTCAGGAGCAACATGCCCACAAGACAAGAGAATCTTAAAGAGGATGTCCCTGGATTCGTCAAACATGAGTTTGAAGATACTCTAGTAATGTCTACATATCTGATTGCCTATCTCGTATCAAACTTTGATTACGTAGAGAATACGGGCGCCAACGAGCTCTATCACATCCCATTCAGGGTATACTCCAGACCAGGAACTAGAAATACAACAGCCTTTGCACTGGACTTCGGCCAGAAGAACATGGTGGCATTAGAGAACTACACAGGCTTTCCATACTATTTCCCGAAGATCGATAAGGCAGCAGTTCCAGATTTCGCTGCGGGTGCCATGGAGAACTGGGGGCTGGTTATTTACAGAGAAGTTGCTCTACTTGTCCAGGATGGAGTGACAACAACAGCGACTAAACAAAACATTGCCAGGATTATTTGTCACGAAAATAGCCATATGTGGTATGGTAACGAAGTGAGCCCTCTTTCTTGGACCTACACTTGGCTAAATGAAGGATTTGCCAACTTCTTTGAGAGCTACGGAACTGATTTGGTATTGCCGGAATGGCGGATGATGGACCAGTTTGTGCTCAACATGCAGAATGTGTTCCAGTCTGACGCAGTGCTTAGTGTGAATTCGATGACGCATCCGGTGTACACTCCCTCTCAAATCATTGGCACATTCAACGCTGTCGCTTACCAGAAATCGGGCTCAGTGATTCGTATGTTGCAACACATCATGACGCCCGAAGTATTCAAAAATGCGTTGACCATTTATATTACGGGCAATTCTCGACGAGTAGTATCGCCTTTGGACCTATACGAAGCTTTGCAACGTGGACTTGATAATTCCAATCACACTATTCCTTACCAAATCAATACTTTTATGGAGCGCTGGGTCAATCAAGGAGGATTCCCTGTACTAACTGTAACTAGAAGCTCCCCCACCGCTCAGTCAGTATTTATTAGCCAGGAGCGTTTCTTAACTGATACATCATTGGAGTCCACCGATCGCTGGCACGTCCCCGTCAATTTCGTTCTGTCCACTAACCCTGACTTCTCTGACACTAGTCCACAAGGATGGGTGCCCCCATCATACCCCGCTACTTCTTTCGACATTTCTGGTCTATCGGAAGCTGATTGGTACATCGTGAATAAACAACAAACTGGCTACTATCGCGTAAACTACGACCTGCAAAATTGGGCGGCTCTGGAGAAAGTCCTCCTTTCGTCACATCAAACAATCCACTTGTTGAATCGTGCACAAATCCTCGACGACGCCTTCAACTTGGCTAGAAATGCTCGCCTGCCCTACGAATACCCGTTTGAGATCTCACGCTACTTAGTGCAAGAGAAGGACTACGTCCCGTGGGCCGCTGTCAACCCTTCCTTCACTTATCTTGACACTGTGCTCAGTTCTTCTTCAGTATTTAGCCTATACCAGGACTATTTGAAAGAGCTGACTGCACCTCTGTACGAAGAATTGGGCTTTGATGCGTCAGAAAATGAAGAGCACGTCACTGCCTACCACAGAAATATTATCCTCGATATCAACTGCCGTCACGGCAATGAGCACTGCGTCAACAGGGCTCAGGAGCTACTTCAAAGCTTCAGAAATAATCCTGCCCAAAGCCTGAACCCTGACATCCAAACACTTGTATTCTGCTCTGGTCTCCGTGGCGGTGACGCAGACAACTTCAACTTCCTCTGGAACCAGTACCTGTCCAGCCATGACTCTAGCCAGCAATCGATCTTGCTTAATTCCCTTGGTTGTACTTCTAATGAAGAGCTTCGTGATTTCTACATGAACCAGGTCATAATTGACGGTTCCTCAGTTAGGGAGCAGGACAGACACTCTATCATTGTGTCTGTCACCAACTCCAGTCCCGAAAACGCAGACGCGGCTCTTGATTTCGTCATAGAACACTTTGCTGATATTCAATCTAGAGTGCAAGGACTTACGGGTACCACTAATATCCTTAATACTTTCGCTAGAAGACTCAACTCCAAAGAACACTCCGACAAGATCGAAGAGTTCTACAATCGTCACCAAGCAATATTCTCAGCCGGTGAGCTTGCATCCATTGATTTCATCAGAGAAAACATTGCAGCATCCATTACGTGGACCAATGAAAATGCAGAAGTGGTTGAAGCTTGGCTTATAGAGAACTATGAAAAGAGTGCAGGTAATACCATAACGTCTGGCATGGCAATATTATTCGGAGTTGTTATCGCGATTTTTACTTATTAATATAATATGATTTAGACTTGCTTTTG</t>
  </si>
  <si>
    <t>MYLLALLSVLGTAVAFPVSAPVTKQQDLAAQYVLPRDTIPTFYDVRLFINPDYTESFNGSVSMRILPYIATSMITLHAMEMEIYSIQVFSERDPTVDLFSNFTLANDDTHFLRIQLNTPLTILQPVIVNIEYLSRYAENMFGVYVSTYEYNNARVNLVTSQLQPTFARRAFPCYDEPSLKAIFRTTIYAPAAFSVVRSNMPTRQENLKEDVPGFVKHEFEDTLVMSTYLIAYLVSNFDYVENTGANELYHIPFRVYSRPGTRNTTAFALDFGQKNMVALENYTGFPYYFPKIDKAAVPDFAAGAMENWGLVIYREVALLVQDGVTTTATKQNIARIICHENSHMWYGNEVSPLSWTYTWLNEGFANFFESYGTDLVLPEWRMMDQFVLNMQNVFQSDAVLSVNSMTHPVYTPSQIIGTFNAVAYQKSGSVIRMLQHIMTPEVFKNALTIYITGNSRRVVSPLDLYEALQRGLDNSNHTIPYQINTFMERWVNQGGFPVLTVTRSSPTAQSVFISQERFLTDTSLESTDRWHVPVNFVLSTNPDFSDTSPQGWVPPSYPATSFDISGLSEADWYIVNKQQTGYYRVNYDLQNWAALEKVLLSSHQTIHLLNRAQILDDAFNLARNARLPYEYPFEISRYLVQEKDYVPWAAVNPSFTYLDTVLSSSSVFSLYQDYLKELTAPLYEELGFDASENEEHVTAYHRNIILDINCRHGNEHCVNRAQELLQSFRNNPAQSLNPDIQTLVFCSGLRGGDADNFNFLWNQYLSSHDSSQQSILLNSLGCTSNEELRDFYMNQVIIDGSSVREQDRHSIIVSVTNSSPENADAALDFVIEHFADIQSRVQGLTGTTNILNTFARRLNSKEHSDKIEEFYNRHQAIFSAGELASIDFIRENIAASITWTNENAEVVEAWLIENYEKSAGNTITSGMAILFGVVIAIFTY</t>
  </si>
  <si>
    <t>0.990507</t>
  </si>
  <si>
    <t>CS pos: 15-16. AVA-FP. Pr: 0.7482</t>
  </si>
  <si>
    <t>FPVSAPVTKQQDLAAQYVLPRDTIPTFYDVRLFINPDYTESFNGSVSMRILPYIATSMITLHAMEMEIYSIQVFSERDPTVDLFSNFTLANDDTHFLRIQLNTPLTILQPVIVNIEYLSRYAENMFGVYVSTYEYNNARVNLVTSQLQPTFARRAFPCYDEPSLKAIFRTTIYAPAAFSVVRSNMPTRQENLKEDVPGFVKHEFEDTLVMSTYLIAYLVSNFDYVENTGANELYHIPFRVYSRPGTRNTTAFALDFGQKNMVALENYTGFPYYFPKIDKAAVPDFAAGAMENWGLVIYREVALLVQDGVTTTATKQNIARIICHENSHMWYGNEVSPLSWTYTWLNEGFANFFESYGTDLVLPEWRMMDQFVLNMQNVFQSDAVLSVNSMTHPVYTPSQIIGTFNAVAYQKSGSVIRMLQHIMTPEVFKNALTIYITGNSRRVVSPLDLYEALQRGLDNSNHTIPYQINTFMERWVNQGGFPVLTVTRSSPTAQSVFISQERFLTDTSLESTDRWHVPVNFVLSTNPDFSDTSPQGWVPPSYPATSFDISGLSEADWYIVNKQQTGYYRVNYDLQNWAALEKVLLSSHQTIHLLNRAQILDDAFNLARNARLPYEYPFEISRYLVQEKDYVPWAAVNPSFTYLDTVLSSSSVFSLYQDYLKELTAPLYEELGFDASENEEHVTAYHRNIILDINCRHGNEHCVNRAQELLQSFRNNPAQSLNPDIQTLVFCSGLRGGDADNFNFLWNQYLSSHDSSQQSILLNSLGCTSNEELRDFYMNQVIIDGSSVREQDRHSIIVSVTNSSPENADAALDFVIEHFADIQSRVQGLTGTTNILNTFARRLNSKEHSDKIEEFYNRHQAIFSAGELASIDFIRENIAASITWTNENAEVVEAWLIENYEKSAGNTITSGMAILFGVVIAIFTY</t>
  </si>
  <si>
    <t>Peptidase M1, alanine aminopeptidase/leukotriene A4 hydrolase (IPR001930), Aminopeptidase N-type</t>
  </si>
  <si>
    <t>Aminopeptidase</t>
  </si>
  <si>
    <t>aminopeptidase</t>
  </si>
  <si>
    <t>Helicoverpa armigera (cotton bollworm) (Heliothis armigera)</t>
  </si>
  <si>
    <t>A0A2W1BMG1</t>
  </si>
  <si>
    <t>Aminopeptidase N</t>
  </si>
  <si>
    <t>Manduca sexta (Tobacco hawkmoth) (Tobacco hornworm)</t>
  </si>
  <si>
    <t>P91885</t>
  </si>
  <si>
    <t>TRINITY_DN37916_c0_g1_i1.p1</t>
  </si>
  <si>
    <t>GGTGTATATTTCAATTAATTGCTTTTAATAATCCAGTTGCAGGTTTGTTGCCTGTACAGGAGGTTCTGTCGCCGTTAAACAAGATGGCGGCTAAGCTCATATTATTAACTCTAGTGAGTTCTAGTGTGCTTGCATTCCCTGACCGTCCTCAACCGATCACAAGAAACACCATATTCGGTGAAGAACGTTTAGAAAAAGCAGTGTTTGAGAAAATCGATGACCTTGAGAACTTTGCTATAAGCACGCGCAACACCAAGAACGCTGAGTTATATAGATTACCCACAACTACAAGACCGCAACATTACAATATACTATGGCAAATTGATATCACACAGCTGATATTTTCTGGCTCAGTTGATATCAATCTATATGCAACAGAAAATAATGTGAACGAAATCGTAATTCATGCTCATGAGTTGAATATCGCTTCCTTAACTCTGCTCCAGGGCACTACTAATGTGCCAGTGACATATACTTTGGAAGAAGAATACCACTTCTTGAGAATTCGATTGAGTAGTGGTACTTTAAACTACAGTGCCACTTCTCCGGTTCTTTACACATTGACCGTCAACTTTGCAGCAGACCTGCGCGATGATATGTACGGTATTTACAAGAGTTGGTTCAGGAACAACCCCAATGAAGAAATCAGGTGGATGGCGTCAACACAGTTCCAGGCCACAGCAGCACGTTCCGCTTTCCCTTGTTACGACGAACCAAGTTTCAAAGCCACTTTTGATATAACTATTAGGCGCCCACAAGATATTTATAGTTGGTCTTGCACAAGGATTCTGACTAGCAGGAATACTACTTTTCTTGGCTATGAAGAAGACGTTTACTTCAGGACTCCTGTGATGTCCACATATTTATTGGCTATCATCGTTGCCGATTACAAATCCATTGAGCTGATTGAAAATGATGTCTTGACTTACGAAGTTATTGCGCGGCCTGCAGCTATCGATTCTGGCCAAGGCGCATATGCCTTTGATGCAGGACAGAGGCTTTTAGCTGAGATGAGCAATCATACAGGAATTGACTACTACTCACAGCACCCATACCTGAAGATGACGCAGGCCGCGATACCTGATTTTGGTGCAGGCGCTATGGAGAATTGGGGCTTGTTGACATACAGAGAGGCATACCTTATGTACGATGAAAGACACACCAACAGCTATTTCAAACAACTGATCGCCTATATTCTGTCCCACGAGATTGCTCATATGTGGTTCGGCAACTTAGTCACAAATGAATGGTGGGACGTACTTTGGCTGAACGAAGGGTTTGCCAGATACTACCAGTATTACCTCACATATTCGGTTGAAGGTATGGGTCTCAATGACCGTTTTATCACTGAACAAATTCACACATCGCTGTTGAATGACGCGGCCAATAACCCACATCCGTTGACAAACCCTGGAGTGGGGAGTCCTGCCTCCGTCAGTGCAATGTTTTCGACAATAACTTACAATAAGGGTGCGGCTGTAATCAGGATGGGTGAACATCTCTTAGGGTTTGATATCCACAGACAAGGTCTAAGGAACTACTTGCTTGACAGAGCTTACGGCACTTCTTTGCCCATCGATTTGTTCCAAGCTCTTCAAAACGCCAGCATCGCCAGTGGTGCATTATCCACCTACGGTTCTGACTTTTCTTTCATCGAATACTACCGAAGCTGGACCGAGCAGCCAGGACACCCTGTCCTTAACGTTGATGTCAATCATCGGACTGGTGAAATGACTATCTATCAGCGTCGTTTCAATATTAATACTGGTTACTCGTCTATCAATACCAACTACATCGTTCCTATCACGTTCGCGACCGCAAGTAACCCCAACTTTAGCGATACAAAGCCTACACATATCATTTCAAAAGCTGTGACGATCATCAACCGTGGCACTATCGGAGACGAGTGGGTGATTTTCAACAAACAGCAGACTGGTTTTTACAGAGTAAACTATGATGATTATACCTGGAATCTTATTACTATCGCTCTAAGAAGTAATCAGAGGACTTTAATTCACGAATACAATAGAGCGCAGATTGTCAACGACGTATTCCAATTTGCTCGCTCTGGACTTATGAGCTACCAGCGGGCTTTCAACATTCTTTCCTTCCTTGAGAACGAAATAGAATACACTCCATGGATCGCCGCTATGACTGGGTTCACTTGGTTAAGAAACAGACTTGCTGGCACCACGCAGCTGACAAGGCTTAATGATATGATTGAAAGTTGGGCTACCAACGTAATGGACAGTCTTACATACTACCCCATCGCTGAAGAGAATTTCATGCGCTCTTACTTACGTTATCAATTGGCTCCAATCATGTGTGCTATCAACGTAGACTCTTGCCGGACCGCAGCCACTGCGCAGTTCAATTCTTTAGTTAACAACCAGATTGAGGTACCAGTTGATAGTCGCAACTGGGTATACTGCAATGGTCTCCGTACTGGTACCGAGGCGGATTTTAACACTATGTGGACCAGATTCCAGCAACATCAAGTTTACACGGAAAAAATTCAACTGCTGATGGTTCTTGGATGCACACCTCATAGAAATTCTCTGTACACATTCCTGGACGGTATCGTCCAAGAAAACAACATCATTCGGTCTCAAGACTACACCACCGCCTTTAATTCTGCGGTTACTGGTAATGAAGAAAACACCCAGATTGTCTTCGATTACATTAAAGAAAATCTCGAACTGGTCATGAACGCATTCAGCAATCCCGCTACACCACTGTCCTATATTTCATCAAGATTGAGAACAGAAGCAGAAATAGTTGAATTCCAAGCCTGGGCTACTGCTAACGAAGCTACCTTAGGTGCCTCCTATCAAGCAATCTACAATGGCGCTGAATTTAGTCGTGAAAGCATTCAATACGCTAATCAAATCGAATCTGACTTGAACGATTATTTTGATAATGGAAACACTGTATATGATGTCACGACTGAGTCTACCACGATTAGCACAACCGCCGCTACTACCGATCAACCAGATCTTCAGGAGCCAACTACTCCAGATCTGCCGGTGCCTGACTCCGCCGCAACATCTGCATTATCGTTTATCGTTTCAGTTGTTGCATTCTGTGCAATGCTTTTATAAACTTAATCAAGGAGGTTGGGTACAGGCTTATTTATAAATAAAACTAATATAAATAAATGTAACACAATACATATTTATAAACTAAAAATTGAAGTAATAGAACCACTGTTAGATTTTTTATCGAATTGTAAATAATTTTTGTTTTTTAAATTATTGAAACAAAAATATA</t>
  </si>
  <si>
    <t>MAAKLILLTLVSSSVLAFPDRPQPITRNTIFGEERLEKAVFEKIDDLENFAISTRNTKNAELYRLPTTTRPQHYNILWQIDITQLIFSGSVDINLYATENNVNEIVIHAHELNIASLTLLQGTTNVPVTYTLEEEYHFLRIRLSSGTLNYSATSPVLYTLTVNFAADLRDDMYGIYKSWFRNNPNEEIRWMASTQFQATAARSAFPCYDEPSFKATFDITIRRPQDIYSWSCTRILTSRNTTFLGYEEDVYFRTPVMSTYLLAIIVADYKSIELIENDVLTYEVIARPAAIDSGQGAYAFDAGQRLLAEMSNHTGIDYYSQHPYLKMTQAAIPDFGAGAMENWGLLTYREAYLMYDERHTNSYFKQLIAYILSHEIAHMWFGNLVTNEWWDVLWLNEGFARYYQYYLTYSVEGMGLNDRFITEQIHTSLLNDAANNPHPLTNPGVGSPASVSAMFSTITYNKGAAVIRMGEHLLGFDIHRQGLRNYLLDRAYGTSLPIDLFQALQNASIASGALSTYGSDFSFIEYYRSWTEQPGHPVLNVDVNHRTGEMTIYQRRFNINTGYSSINTNYIVPITFATASNPNFSDTKPTHIISKAVTIINRGTIGDEWVIFNKQQTGFYRVNYDDYTWNLITIALRSNQRTLIHEYNRAQIVNDVFQFARSGLMSYQRAFNILSFLENEIEYTPWIAAMTGFTWLRNRLAGTTQLTRLNDMIESWATNVMDSLTYYPIAEENFMRSYLRYQLAPIMCAINVDSCRTAATAQFNSLVNNQIEVPVDSRNWVYCNGLRTGTEADFNTMWTRFQQHQVYTEKIQLLMVLGCTPHRNSLYTFLDGIVQENNIIRSQDYTTAFNSAVTGNEENTQIVFDYIKENLELVMNAFSNPATPLSYISSRLRTEAEIVEFQAWATANEATLGASYQAIYNGAEFSRESIQYANQIESDLNDYFDNGNTVYDVTTESTTISTTAATTDQPDLQEPTTPDLPVPDSAATSALSFIVSVVAFCAMLL</t>
  </si>
  <si>
    <t>0.968976</t>
  </si>
  <si>
    <t>CS pos: 17-18. VLA-FP. Pr: 0.8580</t>
  </si>
  <si>
    <t>FPDRPQPITRNTIFGEERLEKAVFEKIDDLENFAISTRNTKNAELYRLPTTTRPQHYNILWQIDITQLIFSGSVDINLYATENNVNEIVIHAHELNIASLTLLQGTTNVPVTYTLEEEYHFLRIRLSSGTLNYSATSPVLYTLTVNFAADLRDDMYGIYKSWFRNNPNEEIRWMASTQFQATAARSAFPCYDEPSFKATFDITIRRPQDIYSWSCTRILTSRNTTFLGYEEDVYFRTPVMSTYLLAIIVADYKSIELIENDVLTYEVIARPAAIDSGQGAYAFDAGQRLLAEMSNHTGIDYYSQHPYLKMTQAAIPDFGAGAMENWGLLTYREAYLMYDERHTNSYFKQLIAYILSHEIAHMWFGNLVTNEWWDVLWLNEGFARYYQYYLTYSVEGMGLNDRFITEQIHTSLLNDAANNPHPLTNPGVGSPASVSAMFSTITYNKGAAVIRMGEHLLGFDIHRQGLRNYLLDRAYGTSLPIDLFQALQNASIASGALSTYGSDFSFIEYYRSWTEQPGHPVLNVDVNHRTGEMTIYQRRFNINTGYSSINTNYIVPITFATASNPNFSDTKPTHIISKAVTIINRGTIGDEWVIFNKQQTGFYRVNYDDYTWNLITIALRSNQRTLIHEYNRAQIVNDVFQFARSGLMSYQRAFNILSFLENEIEYTPWIAAMTGFTWLRNRLAGTTQLTRLNDMIESWATNVMDSLTYYPIAEENFMRSYLRYQLAPIMCAINVDSCRTAATAQFNSLVNNQIEVPVDSRNWVYCNGLRTGTEADFNTMWTRFQQHQVYTEKIQLLMVLGCTPHRNSLYTFLDGIVQENNIIRSQDYTTAFNSAVTGNEENTQIVFDYIKENLELVMNAFSNPATPLSYISSRLRTEAEIVEFQAWATANEATLGASYQAIYNGAEFSRESIQYANQIESDLNDYFDNGNTVYDVTTESTTISTTAATTDQPDLQEPTTPDLPVPDSAATSALSFIVSVVAFCAMLL</t>
  </si>
  <si>
    <t>Peptidase M1, alanine aminopeptidase/leukotriene A4 hydrolase (IPR001930), FAminopeptidase N-type</t>
  </si>
  <si>
    <t>Membrane alanyl aminopeptidase[...]</t>
  </si>
  <si>
    <t>Heliothis virescens (Tobacco budworm moth)</t>
  </si>
  <si>
    <t>Q11000</t>
  </si>
  <si>
    <t>Anopheles gambiae (African malaria mosquito)</t>
  </si>
  <si>
    <t>Q7Q2T8</t>
  </si>
  <si>
    <t>TRINITY_DN12927_c0_g1_i1.p1</t>
  </si>
  <si>
    <t>AACCAGCCTGAATATGGCGGAACGCTGGTTCTATCTCCTCCTTGGGGTCTTACTCACCCAAGGCACCTTCGCCTTCAGCCCTATCGAAGTACCTGACGAAGAATGGATTGAATACAACCGCATGTTGAGAGACCCCGCGTACCGTCTACCCACAACTACTCGTCCTTCACACTATGAAGTCAATCTCACCCCTTACCTCAACACCACCGCAAATCCCTTCAGTTTCGATGGTGAAGTCACCATTTACATTTCACCAACTCAAGCTAACGTTACCGAAATAGTTATACACTGCAATGATTTGATCATCAATTCATTGGTGGTTACACTCTCTACAGACAATGTGGATTTGACTACGGCAAATCAGACTTTCGAATGCGAAATGCCTTACAGCTTCCTAAGGATAAATGTTATTGAGGCTTTGACATTAAACCAAGTGTATATTATAAGGAGTACTTTCAGCGGCAATCTGCAAACCAACATGCGAGGTTTCTACAGGAGTTGGTATGACGATAGCACTGGCAGAAGATGGATGGCCACTACTCAATTTCAACCCGGTCATGCTCGCCAAGCTTTCCCTTGCTACGATGAGCCCGGCTTCAAGGCCACCTTCGACATCACGATGAATAGAGAAAGCGACTTCAGCCCCACCATATCAAATATGCCGATAAGGCAAAATGCCACGCTTGCAGACGGAAGAATTGCTGAAAGTTTCTACACTACTCCGGTGACATCAACGTATTTGATTGCCTTCATTGTCTCCCATTATGAAGAAGTGGCACAAAACAATGACACATCCAGGCCTTTCTCTATTTATGCGCGCGACAACGCTGAATCTACTGGCGATTATTCCTTGGAAATCGGAGAAAAGCTCTTGTGGGCGATGGAGGAATACACGCAAATTCCATACTTCTCAATGGCGCCAAATATCAATATGAAACAAGCCGCTATTCCTGATTTCTCAGCGGGTGCCATGGAAAATTGGGGTCTTTTGACTTACAGAGAGGCCCTTATTTTGTTCGACCCTCAAAACACGAACCATTTCTACAAGCAGCGTATCGCCAATATCGTTGCACATGAGATCGTCCACATGTGGTTCGGCAATCTGGTCACTTGCGCCTGGTGGGACAACCTCTGGCTTAACGAGGGCTTCGCTCGTTTCTTCCAATATTACTTGACTGACGTGGTAGACCCAGAGCTTGGATTCTCGACTCGCTTCATAGTTGAACAGCTGCATCAGTCCATGTTGTCCGACTCCATCGACACTGCTCACCCCCTCACGGATCCAACCGTTATCGACCCAACAGCAGTTAGCGCACACTTCTCCACCATTACTTACGCTAAAGGTGCCTCCATTCTGAGAATGACTCAGCACTTCCTTGGTAATGACACTTATGTAAAGGGATTAAGACTTTACTTATCAGAAAGGTCGTACGATGTGGCCGAGCCTGAACACTTGTTCAGCTCTTTAGACAGGGCAGCCGCTGAAGACAACGCGTTGTCAGCCTACAATGGCATTACCATAGACAGTTACTTCAAAACCTGGTCGGAACAGCCCGGACACCCTCTGCTAACGGTCTCTATTGACCACACCACGGGACGCATGCTTGTTACACAGTCGCGTTTCGAGCGCAACACGGGTGTATCCTCGATGCCTTCTTTGTACCTCATTCCCATCACCTGGTCTCGGGCAGGGGCACCAGATTTTACAAACCTCAAACCTTCCCAAATTCTTGTAGCACAAGCAACTGCCATCGACAGAGGCACCACTGGAAGGGAGTGGGTTATATTTAATAAGCAACAAACTGGTTTTTATAGAGTAAACTATGATGATATCACCTGGGCACTAATCACCCGTGCACTCAGGTCTAACGAAAGATTGATCATACATGAATACAACCGAGCGCAGATTATAGACGATCTCTTTTTACTAGCAAGAGCAAATGTCAAGTCTTATAGTGAGATTTTCAACATTCTGTCGTTTTTGGAGTTCGAAGACCACTATGCTCCGTGGATTGCTGGTATTACCGGATACAATTTTGCTTTAAGGAGGATGGCACATAATACTAACAACGTCAACAAGCTTAAACAACAAATCATAAACCAAAGTGTGGCAATAGTAAACCGACTTGGATATAGCGAGAGAGAAAATGAATCGTTCATGGATGGACTCCTGCGTATGCACGTGATGCAATTCCTTTGTGATGTCGGACATCAACAATGCATCGACGCTGGCATAGAGAACTTCCAGTCCTGGAGAAACGGTGGATTCATTCCAGCTAACATGCGACCATGGGTGTACTGTGTTGGTCTTCGGTATGGTACAGCTGCTGACTATACGTACTTCTGGAATCGTTATCTCAATGAAGATCTTTCTAACGAGAAAGTTGTGATGCTTGTGGCGGCAGGATGTACTATGGACCAGAATAGCTTGTACTCATATCTTGATGCTATTGTAGCTAATGATTACTCGATCAGAGCTCAGGATCAATCCACTGCGATCAATTCTGCTATAACCAGCAATGAGGAGAACACTATGAGAGCCTTCGAATGGCTGAGAAACAACGTGGCACAAACTACTGCAAGTCTTGGAAGTATTGCGGTTCCTTTAAACACTATTGCAAGTCGTCTCCTAAACGAAGAACAAATATCTGAGGTTTCTCTTTGGCTCGAACAAAATCGTGACGTTATTGGAACAACGTCCTACAATACTGGTATTGCGGCCCTAGGAACTGCCCGATCCAACATTGTGTGGTATGAGAGTAGAGTCTCTGAATTTGAACGGTACTTTGAGACTGGGTACGTAGAGGTGAACATTGATGAAGAAGCAGTTGTGACCGACACTCCAGTGATTACTACCACTCCAGAACCTGAACCTGATTCAGCTAATATTGCTGCTCTAAGCTTCGTTACAATGATCGTAACTCTCGTTATTAACATGTTGTAAAG</t>
  </si>
  <si>
    <t>TSLNMAERWFYLLLGVLLTQGTFAFSPIEVPDEEWIEYNRMLRDPAYRLPTTTRPSHYEVNLTPYLNTTANPFSFDGEVTIYISPTQANVTEIVIHCNDLIINSLVVTLSTDNVDLTTANQTFECEMPYSFLRINVIEALTLNQVYIIRSTFSGNLQTNMRGFYRSWYDDSTGRRWMATTQFQPGHARQAFPCYDEPGFKATFDITMNRESDFSPTISNMPIRQNATLADGRIAESFYTTPVTSTYLIAFIVSHYEEVAQNNDTSRPFSIYARDNAESTGDYSLEIGEKLLWAMEEYTQIPYFSMAPNINMKQAAIPDFSAGAMENWGLLTYREALILFDPQNTNHFYKQRIANIVAHEIVHMWFGNLVTCAWWDNLWLNEGFARFFQYYLTDVVDPELGFSTRFIVEQLHQSMLSDSIDTAHPLTDPTVIDPTAVSAHFSTITYAKGASILRMTQHFLGNDTYVKGLRLYLSERSYDVAEPEHLFSSLDRAAAEDNALSAYNGITIDSYFKTWSEQPGHPLLTVSIDHTTGRMLVTQSRFERNTGVSSMPSLYLIPITWSRAGAPDFTNLKPSQILVAQATAIDRGTTGREWVIFNKQQTGFYRVNYDDITWALITRALRSNERLIIHEYNRAQIIDDLFLLARANVKSYSEIFNILSFLEFEDHYAPWIAGITGYNFALRRMAHNTNNVNKLKQQIINQSVAIVNRLGYSERENESFMDGLLRMHVMQFLCDVGHQQCIDAGIENFQSWRNGGFIPANMRPWVYCVGLRYGTAADYTYFWNRYLNEDLSNEKVVMLVAAGCTMDQNSLYSYLDAIVANDYSIRAQDQSTAINSAITSNEENTMRAFEWLRNNVAQTTASLGSIAVPLNTIASRLLNEEQISEVSLWLEQNRDVIGTTSYNTGIAALGTARSNIVWYESRVSEFERYFETGYVEVNIDEEAVVTDTPVITTTPEPEPDSANIAALSFVTMIVTLVINML</t>
  </si>
  <si>
    <t>0.974810</t>
  </si>
  <si>
    <t>CS pos: 24-25. TFA-FS. Pr: 0.9285</t>
  </si>
  <si>
    <t>FSPIEVPDEEWIEYNRMLRDPAYRLPTTTRPSHYEVNLTPYLNTTANPFSFDGEVTIYISPTQANVTEIVIHCNDLIINSLVVTLSTDNVDLTTANQTFECEMPYSFLRINVIEALTLNQVYIIRSTFSGNLQTNMRGFYRSWYDDSTGRRWMATTQFQPGHARQAFPCYDEPGFKATFDITMNRESDFSPTISNMPIRQNATLADGRIAESFYTTPVTSTYLIAFIVSHYEEVAQNNDTSRPFSIYARDNAESTGDYSLEIGEKLLWAMEEYTQIPYFSMAPNINMKQAAIPDFSAGAMENWGLLTYREALILFDPQNTNHFYKQRIANIVAHEIVHMWFGNLVTCAWWDNLWLNEGFARFFQYYLTDVVDPELGFSTRFIVEQLHQSMLSDSIDTAHPLTDPTVIDPTAVSAHFSTITYAKGASILRMTQHFLGNDTYVKGLRLYLSERSYDVAEPEHLFSSLDRAAAEDNALSAYNGITIDSYFKTWSEQPGHPLLTVSIDHTTGRMLVTQSRFERNTGVSSMPSLYLIPITWSRAGAPDFTNLKPSQILVAQATAIDRGTTGREWVIFNKQQTGFYRVNYDDITWALITRALRSNERLIIHEYNRAQIIDDLFLLARANVKSYSEIFNILSFLEFEDHYAPWIAGITGYNFALRRMAHNTNNVNKLKQQIINQSVAIVNRLGYSERENESFMDGLLRMHVMQFLCDVGHQQCIDAGIENFQSWRNGGFIPANMRPWVYCVGLRYGTAADYTYFWNRYLNEDLSNEKVVMLVAAGCTMDQNSLYSYLDAIVANDYSIRAQDQSTAINSAITSNEENTMRAFEWLRNNVAQTTASLGSIAVPLNTIASRLLNEEQISEVSLWLEQNRDVIGTTSYNTGIAALGTARSNIVWYESRVSEFERYFETGYVEVNIDEEAVVTDTPVITTTPEPEPDSANIAALSFVTMIVTLVINML</t>
  </si>
  <si>
    <t>Peptidase M1, alanine aminopeptidase/leukotriene A4 hydrolase, Aminopeptidase N-type</t>
  </si>
  <si>
    <t>Membrane alanyl aminopeptidase</t>
  </si>
  <si>
    <t>Q11001</t>
  </si>
  <si>
    <t>Bombyx mori (Silk moth)</t>
  </si>
  <si>
    <t>O76803</t>
  </si>
  <si>
    <t>TRINITY_DN12658_c0_g1_i1.p1</t>
  </si>
  <si>
    <t>GTCTATCCAGTCGGCCGTTTGGTACCACAGACGTCACTATGGGTACCATGTTGTTCTCTCTCATGGTATTTCTCCTTCTTGCGTGTTCTATCACGGCTACTCCCCAGGATGACTTCAGATCAAATTTGGAGTTTCAAGAGTATGGTACCAATTTAGCTGAACCAGCGTATCGCATACTAGACTATGTGTACCCTCACGAGATGTTTGTTGACCTTGATGTGTACCTTGACGAAGGTCGATTCGACGGATTGGTTCAGATGAATGTTGAAGTGAAGGAGGCAAATCTTACACAAATTGTGTTCCACCAGAAAGTTGTCTCTATTTCTGGCATCAATGTGCTTAGATCAAACAACGAACCCGTTCCCCTCCAATTCCCGAATCCATTTACCACCGACGACTACTATGAACTCCTTCTCATAAACCTCGCTAAGCCTGTCCCTACTGGTAACTACAGCATTGCGGTTAGATACGTCGGGCAGATTAATGAGAATCCCGTCGATAGAGGGTTCTACAAAGGATATTATTATCTTAATAACAATCTTCGGTTGTATGCCACTACTCAGTTCCAGCCTTACCATGCGAGGAAAGCCTTTCCTTGTTTTGATGAACCTTTATTCAAATCGCGTTACACTCTGTCTATTACACGAGCGAGCAGTCTAAGTCAATCGTTCTCAAATATGGATATTCGTGAAACTCAAGTGCTTGCCAACAACCGAGTTCGCGAAACTTTCTACCCAACACCTATTATATCCGCCTACTTGGTGGCATTCCACGTCAGTGACTTTGTTGCCACAAACTACACTAGTACTGCCGCCAGACCATTTCAAATAATCTCCCGCCAAGGGGTCTTAGACCAACACGATTACGCTGCTAACATTGGCATTGAGATCACCAATGAACTAGATGACTATTTAGGCACTCAGTACCATGAAATGGGTCAAGGTATCCTGATGAAAAATGACCACATCGCTCTTCCTGACTTTCCCTCTGGCGCCATGGAGAACTGGGGAATGGTTAATTACAGAGAGGCTTATCTGCTGTACGATCCTAGCAACACTAACATTCTAAACAAGATCTTCATCGCAACCATCATGGCTCACGAACTTGGACACAAGTGGTTTGGGAACTTGGTCACTTGCTTCTGGTGGAGCAATCTGTGGTTGAATGAATCCTTTGCCAGCTATTTCGAGTACTTCGCTGCTCATTGGGCTGATAAGGAATTGGAGCTGGATGAACAGTTTATCGTGGACTACGTTCACAGTGCGCTCCTAGCTGACGCTGCAGCCGGCGCAACACCTATGAATTGGACCGCAGTGTCTGACAATGACTCAATAACTGCCCACTTCAGCACAACTAGCTATGCCAAGGGCGCTTCAGTATTAAGAATGATGGAGCACTTTGTTGGTGAAAGGACTTTCAGAAACGCTCTGAGATATTATTTGAGAGACAACGCATATGAAATCGGCACTCCCGAAGACATGTACAATGCATTCAGAAGAGCCGTATCTGAAGACTTCACTTTCGCTCCTGCTTACCCTAATATTGAAGTTGGTGCTGTGTTCGATAGTTGGGTTCAGAATCCAGGTGCACCCGTACTTAACGTTGCTGTTAATCAGGATACTGGAATGATGACTGTTACACAGCAACGCTTCGTACTGTCTGCTACTACTCCTGATCAACTGTGGCAGTTGCCTCTTACTTGGACCCATCAAGGAGATCCAGACTTCAGCAATGTAAAGCCTAGTCAGGTCTTGACTACCAGATCGGCAAATATCCAAGGCCCAACAGGAAGCAACTGGGTTATTTTCAACGTAGCTCAATCTGGTTTGTACCGAGTTAACTACAATGAGGAAAATTGGATGTTACTTAGTTCACATCTCAGGAGTGCCAATAGGGAGAATATAAACAAAATGAACAGAGCTCAGATTGTCAACGATGTTCTTGTATTCGTCCGCTCTGGAGACATAAACAGAACGCTCGCTTTTGAAGTACTTGAATTCCTGAAAAGTGAGACTGACTACTACGTGTGGGCACCAGCCATCTCACAGTTTGACTGGATCCGAAGGCGTCTTGAGCATTTACCGGTCGCGCACACAGCATTCTCTAACTACGTTTTGGATTTGATGGATACCGTGATTCGTCACCTTGGTTATGAGGAACGCTCCACCGACTCCACTTCAACCATTCTCAACAGAATGCAGATCATGAATTACGCTTGCAACCTCGGTCACGAGGGCTGCATCAGCGATAGTTTGAACAGATGGAACTCGTTCAGACAAAATGACAGCAACTTAGTGCCCGTCAATATGCGCCGCTACGTGTACTGCACCGGTATTCGTGAAGGAAACGACACAGACTACAACTTCCTATTCCAGAAGTACAATGCCTCTGAAAACACAGCAGATATGGTCGTCATGTTGCGCACACTCGCTTGTACTAAGAACGAATCTTTGTTGCAGGATTATCTCTACGCGTCTATGTACAACGACAAAATTCGAATCCACGACCGTACTAACGCTTGGAGCTACGCACTTCAAGGCAACTTCGAGAACTGTCCCGTCGTTCTTAACTTCCTCTACCAGAACTTCCGTGAAATCAGAACTACATATGGCGGACAGGCTCGTCTCAATATTGCTATCAACGCACTGTCTACATTTTTGACTGACTTCCAAATGATTAGTGAGTTCCAAACCTGGGTGTATCAAAATCAAGTTGCCCTCGAGGGGTCTTTCGCGCCCGCTGTAGCTGTAGTGAACACAGCCATCAACAACTTGAACTGGGGAAACAATGCCGCCTCAGAGATTTATGACTACCTCCTTGCCAGGAGTTCTTCCACCACCTTTACTGCTTCCATTGTTATGTTATCCTTAAGCATGATGGTGCAACTTGTTCGTTAATTTATTATATTTATAAATTTACTATCGAAAATATTATAATTAATTGTAAATACACTTGTAAAATATTCATTTGAATAATACTTTGTACATGTGATTTAAATAAAATATATATACATATATATTATTTAATATAAAAAAAAAAAAA</t>
  </si>
  <si>
    <t>LSSRPFGTTDVTMGTMLFSLMVFLLLACSITATPQDDFRSNLEFQEYGTNLAEPAYRILDYVYPHEMFVDLDVYLDEGRFDGLVQMNVEVKEANLTQIVFHQKVVSISGINVLRSNNEPVPLQFPNPFTTDDYYELLLINLAKPVPTGNYSIAVRYVGQINENPVDRGFYKGYYYLNNNLRLYATTQFQPYHARKAFPCFDEPLFKSRYTLSITRASSLSQSFSNMDIRETQVLANNRVRETFYPTPIISAYLVAFHVSDFVATNYTSTAARPFQIISRQGVLDQHDYAANIGIEITNELDDYLGTQYHEMGQGILMKNDHIALPDFPSGAMENWGMVNYREAYLLYDPSNTNILNKIFIATIMAHELGHKWFGNLVTCFWWSNLWLNESFASYFEYFAAHWADKELELDEQFIVDYVHSALLADAAAGATPMNWTAVSDNDSITAHFSTTSYAKGASVLRMMEHFVGERTFRNALRYYLRDNAYEIGTPEDMYNAFRRAVSEDFTFAPAYPNIEVGAVFDSWVQNPGAPVLNVAVNQDTGMMTVTQQRFVLSATTPDQLWQLPLTWTHQGDPDFSNVKPSQVLTTRSANIQGPTGSNWVIFNVAQSGLYRVNYNEENWMLLSSHLRSANRENINKMNRAQIVNDVLVFVRSGDINRTLAFEVLEFLKSETDYYVWAPAISQFDWIRRRLEHLPVAHTAFSNYVLDLMDTVIRHLGYEERSTDSTSTILNRMQIMNYACNLGHEGCISDSLNRWNSFRQNDSNLVPVNMRRYVYCTGIREGNDTDYNFLFQKYNASENTADMVVMLRTLACTKNESLLQDYLYASMYNDKIRIHDRTNAWSYALQGNFENCPVVLNFLYQNFREIRTTYGGQARLNIAINALSTFLTDFQMISEFQTWVYQNQVALEGSFAPAVAVVNTAINNLNWGNNAASEIYDYLLARSSSTTFTASIVMLSLSMMVQLVR</t>
  </si>
  <si>
    <t>0.865360</t>
  </si>
  <si>
    <t>CS pos: 32-33. ITA-TP. Pr: 0.6512</t>
  </si>
  <si>
    <t>TPQDDFRSNLEFQEYGTNLAEPAYRILDYVYPHEMFVDLDVYLDEGRFDGLVQMNVEVKEANLTQIVFHQKVVSISGINVLRSNNEPVPLQFPNPFTTDDYYELLLINLAKPVPTGNYSIAVRYVGQINENPVDRGFYKGYYYLNNNLRLYATTQFQPYHARKAFPCFDEPLFKSRYTLSITRASSLSQSFSNMDIRETQVLANNRVRETFYPTPIISAYLVAFHVSDFVATNYTSTAARPFQIISRQGVLDQHDYAANIGIEITNELDDYLGTQYHEMGQGILMKNDHIALPDFPSGAMENWGMVNYREAYLLYDPSNTNILNKIFIATIMAHELGHKWFGNLVTCFWWSNLWLNESFASYFEYFAAHWADKELELDEQFIVDYVHSALLADAAAGATPMNWTAVSDNDSITAHFSTTSYAKGASVLRMMEHFVGERTFRNALRYYLRDNAYEIGTPEDMYNAFRRAVSEDFTFAPAYPNIEVGAVFDSWVQNPGAPVLNVAVNQDTGMMTVTQQRFVLSATTPDQLWQLPLTWTHQGDPDFSNVKPSQVLTTRSANIQGPTGSNWVIFNVAQSGLYRVNYNEENWMLLSSHLRSANRENINKMNRAQIVNDVLVFVRSGDINRTLAFEVLEFLKSETDYYVWAPAISQFDWIRRRLEHLPVAHTAFSNYVLDLMDTVIRHLGYEERSTDSTSTILNRMQIMNYACNLGHEGCISDSLNRWNSFRQNDSNLVPVNMRRYVYCTGIREGNDTDYNFLFQKYNASENTADMVVMLRTLACTKNESLLQDYLYASMYNDKIRIHDRTNAWSYALQGNFENCPVVLNFLYQNFREIRTTYGGQARLNIAINALSTFLTDFQMISEFQTWVYQNQVALEGSFAPAVAVVNTAINNLNWGNNAASEIYDYLLARSSSTTFTASIVMLSLSMMVQLVR</t>
  </si>
  <si>
    <t>A0A2A4J832</t>
  </si>
  <si>
    <t>TRINITY_DN7544_c0_g1_i1.p1</t>
  </si>
  <si>
    <t>AATTCATTTTGCATGGCGTAAGTGTTTGCTATAGCTGCGCCATGCAACTAAAAGTGGTACTGCTGACGTTAGTCGCTTTTGTCACAGCTGACTTTCCGAGACTAGATTACGATGAACCCATCTTACGAACTGAACAGGACCCCACAGTCTACCGTCTACCCGAAGACTTAGATCCCATTCATTATGATATAGAAATAACACCTTATTTTGAAGCTGCCGGTGATAGAGAAGCATTCACATTTGATGGTGTCGTAACTTTAACTATTAAGGCGATGAAAAATGACATCATTTCTTTCGTGATACAAGAAAATGTTAGAGAAATATTAGCTGTAACCCTTACAAATGAAACAGGCCAACCAGTAAATCTTGATCCTTTAAATCCATTTGAGCGAGTTAGAGCATACCATTTCCTCCGGATCAATTTGGCTGATGAAGTTAGCCTTGTAAACGGAAATGTATATAAATTAACAGTGTTTTATTTAGGTAATATAAATGAGACACCTCTATCTAGAGGTATGTTTAGAGGAAATTACCGCGGCAGTGATGGAAGGCTTCGGTGGTATGCCGCCACTCACTTGCAACCGACAAACTCGAGACAAGCTTTCCCCAGTTTCGACGAGCCTGGTTTTAAATCTACCTTCAACATCACCGTAAACCGGCCAGCGCATTTCACCGAGACTTACTCCAATATGCAAATTATACGAACCATACAAATGGGCGAGCGAGTAAAGGAAATATTCCACAGGACACCAAGAATGTCAGCGTATCTAGTCACGCTACATATCAGCGAAGACTTCAGAGTTATTGCTGATAACAACGATACAAATCGGTCTTACAGAATCCTCGCCAGGCCTAATGCCCAAGGCCAGGGTGAATATGCTTTAGAGGTCGGACCTCCTATCACGCGCTGGTTAGGAGAATACTTTGGGATTGACTACTATAGTATGGGGCTTACTATGAAAAATGATCAAATAGCTTCACCGTTTTGGGCATCAGGAGCCACCGAGAACTGGGGATTAGTAACATACAGAGAGGTCCGTTTGCTATACGAAGAAGGCGAAACAAATGCTCTGGACAAAATGTACATCGGCACGATCACGGCCCACGAACTGGCACACAAATGGTTTGGCAACCTGATCACGTGCAGATGGTGGGACAACGTTTGGATCAACGAGGGTTTCGCCAGTTACTTTGAATACTTCGCAATGGATGCCGTTGACCGTTCTTTGGAACTAGAAGATCAGTTCAATTTAATGTACCTTCAAAGCGCTTTGTCAACCGATTCGTCCGCCGCAACCAGAGCTCTGCAACATACAGTGAATAGTCCCGCAGAAGTCACTGGACATTTTAGTGGAATTAGTTACTCAAAGGGAGCTTCTCTATTGCTCATGTTGAAACATTTCCTCACGGAAGTTACGTTTCGGAAAGCTTTATACTACTTCTTGGTAGACAGAGCATTTGGACACGCATTGCCGTCAGACCTTTACCAAGCTTTTGCACGAGCCGTATTCGAAGACAATACACCATCAATCGGTTTTGATATAGCTTCTTTCATGCAGTACTGGGTAGACGAACCTGGATATCCTGTTCTTAACGTGAACGTCAGTATGGATACTGGCCTAATTTCATTAACTCAGGAACGCTTTTTCATCAGTCCGTCAGCAAGTCAAACGGATCAAGTATGGCCTTTACCCCTAACCTACACGTCGGGTAATGATCCTAACTTTAACAACTTGACACCAACCAAAGTAATGACTGCCAGAGCTGACACTATCCAGAGAACTGCGGGCAATGAGTGGGTTATATTTAACCTGCAGCAAAAAGGAATCTATCGCGTCAACTACGACACTAATAATTGGGAAATGTTGGGCAATGCGTTGAAAAGCAATTACGCCAGCATACACCATCTGAATAGAGCTCAGATTGTCGACGATGTGTTTGCTCTGATGAGGTCCGAACGCATGACATACGAGCTCGGCTTTAGAGTCCTTGAGTTCCTGAAGCAGGACACTAGCTACTACGTCTGGTACCCAGCCATCACAGGAATTAACTGGTTGAGGAACCGGTTTTTGCATTTGCCTAATCTATTAGAAGACTTTGATAAAATTGTCTTCGAGTTACTGGACGCTGTTATTACCAATTTGACTTACGACGTTACCGTCGGCGAGCCCCTGACAAGAACCCTTAATAGGTTCTTCGTGTTGTCCTTTGCTTGCAACATTGGGCACGAGGGTTGTGTGAATGACGCTTTGGAGAAGTTCAATGCAATGAGAAATAATGGCGTAAGCGTGAATCCCAACCTTAGGCGCCACGTATTTTGCATTGGTCTCCAGAAAGGCGGTTACAGCGAATGGCGCTGGCTGTATGAGCGACGAGCGAATTCCAATAACCAAGGCGATGAAGTAGCCATGCTTAGATCTCTCGGTTGTACATCTGATGAGGTGGCAAGGCAGGAATATTTGAACATGATTTTGAGCGATGAAGTCAAGGCTCAAGATAGAGTGAACGCCTTCACATTCTTCCACATGGGCCATCGACAAAATGCGAGAGTTGCATTGCAGTTTGTGAAGGAAAGACTTAACGACATTCGCCAAGGCGTTGTTCTTCAAACTTGGTTTGAGAGCGTCCTTATAAATCTTTCTACATACCTGGACGAAGAGGGTCTTCAAGATATGGAGGCCTGGCTCAGTGCTAACCAAAACACTCTGCCTGAGTATACTCTCGCAATGAACGCTATCACATTAGCGCGCTCCAGCATCCAATGGGGCTCTGATAACGCGCAGATGGTACTCAGAGCGGCGCGAGGTTCAGCCTCCGCAGCCCTACCGTTGGCATTAATGCTCGTACCCACCATAATTGCTATACTATTGTAATAATTTATTAATTATATCTGTTTTCATTAATTATATTTGTAATTATTCTTATAAAATTTTATGTAAAATAAAATATTATTACACTTTGTACTATTGTAATAATTTATTAAT</t>
  </si>
  <si>
    <t>FILHGVSVCYSCAMQLKVVLLTLVAFVTADFPRLDYDEPILRTEQDPTVYRLPEDLDPIHYDIEITPYFEAAGDREAFTFDGVVTLTIKAMKNDIISFVIQENVREILAVTLTNETGQPVNLDPLNPFERVRAYHFLRINLADEVSLVNGNVYKLTVFYLGNINETPLSRGMFRGNYRGSDGRLRWYAATHLQPTNSRQAFPSFDEPGFKSTFNITVNRPAHFTETYSNMQIIRTIQMGERVKEIFHRTPRMSAYLVTLHISEDFRVIADNNDTNRSYRILARPNAQGQGEYALEVGPPITRWLGEYFGIDYYSMGLTMKNDQIASPFWASGATENWGLVTYREVRLLYEEGETNALDKMYIGTITAHELAHKWFGNLITCRWWDNVWINEGFASYFEYFAMDAVDRSLELEDQFNLMYLQSALSTDSSAATRALQHTVNSPAEVTGHFSGISYSKGASLLLMLKHFLTEVTFRKALYYFLVDRAFGHALPSDLYQAFARAVFEDNTPSIGFDIASFMQYWVDEPGYPVLNVNVSMDTGLISLTQERFFISPSASQTDQVWPLPLTYTSGNDPNFNNLTPTKVMTARADTIQRTAGNEWVIFNLQQKGIYRVNYDTNNWEMLGNALKSNYASIHHLNRAQIVDDVFALMRSERMTYELGFRVLEFLKQDTSYYVWYPAITGINWLRNRFLHLPNLLEDFDKIVFELLDAVITNLTYDVTVGEPLTRTLNRFFVLSFACNIGHEGCVNDALEKFNAMRNNGVSVNPNLRRHVFCIGLQKGGYSEWRWLYERRANSNNQGDEVAMLRSLGCTSDEVARQEYLNMILSDEVKAQDRVNAFTFFHMGHRQNARVALQFVKERLNDIRQGVVLQTWFESVLINLSTYLDEEGLQDMEAWLSANQNTLPEYTLAMNAITLARSSIQWGSDNAQMVLRAARGSASAALPLALMLVPTIIAILL</t>
  </si>
  <si>
    <t>0.735104</t>
  </si>
  <si>
    <t>CS pos: 29-30. VTA-DF. Pr: 0.6614</t>
  </si>
  <si>
    <t>DFPRLDYDEPILRTEQDPTVYRLPEDLDPIHYDIEITPYFEAAGDREAFTFDGVVTLTIKAMKNDIISFVIQENVREILAVTLTNETGQPVNLDPLNPFERVRAYHFLRINLADEVSLVNGNVYKLTVFYLGNINETPLSRGMFRGNYRGSDGRLRWYAATHLQPTNSRQAFPSFDEPGFKSTFNITVNRPAHFTETYSNMQIIRTIQMGERVKEIFHRTPRMSAYLVTLHISEDFRVIADNNDTNRSYRILARPNAQGQGEYALEVGPPITRWLGEYFGIDYYSMGLTMKNDQIASPFWASGATENWGLVTYREVRLLYEEGETNALDKMYIGTITAHELAHKWFGNLITCRWWDNVWINEGFASYFEYFAMDAVDRSLELEDQFNLMYLQSALSTDSSAATRALQHTVNSPAEVTGHFSGISYSKGASLLLMLKHFLTEVTFRKALYYFLVDRAFGHALPSDLYQAFARAVFEDNTPSIGFDIASFMQYWVDEPGYPVLNVNVSMDTGLISLTQERFFISPSASQTDQVWPLPLTYTSGNDPNFNNLTPTKVMTARADTIQRTAGNEWVIFNLQQKGIYRVNYDTNNWEMLGNALKSNYASIHHLNRAQIVDDVFALMRSERMTYELGFRVLEFLKQDTSYYVWYPAITGINWLRNRFLHLPNLLEDFDKIVFELLDAVITNLTYDVTVGEPLTRTLNRFFVLSFACNIGHEGCVNDALEKFNAMRNNGVSVNPNLRRHVFCIGLQKGGYSEWRWLYERRANSNNQGDEVAMLRSLGCTSDEVARQEYLNMILSDEVKAQDRVNAFTFFHMGHRQNARVALQFVKERLNDIRQGVVLQTWFESVLINLSTYLDEEGLQDMEAWLSANQNTLPEYTLAMNAITLARSSIQWGSDNAQMVLRAARGSASAALPLALMLVPTIIAILL</t>
  </si>
  <si>
    <t xml:space="preserve">Non predicted </t>
  </si>
  <si>
    <t>Trichoplusia ni (Cabbage looper)</t>
  </si>
  <si>
    <t>Lonomia obliqua (Moth)</t>
  </si>
  <si>
    <t>Non predicted</t>
  </si>
  <si>
    <t>Aedes aegypti (Yellowfever mosquito) (Culex aegypti)</t>
  </si>
  <si>
    <t>TRINITY_DN29870_c0_g1_i1.p1</t>
  </si>
  <si>
    <t>U-TPTX6-Tp1</t>
  </si>
  <si>
    <t>CTGACGTTGGTGTTATTATTCGCTGTGGCTTATGCCAAGCACGAACAGTATATAGGATGGAAATCCTACTTCGTATCACCAACCACGCCAGAGCAACTCCAGTCTCTTGGCTCATTGGTATCAACATACGACCTGGATTTCCTTAGCGACGCTACTTTGCAACGCGAAGGCTTAGTCCTGGTACAGCCCGAACACCAGGATGGCTTCACCAAGGCTCTAGAAGACGCAGACATCACGTACAAAGTTCACGCTGACGATATCAAGGCTAAACTCGACATTGATGACCAGATTATCGCAGCGCGCAGAGAGGCATTCGCCAGAAGTGGTCGCAAAGAACTGCCTTATGATAACTACCAAGATTTGGATGTTATTTACAGTTATATGGAAGACGTTGCTGCTAGATACCCTGATAAAGCCACTTTAGTCGACGGTGGTTCTTCCTTCGAAGGTCGGCCAATTTATTACATGAAGATCTCCACAACCAACTTTGAGGATATCACTAAACCTGTCATCTTCATTGATGGTGGAATTCATGCGAGGGAATGGATTGCTCCTCCAACCGTTACATGGGCGATCAAGAAGCTACTTGAAGATGTGACCGAACCTGATCTTCTTGAGAGATTTGACTGGATCTTAATGCCCGTAGTCAATCCTGATGGCTATAAATTCTCTTTCACAAATTCACGTTTCTGGCGTAAGACCCGCTCTACTGACTCGCATTCTCTAAGCAACTTGTGTCCAGGTGTTGATGGGAACCGCAACTATGACTTCTACTGGAACACTGCCGGAAGTAGCAGCAATCCTTGTGCTGATACCTATGCTGGCTCCAGAGCATTCTCAGAACCCGAGACTAGAGTCGTCAGAGACCTACTCCACGAATACTTAAGCAGGACTGCCCTCTATCTTACAATGCATAGCTATGGTAGCATGATCTTGTACCCATGGGGACATGATGGCTCCTTATCCAACAATGCTCTTGCTCTCCATACGGTTGGCATCGCAATGGCTGATGCTATTTACAGCGTCTCACTTCCCAACTTTCCTCGTTATATAGTAGGAAATTCAGTGAACGTCATTGGTTATCCTGCTGCAGGAGCTGCAGAGGACTATGCTCATTGGATTGGTGTGCCTCTCTCCTACACGTATGAGTTGCCTGGATTAGGA</t>
  </si>
  <si>
    <t>KILTLVLLFAVAYAKHEQYIGWKSYFVSPTTPEQLQSLGSLVSTYDLDFLSDATLQREGLVLVQPEHQDGFTKALEDADITYKVHADDIKAKLDIDDQIIAARREAFARSGRKELPYDNYQDLDVIYSYMEDVAARYPDKATLVDGGSSFEGRPIYYMKISTTNFEDITKPVIFIDGGIHAREWIAPPTVTWAIKKLLEDVTEPDLLERFDWILMPVVNPDGYKFSFTNSRFWRKTRSTDSHSLSNLCPGVDGNRNYDFYWNTAGSSSNPCADTYAGSRAFSEPETRVVRDLLHEYLSRTALYLTMHSYGSMILYPWGHDGSLSNNALALHTVGIAMADAIYSVSLPNFPRYIVGNSVNVIGYPAAGAAEDYAHWIGVPLSYTYELPGLG</t>
  </si>
  <si>
    <t>0.985725</t>
  </si>
  <si>
    <t>CS pos: 14-15. AYA-KH. Pr: 0.9412</t>
  </si>
  <si>
    <t>KHEQYIGWKSYFVSPTTPEQLQSLGSLVSTYDLDFLSDATLQREGLVLVQPEHQDGFTKALEDADITYKVHADDIKAKLDIDDQIIAARREAFARSGRKELPYDNYQDLDVIYSYMEDVAARYPDKATLVDGGSSFEGRPIYYMKISTTNFEDITKPVIFIDGGIHAREWIAPPTVTWAIKKLLEDVTEPDLLERFDWILMPVVNPDGYKFSFTNSRFWRKTRSTDSHSLSNLCPGVDGNRNYDFYWNTAGSSSNPCADTYAGSRAFSEPETRVVRDLLHEYLSRTALYLTMHSYGSMILYPWGHDGSLSNNALALHTVGIAMADAIYSVSLPNFPRYIVGNSVNVIGYPAAGAAEDYAHWIGVPLSYTYELPGLG</t>
  </si>
  <si>
    <t>Peptidase M14, carboxypeptidase, Zn dependent exopeptidase</t>
  </si>
  <si>
    <t>Carboxypeptidase B</t>
  </si>
  <si>
    <t>Helicoverpa zea (Corn earworm moth) (Heliothis zea)</t>
  </si>
  <si>
    <t>Peptidase M14 carboxypeptidase A domain-containing protein</t>
  </si>
  <si>
    <t>Spodoptera exigua (Beet armyworm) (Noctua fulgens)</t>
  </si>
  <si>
    <t>TRINITY_DN6637_c0_g1_i1.p1</t>
  </si>
  <si>
    <t>U-TPTX6-Tp2</t>
  </si>
  <si>
    <t>CTCTCTGATATAGTCAGTCATGGCTCGATCTATAGTTTGGATCTTTCTGTGTGCTGCTGCCTTAGTTCAGGCGGGCCATGAAAAATATGAGGGACACCAGATATACCGTGTCACTGGTCTTGGAGAGGAGATTCAAGCACTAGAAGCCCGATTAGATATCTTGTCAGCTACACCAGCTGCTCGTTCCTCTTCAGGAAAACTCGAAGCTCTAGTCAGACTGGCCCCTGAAGAGAAACAGCATTGGCTACAACACTTCGTCCAGCGAGGCATTACCTACACGAAAATCGCTGACAACTTGGCCGACATCCTACGTCAGGAGGAAGCTGAGATTCAACAGAAGAGGTTATCTGCCAGACAAGCAGGCCGCTCTATTAGCTGGGACACATATTATAGACATGAAGAGGTGAACGATTATTTAGACAGCTTGGCGGAAGAATATCCCAATGTGGTTACAGTAATCAACGCCGGACTTAGCTATGAAGGCCGCCAGATCAAGTACGTGAGAATCTCCACGAGTCAATTCGAGGTTGTAAGGAAACCAGTTATCATCATCGACGCTATGGTCCACGCTAGAGAGTGGATCACAACTCCTGTCGCCCTCTACCTCATAAACCAGCTCGTGGTTGATATAGCTGACAACAGGCTGACTGAAGAACTGGATTGGATCATCATACCGCTTGTAAATCCTGACGGCTATGAATATTCGATCGATGAGGACCGTATGTGGCGCAAAACGCGTTCGCTCTCCCACAACGGTGCTGATGAATGCCCAGGAGTAGATGGCAACCGTAACTTCGACCATTACTGGGGAACTAGTGAAGCAAGTGCCGACCCGTGCGCCATCATTTACGAGGGCCCCTCAGCATTCTCCGAGCCGGAGACTAGAATCATCAGAAACGTTGTCATGCAGTACTTGAGTCGAATTGCTCTCTACATATCTTTGCACAGTTATGGAAACATGATCCTCTATTCTTGGGGTAATAATGGTACCCTACCGTCCAACGGCTTAATACTCCACCTTGCGGGGATCAACATGGCTTCCGCTATTGATGAACTCGCCCTAGACAAGGCTGACCCATACATCGTTGGGAACGCAGCCAATGTCCTCTACTACACGACCGGAACCTCTCGCGACTGGACCAGGGCCGTTGGCATCCCCCTGACCTACACAATGGAACTGCCTGGATACGAATACGGATTTCTCGTTCCTACTGATTACATTGAACAAATTGTGAAGGAAACGTGGGCTGGGATAGCACAGGGTGCCCGTTTTGTGATCCCATAAGACTAAGCTTTATTAAAAATAAATAATTGGTAATTTATGCAGTTCAGTAATTTAGTATTTCTTTCTTTATATTTATATATTATTCTTATTATATTTTTATTCTTTTCCTTTTTATTTTCTTTCTTTTTTTATGCACCAATTCGATGCGGCGCTGCCTCAAGCAAACCCTGACCACTTCTTTC</t>
  </si>
  <si>
    <t>MARSIVWIFLCAAALVQAGHEKYEGHQIYRVTGLGEEIQALEARLDILSATPAARSSSGKLEALVRLAPEEKQHWLQHFVQRGITYTKIADNLADILRQEEAEIQQKRLSARQAGRSISWDTYYRHEEVNDYLDSLAEEYPNVVTVINAGLSYEGRQIKYVRISTSQFEVVRKPVIIIDAMVHAREWITTPVALYLINQLVVDIADNRLTEELDWIIIPLVNPDGYEYSIDEDRMWRKTRSLSHNGADECPGVDGNRNFDHYWGTSEASADPCAIIYEGPSAFSEPETRIIRNVVMQYLSRIALYISLHSYGNMILYSWGNNGTLPSNGLILHLAGINMASAIDELALDKADPYIVGNAANVLYYTTGTSRDWTRAVGIPLTYTMELPGYEYGFLVPTDYIEQIVKETWAGIAQGARFVIP</t>
  </si>
  <si>
    <t>0.993488</t>
  </si>
  <si>
    <t>CS pos: 18-19. VQA-GH. Pr: 0.9344</t>
  </si>
  <si>
    <t>GHEKYEGHQIYRVTGLGEEIQALEARLDILSATPAARSSSGKLEALVRLAPEEKQHWLQHFVQRGITYTKIADNLADILRQEEAEIQQKRLSARQAGRSISWDTYYRHEEVNDYLDSLAEEYPNVVTVINAGLSYEGRQIKYVRISTSQFEVVRKPVIIIDAMVHAREWITTPVALYLINQLVVDIADNRLTEELDWIIIPLVNPDGYEYSIDEDRMWRKTRSLSHNGADECPGVDGNRNFDHYWGTSEASADPCAIIYEGPSAFSEPETRIIRNVVMQYLSRIALYISLHSYGNMILYSWGNNGTLPSNGLILHLAGINMASAIDELALDKADPYIVGNAANVLYYTTGTSRDWTRAVGIPLTYTMELPGYEYGFLVPTDYIEQIVKETWAGIAQGARFVIP</t>
  </si>
  <si>
    <t>Heliothis virescens (Tobacco budwor</t>
  </si>
  <si>
    <t>TRINITY_DN53957_c0_g1_i1.p1</t>
  </si>
  <si>
    <t>CGTGTACAGATTAGGACATGTTTAGGACTACCATATCACTGTTTTTAGTAAGTTTAGTTGTCGCTAAGCATGAACTGTACGATGGACACGCTTTGTACCAAGTGACGGTCAGTTCCGTAGACCAGACGCAACTTCTCAACAATCTTAGTAATGACTTGGACCTTGATATTTGGACTCATTCGTTACCAGGCCGTCCTGGACTAGTACTGGTACCCAGTGAAAAGAGAGTTCAGTTTCAAAATGGACTCTTTGCTGCCGCTATACAGTATAAAATTGAAAGTGAAAATATTAAAGAAATGCTGGACTTAGAAGACCAATTGCTGGTTGAAGCATCACGGACGAGTAATATATCCAGGGTGGATGCCCTGCCCTTTGATAAAATATACACATACCATCAGGTCAACGCCTTCCTTGAAATGTTGGCTGAATCGTACCCCAACACTGTTAAGCTAGTTAATGCTGGCAAGAGCTTCCAAGGTAGAGACATCAAATACTTGAAAATATCGACAACGAATTTCGAAGATACAAGCAAGCCCATCATCTTCATGGAATCCCTCCTTCATGCTCGCGAGTGGATCACCTTACCAGCGACTCTCTACGCTATCCACAAGCTGGTTATCGATGTTAGTGAAGAAGATTTACTCCAGGATATTGACTGGATCATTCTGCCGATAGCCAATCCTGATGGTTATGTTTTCACTCACGAAGAGAATCGTTTCTGGCGTAAAAACCGCAACACCAACTATGGAATTATCTGTAACGGCGTAGACCTCAACAGAAACTTCGACAGCTTCTGGTCTACAGCTTCCTCCAACATGGTCTGCATGGAAACCTTCCACGGAAGCGGGCCTTTCTCGGAGCCCGAAACTTCTATTATAAGAGACATTTTCAAAAAATACAGTGACCGTATGGAACTATTCTTGGATATCCATAGCTTTGGAAGCATGATCTTATATGGCTATGGAACTGGTGTCCTTCCATCAAACGGTTTATTCCTTCACTTGCTTGGTGTGCAAATGGCTCAATCGATAGACTCTGTTAAAATGAGCTATAATCCAGATTACATAGTTGGTAATGTAGCTTTAGTCCTATACGAAGCTTCTGGCAGTGCTCAGGATTACGCTAAAGCTGTAGGGGTACCGTTTTCTTACACCTTTGAGTTGCCTGGGTATAGATTTGATATAGGGACAGCTTTAGGCTTTCTTGTGGACCCAGCTTTCATCGAGCAGGCTGGCTATGAGACATGGGAGGGTATTAAGGTTGGTGCCAGATATGTTCGAAACAATTACCGAATGAAACATGCCATCGCTTAAGATTTCAGATGAGAATCATACAAGTTTGATTTTTGGGACATAATTTTGCAT</t>
  </si>
  <si>
    <t>MFRTTISLFLVSLVVAKHELYDGHALYQVTVSSVDQTQLLNNLSNDLDLDIWTHSLPGRPGLVLVPSEKRVQFQNGLFAAAIQYKIESENIKEMLDLEDQLLVEASRTSNISRVDALPFDKIYTYHQVNAFLEMLAESYPNTVKLVNAGKSFQGRDIKYLKISTTNFEDTSKPIIFMESLLHAREWITLPATLYAIHKLVIDVSEEDLLQDIDWIILPIANPDGYVFTHEENRFWRKNRNTNYGIICNGVDLNRNFDSFWSTASSNMVCMETFHGSGPFSEPETSIIRDIFKKYSDRMELFLDIHSFGSMILYGYGTGVLPSNGLFLHLLGVQMAQSIDSVKMSYNPDYIVGNVALVLYEASGSAQDYAKAVGVPFSYTFELPGYRFDIGTALGFLVDPAFIEQAGYETWEGIKVGARYVRNNYRMKHAIA</t>
  </si>
  <si>
    <t>0.908052</t>
  </si>
  <si>
    <t>CS pos: 16-17. VVA-KH. Pr: 0.5964</t>
  </si>
  <si>
    <t>KHELYDGHALYQVTVSSVDQTQLLNNLSNDLDLDIWTHSLPGRPGLVLVPSEKRVQFQNGLFAAAIQYKIESENIKEMLDLEDQLLVEASRTSNISRVDALPFDKIYTYHQVNAFLEMLAESYPNTVKLVNAGKSFQGRDIKYLKISTTNFEDTSKPIIFMESLLHAREWITLPATLYAIHKLVIDVSEEDLLQDIDWIILPIANPDGYVFTHEENRFWRKNRNTNYGIICNGVDLNRNFDSFWSTASSNMVCMETFHGSGPFSEPETSIIRDIFKKYSDRMELFLDIHSFGSMILYGYGTGVLPSNGLFLHLLGVQMAQSIDSVKMSYNPDYIVGNVALVLYEASGSAQDYAKAVGVPFSYTFELPGYRFDIGTALGFLVDPAFIEQAGYETWEGIKVGARYVRNNYRMKHAIA</t>
  </si>
  <si>
    <t>TRINITY_DN6637_c0_g1_i2.p1</t>
  </si>
  <si>
    <t>CTGTGTTTGTGATATTGGATTCATGTCTATTGTTCTTGTGATATTAGTAAATCATATTTATATGGTTGCTGGGCCCACCAATCAAGATCACTCCACGGGGCATCAGTGCGACAGTTCCTGTTCTTTCTACTCTTCCAGAACCCGATGGAACGCGGTTTGCGGTTTGTACTCCGGTCAAGACTCACAGTCGACTCCGGTCAGACACCAGATATACCGTGTCACTGGTCTTGGAGAGGAGATTCAAGCACTAGAAGCCCGATTAGATATCTTGTCAGCTACACCAGCTGCTCGTTCCTCTTCAGGAAAACTCGAAGCTCTAGTCAGACTGGCCCCTGAAGAGAAACAGCATTGGCTACAACACTTCGTCCAGCGAGGCATTACCTACACGAAAATCGCTGACAACTTGGCCGACATCCTACGTCAGGAGGAAGCTGAGATTCAACAGAAGAGGTTATCTGCCAGACAAGCAGGCCGCTCTATTAGCTGGGACACATATTATAGACATGAAGAGGTGAACGATTATTTAGACAGCTTGGCGGAAGAATATCCCAATGTGGTTACAGTAATCAACGCCGGACTTAGCTATGAAGGCCGCCAGATCAAGTACGTGAGAATCTCCACGAGTCAATTCGAGGTTGTAAGGAAACCAGTTATCATCATCGACGCTATGGTCCACGCTAGAGAGTGGATCACAACTCCTGTCGCCCTCTACCTCATAAACCAGCTCGTGGTTGATATAGCTGACAACAGGCTGACTGAAGAACTGGATTGGATCATCATACCGCTTGTAAATCCTGACGGCTATGAATATTCGATCGATGAGGACCGTATGTGGCGCAAAACGCGTTCGCTCTCCCACAACGGTGCTGATGAATGCCCAGGAGTAGATGGCAACCGTAACTTCGACCATTACTGGGGAACTAGTGAAGCAAGTGCCGACCCGTGCGCCATCATTTACGAGGGCCCCTCAGCATTCTCCGAGCCGGAGACTAGAATCATCAGAAACGTTGTCATGCAGTACTTGAGTCGAATTGCTCTCTACATATCTTTGCACAGTTATGGAAACATGATCCTCTATTCTTGGGGTAATAATGGTACCCTACCGTCCAACGGCTTAATACTCCACCTTGCGGGGATCAACATGGCTTCCGCTATTGATGAACTCGCCCTAGACAAGGCTGACCCATACATCGTTGGGAACGCAGCCAATGTCCTCTACTACACGACCGGAACCTCTCGCGACTGGACCAGGGCCGTTGGCATCCCCCTGACCTACACAATGGAACTGCCTGGATACGAATACGGATTTCTCGTTCCTACTGATTACATTGAACAAATTGTGAAGGAAACGTGGGCTGGGATAGCACAGGGTGCCCGTTTTGTGATCCCATAAGACTAAGCTTTATTAAAAATAAATAATTGGTAATTTATGCAGTTCAGTAATTTAGTATTTCTTTCTTTATATTTATATATTATTCTTATTATATTTTTATTCTTTTCCTTTTTATTTTCTTTCTTTTTTTATGCACCAATTCGATGCGGCGCTGCCTCAAGCAAACCCTGACCACTTCTTTC</t>
  </si>
  <si>
    <t>CVCDIGFMSIVLVILVNHIYMVAGPTNQDHSTGHQCDSSCSFYSSRTRWNAVCGLYSGQDSQSTPVRHQIYRVTGLGEEIQALEARLDILSATPAARSSSGKLEALVRLAPEEKQHWLQHFVQRGITYTKIADNLADILRQEEAEIQQKRLSARQAGRSISWDTYYRHEEVNDYLDSLAEEYPNVVTVINAGLSYEGRQIKYVRISTSQFEVVRKPVIIIDAMVHAREWITTPVALYLINQLVVDIADNRLTEELDWIIIPLVNPDGYEYSIDEDRMWRKTRSLSHNGADECPGVDGNRNFDHYWGTSEASADPCAIIYEGPSAFSEPETRIIRNVVMQYLSRIALYISLHSYGNMILYSWGNNGTLPSNGLILHLAGINMASAIDELALDKADPYIVGNAANVLYYTTGTSRDWTRAVGIPLTYTMELPGYEYGFLVPTDYIEQIVKETWAGIAQGARFVIP</t>
  </si>
  <si>
    <t>0.903751</t>
  </si>
  <si>
    <t>CS pos: 23-24. MVA-GP. Pr: 0.5075</t>
  </si>
  <si>
    <t>GPTNQDHSTGHQCDSSCSFYSSRTRWNAVCGLYSGQDSQSTPVRHQIYRVTGLGEEIQALEARLDILSATPAARSSSGKLEALVRLAPEEKQHWLQHFVQRGITYTKIADNLADILRQEEAEIQQKRLSARQAGRSISWDTYYRHEEVNDYLDSLAEEYPNVVTVINAGLSYEGRQIKYVRISTSQFEVVRKPVIIIDAMVHAREWITTPVALYLINQLVVDIADNRLTEELDWIIIPLVNPDGYEYSIDEDRMWRKTRSLSHNGADECPGVDGNRNFDHYWGTSEASADPCAIIYEGPSAFSEPETRIIRNVVMQYLSRIALYISLHSYGNMILYSWGNNGTLPSNGLILHLAGINMASAIDELALDKADPYIVGNAANVLYYTTGTSRDWTRAVGIPLTYTMELPGYEYGFLVPTDYIEQIVKETWAGIAQGARFVIP</t>
  </si>
  <si>
    <t>Chitin binding domain, Chitin binding domain superfamily, CHITIN BINDING PERITROPHIN-A, Gasp, isoform A</t>
  </si>
  <si>
    <t>Chitin binding type 2 domain containing protein</t>
  </si>
  <si>
    <t>Chitin binding type 4 domain containing protein</t>
  </si>
  <si>
    <t>YES</t>
  </si>
  <si>
    <t>TRINITY_DN33458_c0_g1_i1.p1</t>
  </si>
  <si>
    <t>TGAAGAAAAGGCGCGCGCCACGGCTGTAGTCGTCAGTCTCACCAGGGTCGCCAGAGGGGTCGGACCGCAATCTAGTCATTAAACTTTTTGTAATATTTTTTTATAAAAAAATTGTAATATAAAAAGGTCATCATGAAAGTGTTTATTGTACTAACGGCAGTCACTGCGCTAGCGAGTGCACAATTCAAATGCCCCAACAAAGACGGTCAGTACGAAGACGACAGGCAATGTGACAAGTTCTACGAATGCGTGGACGGTGTCGCCACCACCAAATTGTGCCCGGACGGTCTTGTCTTCGACCCCACCATTAGGAAAATCAACAAATGCGACCAGCCCTTCAACGCGGACTGTGGTGACAGAACTGAACTTCAACCTGCCAAACCCAGCACCCAATGTCCCCGTCGCAACGGATTCTTCGCTCACCCTGATCCGTCAGTGTGTAACATCTTCTACAACTGTATTGAGGGCGAGGCAATCGAGGTCAAGTGCACCGCTGGGCTCCACTTCGACGAGTACTCCGGTACTTGCGTCTGGCCCGACTCTGCTGGTAGACAGGGTTGCCAAGAACTAGACAAGAAGACCAAGGATGGCTTTGAATGCCCCAAGGAACAACAAGTGGACTCCCTAGGACAGATCGTGGCCCACCCCAAATTTGCTCACCCTAATGACTGCCAGCGATTCTATGTATGTTTGAACGGTGTTGAACCTCGTGATCTTGGTTGCCAAGTCGGAGAAGTCTACAACGAGGAATCTCAGAAGTGTGACGCCCCTGAGAACGTGCGCGGATGCGAGGACTGGTACAAGGATTCAGAGGAAGCGGCGCCAGGGCCCAAAGCACGGTCTTAAGACTTCGTAGTGATACTGATAACATATGTAGTTGTATGCTAAGACTTAATAAGTTAAATACATTTTAAGTTAAACATCAAAAAAAAAA</t>
  </si>
  <si>
    <t>MKVFIVLTAVTALASAQFKCPNKDGQYEDDRQCDKFYECVDGVATTKLCPDGLVFDPTIRKINKCDQPFNADCGDRTELQPAKPSTQCPRRNGFFAHPDPSVCNIFYNCIEGEAIEVKCTAGLHFDEYSGTCVWPDSAGRQGCQELDKKTKDGFECPKEQQVDSLGQIVAHPKFAHPNDCQRFYVCLNGVEPRDLGCQVGEVYNEESQKCDAPENVRGCEDWYKDSEEAAPGPKARS</t>
  </si>
  <si>
    <t>0.999422</t>
  </si>
  <si>
    <t>CS pos: 16-17. ASA-QF. Pr: 0.9175</t>
  </si>
  <si>
    <t>QFKCPNKDGQYEDDRQCDKFYECVDGVATTKLCPDGLVFDPTIRKINKCDQPFNADCGDRTELQPAKPSTQCPRRNGFFAHPDPSVCNIFYNCIEGEAIEVKCTAGLHFDEYSGTCVWPDSAGRQGCQELDKKTKDGFECPKEQQVDSLGQIVAHPKFAHPNDCQRFYVCLNGVEPRDLGCQVGEVYNEESQKCDAPENVRGCEDWYKDSEEAAPGPKARS</t>
  </si>
  <si>
    <t xml:space="preserve">Chitin modifying enzymes and chitin binding proteins </t>
  </si>
  <si>
    <t>Bombyx mori (silk moth)</t>
  </si>
  <si>
    <t>A0A8R2AIH9</t>
  </si>
  <si>
    <t>TRINITY_DN558_c0_g1_i3.p1</t>
  </si>
  <si>
    <t>ATTCACCCGCTCGCAGTGTGTGCTAGAACGTTAAAGTGTCCACTCCTCCCGTGCAAGGACTTACAGTTTAAATATGAATTCAAGGTGTTTAATAGTGCTAGCAGCCGCCCTCGGCGTGGCGGTCGCCCAAGAATCCTTCAAATGTCCGGATGACTTCGGCTTCTACCCACACCACATCTCTTGCGACAAATATTGGAAGTGTGACAACGGCGTCGCAGAGCTCAAGACCTGTGGTAATGGTCTTGCGTTCGACGCTACTGACTCCAAATACCTGACTGAGAACTGCGACTACCTCCACAACGTCGAGTGTGGAGACAGGACGCAGCTTGAGCCTCCGATATCAACTCCCCACTGCGAAAGGCTATACGGTATCTTCCCTGATGACACCAAGTGCGACGTGTTCTGGAACTGTTGGAATGGCGAAGCGTCTCGGTACCAGTGCAGCCCTGGACTTGCTTACGACAGGGAATCTCGCGTGTGCATGTGGGCAGACCAAGTACCCGAATGCAAGAACGAGGAAGTAGCCAACGGCTTCGTTTGCGCCAATCCCGGTGAAGTGGCCAACATTGGTTCATTCAGCCGTCACGCTCACCCAGAAGATTGCCGCAAATATTACATCTGTCTCGAGGGTGTTGCTCGAGAATATGGTTGCCCCATCGGCACCGTCTTCAAGATCGGTGACTCCGATGGAACTGGCAACTGTGAAGACCCTGAAGATGTTCCCGGATGCGAGGACTATTATGGTGATCTGGATCTGAAGACGATCCGCAAGAGCGAGCTGTTGGCCGGTCTCAACCAGGATGGCGTGAGCCGCACCACCCAGCCCAAGCAACTCAAACCCCGCCCCCAAAAGGAGAACTAAATAAATTTCCTACTCTTAACCTTTAATACTCACGTAACTATAGACCGAAAGTCTCTAGGCACCAAGATCAATATATCATAATTTAAAAACTTTTTCATTGGCTTGTGTGTAATTTATATATAAAAAAATATTGATCTTGGTGCAAAGAGACGTGTTCCAGGTTCAAAAATTTCGAATATTTGATTTGTATACATTTCTAGTTGCCAAATACTTCCCCTGGTTGATCTTCGGACAGTTTCATAAGGCACCGGTGAATTTCTATTTAGAAACAAGCGCACAGCGATAAACATATTTATTTTTCTATTGTATGTAAAATATAGTGCAAATCGTGCTGCATTATATCATACGTCCCTTTAAATTGTTATTTAATAATTCCAGATTGAGTATTGCATTTATGACAACGTAGTACTTGTATTTTTAAAAACAGGGCATCCATGTAAACAGGGCACCTTTATACCATGAACTTGTAAATATATGTTCTGTACTGAATTATTTCGCTGCGACTGAGTGTTGTTGTTTGATAGAAAACTGTAATAACTAAGTTTTATTTTTAGTGATAAAATAAACAAAAAAATTAAAAAATTAATATGTGTTGTATTAATTTACTCTGTATCTAGTTGCACTCTAGCACTTTCCCTAACATTTCTCAACTTTCACATTCACACAATTTCCTATTGTGACTACAAACACCTTTTAATAACATTTTAAAATTCTATTAAGCACTTTTGGGTAATTTTCTCCTGTCTTATTATTTAACGACTGTAACAACTGCTACACCTTGTGGTTATTCAGGTACGTAATGACTTTTATATGGTTCATTTTATGTTACCTCACTTGTGTGGTATGGTTACCACATACTGATGGATTTGATATAGCATCTGATGTAAGCATTTTGGTTTTTGAACGCTAATGTTAGATGGTATTTCTTTCATATCACTCATCATCATCAAACCATCTGCTACTCTATTGCAGGGCACGGGTTTCCTCACAGTATGAAAATTGTTAGGCTATAGTTCACCACGTTGACCTACTACGGGTTAGTGGACTTCACAAGCCGCCGACAAAATTTCTTAGGCATGCAGGTTTCTTC</t>
  </si>
  <si>
    <t>MNSRCLIVLAAALGVAVAQESFKCPDDFGFYPHHISCDKYWKCDNGVAELKTCGNGLAFDATDSKYLTENCDYLHNVECGDRTQLEPPISTPHCERLYGIFPDDTKCDVFWNCWNGEASRYQCSPGLAYDRESRVCMWADQVPECKNEEVANGFVCANPGEVANIGSFSRHAHPEDCRKYYICLEGVAREYGCPIGTVFKIGDSDGTGNCEDPEDVPGCEDYYGDLDLKTIRKSELLAGLNQDGVSRTTQPKQLKPRPQKEN</t>
  </si>
  <si>
    <t>0.999609</t>
  </si>
  <si>
    <t>CS pos: 18-19. AVA-QE. Pr: 0.9029</t>
  </si>
  <si>
    <t>QESFKCPDDFGFYPHHISCDKYWKCDNGVAELKTCGNGLAFDATDSKYLTENCDYLHNVECGDRTQLEPPISTPHCERLYGIFPDDTKCDVFWNCWNGEASRYQCSPGLAYDRESRVCMWADQVPECKNEEVANGFVCANPGEVANIGSFSRHAHPEDCRKYYICLEGVAREYGCPIGTVFKIGDSDGTGNCEDPEDVPGCEDYYGDLDLKTIRKSELLAGLNQDGVSRTTQPKQLKPRPQKEN</t>
  </si>
  <si>
    <t>Protein obstructor-E-like isoform X1</t>
  </si>
  <si>
    <t>A0A7E5VKF9</t>
  </si>
  <si>
    <t>TRINITY_DN3108_c5_g1_i1.p1</t>
  </si>
  <si>
    <t>ATCCATCACGCAATATTCATACGTGGTCTCTCTTACAACATAAAGGCAAAGGCAACAACAGCAGATAAGATTCGGCGAAACCACTTGATGCGGTCATCGCTATTCTTTGACCTTATAGCGAGTTGTTAACTGGCCGGTGTTTAAATGATTTAAATCTCATTCGCCACACGTACGCCGTGGTGATCAGTCATTTAGCTTAGTTGTAACATAGCCATGAAAGTCCTGGTCGTCCTCGCCGGGTTCCTGGCCCTAGCCGCTTCCAGCGTCACCTCTGTCAGTAAAGTGGTCTGTTACTACGACAGCAAGAGTTATGTCAGAGAATCTCAAGCCCGCATGCTACCGTTGGATCTCGATCCAGCTCTATCCTTCTGCTCCCATCTCGTCTACGGTTACGCTGGCATCCAACCTGACACCTACAAGATGGTGTCACTCAACGAAAACTTGGATGTAGACACGGCTCACGCTAACTACCGCACCATCACCAACTTCAAGTCTAAATACCCCGGCCTCAAAGTCCTGCTGTCTGTGGGAGGCGATGTTGATAGTGAGGACCCACAGAAGTACAATCTTTTGCTCGAGTCTCCGCAAGCACGTACTGCGTTTGTGAACTCTGCTGTGTTGCTTTCGGATCAGCACGGATTCGACGGTATCGACTTGGCTTGGCAATTTGCCAAAATCAAGCCTAAGAAGATCCGCTCTACTTGGGGTGCTGTCTGGCACGATTTCAAGAAGGTCTTCGGCACCACGCTTGTTGATGACAAGGAGGCCGAGCATCGGGAAGGGTACACGGCCCTCATTCGTGAATTGAAGCAGGCCCTCAACGTCAAGCCAAATAAACAATTGGCTATTACAGTTCTACCCAATGTAAACGCAAGCATCTACTACGACGTGCCTTCCATCATTAATTTGGTTGACTTTGTGAACATCGGTGCCTACGACTATTATACTCCTGAACGTAACCCCAAGGAAGCCGACTACGCCACGCCCATCTACACACCTCAGAATCGCAATCCTCTTCTTAACCTTGATGCAGCTGTTACTTACTGGTTGCAAGGAGGAACCCCAAGTCATAAACTCATCGTGGCCATTCCCACATATGCCCGCACCTGGAAACTGGATTCTAATAGTGAAATCGCTGGTGTTCCACCACTGCACGCTAATGGACCCGGTGAAGCTGGTCCTTACACCAAGGTCGAAGGTCTCCTCAGCTACCCAGAAGTTTGTGCTAAGCTGATTAACCCTAATCACCAGAAGGGAATGCGCCCTCACCTCAGGAAAGTTACTGACCCAAGCAAACGTTTCGGGACATATGCTTTCCGCTTGCCTGACGACAATGAGGAGGGTGGTTTGTGGGTGAGCTACGAGGATCCTGACACCGCGGGTCAAAGGGCTTCATACGCCAAAGCCAAGAATCTGGGCGGCGTTTCCATCGTGGATCTTTCCATGGACGATTTCCGGGGTCTTTGCACCGGCGATAAGTACCCAATCCTAAGGGCTGCTAAATATAGGCTTTGAAATATTAATATATACATAAAATAATATAGGGTGTCAATTATATATCAAAAAAAAAAAATGGCTGCCCTATATTGCAGCAATTCTTGTTAGTGGAAATATTATTGTACAACACGAATTCGTATGAACATTTTATTAAATTTATGATAATATAAAAAAAAAAAAAAA</t>
  </si>
  <si>
    <t>MKVLVVLAGFLALAASSVTSVSKVVCYYDSKSYVRESQARMLPLDLDPALSFCSHLVYGYAGIQPDTYKMVSLNENLDVDTAHANYRTITNFKSKYPGLKVLLSVGGDVDSEDPQKYNLLLESPQARTAFVNSAVLLSDQHGFDGIDLAWQFAKIKPKKIRSTWGAVWHDFKKVFGTTLVDDKEAEHREGYTALIRELKQALNVKPNKQLAITVLPNVNASIYYDVPSIINLVDFVNIGAYDYYTPERNPKEADYATPIYTPQNRNPLLNLDAAVTYWLQGGTPSHKLIVAIPTYARTWKLDSNSEIAGVPPLHANGPGEAGPYTKVEGLLSYPEVCAKLINPNHQKGMRPHLRKVTDPSKRFGTYAFRLPDDNEEGGLWVSYEDPDTAGQRASYAKAKNLGGVSIVDLSMDDFRGLCTGDKYPILRAAKYRL</t>
  </si>
  <si>
    <t>0.996254</t>
  </si>
  <si>
    <t>CS pos: 20-21. VTS-VS. Pr: 0.3391</t>
  </si>
  <si>
    <t>VSKVVCYYDSKSYVRESQARMLPLDLDPALSFCSHLVYGYAGIQPDTYKMVSLNENLDVDTAHANYRTITNFKSKYPGLKVLLSVGGDVDSEDPQKYNLLLESPQARTAFVNSAVLLSDQHGFDGIDLAWQFAKIKPKKIRSTWGAVWHDFKKVFGTTLVDDKEAEHREGYTALIRELKQALNVKPNKQLAITVLPNVNASIYYDVPSIINLVDFVNIGAYDYYTPERNPKEADYATPIYTPQNRNPLLNLDAAVTYWLQGGTPSHKLIVAIPTYARTWKLDSNSEIAGVPPLHANGPGEAGPYTKVEGLLSYPEVCAKLINPNHQKGMRPHLRKVTDPSKRFGTYAFRLPDDNEEGGLWVSYEDPDTAGQRASYAKAKNLGGVSIVDLSMDDFRGLCTGDKYPILRAAKYRL</t>
  </si>
  <si>
    <t>Imaginal disc growth factor</t>
  </si>
  <si>
    <t>Imaginal disc growth factor, Glycoside hydrolase family 18, catalytic domain, Glycoside hydrolase family 18, catalytic domain, Glycoside hydrolase superfamily, CHITINASE</t>
  </si>
  <si>
    <t>Chitinase-like protein EN03</t>
  </si>
  <si>
    <t>Q9GV28</t>
  </si>
  <si>
    <t>TRINITY_DN7096_c0_g1_i1.p1</t>
  </si>
  <si>
    <t>GTAAAATATCAATACATTTCGATCGAAACATCGCACAAAATGAAGTGGCCTACAATTGTGATTCCAATTCTTTTCACGGCTTTGGTGTTTAACGAAATTGATGGACTAGAACTCGCTGAAGAGTGTGATGTAGAAGCATGCCAACTGCCAAACTGTAGATGTTCCACAACTGATACCCCTGGAGGACTATTACCAAGGGATACTCCGCAGTTCGTGACAGTCACATTTGACGACGCAGTTAACATTCTCAATATAGAAACCTACAGAGAGGTCTTATATGGTCGGAATAACTCTAATGGATGTCCAGCCGGTGCCACATTTTACGTTAGCCATGAATACACGAATTATCAACTAGTCAATGAGTTATATAATAATGGCTACGAGATCGCTCTGCACTCCATTTCACATCAAACACCACAAAGTTACTGGGCTACGGCTAGTTATGACGATCTCAAGAAGGAGTTAGTGGACCAGAAAGCTTTGACTTCTCATTTTGCAAATATTCCTTATGAAGCTATGAAAGGTGTTCGTCTCCCATTCCTTCAAATGAGTGGCAATACAAGTTATCAAGTGATGGCTGATAATGACTTAGAGTATGACTGCTCCTGGCCTACCATAACATACACAAACCCTGGTTTATGGCCGTACACCTTAGACTATGCGTCGATTCAGGACTGTCCCGTGGCTCCATGCCCTACTGCTTCAATACCAGGTCCGTGGGTCCAGCCTATGGTATGTTGGACTGATCTTAGGGGTTTTCCTTGCTCAATGGTGGACAATTGTCCTTTTTTCCCTGATCGTGAAGATGAGGACGCGTGGTATCGGTTTATCCTTACGAACTTCGAAAGGCACTATCTTGGCAACCGTGCTCCTTTCGGCTTCTACATTCACGAGTGGTACCTGTCAGCTTATCCAGCAGTGAAGAGAGCGACGATTAAGTTCCTAGATCTGGTCAACAATCTCACTGATGCTTTTATGGTAAATTCTGATGAAGTCATCCAATGGGTTAAAAACCCAGTACCTATTCCCGAATATACGAAGCAATCTTGCAGAACATTCATCGAGACCGATTGTATTCGAACTAACTGTGGACCTCTTGAATCGGAGCATAATCAGTTGCAGTACTGGATGCAGATCTGTAACGTCTGTCCGAACGTTTATCCCTGGCTTGGTAACCCACTAGGGCAACGAACTTA</t>
  </si>
  <si>
    <t>VKYQYISIETSHKMKWPTIVIPILFTALVFNEIDGLELAEECDVEACQLPNCRCSTTDTPGGLLPRDTPQFVTVTFDDAVNILNIETYREVLYGRNNSNGCPAGATFYVSHEYTNYQLVNELYNNGYEIALHSISHQTPQSYWATASYDDLKKELVDQKALTSHFANIPYEAMKGVRLPFLQMSGNTSYQVMADNDLEYDCSWPTITYTNPGLWPYTLDYASIQDCPVAPCPTASIPGPWVQPMVCWTDLRGFPCSMVDNCPFFPDREDEDAWYRFILTNFERHYLGNRAPFGFYIHEWYLSAYPAVKRATIKFLDLVNNLTDAFMVNSDEVIQWVKNPVPIPEYTKQSCRTFIETDCIRTNCGPLESEHNQLQYWMQICNVCPNVYPWLGNPLGQRT</t>
  </si>
  <si>
    <t>0.756118</t>
  </si>
  <si>
    <t>CS pos: 35-36. IDG-LE. Pr: 0.6688</t>
  </si>
  <si>
    <t>LELAEECDVEACQLPNCRCSTTDTPGGLLPRDTPQFVTVTFDDAVNILNIETYREVLYGRNNSNGCPAGATFYVSHEYTNYQLVNELYNNGYEIALHSISHQTPQSYWATASYDDLKKELVDQKALTSHFANIPYEAMKGVRLPFLQMSGNTSYQVMADNDLEYDCSWPTITYTNPGLWPYTLDYASIQDCPVAPCPTASIPGPWVQPMVCWTDLRGFPCSMVDNCPFFPDREDEDAWYRFILTNFERHYLGNRAPFGFYIHEWYLSAYPAVKRATIKFLDLVNNLTDAFMVNSDEVIQWVKNPVPIPEYTKQSCRTFIETDCIRTNCGPLESEHNQLQYWMQICNVCPNVYPWLGNPLGQRT</t>
  </si>
  <si>
    <t>NodB homology domain; Polysaccharide deacetylaseGlycoside hydrolase/deacetylase, CE4_CDA_like_2</t>
  </si>
  <si>
    <t>Chitin deacetylase 8</t>
  </si>
  <si>
    <t>H9JW43</t>
  </si>
  <si>
    <t>NodB homology domain-containing protein</t>
  </si>
  <si>
    <t>A0A2A4JB10</t>
  </si>
  <si>
    <t>TRINITY_DN46_c0_g1_i1.p1</t>
  </si>
  <si>
    <t>AAGGCACCAATATGAGGTTATTCGGTCTTCTAGTGTTGTTGTTTGTAGCAGCGTTAGCTGATGATGATACAGTACTGCCTCTGGCTACGGAGTGCGATGAGGCAGCATGCGTACTGCCAGACTGCAGGTGCTCATCGACTAATATCCCTGGTGGATTACAACCTAGGGATACGCCACAGTTCGTGACAGTCACATTTGATGATGCTGTGAATGTCAACAACATATTGACATACAGGGAGTTACTTTATAATCGCGTCAATCAAAATGGTTGTCGAGCTGGTACCACATTCTACATTAACCACGAGTATACCAACTACCAGTTAGTCAACGAACTCTACAATAGTGGCTTTGAGATCGCTCTACATTCAATTTCACATCAAACACCTCAATCGTACTGGGCCGAAGCAGACTATGATATCATGAAACTGGAATTCGCTGATCAGAAAGCTCAGATGTCTCATTTCGCTAATATTCCCTATGATGCAATCAAAGGTGTTCGCATTCCGTTCCTGCAAATGGCTGGTAATTCAAGTTTCCAAGTGATGTCTGACTATGACCTGTTATACGATTGCTCCTGGCCTACTGTCAGTCAGACTAACCCTGGTCTCTGGCCTTATACCTTGGACTACGCATCTACGCAGGACTGTACCGTACCTCCGTGCCCAACTGCTTCCATACGCGGAATCTGGGTTCAGCCGATGGTATCTTGGACTGACCTTTTAGGTTTCCCTTGCTCAATGGTCGACGCTTGCTTTGGTTTCCCTGACCGTGAAAACGAAGATGCATGGTTCCGCTTCATCCTTACAAACTTCGAACGGCACTATCTTGGCAACCGTGCACCTTTCGGTTTCTACATACACGAATGGTACCTGTCTGCATATCCCGCAGTGAAGAGCGCATTTAAAAGGTTCCTGGATCTCATCAATAACTTAAACGACGTTTTCATGGTTAACTCAGACGAAGTGATTGATTGGGTTAAGAACCCTGTACCTATTCCTGAATATATTGAGAAGCCCTGCAGGACCTTCACTCCTACGATCTGCATACAAGCCAGCTGTGGTCCGCTCACATCTAGCCACAATAACCTCGACTACTGGATGCAGATTTGCAACGTATGTCCAAGAGTGTACCCTTGGCTGGGCAACCCCCTCGGTCAATAATAGGTGTTTTACTCAATCTTAATAAATATTTTACACTATAAAAAAAAAAAAA</t>
  </si>
  <si>
    <t>GTNMRLFGLLVLLFVAALADDDTVLPLATECDEAACVLPDCRCSSTNIPGGLQPRDTPQFVTVTFDDAVNVNNILTYRELLYNRVNQNGCRAGTTFYINHEYTNYQLVNELYNSGFEIALHSISHQTPQSYWAEADYDIMKLEFADQKAQMSHFANIPYDAIKGVRIPFLQMAGNSSFQVMSDYDLLYDCSWPTVSQTNPGLWPYTLDYASTQDCTVPPCPTASIRGIWVQPMVSWTDLLGFPCSMVDACFGFPDRENEDAWFRFILTNFERHYLGNRAPFGFYIHEWYLSAYPAVKSAFKRFLDLINNLNDVFMVNSDEVIDWVKNPVPIPEYIEKPCRTFTPTICIQASCGPLTSSHNNLDYWMQICNVCPRVYPWLGNPLGQ</t>
  </si>
  <si>
    <t>0.998974</t>
  </si>
  <si>
    <t>CS pos: 19-20. ALA-DD. Pr: 0.9114</t>
  </si>
  <si>
    <t>DDDTVLPLATECDEAACVLPDCRCSSTNIPGGLQPRDTPQFVTVTFDDAVNVNNILTYRELLYNRVNQNGCRAGTTFYINHEYTNYQLVNELYNSGFEIALHSISHQTPQSYWAEADYDIMKLEFADQKAQMSHFANIPYDAIKGVRIPFLQMAGNSSFQVMSDYDLLYDCSWPTVSQTNPGLWPYTLDYASTQDCTVPPCPTASIRGIWVQPMVSWTDLLGFPCSMVDACFGFPDRENEDAWFRFILTNFERHYLGNRAPFGFYIHEWYLSAYPAVKSAFKRFLDLINNLNDVFMVNSDEVIDWVKNPVPIPEYIEKPCRTFTPTICIQASCGPLTSSHNNLDYWMQICNVCPRVYPWLGNPLGQ</t>
  </si>
  <si>
    <t>Glycoside hydrolase/deacetylase, beta/alpha-barrel, Polysaccharide deacetylase, Polysaccharide deacetylase</t>
  </si>
  <si>
    <t>Chitin deacetylase 8[...]</t>
  </si>
  <si>
    <t>TRINITY_DN27792_c0_g1_i1.p1</t>
  </si>
  <si>
    <t>TTTTAAAGTAAACGCACGCACGTTTGGTTGTTTATATTTTATAAATATTTATTACCTCCAAATCATAATAAAATGAAAACTTTATTTTTAATAATAGGCGTAGCGTGTGCAATAGTTGGTGCACAAGACTTCGATTGTCCCGAGAAGAGCGGATACTACCCTGACCCGTACCAATGTGATCTCTATTACAAATGCACCAAAGGTGTGTCAGAAGCTAGGCTGTGCCCCGACGGACTGGTATTCTCCGATGAGAACTCGAGCAAGGAACGCTGCGACATACCTTCTAATGTAGACTGTGGTGATAGGAAGGAATTGCAGGAGCCGAAGCCGTCCAAAGGTTGTCCGCGACAGAACGGTTACTTCAGGCATCCTGATCCTCAGGCATGTGACAAGTTCTACTACTGTTCTGACGGTACACCCAATGAG</t>
  </si>
  <si>
    <t>MKTLFLIIGVACAIVGAQDFDCPEKSGYYPDPYQCDLYYKCTKGVSEARLCPDGLVFSDENSSKERCDIPSNVDCGDRKELQEPKPSKGCPRQNGYFRHPDPQACDKFYYCSDGTPNE</t>
  </si>
  <si>
    <t>0.999688</t>
  </si>
  <si>
    <t>CS pos: 17-18. VGA-QD. Pr: 0.9587</t>
  </si>
  <si>
    <t>QDFDCPEKSGYYPDPYQCDLYYKCTKGVSEARLCPDGLVFSDENSSKERCDIPSNVDCGDRKELQEPKPSKGCPRQNGYFRHPDPQACDKFYYCSDGTPNE</t>
  </si>
  <si>
    <t>Spodoptera exigua (beet arymworm) (noctua fulgens)</t>
  </si>
  <si>
    <t>A0A835G7G3</t>
  </si>
  <si>
    <t>TRINITY_DN433_c0_g1_i1.p2</t>
  </si>
  <si>
    <t>U-TPTX11-Tp1</t>
  </si>
  <si>
    <t>TCGGTACATCCTCATACTAATAACTAGATACCCCCACCCCACCTCCAAAACTCCAAAATGAAATCCGTTATCCTTTTCGCTCTCTTCATCGCCGCGGCCACCGCCATCCCTGTGGACTCCAAGGACGCTGTCATCCTTAGATACGACAGCGACAACATTGGTGTCGAAGGATACAAATATGCCGTGGAGACCAGCGATGGCAAGTCCGCCAGCGAGGAGGGAGTTCTGACCAACGTTGGCTCTGAACAGGAGGGTATTTCTGTCCGTGGTCAGTTCTCCTATGTTGGCCCTGATGGTGTCACCTACTCTGTCACCTACGTCGCCGACCAGAACGGCTTCCAGCCCTCTGGTGCCCATCTTCCCAAGGCTTAAACATCGATTAGCTGCAATAAATTATCTAGTCTAATCTGAACTTCCTGAGGATGATCTTCCTTCGACTGACCTGACTTCACATTGACAACTGCACACTTCATAGTGAATAGAATAGCGAATAAAATGGTTATTGATTATTAAAAAAAAAAAAAA</t>
  </si>
  <si>
    <t>MKSVILFALFIAAATAIPVDSKDAVILRYDSDNIGVEGYKYAVETSDGKSASEEGVLTNVGSEQEGISVRGQFSYVGPDGVTYSVTYVADQNGFQPSGAHLPKA</t>
  </si>
  <si>
    <t>0.998100</t>
  </si>
  <si>
    <t>CS pos: 16-17. ATA-IP. Pr: 0.6940</t>
  </si>
  <si>
    <t>IPVDSKDAVILRYDSDNIGVEGYKYAVETSDGKSASEEGVLTNVGSEQEGISVRGQFSYVGPDGVTYSVTYVADQNGFQPSGAHLPKA</t>
  </si>
  <si>
    <t> 9283,50</t>
  </si>
  <si>
    <t>Insect cuticle protein</t>
  </si>
  <si>
    <t xml:space="preserve">Chitin modifying enzymes, chitin binding proteins and cuticle proteins </t>
  </si>
  <si>
    <t>Chitin-binding type R&amp;R consensus</t>
  </si>
  <si>
    <t>Flexible cuticle protein 12</t>
  </si>
  <si>
    <t>Hyalophora cecropia (Cecropia moth) (Samia cecropia)</t>
  </si>
  <si>
    <t>P45589</t>
  </si>
  <si>
    <t>Cuticle protein CP14.6</t>
  </si>
  <si>
    <t>Q94984</t>
  </si>
  <si>
    <t>TRINITY_DN14186_c0_g1_i1.p2</t>
  </si>
  <si>
    <t>TTAACCTCCGACCCACAATCACACAACAATGAAACTGTTCTTGGTCTTCACTATCGTCGGTGTTGCTACCGCTGCCTACGCCCCAGCTCCGTATGAGTCCAACAGAGCACAGGCTTCGTATGAGAGGAACGCGAGGATCCTTGCTCTGGATTCCGATGTGAAAGAGGACTCCTACAGATATAACTATGAGACTGAGAATGGTATCAAGGCTGAAGAACAGGGTCATGAGGCTGACGGCATCGAAGCTCAAGGCGGCTTCCAATACACCGGTGATGATGGTCAAGTGTATGCCATCAGCTACGCTGCGGGCCAGGGTGGCTTCCAGCCCCAGGGTGCCCACATTCCCACTCCTCCACCAGTACCCGAGGAGATCCTGAAGGCTTTGGAGCAGAATGCGAGGGATGAGGCTGCCGGAATCATCGATGACGGACAATACAACCCTGGCAAATATGGAGACGCCGGCCCTGGCCAGCAACAACAATACGCGAGAGCACAGGCATCCTCTGGCTACAGACAAACTTACAAGTATTAAATGACTAAATTGCCAGAATTTAGATATAATGTTGTAATAGCCCATTAATTTTAAAATCATAAGTAAAGCATATTTCAAATGATTGCGTTCCACACAAACGTGGCTATATTATGATTGGGAATTTGTGTTAGGCATTACGCGCACCTACCTGCATATCATTTATTGTATTGGTTGTTTAATATTTTAAGGGTTTTGAAATATGCTCTGCTTAATTTATATCATTATAATCGTTTTCTAAGTAAATTTCAATGTGTTATTATTAATATAGAAACTAAAAATTATAAGTATTCAAAATGCC</t>
  </si>
  <si>
    <t>MKLFLVFTIVGVATAAYAPAPYESNRAQASYERNARILALDSDVKEDSYRYNYETENGIKAEEQGHEADGIEAQGGFQYTGDDGQVYAISYAAGQGGFQPQGAHIPTPPPVPEEILKALEQNARDEAAGIIDDGQYNPGKYGDAGPGQQQQYARAQASSGYRQTYKY</t>
  </si>
  <si>
    <t>0.994441</t>
  </si>
  <si>
    <t>CS pos: 15-16. ATA-AY. Pr: 0.4203</t>
  </si>
  <si>
    <t>AYAPAPYESNRAQASYERNARILALDSDVKEDSYRYNYETENGIKAEEQGHEADGIEAQGGFQYTGDDGQVYAISYAAGQGGFQPQGAHIPTPPPVPEEILKALEQNARDEAAGIIDDGQYNPGKYGDAGPGQQQQYARAQASSGYRQTYKY</t>
  </si>
  <si>
    <t> 16553,77</t>
  </si>
  <si>
    <t>Cuticle protein 3</t>
  </si>
  <si>
    <t>P85197</t>
  </si>
  <si>
    <t>Pupal cuticle protein 36</t>
  </si>
  <si>
    <t>Q8MUC5</t>
  </si>
  <si>
    <t>Cuticle protein</t>
  </si>
  <si>
    <t>A0A2A4J931</t>
  </si>
  <si>
    <t>TRINITY_DN10919_c0_g1_i1.p1</t>
  </si>
  <si>
    <t>CAGTTTCAATCGGGGAACCGACTCGGAAGGACACAAACATGAAGCTGCTTTGCATTCTGGCCGCCCTCCTGGCTATCTCCCTAGCGGAGACAGAGAAAAAAGAAAACGAGCTCTCCGAAGAGGCAGCGTCTTTGGAATTGCTCAAAATGGGAGCGGATCTTAAGGCAGAAGCCAGCTCTTACAATTCATACGTACCGCCTAGCCAAACACCACCAGCATGGAATACACCATACTATCCAGTCCCCGTAAATACGTGGAACCCTCCTCAACCTGTTAGTACCTGGATCCCACCTCAACAGCCTGTTAATAACTGGAACCATCCCAACAAACCTGTACACACTTGGAATCCTCCTCAAAATACAGTGAAACCTTGGGTACCGCCAGTCCAGAATGATGTTCCTCAATACCCGTATCCCCCCGCCCAGACCACTTGGGCTACTGCTCCTCCTACGACGACCACACCTATTCCAGTTATCAAGAATGAGCACTACTATTATGACAACGGAGCCTACAAATACGAGTATCAAATCGCTGATGGCACTCACGTCGGAGAAGAAGGCTACTTCTCTAACGCTAAACAAGATGACGACAGTCTCGTGAAGAGAGGCTGGTATTCGTTCGTTGGAGCCGATGGCAAGACCTACACCGTCAGGTACTGGGCTGACAAGACCGGGTACCATGCTTACGGTGATCACTTACCGACTCCTCCTCCCGTACCCGTCGAAATTCAAGCAGCTTTGGACAAACAGAAGGAAGCTGAAAAATACAAACCACAGCAAGATTACTACACTACACAAGCCCCTCAGCAAATTTACTACCCGACCCAAGCACCTACTTATGTCCCCGCCAAAGAACCAACATACGTTCCGACCTACTACCCACAGCAAGTGTACTACCCTCAACAACAACAAACTTACGGTTAAAATCTAGAATAAGTAGGTAGATAGGTACACAAAAATCTGTGGTATTTTTGTACGACAATAAGACAACGAAGAGATTATCTACATATGTATTAAAAGGTATGTACAAATAAGGCTTGCTGTCCATTGATGTTAGTTTCAAATAGTAAATCATTAATCTGTTTATCATTAATATAGTCACTTCGAACTCCTACAGAATTCGTTGATTCATGCCATATTCATTTCATATTGTAATTGTTATATCTGGTGCATGCTCTCAAATGCCGATGACAATTCATATTTCATAAATCATATTGATCCACCTTAGTGGACAGCAGCACTTAATACTGTATTGATACGAATAATACCTCTGAATGATATTGTTAATGTAAATTGATTCGATCGATAACGTTATTCGATTGTCAGTGATCTTAGTCACGATTTTGAATTGTGAATTCGATTACTGATTGAGGTACAACACTTTTGTGATAATACTGTACATTCAAGCCAGTGATATGTGATTTATTCATAATAAATAAGTCAAATAAATAAGTTTTATAATTAAAAAAAAA</t>
  </si>
  <si>
    <t>VSIGEPTRKDTNMKLLCILAALLAISLAETEKKENELSEEAASLELLKMGADLKAEASSYNSYVPPSQTPPAWNTPYYPVPVNTWNPPQPVSTWIPPQQPVNNWNHPNKPVHTWNPPQNTVKPWVPPVQNDVPQYPYPPAQTTWATAPPTTTTPIPVIKNEHYYYDNGAYKYEYQIADGTHVGEEGYFSNAKQDDDSLVKRGWYSFVGADGKTYTVRYWADKTGYHAYGDHLPTPPPVPVEIQAALDKQKEAEKYKPQQDYYTTQAPQQIYYPTQAPTYVPAKEPTYVPTYYPQQVYYPQQQQTYG</t>
  </si>
  <si>
    <t>0.867134</t>
  </si>
  <si>
    <t>CS pos: 28-29. SLA-ET. Pr: 0.5395</t>
  </si>
  <si>
    <t>ETEKKENELSEEAASLELLKMGADLKAEASSYNSYVPPSQTPPAWNTPYYPVPVNTWNPPQPVSTWIPPQQPVNNWNHPNKPVHTWNPPQNTVKPWVPPVQNDVPQYPYPPAQTTWATAPPTTTTPIPVIKNEHYYYDNGAYKYEYQIADGTHVGEEGYFSNAKQDDDSLVKRGWYSFVGADGKTYTVRYWADKTGYHAYGDHLPTPPPVPVEIQAALDKQKEAEKYKPQQDYYTTQAPQQIYYPTQAPTYVPAKEPTYVPTYYPQQVYYPQQQQTYG</t>
  </si>
  <si>
    <t>Insect cuticle protein </t>
  </si>
  <si>
    <t>A0A2A4J5C4</t>
  </si>
  <si>
    <t>Endocuticle structural glycoprotein SgAbd-8</t>
  </si>
  <si>
    <t>Schistocerca gregaria (Desert locust) (Gryllus gregarius)</t>
  </si>
  <si>
    <t>Q7M4F2</t>
  </si>
  <si>
    <t>TRINITY_DN543_c0_g1_i1.p1</t>
  </si>
  <si>
    <t>CCGATCTGCAAATCCAAGTAACCTCAACAATGTTCTACAAACTGTTCACCGTCCTCGTCTTGGTGGCCGTGGCTTTTGCCAACCCCAACCCTAAGCCGGAGCCCCAGGTGTTGACCTACGCCGCGCCCGCCGTTTCTCCCCTTGGCTACTCAGCTTACGCCCCTGTTGGTTACGCAGCTCCATATGCAGCTTACCCCTACGCATACTCCAACTATTACGTTCGTTGAAGCCGCCCAAATAAACCACGCTACGCTCTAATGACCGGATTGCCAAATGCTTAAACATGTTTTAATATAGTTTCAAAAGCAAAAAAAAAAAAAAAA</t>
  </si>
  <si>
    <t>DLQIQVTSTMFYKLFTVLVLVAVAFANPNPKPEPQVLTYAAPAVSPLGYSAYAPVGYAAPYAAYPYAYSNYYVR</t>
  </si>
  <si>
    <t>0.920576</t>
  </si>
  <si>
    <t>CS pos: 26-27. AFA-NP. Pr: 0.7187</t>
  </si>
  <si>
    <t>NPNPKPEPQVLTYAAPAVSPLGYSAYAPVGYAAPYAAYPYAYSNYYVR</t>
  </si>
  <si>
    <t>Region of a membrane-bound protein predicted to be embedded in the membrane.</t>
  </si>
  <si>
    <t>Cuticle protein 12.5</t>
  </si>
  <si>
    <t>Locusta migratoria (Migratory locust)</t>
  </si>
  <si>
    <t>P83990</t>
  </si>
  <si>
    <t>Neuropeptide-like 4 isoform X3</t>
  </si>
  <si>
    <t>Galleria mellonella (Greater wax moth)</t>
  </si>
  <si>
    <t>A0A6J1X7Q8</t>
  </si>
  <si>
    <t>TRINITY_DN21299_c0_g1_i1.p1</t>
  </si>
  <si>
    <t>CACAATCAATATGATCGCAAAAATCTTCGTCCTGTTCGCTCTCTTGGCTGCGGCCTTTGCTGCACCCAACCCCAAGCCTGAGCCTGCTCCACAGTTCCTGACATACACTAGTGGACTCGACTACGTTTACCCATCAGGCGCTGTAGTACCCAACGTAGTCTCTCCATACTCCGCGAACCTAGCTTACTCCACCGTCCACGCCGCACCTGTCTTCGTTCGCTG</t>
  </si>
  <si>
    <t>TINMIAKIFVLFALLAAAFAAPNPKPEPAPQFLTYTSGLDYVYPSGAVVPNVVSPYSANLAYSTVHAAPVFVR</t>
  </si>
  <si>
    <t>0.996982</t>
  </si>
  <si>
    <t>CS pos: 20-21. AFA-AP. Pr: 0.8864</t>
  </si>
  <si>
    <t>APNPKPEPAPQFLTYTSGLDYVYPSGAVVPNVVSPYSANLAYSTVHAAPVFVR</t>
  </si>
  <si>
    <t>A0A921YN06</t>
  </si>
  <si>
    <t>TRINITY_DN1463_c0_g2_i6.p1</t>
  </si>
  <si>
    <t>GTTCGATGTTATTGTATTCAAACAAACTCGAGTATCCGGTTTATGGGTATAACCAACATACTACGTGCACGGAATCTGCAAATCGGCGGGCGCGCTTCATCACGTTTTTCTTGTCGATCCACAAACCTAACATCCTGTTGTTATCCCCATCAGTTTTAATATTCAAGATCGTTAATCATAACGTCATATAGAAATTAATTGCAGTCCCCGTCAACGTCACTATGGGAAATTATATTTCTGCGATTCGCTTCTGCCAACTGATCACAATTGTAGAGCGTCCGTGACGTCGTGAGACAAAAAACAACTCGTATAAATAGGTCGACTACGTGAATCCTGCAACAGTGATCGCGATGGAACTCTGTAGTGTGGTGGTGATCGCCCTGACGCTGACGGCTTTGACCTCGGCACTGCCGTCTATAGGCGATAATTCTCTAGACGGCGAGGAACGAGTGGTTCTTGTTGCACCGGTTCTGGCGCCTCCGAGAGATTCCAGGACGCACGCCACTGACCGGTCAAGGCAATTCCCTATACTAATCTTGTTGGCGCAACCAAACCCGCAAGAATATGTACGCTCGGAATCAGAAGCTAAGTCTTTGAAAGGAAACCCTGAACCCATTTATGTTAAGAAACTTGAAGACCAACATACGCCAAGTACTGGACAGCTGAACAGACAGAAGCGTCACCATAAGCATTACAGAGAGGGTTACAACGGGGGCTATGGTGGAAATGGAGGCGGATATGGAGGCGGTGGCGGAAATGGAGGCGGTGGCGGATATGGAGGCGGTGGCGGATATGGAGGCGGTGGCGGATATGGAGGCGGTGGCGGATATGGAGACGGTGGCGGATATGGAAGCGGTAGCGGATATGGAGGCGGTGGCGGATATGGAGACGGTGGCGGATATGGAAGCGGTAGCGGATATGGAGGCGGTGGCGGA</t>
  </si>
  <si>
    <t>MELCSVVVIALTLTALTSALPSIGDNSLDGEERVVLVAPVLAPPRDSRTHATDRSRQFPILILLAQPNPQEYVRSESEAKSLKGNPEPIYVKKLEDQHTPSTGQLNRQKRHHKHYREGYNGGYGGNGGGYGGGGGNGGGGGYGGGGGYGGGGGYGGGGGYGDGGGYGSGSGYGGGGGYGDGGGYGSGSGYGGGGG</t>
  </si>
  <si>
    <t>0.975998</t>
  </si>
  <si>
    <t>CS pos: 19-20. TSA-LP. Pr: 0.7887</t>
  </si>
  <si>
    <t>LPSIGDNSLDGEERVVLVAPVLAPPRDSRTHATDRSRQFPILILLAQPNPQEYVRSESEAKSLKGNPEPIYVKKLEDQHTPSTGQLNRQKRHHKHYREGYNGGYGGNGGGYGGGGGNGGGGGYGGGGGYGGGGGYGGGGGYGDGGGYGSGSGYGGGGGYGDGGGYGSGSGYGGGGG</t>
  </si>
  <si>
    <t>disorder prediction</t>
  </si>
  <si>
    <t>Putative cuticle protein</t>
  </si>
  <si>
    <t>C0H6D7</t>
  </si>
  <si>
    <t>TRINITY_DN5557_c0_g1_i1.p1</t>
  </si>
  <si>
    <t>U-TPTX11-Tp2</t>
  </si>
  <si>
    <t>GCTCGGTTGCTTCCCAGTCACACAGATCCAAGAAAACAAAAAAAATCATCAAAAATGAAATCGTTCATTGTACTCGCCCTATTGGTCGCTGCCGTCGCTGCTGCCCCCGCGGGTCCTGATGCTGACGCTCAGGTCCTCCGTTACGACAACGACAACATTGGTGTCGAAGGATTCAACTGGGCTGTGGAGACCTCCAACGGCATCTCCGCGCAAGAACAAGGACAACTGAAGGTTATTGACAAGGACGAGGCCGCTATTGTAGTCCGTGGCCAGTATTCCTACACAGGCCCCGATGGTGTCGTGTACCAGGTCACCTACACCGCTGACGAAAATGGTTTCCAGCCCCAGGGAGCTCATCTTCCCCAGGCCCCTTGAATCAACTTTACTAACCCCAATATCTAGTCCAAAAAATACTCATTACCCATAACCTTTACTCCTTACACTTGCCCCAAGCGATCTGTGATATGATCCACAGGAACTTTGTTAATAAAACGATTTACGTTAAAGTAATTTAAAAAAAAAAAAAAAAAAAAAAAAAAATACTCATTACCCATAACCTTTACTCCTTACACTTGCCCCAAGCGATCTGTGATATGATCCACAGGAACTTTGTTAATAAAACGATTTACGTTAAAGTAATTTAAAAAAAAAAAAAAAAAAAAAAA</t>
  </si>
  <si>
    <t>ARLLPSHTDPRKQKKSSKMKSFIVLALLVAAVAAAPAGPDADAQVLRYDNDNIGVEGFNWAVETSNGISAQEQGQLKVIDKDEAAIVVRGQYSYTGPDGVVYQVTYTADENGFQPQGAHLPQAP</t>
  </si>
  <si>
    <t>0.941301</t>
  </si>
  <si>
    <t>CS pos: 34-35. VAA-AP. Pr: 0.2866</t>
  </si>
  <si>
    <t>APAGPDADAQVLRYDNDNIGVEGFNWAVETSNGISAQEQGQLKVIDKDEAAIVVRGQYSYTGPDGVVYQVTYTADENGFQPQGAHLPQAP</t>
  </si>
  <si>
    <t> 9589,60</t>
  </si>
  <si>
    <t>A0A2A4J8W9</t>
  </si>
  <si>
    <t>TRINITY_DN1463_c0_g2_i1.p1</t>
  </si>
  <si>
    <t>GTTCGATGTTATTGTATTCAAACAAACTCGAGTATCCGGTTTATGGGTATAACCAACATACTACGTGCACGGAATCTGCAAATCGGCGGGCGCGCTTCATCACGTTTTTCTTGTCGATCCACAAACCTAACATCCTGTTGTTATCCCCATCAGTTTTAATATTCAAGATCGTTAATCATAACGTCATATAGAAATTAATTGCAGTCCCCGTCAACGTCACTATGGGAAATTATATTTCTGCGATTCGCTTCTGCCAACTGATCACAATTGTAGAGCGTCCGTGACGTCGTGAGACAAAAAACAACTCGTATAAATAGGTCGACTACGTGAATCCTGCAACAGTGATCGCGATGGAACTCTGTAGTGTGGTGGTGATCGCCCTGACGCTGACGGCTTTGACCTCGGCACTGCCGTCTATAGGCGATAATTCTCTAGACGGCGAGGAACGAGTGGTTCTTGTTGCACCGGTTCTGGCGCCTCCGAGAGATTCCAGGACGCACGCCACTGACCGGTCAAGGCAATTCCCTATACTAATCTTGTTGGCGCAACCAAACCCGCAAGAATATGTACGCTCGGAATCAGAAGCTAAGTCTTTGAAAGGAAACCCTGAACCCATTTATGTTAAGAAACTTGAAGACCAACATACGCCAAGTACTGGACAGCTGAACAGACAGAAGCGTACGTTGTTAAAGAGCCTTCTATTTGGAGGCGGAGGTCACCATAAGCATTACAGAGAGGGTTACAACGGGGGCTATGGTGGAAATGGAGGCGGATATGGAGGCGGTGGCGGAAATGGAGGCGGTGGCGGATATGGAGGCGGTGGCGGATATGGAGGCGGTGGCGGATATGGAGGCGGTGGCGGATATGGAGACGGTGGCGGATATGGAAGCGGTAGCGGATATGGAGGCGGTGGCGGATATGGAGACGGTGGCGGATATGGAAGCGGTAGCGGATATGGAGGCGGTGGCGGA</t>
  </si>
  <si>
    <t>MELCSVVVIALTLTALTSALPSIGDNSLDGEERVVLVAPVLAPPRDSRTHATDRSRQFPILILLAQPNPQEYVRSESEAKSLKGNPEPIYVKKLEDQHTPSTGQLNRQKRTLLKSLLFGGGGHHKHYREGYNGGYGGNGGGYGGGGGNGGGGGYGGGGGYGGGGGYGGGGGYGDGGGYGSGSGYGGGGGYGDGGGYGSGSGYGGGGG</t>
  </si>
  <si>
    <t>LPSIGDNSLDGEERVVLVAPVLAPPRDSRTHATDRSRQFPILILLAQPNPQEYVRSESEAKSLKGNPEPIYVKKLEDQHTPSTGQLNRQKRTLLKSLLFGGGGHHKHYREGYNGGYGGNGGGYGGGGGNGGGGGYGGGGGYGGGGGYGGGGGYGDGGGYGSGSGYGGGGGYGDGGGYGSGSGYGGGGG</t>
  </si>
  <si>
    <t>TRINITY_DN4707_c0_g1_i2.p1</t>
  </si>
  <si>
    <t>AATACCTTCTTTGAGAAAACAGGTAACAATGAAGTTCTTGGTGTTAACTCTTTTTGTGGCGGTGGCGACCGCTGTCCCTGTTCCCGATGAGGAGGCCAGCGGACCTGTTGAAGTAATTGTGAATGGATTAGCTGAAGGTCAGCCTTTGGAGATCGGAAATATAGTCGATATCAAGCTAAAGGAACACGTGGACGGTGAAGTGATAGCTGTAACTGACGTCCTTCATCCTTACACCGCTGTTGGTATTGCGGAAGTTGCTGCTAATGTGAATGAAATTGTTCCTGAACCCGTTGTTCTTCCTGCTCCCGTTGCCCCTGAAGTAATCCCGGAACCCGTCATTCTGCCTGCTCCTGCCGTACCCGAGGTGATCCCCGAGCCGGTAGTACTCCCTGCTCCTGCTGCTCCCGAAGTAATCCCCGAGCCGGTAGTACTCCCTGCTCCTGCTGCCCCCGAAGTTATTCCAGAGCCTGTTGTTCTCCCGGCTCCTGTCGCCCCCGAGGTTATTCCGGAACCCATTGTTCTCCCTTCTCCTGTTGCCCCTGAAGTAATCCCGGAGCCCATTATTCTCCCGGCTCCTGTTGCCCCTGAAGTTGCGGAAGAGCTCCCAGCTCCCGCTCCCCAGTTCCCTTCCGGAGAGATCTACAACGATGGCCTTGTCCAGGTGTCAGTCAACGGACCTGAGGATTCTGGTGTTATCTCCACACTCCAGAGCTGGTTAAATATCGTGATCAACTATTTCACCGATGGCGTTCAGAGCACTCATCAAATTGTATAAAGACCTTGATTAAGTTATAAAAATCCTGTTGAAAAATATGCCTGTCAG</t>
  </si>
  <si>
    <t>IPSLRKQVTMKFLVLTLFVAVATAVPVPDEEASGPVEVIVNGLAEGQPLEIGNIVDIKLKEHVDGEVIAVTDVLHPYTAVGIAEVAANVNEIVPEPVVLPAPVAPEVIPEPVILPAPAVPEVIPEPVVLPAPAAPEVIPEPVVLPAPAAPEVIPEPVVLPAPVAPEVIPEPIVLPSPVAPEVIPEPIILPAPVAPEVAEELPAPAPQFPSGEIYNDGLVQVSVNGPEDSGVISTLQSWLNIVINYFTDGVQSTHQIV</t>
  </si>
  <si>
    <t>0.979802</t>
  </si>
  <si>
    <t>CS pos: 24-25. ATA-VP. Pr: 0.8195</t>
  </si>
  <si>
    <t>VPVPDEEASGPVEVIVNGLAEGQPLEIGNIVDIKLKEHVDGEVIAVTDVLHPYTAVGIAEVAANVNEIVPEPVVLPAPVAPEVIPEPVILPAPAVPEVIPEPVVLPAPAAPEVIPEPVVLPAPAAPEVIPEPVVLPAPVAPEVIPEPIVLPSPVAPEVIPEPIILPAPVAPEVAEELPAPAPQFPSGEIYNDGLVQVSVNGPEDSGVISTLQSWLNIVINYFTDGVQSTHQIV</t>
  </si>
  <si>
    <t xml:space="preserve">Cuticle protein </t>
  </si>
  <si>
    <t>Operophtera brumata (winter moth) phalaena brumata</t>
  </si>
  <si>
    <t>P09789</t>
  </si>
  <si>
    <t>TRINITY_DN48779_c0_g1_i1.p1</t>
  </si>
  <si>
    <t>GACATTCATCCCCATGGCCAAATTACCGACGGTAGTAATATAAAGTAAACAAAAATGAAATTGCTCGCTGTATTCACCACCCTGGTCGCGGTTGCCTGTGGCGCCCAGAACTCCTGGAGCATGTCGCAGATTTCTGCCGCTATCGAGAACCCCACCACTGATCCCGCAGTCGTCCCCTACCTCCATGAAGCTCTTAACGACATGATAGCCACTGTCTTCGCTGGCCAGAATGTGGAATATGTTGCCGTGAACATCCCTGCCCCCGACCTGTCCGCATGGACTCTGGAACAGGTCTCCAATGCTCTCACTGATTCCCAGACTGACCCAGCCCTCATACCATACCTCGAGAATGCTCTTAACGATATGATGAATGCCATTATCAGCGGACAACCCGTGGTCGGTGCCGTGACCACGGTTGCTCCCCCTATGGACGTCACCTATTGGAGTCTGCATGAAATCGAATTTGCTCTCGTAAATGAGCTCACCAACCCTGCCCTAAAGCCTTACTTAGAGCAAGCCATTAACGACTTAATGACCGCGCTCTTCGATGGGAACAAAATCGAGGCGATTGTTGTTGTTACCCCTGCCGGTCTCTTGGAGCCTCTTCAAGTGCCTGTGGTCCCCACCCCTGTTGACCCCAGTCCAGTGGAGCTACCCATCGTCCCCATACCCGTCGAGACTCCTGCGGCTACCTCTAACCCCCTCGTCCAAATCATCGTGAATATTAAGCAACAAGAGAATACACCGGTGACTCCTGGTGGTGCTACAGCCGTCCCTGAAGTCCAACCTAGTCCTGTAGTTGTTGTCGACCAGGCCCAACCTGAACCCATCATTGTTGTTGACCAGGCCCCCATCGAGCCCTCTCCAGTGGCCGTTATCGACCAGACCCCCGAGTCTGAGGTCTCCATCGTGACCCCTGAGTTCAACCCGATCGATGCCGCCCCCATGCCCGGAATCATCGCCACCCCCGTAATTGTGCCCACCCCCGCCGTTGTTGGACCTTTGCTTTAATTTGAAACTGATGAAAAATCATTTCTAATGGGAATATACTATTAGAAACAAAATATACATATTTACACTTTTAAAAAAAAAAAAAAAAAAAAAAAA</t>
  </si>
  <si>
    <t>MKLLAVFTTLVAVACGAQNSWSMSQISAAIENPTTDPAVVPYLHEALNDMIATVFAGQNVEYVAVNIPAPDLSAWTLEQVSNALTDSQTDPALIPYLENALNDMMNAIISGQPVVGAVTTVAPPMDVTYWSLHEIEFALVNELTNPALKPYLEQAINDLMTALFDGNKIEAIVVVTPAGLLEPLQVPVVPTPVDPSPVELPIVPIPVETPAATSNPLVQIIVNIKQQENTPVTPGGATAVPEVQPSPVVVVDQAQPEPIIVVDQAPIEPSPVAVIDQTPESEVSIVTPEFNPIDAAPMPGIIATPVIVPTPAVVGPLL</t>
  </si>
  <si>
    <t>0.995101</t>
  </si>
  <si>
    <t>CS pos: 17-18. CGA-QN. Pr: 0.6147</t>
  </si>
  <si>
    <t>QNSWSMSQISAAIENPTTDPAVVPYLHEALNDMIATVFAGQNVEYVAVNIPAPDLSAWTLEQVSNALTDSQTDPALIPYLENALNDMMNAIISGQPVVGAVTTVAPPMDVTYWSLHEIEFALVNELTNPALKPYLEQAINDLMTALFDGNKIEAIVVVTPAGLLEPLQVPVVPTPVDPSPVELPIVPIPVETPAATSNPLVQIIVNIKQQENTPVTPGGATAVPEVQPSPVVVVDQAQPEPIIVVDQAPIEPSPVAVIDQTPESEVSIVTPEFNPIDAAPMPGIIATPVIVPTPAVVGPLL</t>
  </si>
  <si>
    <t> 31698,42</t>
  </si>
  <si>
    <t>A0A8R1WHZ1</t>
  </si>
  <si>
    <t>TRINITY_DN30716_c0_g1_i1.p1</t>
  </si>
  <si>
    <t>GCTAAATTCAATCGTAAAATCATCACACATCAAAAATGAAGCTGTTGATAGTAGTTTGCTTGGTTGCCGTGGCGGTCGCCGCACCCCCTCCATCAGCCTACGTCAAGTACGACTCTAACAATGTACAAATTACCAGATACGAAAATGAAAACCTAGGACTCGGCAACTACAAATATGGCTTCGAACAATCGGACGGAACAAAACAAGAGCAAGAAGGTGAACTTATTAACGAAGGCACGGATGATGAGAGTATTGTAGTCAAAGGTTCCTACACCTGGGTTGGTCCTGACGGTGTCACCTACCGCGTAAATTACGTCGCCGACGAGGACGGCTACCAACCAGAGATAGAACAAGGGCCTGGTGGAGGCGTACCTCCTGCGGTTGTGGCTTCCCTACTCGGATAAACGATAAATTTTATAGTGACCAAAACATGTATGATAATATTAAATATACAATATGTATAAGGAACTAAAAAAAAAAAA</t>
  </si>
  <si>
    <t>MKLLIVVCLVAVAVAAPPPSAYVKYDSNNVQITRYENENLGLGNYKYGFEQSDGTKQEQEGELINEGTDDESIVVKGSYTWVGPDGVTYRVNYVADEDGYQPEIEQGPGGGVPPAVVASLLG</t>
  </si>
  <si>
    <t>0.999380</t>
  </si>
  <si>
    <t>CS pos: 15-16. AVA-AP. Pr: 0.8148</t>
  </si>
  <si>
    <t>APPPSAYVKYDSNNVQITRYENENLGLGNYKYGFEQSDGTKQEQEGELINEGTDDESIVVKGSYTWVGPDGVTYRVNYVADEDGYQPEIEQGPGGGVPPAVVASLLG</t>
  </si>
  <si>
    <t>Endocuticle structural glycoprotein SgAbd-5-like</t>
  </si>
  <si>
    <t>A0A7E5VNP1</t>
  </si>
  <si>
    <t>TRINITY_DN1311_c1_g4_i1.p1</t>
  </si>
  <si>
    <t>GCTTGTAGTTCGCTTTAGCAACACTAAACATGAAGTCCGCCATCATTGCCCTTGCCATCTTCGGATGTGCCGTCGCCACCAGTGTGGACCAGGCTGCCACAATCCTTCGTAGCGACTTCCAACAGAGCCCTGAGGGCAACTTCCAATACGCATATGAAACCGACAATGGCATCCAAGGCCAGGCTACTGGTCAGGTTAAGCCTCTGGGCAAGGACGAAGTTGCTCTTGAGATCCAAGGACAAAACCAATACAAATCCCCCGAAGGAGAAGTTGTCTCCCTGACTTACGTGGCCAACGAGAACGGATACCAGCCTCAAATTGGAAAAAATAGGAGTAAGAGGGGTTGCATTGGATATCCTTCAAGATTATTTCACGAATCGGACTCAATATGTAAAGATATACGAGTATAACAGTGATGATGTACACCTCACATACGGAGTGCCTCAAGGGATCTCATCTCCCCACTCCCCCCGCTCCTGAACCCATCCCTGACTATATCCTCCGGTCTCTGGAATACATCGCGGCCCACCCCTACGTGGAGAAGAAACTGTAAATAGTTTAATAAATTTGTATAAAGATTTTAACCATACCCTACACCAATTTGACGCAAATAATGTATGATGGCGATGAGTAGCATGGCGTTAACTTTTTACTGTTACTGTTTTATTTTTTAGACAATAAATAATGTAAAAACGTTTACCAAAAAAAAAAAAAAAA</t>
  </si>
  <si>
    <t>MKSAIIALAIFGCAVATSVDQAATILRSDFQQSPEGNFQYAYETDNGIQGQATGQVKPLGKDEVALEIQGQNQYKSPEGEVVSLTYVANENGYQPQIGKNRSKRGCIGYPSRLFHESDSICKDIRV</t>
  </si>
  <si>
    <t>0.987653</t>
  </si>
  <si>
    <t>CS pos: 16-17. AVA-TS. Pr: 0.4553</t>
  </si>
  <si>
    <t>TSVDQAATILRSDFQQSPEGNFQYAYETDNGIQGQATGQVKPLGKDEVALEIQGQNQYKSPEGEVVSLTYVANENGYQPQIGKNRSKRGCIGYPSRLFHESDSICKDIRV</t>
  </si>
  <si>
    <t>Larval cuticle protein LCP-14</t>
  </si>
  <si>
    <t>P13229</t>
  </si>
  <si>
    <t>TRINITY_DN1311_c1_g4_i2.p1</t>
  </si>
  <si>
    <t>GCTTGTAGTTCGCTTTAGCAACACTAAACATGAAGTCCGCCATCATTGCCCTTGCCATCTTCGGATGTGCCGTCGCCACCAGTGTGGACCAGGCTGCCACAATCCTTCGTAGCGACTTCCAACAGAGCCCTGAGGGCAACTTCCAATACGCATATGAAACCGACAATGGCATCCAAGGCCAGGCTACTGGTCAGGTTAAGCCTCTGGGCAAGGACGAAGTTGCTCTTGAGATCCAAGGACAAAACCAATACAAATCCCCCGAAGGAGAAGTTGTCTCCCTGACTTACGTGGCCAACGAGAACGGATACCAGCCTCAAGGATCTCATCTCCCCACTCCCCCCGCTCCTGAACCCATCCCTGACTATATCCTCCGGTCTCTGGAATACATCGCGGCCCACCCCTACGTGGAGAAGAAACTGTAAATAGTTTAATAAATTTGTATAAAGATTTTAACCATACCCTACACCAATTTGACGCAAATAATGTATGATGGCGATGAGTAGCATGGCGTTAACTTTTTACTGTTACTGTTTTATTTTTTAGACAATAAATAATGTAAAAACGTTTACCAAAAAAAAAAAAAAAA</t>
  </si>
  <si>
    <t>MKSAIIALAIFGCAVATSVDQAATILRSDFQQSPEGNFQYAYETDNGIQGQATGQVKPLGKDEVALEIQGQNQYKSPEGEVVSLTYVANENGYQPQGSHLPTPPAPEPIPDYILRSLEYIAAHPYVEKKL</t>
  </si>
  <si>
    <t>TSVDQAATILRSDFQQSPEGNFQYAYETDNGIQGQATGQVKPLGKDEVALEIQGQNQYKSPEGEVVSLTYVANENGYQPQGSHLPTPPAPEPIPDYILRSLEYIAAHPYVEKKL</t>
  </si>
  <si>
    <t> 12528,20</t>
  </si>
  <si>
    <t>TRINITY_DN983_c0_g1_i2.p1</t>
  </si>
  <si>
    <t>CTCAAATGTTTCAATCAGATCTTCACATAAAGCAGACCTACCAATAGCACCATGAAATTCCTGATTGTTCTCGCCGTCGCTCTTGTCAGCGCTCATGCTGATGTATCCCACCTCGTCAAAGATGACTATTCGGCCCCCATCGTGAAGAGCTCATACGATATCAGCCCGGAAGGTACTTTCCAGTATGCTTATGAGACCGGCAACGGCATCTACGCCCAAGCTGAGGGCGGTGTCAAGAACCCCAACTCTGAATACCCCTCATTGGAAGTCAAGGGTGGGTACAAATACACCGCTCCTGACGGCACCCCAGTTGAACTTAGCTACGCCGCTGACGAGGAAGGATTCAAGCCTGTTGGTAGCCACATCCCCGTCGCCCCACCAGTACCTGAGTTGATCGCCCGCAGCCTTGCTTATATCGCTGCCCACCCGTTCTCTGAAGTCAAGACCGGCCCTGCCTACAAGCCCCCTACCCCCAATTTCGGTTGAATACAAAAAGAAAAAACACCAGACTAAGCTAGTACAAACTATGACTGCCATAATGTAGATAATACAATAAATTGTTTTTGATATAAAAATTTAGTTTTGTTTATTATTTTATTGAAACACTATTATGTGTAATAATTATTACAGTATTTTAATGCTAAAAAAAAAA</t>
  </si>
  <si>
    <t>MKFLIVLAVALVSAHADVSHLVKDDYSAPIVKSSYDISPEGTFQYAYETGNGIYAQAEGGVKNPNSEYPSLEVKGGYKYTAPDGTPVELSYAADEEGFKPVGSHIPVAPPVPELIARSLAYIAAHPFSEVKTGPAYKPPTPNFG</t>
  </si>
  <si>
    <t>CS pos: 16-17. AHA-DV. Pr: 0.9438</t>
  </si>
  <si>
    <t>DVSHLVKDDYSAPIVKSSYDISPEGTFQYAYETGNGIYAQAEGGVKNPNSEYPSLEVKGGYKYTAPDGTPVELSYAADEEGFKPVGSHIPVAPPVPELIARSLAYIAAHPFSEVKTGPAYKPPTPNFG</t>
  </si>
  <si>
    <t>Larval cuticle protein LCP-17</t>
  </si>
  <si>
    <t>O02387</t>
  </si>
  <si>
    <t>Endocuticle structural glycoprotein SgAbd-2</t>
  </si>
  <si>
    <t>Q7M4F3</t>
  </si>
  <si>
    <t>TRINITY_DN5836_c3_g1_i1.p1</t>
  </si>
  <si>
    <t>TCACTATTCAAGTAGCTACTAAACCATCAAATCCTAACAAAATGCAATTGATCATCTTAGTCACCCTCGCTCTCACGGCAGTGGCCGTCGCCGCCCCTCCAGAGGCTGCCGTTGCCCAGATCTTGCGCTCCGACTTCAAACAAGAGCCTGAAGGATCATACCAATACAACTTCGAAACAGATAATGGCATCGTTCGCGAGGAGACTGGAGAGTTGAAGGAAGCCCTTGATGAGGAGAATAAACCCCATACAGTGGTCGTTGTTCGTGGCGCATACTCTTACCCTGATGCGGACGGTAAACCTGTGTCCATCACCTACTTTGCTGATGAGACAGGCTACCATGCAGAAGGAGACACCATTCCCAAGCCTGTCAGGAGATAGATCAACTTTTATTGACAACAATCACGGAAACCCCATCGACATATAACTGCACCAAATCGGATTCCGATAATGTTTAGAGAGTAACCGAAAGTGTTTAACGCATTCGTCATGCTTTTGTTGTTATTTTGACGCATACTGCCATAGGTTTTGTACGTTTTTATATTTTTTGTTGTCAGAGTTGTGATAAATACTGTAAATAAATTAAATTTACCGGTACATATTTCCTATAATTTTGTTTCACCCTGTATTTTCACTGCAGCTTACAGATCAATTGCTTCGATCAATTGTAGTATATCTCAAATAACTTTGAACAGAACTTGTGTTATAATGACTACATAATATTAATTACGTTCCTTAGTATACAACATTTTATATACAAAATATAATACATAATATACATCCATACATACAGACACGCCTTTTCCCCTTTGGGGTAGTCAGATACCACTTCATTTCACTTGCTACGATCCTGACATACATCTGTCGCTTCTTCTAATTTCATCAACGCTTTCATACAAGCTCGTCGGTTGTGGGTCCTCGTAACCTGAATGCTTAGATGGTTCGGACACATAGAGAGGATGGATATC</t>
  </si>
  <si>
    <t>TIQVATKPSNPNKMQLIILVTLALTAVAVAAPPEAAVAQILRSDFKQEPEGSYQYNFETDNGIVREETGELKEALDEENKPHTVVVVRGAYSYPDADGKPVSITYFADETGYHAEGDTIPKPVRR</t>
  </si>
  <si>
    <t>0.933375</t>
  </si>
  <si>
    <t>CS pos: 30-31. AVA-AP. Pr: 0.5899</t>
  </si>
  <si>
    <t>APPEAAVAQILRSDFKQEPEGSYQYNFETDNGIVREETGELKEALDEENKPHTVVVVRGAYSYPDADGKPVSITYFADETGYHAEGDTIPKPVRR</t>
  </si>
  <si>
    <t>Larval cuticle protein 1</t>
  </si>
  <si>
    <t>Helicoverpa armigera (Cotton bollworm) (Heliothis armigera)</t>
  </si>
  <si>
    <t>O02443</t>
  </si>
  <si>
    <t>TRINITY_DN35674_c0_g1_i1.p1</t>
  </si>
  <si>
    <t>ACTAGTTCAACGTAGCAAAGCCATCCTAAACGTAAAAATGAAATTAATAGTAGCAGTATTGGCTTGCGTGATTGCTGCTGAGTGCGTGCAGTTTGAACCTCTAAACTACAAACAGTTTGGGGCAATTAAGCCCTATAGGCCCTACACCACCCCGGCTCCCTTCCGCCGCACCTTCGCGCCGGTTACGGCTTCCATTCCAGTATATAACACCGTGGCACCCGTGCAACCAGTATCCAGGGTGGCTACTGACGACCGTAATGCTCAAATCGTCAGATATGACAACGAGGTGAACCCAGACAGCAGCTACAGTTACGCCTATGAGACCAGCAACGGCATCGCTGCCCAAGAGCAGGGCACTCCCCGTAACTTCGGTGGTAACCCACCCGTGGTTCCTGTTGTCGCCCAAGGCTCCTTCTCATGGACATCACCCGAGGGTCTGCCCGTCGTTATCAGTTACGTTGCCGATGAAAATGGATACCAACCTGCGGGTAACGCCATTCCTACTCCACCACCAGTACCGGCTCAGATCGCCCGTGCCTTGGACTACATTGCAAGGTACGCGCCCCAGAAGTAAGAAGCCGCTATGTATAACGAACTTGACAACGCATGCATGTGAACAAAACATTGGTATAACTTAATTAGTTATAGTAATGATGACATTAAAATGTGATATACTTTAATGAATATATTTATCATTTGTAAGGTATTATGTTTACGTAAGTGTAAATAAATACTTAATAAAACAAAAAAAAAAAAAAAATAAAAAGAAAGATGAATTAGAAAGCAAATATAGACGAAGCAAGAAAAGATAGAAAAATAACAAGAGAAGAGGTAACAGGAAAGGAGGAAAAATGAATGATTAAAGGATGAGAC</t>
  </si>
  <si>
    <t>LVQRSKAILNVKMKLIVAVLACVIAAECVQFEPLNYKQFGAIKPYRPYTTPAPFRRTFAPVTASIPVYNTVAPVQPVSRVATDDRNAQIVRYDNEVNPDSSYSYAYETSNGIAAQEQGTPRNFGGNPPVVPVVAQGSFSWTSPEGLPVVISYVADENGYQPAGNAIPTPPPVPAQIARALDYIARYAPQK</t>
  </si>
  <si>
    <t>0.807522</t>
  </si>
  <si>
    <t>CS pos: 28-29. AEC-VQ. Pr: 0.3977</t>
  </si>
  <si>
    <t>VQFEPLNYKQFGAIKPYRPYTTPAPFRRTFAPVTASIPVYNTVAPVQPVSRVATDDRNAQIVRYDNEVNPDSSYSYAYETSNGIAAQEQGTPRNFGGNPPVVPVVAQGSFSWTSPEGLPVVISYVADENGYQPAGNAIPTPPPVPAQIARALDYIARYAPQK</t>
  </si>
  <si>
    <t>O02388</t>
  </si>
  <si>
    <t>Pieris macdunnoughi</t>
  </si>
  <si>
    <t>TRINITY_DN732_c0_g1_i1.p1</t>
  </si>
  <si>
    <t>U-TPTX10-Tp1</t>
  </si>
  <si>
    <t>GTTGTCTTGTGGTCAGTAACGTTATCTGTGTAAATTATTCATTCATTCTGGACCTAGGTACGAGTTAGCTAGCTACATATTAGTAATCTGTGGTACGAGTATATAAAGCGACGTACTTGATATTCCACAACCACAGGCTTTCCAAAACAAACTAAGCAAACAAAGAATCGAGCACGGTTCGTCTACACAACTATGCGTTTCGTCAGTCTGGCTTTTATACTCGTGGCGTTCGCAATGGCCGACGCTCTAAAAGACAAAGTATTTTATGACGTGAGCGAAGCACAAAGATTATTTGTTGAATTCGAGCAGCAGTACAATAGAAAGTACAAACATGATGCTGACAGAGAGGAACATTACAAGGCGTTTGTTAAAAATTTGGAGAAAATAAACAAGATGAACGAAGATAGTCCCACAGCAACGTTTGGTATAAATAAATTCGCCGATTACACCGAAGAAGAGAGGAAGAATATGTTCGGATTACGTAAAAAAAATTAACTTCAGCGTGCCATCGAATATGTGATATTATTATTTACTTTTAACAAATTAATTTTTGTTTGATTATTATTTTTATTATACTAATCTGATTTGATATATTTTATTAAAAACAATAAACGCAAAAAAAAAAAAAAAAAAA</t>
  </si>
  <si>
    <t>MRFVSLAFILVAFAMADALKDKVFYDVSEAQRLFVEFEQQYNRKYKHDADREEHYKAFVKNLEKINKMNEDSPTATFGINKFADYTEEERKNMFGLRKKN</t>
  </si>
  <si>
    <t>0.997627</t>
  </si>
  <si>
    <t>CS pos: 18-19. ADA-LK. Pr: 0.6678</t>
  </si>
  <si>
    <t>LKDKVFYDVSEAQRLFVEFEQQYNRKYKHDADREEHYKAFVKNLEKINKMNEDSPTATFGINKFADYTEEERKNMFGLRKKN</t>
  </si>
  <si>
    <t>Cathepsin propeptide inhibitor domain, Papain-like cysteine peptidase superfamily, Cysteine proteinases</t>
  </si>
  <si>
    <t>Viral cathepsin</t>
  </si>
  <si>
    <t>Xestia c-nigrum granulosis virus (XnGV) (Xestia c-nigrum granulovirus)</t>
  </si>
  <si>
    <t>Q9PYY5</t>
  </si>
  <si>
    <t>Cysteine proteinase 15A-like</t>
  </si>
  <si>
    <t>A0A7E5V9F9</t>
  </si>
  <si>
    <t>TRINITY_DN879_c0_g1_i1.p1</t>
  </si>
  <si>
    <t>CTCCGGTAAGACATCGTATCATATTGTCGTGTGCATAAACTCAAACAATGATAAAAAATATCCTATTAGTAGCTGCAGTTATAGCTTTACTACAACAAACGATTTGTGTTGAATATGAAGATGAATTGGAAGAAGGTGACGGAACGAAGGATTATAACGACGATGCCACAAGATTTAGTACGGACGGAGACGTACATTACAATTTCCCAAAACCGATATACGACTTGAATGATGCACTAAACTTATTCCGTGATTATGTTCAGAAATTTGACAAAAAATATAAAAACGAAGCCGATTACCAGCAACATTTTGAAAACTTTAAGAAAAATGTGGAAGAAATTAATAAACTCAATAGTAATAAAGAAATCAGTTCCGTTTCGGGAATAAACCAGTTCACAGATTTATCGGAAGAAGAAAGAAAACAACTTTTAGGCATCTAAATATAAATTGAATTCAATACTCACAGCCGTACTCGACAACCAAATTATTACAAATGAGAACCAATATGAAATAGATTTTATTATTAATTGTCGATTTTATAACTAAATATCTACAACATTTGTTTGAGAAAATTCTAAATATTTATATACATTCGAAATAAAACTTTATTTATTGGTAAAAAAAAAAAAAAAAAAAAAAAAAAAA</t>
  </si>
  <si>
    <t>MIKNILLVAAVIALLQQTICVEYEDELEEGDGTKDYNDDATRFSTDGDVHYNFPKPIYDLNDALNLFRDYVQKFDKKYKNEADYQQHFENFKKNVEEINKLNSNKEISSVSGINQFTDLSEEERKQLLGI</t>
  </si>
  <si>
    <t>0.993339</t>
  </si>
  <si>
    <t>CS pos: 20-21. TIC-VE. Pr: 0.7658</t>
  </si>
  <si>
    <t>VEYEDELEEGDGTKDYNDDATRFSTDGDVHYNFPKPIYDLNDALNLFRDYVQKFDKKYKNEADYQQHFENFKKNVEEINKLNSNKEISSVSGINQFTDLSEEERKQLLGI</t>
  </si>
  <si>
    <t>Orgyia pseudotsugata multicapsid polyhedrosis virus</t>
  </si>
  <si>
    <t>O10364</t>
  </si>
  <si>
    <t>TRINITY_DN38279_c0_g1_i1.p1</t>
  </si>
  <si>
    <t>U-TPTX13-Tp1</t>
  </si>
  <si>
    <t>TATGAAGTGGCTCTTAGCATTGAGTTTCGTGGCAGTAGCCTGTCAGGATCATGAGAATCATGGGAGATACTTCCCGGAAGATTTTCTCTTTGGCACCGCTACTGCGTCTTACCAGATCGAGGGTGGATGGAATGAGGACGGCAAAGGCGAAAACATTTGGGACTACATGACTCATAACACTCCTCACGTCATCCGAGATCAGAGTAACGGTGATGTTGCAGCCGACAGTTATCACAACTACAAACGAGACGTCGAAATGATGACAGAACTTGGCTTAGACGCGTATAGATTCTCGCTGTCCTGGTCCAGAATCCTCCCTTCAGGTTTCGCTAACGAAATCAACCCAGCTGGCATCGAATTCTACAACAACTACATCAATGAAATGTTGAAATATGGCATCACTCCAATGATTACTCTCTACCACTGGGACTTGCCTCAGAAACTCCAGGAGTTAGGTGGTTTCACCAATCCTTTGATCTCAGATTGGTTCGAGGATTATGCTAGGGTTGTCTACCAAGCTTTTGGTGATAGAGTAAAGCATTGGATCACTTTCAACGAGCCGAGAGAGGTGTGCTATGAAGGATACGGTGCTGCTACCAAAGCACCGATTTTGAATGCAACGGCTGTTGGCACATATTTGTGTGCCAAACACTTGGTTATCTCTCATGCTAAAGCATATCATGTTTACGTAAATGAATTCAAAGAAACGCAAGGTGGACAGTGCGGTATCACAATCAGCGTGAACTGGTTTGGACCATTAACTGATTCACCTGAAGATGAATTTGCCGCTGAGCTCAAGAGACAGGGTGAGTGGGGCCTCTATGCCGAACCAATTTTCTCAGCAGAGGGTGGTTTCCCCAAAGAATTATCCGAAATTGTCGCTAAAAAGAGTGCTGAGCAGGGCTACCCTTGGTCCAGGCTCCCGGAATTCACAGAACAGGAAAAAGCATTCGTTCGAGGCAGCTCAGATTTCTTCGGGGTGAATCACTACACTGCTGTTTTGATTTCCGCAACTGAATACAAATCTTTTCACCCTGTACCGTCGCTGCTTGACGATATCGATGTAGGATCGTTTGTGCCGG</t>
  </si>
  <si>
    <t>MKWLLALSFVAVACQDHENHGRYFPEDFLFGTATASYQIEGGWNEDGKGENIWDYMTHNTPHVIRDQSNGDVAADSYHNYKRDVEMMTELGLDAYRFSLSWSRILPSGFANEINPAGIEFYNNYINEMLKYGITPMITLYHWDLPQKLQELGGFTNPLISDWFEDYARVVYQAFGDRVKHWITFNEPREVCYEGYGAATKAPILNATAVGTYLCAKHLVISHAKAYHVYVNEFKETQGGQCGITISVNWFGPLTDSPEDEFAAELKRQGEWGLYAEPIFSAEGGFPKELSEIVAKKSAEQGYPWSRLPEFTEQEKAFVRGSSDFFGVNHYTAVLISATEYKSFHPVPSLLDDIDVGSFVP</t>
  </si>
  <si>
    <t>0.997263</t>
  </si>
  <si>
    <t>CS pos: 14-15. VAC-QD. Pr: 0.7369</t>
  </si>
  <si>
    <t>QDHENHGRYFPEDFLFGTATASYQIEGGWNEDGKGENIWDYMTHNTPHVIRDQSNGDVAADSYHNYKRDVEMMTELGLDAYRFSLSWSRILPSGFANEINPAGIEFYNNYINEMLKYGITPMITLYHWDLPQKLQELGGFTNPLISDWFEDYARVVYQAFGDRVKHWITFNEPREVCYEGYGAATKAPILNATAVGTYLCAKHLVISHAKAYHVYVNEFKETQGGQCGITISVNWFGPLTDSPEDEFAAELKRQGEWGLYAEPIFSAEGGFPKELSEIVAKKSAEQGYPWSRLPEFTEQEKAFVRGSSDFFGVNHYTAVLISATEYKSFHPVPSLLDDIDVGSFVP</t>
  </si>
  <si>
    <t>Glycoside hydrolase family 1</t>
  </si>
  <si>
    <t xml:space="preserve">Glycoside hydrolase </t>
  </si>
  <si>
    <t>Myrosinase 1-like</t>
  </si>
  <si>
    <t>A0A922CZG5</t>
  </si>
  <si>
    <t>Beta-glucosidase</t>
  </si>
  <si>
    <t>A0A2A4JNV2</t>
  </si>
  <si>
    <t>TRINITY_DN10248_c0_g1_i1.p1</t>
  </si>
  <si>
    <t>U-TPTX13-Tp2</t>
  </si>
  <si>
    <t>AGCGGCGCGATACAAACATGTTGAGACCACGGCATTCATGTGTTCTTATAATTTTAATAATTTTCACCACTCATATTGACTGCAAACTGAGAATCTCAAAGCATGAAGTGAGGAAGTTTCCGGAAGGATTTATTTTTGGTACAGCCACGGCCTCGTACCAAGTGGAAGGAGCATGGGACGAAGACGGAAAATCAGAAAATATTTGGGACCACGTAACCCACATAGTGCCGAGTCTAATTGATGACGGATCCAGTGGAGATGTCGCGGATGACTCTTACCATCAATATAAACGAGACGTTGAAATGATGAGAGAATTAGGACTGGACTTCTACAGGTTCTCAATGTCTTGGACTCGCCTTATGCCTACCAGCTTTCCTGATCATATCAATGAAGCGGGAGTCCAATATTATAACAACTTGATCAACGAAATGCTGAAATACAACATTGAGCCGATGATCACGTTGTTCCACTGGGACTTGCCACAAAAACTGCAAGAGATGGGTGGATGGGCCAACCCTCACGTCGTCGACTGGTATGCTGATTATGCGCGTGTCGCGTTTGAACTATTCGGTGATAGGGTGAAGTATTGGATCACAATGAATGAACCTCAAGTCATTTGTCAATATGGATATGGCCTTGGAGAGTTCGCACCTCTAGTGAAGTTGTCAGGGGTCGCCGACTATATATGTGCCAAAAACTTACTCCTGGCTCATGCGAAAGCTTATCATATTTATGATCAGGAATTTAGATCATCGCAGGGTGGTAAAATATTTATCACACTCAGCGCTCAATGGTACGAACCAGAATCTGAAGAATACATCGTTGCTGCAGAAGAAGCTAATTTTATGGAGTGGGGTGTTTACGCTTACCCAATATTTTCGGAAACTGGTGACTTCCCTCCACCTATGAAAGAACGTGTAGCGGTGAAAAGTGCCGCTCAAGGATTTTTCAGGACTAGACTGCCAGAATTCACGCCTGAAGAAGTTGAATATGTGCGAGGAACATCCGACTTCTTTGGACTAAACCATTATTCAACATATTTAATATATAGAAACGAGTCCGTTGTGGGTTACTACGATGCTCCTTCCCACTACGATGATCTTGAAGTCATAATGTATCAAAAGGACGAGTGGACCTCCTCAATTGCTGGAGCGACTACTATGGTCAAGAGTGTACCGTGGGGCTTCTACAAACTGTTGACTAACATCAGAGAGACATATAACAACCCCGTGGTGTACATAACTGAGAACGGGTTCGCGACGCACGGCGGACTGGACGACTACGACCGCGTGGACTATTACCGCCAGTACCTGGAC</t>
  </si>
  <si>
    <t>RRDTNMLRPRHSCVLIILIIFTTHIDCKLRISKHEVRKFPEGFIFGTATASYQVEGAWDEDGKSENIWDHVTHIVPSLIDDGSSGDVADDSYHQYKRDVEMMRELGLDFYRFSMSWTRLMPTSFPDHINEAGVQYYNNLINEMLKYNIEPMITLFHWDLPQKLQEMGGWANPHVVDWYADYARVAFELFGDRVKYWITMNEPQVICQYGYGLGEFAPLVKLSGVADYICAKNLLLAHAKAYHIYDQEFRSSQGGKIFITLSAQWYEPESEEYIVAAEEANFMEWGVYAYPIFSETGDFPPPMKERVAVKSAAQGFFRTRLPEFTPEEVEYVRGTSDFFGLNHYSTYLIYRNESVVGYYDAPSHYDDLEVIMYQKDEWTSSIAGATTMVKSVPWGFYKLLTNIRETYNNPVVYITENGFATHGGLDDYDRVDYYRQYLD</t>
  </si>
  <si>
    <t>0.721757</t>
  </si>
  <si>
    <t>CS pos: 27-28. IDC-KL. Pr: 0.6335</t>
  </si>
  <si>
    <t>KLRISKHEVRKFPEGFIFGTATASYQVEGAWDEDGKSENIWDHVTHIVPSLIDDGSSGDVADDSYHQYKRDVEMMRELGLDFYRFSMSWTRLMPTSFPDHINEAGVQYYNNLINEMLKYNIEPMITLFHWDLPQKLQEMGGWANPHVVDWYADYARVAFELFGDRVKYWITMNEPQVICQYGYGLGEFAPLVKLSGVADYICAKNLLLAHAKAYHIYDQEFRSSQGGKIFITLSAQWYEPESEEYIVAAEEANFMEWGVYAYPIFSETGDFPPPMKERVAVKSAAQGFFRTRLPEFTPEEVEYVRGTSDFFGLNHYSTYLIYRNESVVGYYDAPSHYDDLEVIMYQKDEWTSSIAGATTMVKSVPWGFYKLLTNIRETYNNPVVYITENGFATHGGLDDYDRVDYYRQYLD</t>
  </si>
  <si>
    <t>47737,97-2</t>
  </si>
  <si>
    <t>Spodoptera litura (Asian cotton leafworm)</t>
  </si>
  <si>
    <t>A0A9J7IRN4</t>
  </si>
  <si>
    <t>TRINITY_DN42519_c0_g1_i1.p1</t>
  </si>
  <si>
    <t>U-TPTX13-Tp3</t>
  </si>
  <si>
    <t>CTAAAATGAAGAGAATACTGTTTCTCCCTCTACTGTACCTAGTAGCTATTACAGTTAATGCTGAAAAAGATCTGGATTGGTGGGAGAAAACTATATTCTACCAGATCTATCCGCGATCTTATAAGGACAGCGATGGCGATGGGATTGGTGATTTGAACGGTATCGCAGATAGTTTGGAGTATTTGAAAGAGCTCGGTGTCGGAGCGACATGGCTATCCCCC</t>
  </si>
  <si>
    <t>KMKRILFLPLLYLVAITVNAEKDLDWWEKTIFYQIYPRSYKDSDGDGIGDLNGIADSLEYLKELGVGATWLSP</t>
  </si>
  <si>
    <t>0.998667</t>
  </si>
  <si>
    <t>CS pos: 20-21. VNA-EK. Pr: 0.9861</t>
  </si>
  <si>
    <t>EKDLDWWEKTIFYQIYPRSYKDSDGDGIGDLNGIADSLEYLKELGVGATWLSP</t>
  </si>
  <si>
    <t> 6065,95</t>
  </si>
  <si>
    <t>Glycosyl hydrolase, family 13, catalytic domain, Alpha amylase, catalytic domain; ALPHA-AMYLASE FAMILY MEMBER</t>
  </si>
  <si>
    <t>Maltase A2</t>
  </si>
  <si>
    <t>Drosophila melanogaster (Fruit fly)</t>
  </si>
  <si>
    <t>P07191</t>
  </si>
  <si>
    <t>alpha-glucosidase</t>
  </si>
  <si>
    <t>D8KY55</t>
  </si>
  <si>
    <t>TRINITY_DN15044_c0_g1_i1.p1</t>
  </si>
  <si>
    <t>U-TPTX13-Tp4</t>
  </si>
  <si>
    <t>CATTTCTCTGTTGGGAGGGGCAGAAATAAACGAAAAAAAGGATGTTTCGACACATCCTATTCCTGTCGGTCTTGACTGTGGCATTGGCCTACAAGAACCCGTACTATGCATCGGGTCGCACCACGATGGTGCACCTGTTCGAGTGGAAGTGGGATGACATCGCCGCTGAGTGCGAGAGGTTCCTTGGGCCTAGAGGATTTGGAGGGATTCAGATTTCTCCTCCCAACGAGAATTTGGTGATCTGGTCAAGAAATCGTCCGTGGTGGGAACGCTATCAGCCTATTTCCTATCGCCTAATCACGCGGTCCGGCAATGAGCAACAGTTCGCTAACATGGTGCGAAGGTGCAATAACGTCGGCGTCAGAATTTATGTTGACGCCATCATCAACCACATGACAGGCACTTGGAATGAGAACGTTGGCACAGGTGGAAGCACGGCCAACTTTGGTGAATGGCACTACCCCTCCGTACCGTACGGCAGGAATGATTTCAACTGGCCGCATTGTGTCATCTCTGGAAACGATTACGGCTGCTGTGCTGATAGGGTGCGCAACTGCGAATTATCTGGGCTGAAAGACTTGAATCAGGGTACTGAATACGTACGCCAAATGATTCTCAACTACATGAACCACCTCATTAACTTGGGCGTTGCTGGGTTTAGAATTGACGCTGCAAAACACATGTGGCCAGGCGACCTTAGAATAATTTACGACCGACTCCAAAATTTGAACACTGATCATGGTTTCCCATCAGGCGCTCGGCCCTACATCTATCAAGAAGTTATTGATCTTGGCGGAGAAGCTATCTCTCGAGACGAATACACCCCTATTGCAGCCGTAACAGAATTCAGATTTGGTATGGAACTTAGTAGAGCGTTCCAGGGTGGCAATCAACTGAGATGGCTTGTAAACTGGGGACCTCAGTGGGGTCTGCTCGCTTCTGATGTCTCTTTAACGTTCATTGACAACCACGACAATCAAAGAGGTCATGGTGCTGGTGGCAACATCCTTACATACAAAGCATCAAGACCGTATAAGGCAGCTATTGGGTTTATGTTGGCACATCCTTACGGTGAACCTCAACTAATGAGTAGTTTCGATTTCCATGATACTGAGGCAGGACCACCTATGGACAGCAGCGGAAACATTATTTCGCCTTCAATCAATTCTGACAACACTTGCGGCAACGGTTGGATTTGCGAACACCGCTGGCGTCAGATCTACAGCATGGTAGCCTTCAGAAACGTGGCCGGTAATACTGGCGTAAACGACTGGTGGGACAATGGCAGTAACCAAATTGCCTTCTGCAGAGGTGGACAAGGCTTCGTTGCTTTTAACAACGACTACTGGGCTCTTAACCAGAATCTCCAGACTTGCCTCCCTGCTGGTAACTATTGCGACGTGATCTCGGGTGAAAAGAGCGGCAACAGCTGCACCGGCAAAATGATCAGCGTTGGCAACGACGGCCGCGCTAACATCAACGTTGGTGCCAACGATTATGACATGTTCCTCGCCATTCACGTTGGAAACGAATCGAGATTGTGAAGAATATCAACAAACAACAAATAACTGCTACAAAATTTTCAATGTAAAACTATATTGTACGTTACTATGATATTCTTTTAATTTTTTATCTGCTGTGATAAAAAATTAAAGTAAAATTAAGAAAATAAATAAGCAATGAAATGAAAAAAAAAAAAAA</t>
  </si>
  <si>
    <t>MFRHILFLSVLTVALAYKNPYYASGRTTMVHLFEWKWDDIAAECERFLGPRGFGGIQISPPNENLVIWSRNRPWWERYQPISYRLITRSGNEQQFANMVRRCNNVGVRIYVDAIINHMTGTWNENVGTGGSTANFGEWHYPSVPYGRNDFNWPHCVISGNDYGCCADRVRNCELSGLKDLNQGTEYVRQMILNYMNHLINLGVAGFRIDAAKHMWPGDLRIIYDRLQNLNTDHGFPSGARPYIYQEVIDLGGEAISRDEYTPIAAVTEFRFGMELSRAFQGGNQLRWLVNWGPQWGLLASDVSLTFIDNHDNQRGHGAGGNILTYKASRPYKAAIGFMLAHPYGEPQLMSSFDFHDTEAGPPMDSSGNIISPSINSDNTCGNGWICEHRWRQIYSMVAFRNVAGNTGVNDWWDNGSNQIAFCRGGQGFVAFNNDYWALNQNLQTCLPAGNYCDVISGEKSGNSCTGKMISVGNDGRANINVGANDYDMFLAIHVGNESRL</t>
  </si>
  <si>
    <t>0.962693</t>
  </si>
  <si>
    <t>CS pos: 16-17. ALA-YK. Pr: 0.8438</t>
  </si>
  <si>
    <t>YKNPYYASGRTTMVHLFEWKWDDIAAECERFLGPRGFGGIQISPPNENLVIWSRNRPWWERYQPISYRLITRSGNEQQFANMVRRCNNVGVRIYVDAIINHMTGTWNENVGTGGSTANFGEWHYPSVPYGRNDFNWPHCVISGNDYGCCADRVRNCELSGLKDLNQGTEYVRQMILNYMNHLINLGVAGFRIDAAKHMWPGDLRIIYDRLQNLNTDHGFPSGARPYIYQEVIDLGGEAISRDEYTPIAAVTEFRFGMELSRAFQGGNQLRWLVNWGPQWGLLASDVSLTFIDNHDNQRGHGAGGNILTYKASRPYKAAIGFMLAHPYGEPQLMSSFDFHDTEAGPPMDSSGNIISPSINSDNTCGNGWICEHRWRQIYSMVAFRNVAGNTGVNDWWDNGSNQIAFCRGGQGFVAFNNDYWALNQNLQTCLPAGNYCDVISGEKSGNSCTGKMISVGNDGRANINVGANDYDMFLAIHVGNESRL</t>
  </si>
  <si>
    <t>Alpha amylase</t>
  </si>
  <si>
    <t>Alpha-amylase 1</t>
  </si>
  <si>
    <t>Drosophila ananassae (Fruit fly)</t>
  </si>
  <si>
    <t>Q23835</t>
  </si>
  <si>
    <t>Alpha-amylase</t>
  </si>
  <si>
    <t>A0A2A4IUB0</t>
  </si>
  <si>
    <t>TRINITY_DN43903_c0_g1_i1.p1</t>
  </si>
  <si>
    <t>GAATCACATCACTTTAATCCGGCATCATGTCGTCGGTGCATCTGCTAACATTCTTAATATTCTGCTGCATCTATAATGTCTATTGTAAAACCAAGGTCATCTGCGCCGTAACTGATGTAGAATGCATGACGTCCTCTGTGAGAGAAAGAATATTTCCATTAATCATTACTGGTACGGCTCATATAAATCCTTCCGATCCTTTGAAGTTGGATAGTTTACAAGTAAATGTACCAACTATGAAATATAAATTAACCACACCTATATTCACCGGCTTAAAAAATTGTAAACTTGAGAAACTGGCAAAGAACAACATGGATTCAGAGTTCGAATTAAAACTGTTTTGCCCACTTATTACTCTTGAGTCACAATATGATGTAGATGGAAACTTAGATAAGTTGCCGGTAAAAGGAAAAGGCACATTCAAAGTGAATTATCGTAATTTTGGCATAACGGTGAATGGGACTCACAAGATAGAGTTTGATGCCGAAGGTAAAAAACATCCGCTAATTCTCACCTACACTCCAGCGCTTGATTTTAAAGGAGAAGATGAATACGAATTCAATAATTTAAGCATCGGTGGACAAAAAGTTTCATCGGCTGATGAAAATATGAAAAACTTTGGTGTTACAACTCGCGAAGATATTATGACACAGTATGTACATGAACTTATGAAGAATCTTAAAGCTCTTCAAAAGGAATTACCCGTTGAAGAAATGCTTTATAAATATGTATAGTTTGAACTTGTAAAGCAATTTGTTTATTAAAATTTTAATAAAAAAAAAAAAAAAA</t>
  </si>
  <si>
    <t>MSSVHLLTFLIFCCIYNVYCKTKVICAVTDVECMTSSVRERIFPLIITGTAHINPSDPLKLDSLQVNVPTMKYKLTTPIFTGLKNCKLEKLAKNNMDSEFELKLFCPLITLESQYDVDGNLDKLPVKGKGTFKVNYRNFGITVNGTHKIEFDAEGKKHPLILTYTPALDFKGEDEYEFNNLSIGGQKVSSADENMKNFGVTTREDIMTQYVHELMKNLKALQKELPVEEMLYKYV</t>
  </si>
  <si>
    <t>0.942488</t>
  </si>
  <si>
    <t>CS pos: 20-21. VYC-KT. Pr: 0.7357</t>
  </si>
  <si>
    <t>KTKVICAVTDVECMTSSVRERIFPLIITGTAHINPSDPLKLDSLQVNVPTMKYKLTTPIFTGLKNCKLEKLAKNNMDSEFELKLFCPLITLESQYDVDGNLDKLPVKGKGTFKVNYRNFGITVNGTHKIEFDAEGKKHPLILTYTPALDFKGEDEYEFNNLSIGGQKVSSADENMKNFGVTTREDIMTQYVHELMKNLKALQKELPVEEMLYKYV</t>
  </si>
  <si>
    <t>Haemolymph juvenile hormone binding</t>
  </si>
  <si>
    <t>Circadian clock-controlled protein-like</t>
  </si>
  <si>
    <t>A0A7E5WU38</t>
  </si>
  <si>
    <t>Haemolymph juvenile hormone binding </t>
  </si>
  <si>
    <t xml:space="preserve">Uncharacterized protein </t>
  </si>
  <si>
    <t>spodoptera litura (asian cotton leafworm)</t>
  </si>
  <si>
    <t>TRINITY_DN8_c1_g1_i1.p1</t>
  </si>
  <si>
    <t>TAATCGGTTACCAGGAGAGCAATCAATTCGCAGACGCATTTATCGTTGTGTCTTATAGTCAAAATGTTCTCAGCACGTTTCATCGTTTTAAACTTACTTTTGTTGCAAGAATCATTATGCAGTGACGGACAATGTGAAGTTTTAGATGATGAATGTGTAAAAAAAAGTACTGCGATAGTCTACCCACTTATCGTAGAAGGTAGACCTGGTGTTGAAACCTCAGATCCTCTGCTGCAAAATCTTATTAAATTGAATTTGAAAAACTTATCATATACTCTACGTAATGCGAAGATGACTGGATTGAAACAATGCGAAATTGATTTTGTGAGATTTCATAAAGTTGAACAGGCCTTAACATATGGCTTCCTAATTCCTACACTCACAATCACTGGAGAATACGAAGTAGATGGACATTTAAATAATACTGCAGTAAATGGAAGAGGAACCTGTAAATTTGTATATAGCGATTACTATATAACATTTCGTGACTCATATGCAAAAAGTTACGATGCGAACGGTAGACTGCATCACCACATAATTAATTACACTTTCGATGAAGAAGTTCGAGGAACAAAAACGTACGAATATAAGTATTTGAAATTCGGTGGAGATAATGATGTTTCCGAGGAGAATTTAATAAGATTAGACGAAGCTATCCGCAAACCTGTAATGAATTACTTTATCGAGAAACATGTTAAAAATGTTAATAATTACTTGGATATTGTACCAATAGGTGACATAATACCGAAAAGTGATGTATAAAAGCTTATAAACCTCAAATTTGAAACATGGATCCCTGTTAAGGGCGAATTCTTATTACTTTTTTTGTTAATCTTTATATTCTATATTATATATGTGAACTGCACTGATAATGACTAAGCATTTTTTGCCAGCCCGCCTTTGGTGATACAGAAATAACAAAGTACGTGCGTGAAAACGATAATAAAATGTACTAGAACAAACTAATCATACATTCTATTATAATACACACAAAATTATATTTTTCTACCTATATTGTTCCACTGCTGACCTTCCATTTCCCTGTTTTGGGTTATTTCAGACCACCCAGGTTGATAGGCGTTAATGTCGTCACCGTTTTGAGGCTTGCCTTGGCGACGCCCGCCATCTGTAAACTCCCATTGAGTGCCAAATTTAGCCCATCTTGCTGACTTGACAATGCATATATAATTCACTAACTGTTGCTCGTGGGCTCTGGCCCTATCTACTTAGACTTTTCATGTGTAATTCAACAAATTACTAAAATTTCATTGTAAATGGCTGAACGCTTCAGCTACGTATACGGGACAAACGAAGAAACACATTTTTTTATTTAAAGTAGCTGATACCTCGGCTAGACTTTTTACCAACTCAGAAACTTTTCTGAGCATGCGTACAATAAATTGCCAAATAAACATTTATTGTTTTTAGACATATTGCATTGATGGCTCCATAAGTCCAGTAGCAGATTCACAAATCTATTCCATCATAACAAGTCGCACTTATGACCTTTTTCTATAACAAACATTTTGCACACATACACGATCGCACATATTGCACTCTCATATATCGCACTCTTTCATCATTATCTGGTCAGAAAGAGTGCGATATAATTATCATTTACCTTAGTGTCTACGATAACAACAAGTCGCACTTATGACCTTTTTCTATAACAAACATTTTGCACACATACACGATCGCACATATTGCACTCTCATATATCGCACTCTTTCATCATTATCTGGTCAGAAAGAGTGCGATATAATTATCATTTACCTTAATGTCTACGATAAGTAGGACCCGATGAGCTCTGTGTTTCTTTAAGTGTTAGTTGAACTTATAATTACATACATACATACATACATACACATACATGCGTATGTGTTATTATTATTTATTTTTGCCATTACTAAGCCTGTTGT</t>
  </si>
  <si>
    <t>MFSARFIVLNLLLLQESLCSDGQCEVLDDECVKKSTAIVYPLIVEGRPGVETSDPLLQNLIKLNLKNLSYTLRNAKMTGLKQCEIDFVRFHKVEQALTYGFLIPTLTITGEYEVDGHLNNTAVNGRGTCKFVYSDYYITFRDSYAKSYDANGRLHHHIINYTFDEEVRGTKTYEYKYLKFGGDNDVSEENLIRLDEAIRKPVMNYFIEKHVKNVNNYLDIVPIGDIIPKSDV</t>
  </si>
  <si>
    <t>0.981084</t>
  </si>
  <si>
    <t>CS pos: 19-20. SLC-SD. Pr: 0.6070</t>
  </si>
  <si>
    <t>SDGQCEVLDDECVKKSTAIVYPLIVEGRPGVETSDPLLQNLIKLNLKNLSYTLRNAKMTGLKQCEIDFVRFHKVEQALTYGFLIPTLTITGEYEVDGHLNNTAVNGRGTCKFVYSDYYITFRDSYAKSYDANGRLHHHIINYTFDEEVRGTKTYEYKYLKFGGDNDVSEENLIRLDEAIRKPVMNYFIEKHVKNVNNYLDIVPIGDIIPKSDV</t>
  </si>
  <si>
    <t>Vanessa tameamea (Kamehameha butterfly)</t>
  </si>
  <si>
    <t>A0A8B8IJ11</t>
  </si>
  <si>
    <t>TRINITY_DN9585_c0_g1_i2.p1</t>
  </si>
  <si>
    <t>ACTGAGTTCACAATAATTATTGCAACAGAGAAGATGAGGGTTTTAGTAGCCTGTGCTTTGGTCGTGCTCTGCAAAGCTTATTCCGCCGATCATAAAGCTTTGCGTACAACAGTTGACGTCTCATGTGATATTCTGCACGTTGACAGTCATTACAAAATGACCACACTTCCGATTTTAGATAAACTGACTGGTGGACTCAAAATTCATGGGGACGGCAATGGAACAGCTGATTTTGAAAAGCTGTTGTTACAATTAGACATTGCTTTGTCATTTGTCAAAGGGAATGACGGTGAATATCACATACGCGTGATACCAGAAAATTCAAGTTACACTTTTGACATTACAGGCAATGCGAAATATAGCGCTAACAACATATTCTTTGGAAATCAGGACATCAGTAAGATTGGAGTCGATATCTTCAACGAAAATTGGAAGATGGTTACGAAAGCGTTCGGAGGAATTGCGGCAGATCGTGCTCTAGAGACAGCGTATGAATTCGTAAACAAGTATTTAAGTACTGTTCCGACTAAAGACTTAATATCTGAAGACTTGTCAATGTATGTCAAGAATTAGGTGAAATATCAAAAATACCTATCAGTGTTCCAAATGTTCAATTAAAAAAAAATATTAATGTAG</t>
  </si>
  <si>
    <t>TEFTIIIATEKMRVLVACALVVLCKAYSADHKALRTTVDVSCDILHVDSHYKMTTLPILDKLTGGLKIHGDGNGTADFEKLLLQLDIALSFVKGNDGEYHIRVIPENSSYTFDITGNAKYSANNIFFGNQDISKIGVDIFNENWKMVTKAFGGIAADRALETAYEFVNKYLSTVPTKDLISEDLSMYVKN</t>
  </si>
  <si>
    <t>0.646611</t>
  </si>
  <si>
    <t>CS pos: 28-29. AYS-AD. Pr: 0.3618</t>
  </si>
  <si>
    <t>ADHKALRTTVDVSCDILHVDSHYKMTTLPILDKLTGGLKIHGDGNGTADFEKLLLQLDIALSFVKGNDGEYHIRVIPENSSYTFDITGNAKYSANNIFFGNQDISKIGVDIFNENWKMVTKAFGGIAADRALETAYEFVNKYLSTVPTKDLISEDLSMYVKN</t>
  </si>
  <si>
    <t>Uncharacterized protein</t>
  </si>
  <si>
    <t>A0A2A4K5N7</t>
  </si>
  <si>
    <t>TRINITY_DN38047_c0_g1_i1.p1</t>
  </si>
  <si>
    <t>CTCGGCAGTGAGAACCATGAAGACTGTCCTGATCTTCGCGGCGCTAGTCGCTCTGGCGGTGGCCTCGGCACCAGCACACACACACAATGTCAAAACAAAGCCAGTGAATGCCGAGTTTGTAGAGAAACAAAAGAAAGTTTTAGGACTTTTTGAGCTCAACTACCAACTGGTCGAAGATGCTGAGTACTACAAGATTGGCAAGGACTACGACGTCGAAGCTAATATCGAAAACTACACCAACAAGAAAGCAGTAGAAGAATTCTTGTTCTTGTACAGAACTGGTTTCCTGCCAAAGACGTTTGAGTTCTCAGTGTTCTACGAAAGGATGAGGGATGAAGCTATCGCTCTCTTCCACATCTTCTACTACGCCAAAGACTTCGAGACCTTCTACAAGACGGCAGCGTTCGCTAAAGTGCACCTTAATGAAGAACAGTTCCTCTATGTGTTCTACATTGCTGTTCTTCAACGTCCTGATACCCACGGCATTGTGCTGCCTGCTCCCTATGAAGTTTTCCCTCAATACTTCACTGACAAGCGAATTTCTCAACAAATCTTCAGCACTAAAATGCAGAATGTTGATGTCTTCCTTCCTTTCGCCGAACGTTACGGCTTGGTTAAGGAGAACAACTGGTGGGTGTACTACTCCAATTACTCTAATGGACTAAGCTATCCCAATGAAGAGCAAAGACTGTCTTACTTCACAGAGGATGTTGGTTTGAACTCATACTACTATTATTTCCACTCTCATTTGCCATTCTGGTGGAGCTCAGAGAAGTACGGAGCTTTCAAGGAACGCCGTGGTGAGGTCTACTTCTACTTTTACCAGCAACTGTTGGCTCGTTACAATCTTGAGCGTCTTTCCAACGGGTTGGGTGAAATCCCTGAATTCTCGTGGTACTCCAAATTCAAGACTGGTTTCTACCCAATGTTGACGGCTTACTACACGCCTTTCGCACAAAGGAGCAACGACTATGAAATGCACAGCGAAGAGAATTATGAAAACATTCGTTTCTTGGACACATACGAGAAGACTTTCTTCCAATACCTTCAGAGCGGCCACTTCAAGGCATTTGAAAAGGAAGTTGACTTCCATGACCCCAAGTCTATGAACTTTGTTGGCAACTACTGGCAGACCAACGCCGACCTGTACGCCGAAGAATCTACCAAGGACTACCAACACTCTTATGAGATTACTGCCCGCCGTGTTCTCGGTGCCGCTCCTGAACAAGTTGACAAATACACTTACGTTCCAAGCGCACTCGACTACTACCAGACTTCACTTCGTGACCCAGCTTTCTACCAGCTTTACAATAGGATTATTGAAAACATCATTGATTTCAAAGAATACTTGACTCCTTACACTTCAGAGGAACTCTTGTTCAAGGGTGTGAAGATTGAAGATGTTAAAGTAGACAAACTGGTTACTTTCTTCGATTACTTCGATTTCAATGTAACTAACATGGTCACTTTCACCAAAGCAGAAACCAAAACTAAATACCCTCAGAGCTACATAGTACGTCAACCACGGTTGAACACCAAGAACTTCGACCTCGAAATTGACGTGAAGTCAGAAGCTGGAACTGACGCAGTTTTCAAGATCTTCCTTGGGCCCAAATACGACAGCAATGGCCGTAAATATTCTCTTGAAGAGGTGTGGATGAAATTTTACGAACTGGACTGGTTCATACAGAAACTTGTCCCTGGAGAAAACAAGGTTGTCCGTAAATCTAACGAATTTATGTTCTTCAAGGACGACTCTATCCCCATCGACGATATTGAACATTTCTTAAATGAGGGCAAGGTGCCTTACGATATGTCCGTCGTTCCCGACAATATGCCTAGGAGAATGATGTTGCCTAAGGGTACAGAAGGCGGATACCCACTCGAGCTCTTCGTGTTCGTCTACCCGTACAAGGGTACCACTAAGGATGAGAATACCTTCAAGAACTACATTGCTGACAACAAGCCATTCGGTTATCCTTTGGACCGCCCTCTGAATGAGATCTACTTCCAGCAGCCCAATGCTTTCTTCGAGGAAGTGTCCGTCTACCACGAGGGTTCACCATACTACTACGAATCATTAGCGTCTCACTACTTCGAAATTAAACGTCTTCAGTCAGTTAAGAACTAAATATACGTACATTAATTTAATACCACCTATTTATGCTCTAAAGCAATGTACAAAGAACGAATAAAATAAATATATATTTAATTATTTTCAAAGAAAAAAAAAAA</t>
  </si>
  <si>
    <t>SAVRTMKTVLIFAALVALAVASAPAHTHNVKTKPVNAEFVEKQKKVLGLFELNYQLVEDAEYYKIGKDYDVEANIENYTNKKAVEEFLFLYRTGFLPKTFEFSVFYERMRDEAIALFHIFYYAKDFETFYKTAAFAKVHLNEEQFLYVFYIAVLQRPDTHGIVLPAPYEVFPQYFTDKRISQQIFSTKMQNVDVFLPFAERYGLVKENNWWVYYSNYSNGLSYPNEEQRLSYFTEDVGLNSYYYYFHSHLPFWWSSEKYGAFKERRGEVYFYFYQQLLARYNLERLSNGLGEIPEFSWYSKFKTGFYPMLTAYYTPFAQRSNDYEMHSEENYENIRFLDTYEKTFFQYLQSGHFKAFEKEVDFHDPKSMNFVGNYWQTNADLYAEESTKDYQHSYEITARRVLGAAPEQVDKYTYVPSALDYYQTSLRDPAFYQLYNRIIENIIDFKEYLTPYTSEELLFKGVKIEDVKVDKLVTFFDYFDFNVTNMVTFTKAETKTKYPQSYIVRQPRLNTKNFDLEIDVKSEAGTDAVFKIFLGPKYDSNGRKYSLEEVWMKFYELDWFIQKLVPGENKVVRKSNEFMFFKDDSIPIDDIEHFLNEGKVPYDMSVVPDNMPRRMMLPKGTEGGYPLELFVFVYPYKGTTKDENTFKNYIADNKPFGYPLDRPLNEIYFQQPNAFFEEVSVYHEGSPYYYESLASHYFEIKRLQSVKN</t>
  </si>
  <si>
    <t>0.991203</t>
  </si>
  <si>
    <t>CS pos: 27-28. AHT-HN. Pr: 0.2289</t>
  </si>
  <si>
    <t>HNVKTKPVNAEFVEKQKKVLGLFELNYQLVEDAEYYKIGKDYDVEANIENYTNKKAVEEFLFLYRTGFLPKTFEFSVFYERMRDEAIALFHIFYYAKDFETFYKTAAFAKVHLNEEQFLYVFYIAVLQRPDTHGIVLPAPYEVFPQYFTDKRISQQIFSTKMQNVDVFLPFAERYGLVKENNWWVYYSNYSNGLSYPNEEQRLSYFTEDVGLNSYYYYFHSHLPFWWSSEKYGAFKERRGEVYFYFYQQLLARYNLERLSNGLGEIPEFSWYSKFKTGFYPMLTAYYTPFAQRSNDYEMHSEENYENIRFLDTYEKTFFQYLQSGHFKAFEKEVDFHDPKSMNFVGNYWQTNADLYAEESTKDYQHSYEITARRVLGAAPEQVDKYTYVPSALDYYQTSLRDPAFYQLYNRIIENIIDFKEYLTPYTSEELLFKGVKIEDVKVDKLVTFFDYFDFNVTNMVTFTKAETKTKYPQSYIVRQPRLNTKNFDLEIDVKSEAGTDAVFKIFLGPKYDSNGRKYSLEEVWMKFYELDWFIQKLVPGENKVVRKSNEFMFFKDDSIPIDDIEHFLNEGKVPYDMSVVPDNMPRRMMLPKGTEGGYPLELFVFVYPYKGTTKDENTFKNYIADNKPFGYPLDRPLNEIYFQQPNAFFEEVSVYHEGSPYYYESLASHYFEIKRLQSVKN</t>
  </si>
  <si>
    <t> 81739,22</t>
  </si>
  <si>
    <t>Hemocyanin/hexamerin (</t>
  </si>
  <si>
    <t>Hemocyanin/hexamerin </t>
  </si>
  <si>
    <t>Arylphorin subunit alpha</t>
  </si>
  <si>
    <t>P14296</t>
  </si>
  <si>
    <t>TRINITY_DN0_c2_g1_i5.p1</t>
  </si>
  <si>
    <t>TATTGGTGTATTTCTCCCAGTTGACTTCGGCTACAACAAGAATGAAGACTGTCCTGATTCTGGCTGGGCTTATTGCCCTCGCATTGGGCGGAACTGTCCCAAGCAAGGTTACCTACAAGACGAAACCAGTCGATGCCGATTTCGTCACGCGCCAAAAGAAGGTTTTGTCTCTTCTGGAGAATGTAGACCAAGTCACCTCATTCTTTGAGTACTTCACCGTTGGCAAGAATTACAGCATCGAAGATAACATTGAGAAATACACCAATAAGAAAGTAGTTGAAGAATTCCTGCAATTGTACAGGAATGGTTTCTTGCCTAAATACATGGTATTCTCCATCTTCCAAGAAAAGTTAAGAGACGAAGCTATTGCTTTCTTCCGTGTATTGTACTACGCTAAGGATTTTGAAACTTTCTACAACACTGCAGCCTTTGGCAAAGTATACCTCAATGAACAGCAGTTCCTCTATGCGTACTACATCGCTGTGCTTCAGCGCCCTGATACTCAGGGTATTGTAATGCCAGCTCCCTATGAAATTTACCCGAACTTATTCGTTAACATGGATGTAATTAACAAGATCTACTATGCAAAGATGGGAGAAGTTACAAACCCCGGCGTGGATGAGTCCCAGTACGGTATGGTCAAGGAAGGCAACAAGATAGTTTTCTATTCTAACTACTCCAACGCCTTAACTTACCCGAACGAAGAATCCAGAATTTCTTACTTCACTGAAGATATTGGCTGGAACTCTTACTATTACTTCTTCCACACTCACTTACCTTTCTGGTGGAGCTCTGAAAAGTTTGGAGGAGTATTCAAAGAACGCCGCGGTGAAGCTTACTTCTCGTTCTACCAGCAGCTGTTAGCTCGTTACTCCCTTGAGCGTCTTAGCAGCGGAATGTCTGAAATCCCTGAGTTCTCGTGGTTCTCCAAATTCAAGACTGGTTACTACCCACACTTGAATACCTACACCTATCCGTTCGCACAAAGAAGCAACGACTACGAAGTCCATGACGAAGAAAACTACGCCGATATTCGTTTCCTCGATACTTATGAGAAAACATTCTTCCAGTACCTGCAGAAGGGTCACTTCAAGGCCTTCAACAAGGATGTCGATTTCCATAAATCAAATGCTGTAAACTTCGTTGGAAACTACTGGCAGACTAACGCCGACCTGTTCTCCGAGGATGTTACTAAGGACTATCAACACTCTTACGAAATAACCGCACGTCGTGTTCTTGGTGCTGCTCCTAAGTCTTGGGACAAATACACTTTCATGCCAAGCGCTCTGGACTTCTACCAGACCTCTCTGCGTGACCCCGCCTTTTACCAGCTCTACCAAAGGATTGTCGACTACCTGATTGACTTCAAAGAATACTTAGAGCCCTACACTTATGAAGAGCTTCACTATGTTGGTGTCAAGATCAACGATGTGAAAGTCGATAAAATGGTCACTTACTTTGACTACTATGACTTCAACGCCACCAATGCTGCTTTCTTTGCTGGAGACGAGCTCAAGACTGACTACCCCTATGATTTCGTTGTTCGCCAGCCTCGTTTGAACCACAAACCCTTCACCGTCTCCATTGATGTCAAATCAGATGTCGCTTCTGATGCCGTCTTTAAAACCTTCATTGGCCCAAAATACGATAGCAATGGATTCCCCATCAGTATGGAGCAGGACTGGATGAAGTTCGTGGAACTCGACTGGTTTATTCACAAACTGGTTCCTGGTGAGAACAAGATTGTCAGGAAATCTGAGGAATTCGTCTTCTTCAAGGATGACTCTGTTTCCACCGAAGAGATCTACGAGCTATTGGAACAAGGAAAAGTGCCCCATGATATGTCGGAGACGCCTTTCAACATTCCCAGAAGATTAATGTTGCCTAAGGGTACCAAGGGTGGTTTTCCCTTCCAGATGTTCGTAGTCGTTTACCCGTACAACGGTGTCAAACAAGAGAATGTATTCATCAACTACCTTTCAGAAAACAAGGCTTTCAATTATCCCCTCGACCGTCCATTGAACGAGGCTTACTTCAAGCAGCCCAACATGTTCTCTGAGGAAGTGCATATTTACCATGAAGGTTCACCTTACACCTGGGAATACAACGTTCCTACATATTTCAATCATCAAAACAAGGCGTAAGACACAAAGAAATGTGATATACTAATAATGCAGATTGTTAAGCTTACGTGGAATGTGCGTATAAACAAAATCAAAATAAAAATAAATTATTAAATAGTTGTAATTATTTAATATCCTATCTTTTTCATACAATCATCGATTAAAAACATTACATTATTTAATTTCATTTGAAACAACTTTTTATTTAAGCAATTGTATATGTAGACCTAATTTTAAAAACAGTCTGCATTTTGTTGAACCGTGATTGATTAAACAAACTAGCGTTCAATGGCAGATTGACATGGTATAGTACCAACCAACACCGTCCTGGAAGTCTACTAATAGATAAATCTCAGAAGGACATTAAAAGGGGGGTTTTAGCCTTAATCCCCAGGCTTGTTAGACATCCTGGAGGTGGCAGTAGACTGTTTGAATTTCAGAATAAGCTCTATCCTATAACTGGTCACACAGCATCCAAGCAAACAGATGATGTGATATTGTTATTACGTTGTACCATATGGAAAATATAATATGAAATAAATATCTAAAGACATGCCGATACATATTCACTTATTACGTCCTGGTTAATATAACATTAATTAATACTTATTATTAATAGTTCTTAAACTTAAAATTACATCAATATATTTAGGCACTAAACGGATCGTTGATACCTTAAATATGACTTCAATTTTCTTTATTGACTCGTAAGACTAGACTAAGACTAGACAAAAGTACATCATAGTATTTAGTGGAATGAGTAAGTATACCTAAGTATACCAAAGTATGTTCAAGCCTCCTAGGAAGTGGTCCAGGCGGACCCTCAGGGGTCTACGCCAGCTGTCAAAATCACATTTGAAGTTGATGAATTTGCACAATTTTTGACACCTGGCG</t>
  </si>
  <si>
    <t>LVYFSQLTSATTRMKTVLILAGLIALALGGTVPSKVTYKTKPVDADFVTRQKKVLSLLENVDQVTSFFEYFTVGKNYSIEDNIEKYTNKKVVEEFLQLYRNGFLPKYMVFSIFQEKLRDEAIAFFRVLYYAKDFETFYNTAAFGKVYLNEQQFLYAYYIAVLQRPDTQGIVMPAPYEIYPNLFVNMDVINKIYYAKMGEVTNPGVDESQYGMVKEGNKIVFYSNYSNALTYPNEESRISYFTEDIGWNSYYYFFHTHLPFWWSSEKFGGVFKERRGEAYFSFYQQLLARYSLERLSSGMSEIPEFSWFSKFKTGYYPHLNTYTYPFAQRSNDYEVHDEENYADIRFLDTYEKTFFQYLQKGHFKAFNKDVDFHKSNAVNFVGNYWQTNADLFSEDVTKDYQHSYEITARRVLGAAPKSWDKYTFMPSALDFYQTSLRDPAFYQLYQRIVDYLIDFKEYLEPYTYEELHYVGVKINDVKVDKMVTYFDYYDFNATNAAFFAGDELKTDYPYDFVVRQPRLNHKPFTVSIDVKSDVASDAVFKTFIGPKYDSNGFPISMEQDWMKFVELDWFIHKLVPGENKIVRKSEEFVFFKDDSVSTEEIYELLEQGKVPHDMSETPFNIPRRLMLPKGTKGGFPFQMFVVVYPYNGVKQENVFINYLSENKAFNYPLDRPLNEAYFKQPNMFSEEVHIYHEGSPYTWEYNVPTYFNHQNKA</t>
  </si>
  <si>
    <t>0.652342</t>
  </si>
  <si>
    <t>CS pos: 29-30. ALG-GT. Pr: 0.3077</t>
  </si>
  <si>
    <t>GTVPSKVTYKTKPVDADFVTRQKKVLSLLENVDQVTSFFEYFTVGKNYSIEDNIEKYTNKKVVEEFLQLYRNGFLPKYMVFSIFQEKLRDEAIAFFRVLYYAKDFETFYNTAAFGKVYLNEQQFLYAYYIAVLQRPDTQGIVMPAPYEIYPNLFVNMDVINKIYYAKMGEVTNPGVDESQYGMVKEGNKIVFYSNYSNALTYPNEESRISYFTEDIGWNSYYYFFHTHLPFWWSSEKFGGVFKERRGEAYFSFYQQLLARYSLERLSSGMSEIPEFSWFSKFKTGYYPHLNTYTYPFAQRSNDYEVHDEENYADIRFLDTYEKTFFQYLQKGHFKAFNKDVDFHKSNAVNFVGNYWQTNADLFSEDVTKDYQHSYEITARRVLGAAPKSWDKYTFMPSALDFYQTSLRDPAFYQLYQRIVDYLIDFKEYLEPYTYEELHYVGVKINDVKVDKMVTYFDYYDFNATNAAFFAGDELKTDYPYDFVVRQPRLNHKPFTVSIDVKSDVASDAVFKTFIGPKYDSNGFPISMEQDWMKFVELDWFIHKLVPGENKIVRKSEEFVFFKDDSVSTEEIYELLEQGKVPHDMSETPFNIPRRLMLPKGTKGGFPFQMFVVVYPYNGVKQENVFINYLSENKAFNYPLDRPLNEAYFKQPNMFSEEVHIYHEGSPYTWEYNVPTYFNHQNKA</t>
  </si>
  <si>
    <t>Di-copper centre-containing domain superfamily, ARVAL STORAGE PROTEIN/PHENOLOXIDASE, IgE set domain</t>
  </si>
  <si>
    <t>Arylphorin</t>
  </si>
  <si>
    <t>Antheraea pernyi (Chinese oak silk moth) (Bombyx pernyi)</t>
  </si>
  <si>
    <t>Q7Z1F8</t>
  </si>
  <si>
    <t>Sex-specific storage-protein 2</t>
  </si>
  <si>
    <t>P20613</t>
  </si>
  <si>
    <t>Basic juvenile hormone-suppressible protein 2</t>
  </si>
  <si>
    <t>Q06343</t>
  </si>
  <si>
    <t>Hexamerin-1.1</t>
  </si>
  <si>
    <t>Q17020</t>
  </si>
  <si>
    <t>TRINITY_DN48420_c0_g1_i1.p1</t>
  </si>
  <si>
    <t>GTGTGTGGGAGACAGAATGAGGTTCCTACTAGTTGCAGCGATCTTCGCCGTCGCGGCAGCGTCCGTCGTCAAAAATGATAACTACTTCAAAGTTGTCATTGGCAGCGAGACCTTAGCAACAGCGGATGTGAAGACGAAGGAAATATGCATCCTGAAGCTGCTGAACCACATCCTGCAGCCAACCACGTACGAGGACATCAAGACCGTCGCCATGGAATATAATATCGAGGAGAACACGGACAAATACCTGAAGGTGGACGTCGTCAAGAACTTCATCGATATGTACAAGATGGGCATGCTCCCTTCCGGCGAGATCTTTGTTCATTCCAACGAGTTGCATATGGAGCAGGCCGTCAAAGTCTTCAAGATCCTTTATTTCGCTAAAGATTTCGACATCTTTATCAAAACCGCATGTTGGCTCAGAGAACGCATAAACAGTGGCATCTTTGTCTACGCACTTACTGCCGCTGTCTTCCACAGGACTGACTGTCTTGGTATCACTCTACCCGCCCCCTATGAGATCTACCCCTACTTTTTCGTCGATAGTCACATCATTAACAAGGCTTTTATGTTAAAGATGACTAAAGCCGCCACTGATCCAGTTATTTCAGACTATTATGGCATCAAGGTTACTGACAAGAATCTGGTGGTGATTGACTGGCGTAAAGGAGTCCGCCGCTCTATGTCAGAAAATGACCGCATCTCATACTTCACAGAGGACATTGACCTGAACACTTATATGTATTATTTGCACATGAGTTATCCTTACTGGATGACTGATGATGTCTTCGATCTGAACAAAGAGCGTAGTGGCGAGATCTTGGCTTATGCTAATTTCCAACTGTTAGCTAGACTGAGATTGGAACGTCTGAGCCAGGGAATGTGCGATATTAAAGAGATTATGTGGAATGAGCCACTGAAGACCGGCTACTGGCCCAAGATCCGCTTACACACAGGTGATGAGATGCCTGTGCGTCAAAATAACGTAATCGTGTTTACTGAAGAGAACGTAAAGGTTAAGCGTCTCTTGGACGATGTTGAGAGAATTATCCGTGACGGTATCCTGACTGGGCGTATTGAGCGTCGCGACGGAACCGTAATAAACCTCAAGAAGCCTGAGGACTTCGAATATTTGGCTCGGATGGTGCTCGGCAATATGAACATGGTCGGTGACGACGCCAAGGTCATTCACATCACCAACCTGATGAAACAGATGCTCACATACAACGTATACAATCTTAACAAGTACACTTACGTGCCCACCGCCCTCGACATGTACCAGACCTGTCTCCGTGACCCAGTATTTTGGAAGCTCATGAAGCGCATCACTGACAATTTCGTTCTCTTCAAGAAGCTTCTACCCAAATACAGTAGCGAAGAACTTGACTTCCCTGGAGTTAAAATCGACAGTTTCACCACTGACAAGTTGGTAACCTTCATGGATGAGTATGACGTTGACATCACCAACGCTGTCTACTTGGATGAGACTGAGATGAAGAAACAACATTCTGACATGGTATATGTCGCACGTATGCGTCGCCTAAACCACCACTCTTTCAAGGTCAACATTGAAGTCACTTCTGACAAGACTGTTGATGCCGTAGTTCGAATCTTCATGGGTCCAAAATATGATTGTGCCGGTCGTCTGATGACCCTTAATGACAAACGTTTAGATATGTTAGAGCTCGACAGTTTTGTGTACAAACTGGAGACTGGAAAGAACACAATTGTCCGTGACTCTACTGAGATGCACGGAGTTATGCAGCAAAGACCTTGGACTCGTCACATTTGGAATAACGCTGTTGGCACTATGGGTGCAATGACTAAGAATATGGACTTACAGAGCTATTGGTCCAAGACTAGGATTGGATTCCCTCACAGGCTTCTCCTGCCTCTCGGAAGTCTGGGTGGCATGCCCATGCAGATGTATGTGATCGTCACTCCAGTGAAGACTGGTATGGTTCTTCCTACCGTAGATATGAACGTGATGAAAAACCGCTATTCTTGTCGCTACAGCGTCTGTTTTGATACTATGCCTCTTGGGTTCCCATTCGACCGTGAGATTGACATGACTAAATTCTTCACCACGAACATGAAGTTCACAGATGTGATGATCTACAGGAAGGATATGTCGATGACCGCTAACTTAAGTAAAGATATGGATTTGTCAGAATACGTGATGAAGAAAGACGATTTGACATACTTAGATACTGATATGCTGGTGAAGTACACCTACAAGGACGTGATGCTAATGAGCGCCAACAACAAGATGAATATGTAAATGCTTATTGTAATAAGTAGCTATAATATTTAATTAAATAGCAGTTGTCGCAATATTAAAAAAAAAAAAAAAAAAAAAAAAAAAACATAAAAAAAAAG</t>
  </si>
  <si>
    <t>CVGDRMRFLLVAAIFAVAAASVVKNDNYFKVVIGSETLATADVKTKEICILKLLNHILQPTTYEDIKTVAMEYNIEENTDKYLKVDVVKNFIDMYKMGMLPSGEIFVHSNELHMEQAVKVFKILYFAKDFDIFIKTACWLRERINSGIFVYALTAAVFHRTDCLGITLPAPYEIYPYFFVDSHIINKAFMLKMTKAATDPVISDYYGIKVTDKNLVVIDWRKGVRRSMSENDRISYFTEDIDLNTYMYYLHMSYPYWMTDDVFDLNKERSGEILAYANFQLLARLRLERLSQGMCDIKEIMWNEPLKTGYWPKIRLHTGDEMPVRQNNVIVFTEENVKVKRLLDDVERIIRDGILTGRIERRDGTVINLKKPEDFEYLARMVLGNMNMVGDDAKVIHITNLMKQMLTYNVYNLNKYTYVPTALDMYQTCLRDPVFWKLMKRITDNFVLFKKLLPKYSSEELDFPGVKIDSFTTDKLVTFMDEYDVDITNAVYLDETEMKKQHSDMVYVARMRRLNHHSFKVNIEVTSDKTVDAVVRIFMGPKYDCAGRLMTLNDKRLDMLELDSFVYKLETGKNTIVRDSTEMHGVMQQRPWTRHIWNNAVGTMGAMTKNMDLQSYWSKTRIGFPHRLLLPLGSLGGMPMQMYVIVTPVKTGMVLPTVDMNVMKNRYSCRYSVCFDTMPLGFPFDREIDMTKFFTTNMKFTDVMIYRKDMSMTANLSKDMDLSEYVMKKDDLTYLDTDMLVKYTYKDVMLMSANNKMNM</t>
  </si>
  <si>
    <t>0.900762</t>
  </si>
  <si>
    <t>CS pos: 20-21. AAA-SV. Pr: 0.5196</t>
  </si>
  <si>
    <t>SVVKNDNYFKVVIGSETLATADVKTKEICILKLLNHILQPTTYEDIKTVAMEYNIEENTDKYLKVDVVKNFIDMYKMGMLPSGEIFVHSNELHMEQAVKVFKILYFAKDFDIFIKTACWLRERINSGIFVYALTAAVFHRTDCLGITLPAPYEIYPYFFVDSHIINKAFMLKMTKAATDPVISDYYGIKVTDKNLVVIDWRKGVRRSMSENDRISYFTEDIDLNTYMYYLHMSYPYWMTDDVFDLNKERSGEILAYANFQLLARLRLERLSQGMCDIKEIMWNEPLKTGYWPKIRLHTGDEMPVRQNNVIVFTEENVKVKRLLDDVERIIRDGILTGRIERRDGTVINLKKPEDFEYLARMVLGNMNMVGDDAKVIHITNLMKQMLTYNVYNLNKYTYVPTALDMYQTCLRDPVFWKLMKRITDNFVLFKKLLPKYSSEELDFPGVKIDSFTTDKLVTFMDEYDVDITNAVYLDETEMKKQHSDMVYVARMRRLNHHSFKVNIEVTSDKTVDAVVRIFMGPKYDCAGRLMTLNDKRLDMLELDSFVYKLETGKNTIVRDSTEMHGVMQQRPWTRHIWNNAVGTMGAMTKNMDLQSYWSKTRIGFPHRLLLPLGSLGGMPMQMYVIVTPVKTGMVLPTVDMNVMKNRYSCRYSVCFDTMPLGFPFDREIDMTKFFTTNMKFTDVMIYRKDMSMTANLSKDMDLSEYVMKKDDLTYLDTDMLVKYTYKDVMLMSANNKMNM</t>
  </si>
  <si>
    <t>Basic juvenile hormone-suppressible protein 1</t>
  </si>
  <si>
    <t>Q06342</t>
  </si>
  <si>
    <t>Sex-specific storage-protein 1</t>
  </si>
  <si>
    <t>P09179</t>
  </si>
  <si>
    <t>Allergen Cr-PI</t>
  </si>
  <si>
    <t>Periplaneta americana (American cockroach) (Blatta americana)</t>
  </si>
  <si>
    <t>Q25641</t>
  </si>
  <si>
    <t>TRINITY_DN48525_c0_g1_i1.p1</t>
  </si>
  <si>
    <t>CGCTCATGTAACATACAATTAAACTCTTACTTAAGTACTCTTTATTTGAACTTTCATTTAAGGTGACCACTGTGTCATTAAAACGCCCGCTAGATAGCCGACCCTTTGATAAAGCCAGTATAAATAGGCGTTGCATTCAATGCACATGCACTGGCAAGCATGGCTCGTGTGGTGGCGTGTGTGTTCGGCCTGCTCTTGGCTGGATGTCTCTCGACACCAGTTAAGAAGACTTCTCATAAAGTTGCTGATCCTACATTGGCACGGCATCAATATGATTTACATGTCTTATGTAATCATATACATGAACCGAATCATATTCCAGCATGCCATGCTATCTCTGAATCCTGGTCTCTCGAGAAGTTAATTGACCATTGCGGGAATGTGACTGCTGTTAAAACGTATATTGAAATGATGGAAAACGACTGGATTCTACCTAGAGGAAAGCCGTTTTCAATTCTTGTACACCAGCATCACTACGAAGCTGTCACTCTGTTCCACGTACTCTACTCGGCAAACAACTATGATAGTTTCTATAAAACTGCCGTCTACCTGAGAGACCGTGTCAACGAGAATCTCTTCGTTTATGTGCTTAATGCTGTCGTGCTGAAGCGGTCAGACACTCAAGGCATTAGTATCCCGCCCATAAGTGAAGTATTGCCGTGGTACTTCCACAATGGCGAAATTATAACTACTGCTCAGAGGGTCAACACGCATGGCCACCATATGGTCGAGCACTACTCATCAACCTACGAATGGGAGGACTCAGTCGTGATCAAGTGGAATGAAACCCTTTGGTCCCACCACTACGCTGAAACCATGCCCGTTATTTACTATACGCATGACACAGCTTTGAACACACTATACTACAATTTACATCTACTTCGGCCCTCTTGGCTCGGTAGCGAAGTGGTTCCACTTATAAAAGATAGACGAGGTGAGGTGTTTTGGTTCATCCACAAACAATTGGTGGCACGTTATTATATGGAGAGACTGTCTAACGGCCTTGGTGAAATTCCTGAACTCGATACTGAAATTGTTGAGGAGGGTTACGATTCTGGTCTGTTGTACCACAGTGGCGTTGCTTTTCCTGTCAGACCTAATTATTTCCATCTTGATCAACCCAAGTATCTTGAAGAGCTGCAAACCATTACGGATTACGAACGTCGCATCCGTGATGCTATAGAAAGAGGTTATGTAATTAACGGCGCCGGTGAAGAAATCAATCTGCGTACTCCTGACTCCATCGATGTTTTGGGTCGTCTGATTGAAGCCAATGTGGACTCACCTGACAGGCACTACTATGGGGACTTTATCAGTATATGGAAGAAGCTTTTAGGAAACTCTATTCATGAACACCAGCATTTCCACCATATCACTCCGCTGGTAGTTCCATCAGTTCTGGAACATTACCATACAGCTCTTCGTGATCCAGCTTTCTACATGATTTGGAAACGCGTGTTGGGTTTATTCGAATTGTGGCAAGAACACCTTCCTCATTACAAGCGCGAGGAGCTTGCTCTGCCGTCGGTGTCAATACAAAAAGTGGACGTCGATAAGCTGGTGACATTCTTCGAACATACCTACGTTAATGTGACAAACGCCCTGTATATGAATGAACATGAAGTTAAATACGTACACGATGACGTCAGTGTCCTGGTGCAGGAACCGAGATTGAACCATAAAGCATTCCAAGTACGGATTCACGTGAAGAGTGAAGTCACTAAGAGCGTCACGGTCAGATTATTCTTGGCACCCAAATATGACTGCCATGGTTACGAAATTCCTCTGCATATGAACACACAGAATTTCTACCAAATAGACGAGTTCGAACACAGCTTGTCCGAAGGAGAGAGTGTTATTGTGCGTAGTTCTTCCGATAACAATTTCGCTGCTTATGATCCTCCCACTATGCACGAGCTCACCCAAGAAGCTTTGAAAGCAGCTGAAGGTCACGGAGAGATGATTATTAGAGATCCAGCAAATATGAGGAAGATTCCTCATCATCTTCTGTTGCCTAAAGGTCGTAGCGATGGTATGCCTTATGTACTCTTCGTGCATATATCTGAATATCGCGCTCCGAAGACACCGTTCGGTACCGGCTTCGACCCTTCAGTGTCCGTAGGCAGCGGTACGGGCGCTCAGTACCATACCGATCAGCCCTTCGGCTTCCCAGTCAACAGGCCGCTCCACCTCTGGCAGGTAGAAGGCCTTCACAACATGATATTCCACGACGTAGAGATCTACCACAAGCATACACCCGAAGTCCACGTACCACACTGCGAATAATATACTCCGCAACACTTCTCTTTTCCAAAGCTGTTTTCATATTTCTGTATAAAAGGCGGAAATTATTTTTTATTTGTGTTTAAGCTGCTGATTGTCATTTGTGAGATGTAATATTGTGTTGATATAATATTGTATTTGTACATACTCGTATGTAATCAATTATATATATTTATTTGAATATAATTATTGTACAAGTATTTAATTGTATTTATTAAAATGTTTATGCGCATAATAAAAAAAAAAAAAAAAAAAAAAAAA</t>
  </si>
  <si>
    <t>MARVVACVFGLLLAGCLSTPVKKTSHKVADPTLARHQYDLHVLCNHIHEPNHIPACHAISESWSLEKLIDHCGNVTAVKTYIEMMENDWILPRGKPFSILVHQHHYEAVTLFHVLYSANNYDSFYKTAVYLRDRVNENLFVYVLNAVVLKRSDTQGISIPPISEVLPWYFHNGEIITTAQRVNTHGHHMVEHYSSTYEWEDSVVIKWNETLWSHHYAETMPVIYYTHDTALNTLYYNLHLLRPSWLGSEVVPLIKDRRGEVFWFIHKQLVARYYMERLSNGLGEIPELDTEIVEEGYDSGLLYHSGVAFPVRPNYFHLDQPKYLEELQTITDYERRIRDAIERGYVINGAGEEINLRTPDSIDVLGRLIEANVDSPDRHYYGDFISIWKKLLGNSIHEHQHFHHITPLVVPSVLEHYHTALRDPAFYMIWKRVLGLFELWQEHLPHYKREELALPSVSIQKVDVDKLVTFFEHTYVNVTNALYMNEHEVKYVHDDVSVLVQEPRLNHKAFQVRIHVKSEVTKSVTVRLFLAPKYDCHGYEIPLHMNTQNFYQIDEFEHSLSEGESVIVRSSSDNNFAAYDPPTMHELTQEALKAAEGHGEMIIRDPANMRKIPHHLLLPKGRSDGMPYVLFVHISEYRAPKTPFGTGFDPSVSVGSGTGAQYHTDQPFGFPVNRPLHLWQVEGLHNMIFHDVEIYHKHTPEVHVPHCE</t>
  </si>
  <si>
    <t>0.992349</t>
  </si>
  <si>
    <t>CS pos: 18-19. CLS-TP. Pr: 0.8675</t>
  </si>
  <si>
    <t>TPVKKTSHKVADPTLARHQYDLHVLCNHIHEPNHIPACHAISESWSLEKLIDHCGNVTAVKTYIEMMENDWILPRGKPFSILVHQHHYEAVTLFHVLYSANNYDSFYKTAVYLRDRVNENLFVYVLNAVVLKRSDTQGISIPPISEVLPWYFHNGEIITTAQRVNTHGHHMVEHYSSTYEWEDSVVIKWNETLWSHHYAETMPVIYYTHDTALNTLYYNLHLLRPSWLGSEVVPLIKDRRGEVFWFIHKQLVARYYMERLSNGLGEIPELDTEIVEEGYDSGLLYHSGVAFPVRPNYFHLDQPKYLEELQTITDYERRIRDAIERGYVINGAGEEINLRTPDSIDVLGRLIEANVDSPDRHYYGDFISIWKKLLGNSIHEHQHFHHITPLVVPSVLEHYHTALRDPAFYMIWKRVLGLFELWQEHLPHYKREELALPSVSIQKVDVDKLVTFFEHTYVNVTNALYMNEHEVKYVHDDVSVLVQEPRLNHKAFQVRIHVKSEVTKSVTVRLFLAPKYDCHGYEIPLHMNTQNFYQIDEFEHSLSEGESVIVRSSSDNNFAAYDPPTMHELTQEALKAAEGHGEMIIRDPANMRKIPHHLLLPKGRSDGMPYVLFVHISEYRAPKTPFGTGFDPSVSVGSGTGAQYHTDQPFGFPVNRPLHLWQVEGLHNMIFHDVEIYHKHTPEVHVPHCE</t>
  </si>
  <si>
    <t>Hemocyanin/hexamerin</t>
  </si>
  <si>
    <t>Acidic juvenile hormone-suppressible protein 1</t>
  </si>
  <si>
    <t>P22327</t>
  </si>
  <si>
    <t>Larval serum protein 2</t>
  </si>
  <si>
    <t>Q24388</t>
  </si>
  <si>
    <t>TRINITY_DN0_c2_g1_i4.p1</t>
  </si>
  <si>
    <t>CAGGATAATGGGCAGCAGCGTTATTCTGTTATTTAATCAAAATCTACTGCGATCTCCAAGATGCGTGCCAAGCGTGGAGATTATGGCGAATCCCTCCTTTTTAAGGAGGAGGCTCATGCTCAACAATGGACTTCCACGAGCTGTTGATGATGATTATGATAATGATTACACAGCTACAAGATTTAATTATTTAATTGATCGGCACTCAGACTCACTACACTTGACTCAATATCACCCACAGTATATTTTAATTTACTCTTTGAATTCACTAGTTAGTAGAATATAGAGCTCAAATCGTTTTCACAGCTACATCCAACGAAAGAATACTAAAAAACTAAATTACTAAACTAAAAAGAATATAGAATTAGACTCTCATATAAATATAAAAGGTACTCTGTGAATTAGAATATGATAGGAGAGAAGAAATGTCGCATGACAATAGCGTGACATGTGAATGTCGCGTGCTGTTGACCAAACGTTGCATGTCGAGCGCTGGGATTAGAGATATGTCGCATGGTGACATGCTGAGAATAAGAAAAAACGATTTCAAACGACATCCGCCATTTTTTTTCGAGATATGTCTATGAGAGATTAATCTCTACGTCGCGAGAATTAGCCTCCAGATAAGCAATATTATAAATATGGTCTTGTCACCCTAGGCCGCTACAGTTAGCTTCGACTTCGAGAACGATGAAGGCTGTCGTAGTCCTCACGGGGCTTATTGCCCTCGCATTAAGCGGAAATGTTCCAATCAAGCCCACTTATAAGACGAAATCAGTTGACAGCGAATTCGTTATACGCCAAAAAAAAGTTCTCTCTCTCTTAGAGATTATAGAACATGAAAACTCTTTCTATTTCGCAATTGGCAAAAACTACAGCATCGAAGCTAACATTGAAAACTATTATAATACGGAAGCAGTCGAAGATTTCTTGAAGCTATACACAACTGGTTTCTTACCTAAATTCTTCGCATTCTCTGTCTTCAAAGAAAGACAAAGAGATGAAGCTATCGCTTACTTCCGTATATTATACTATGCCAAGGACTTCGACACCTTCTATAAGACGGCTGCTTTCGGAAAGATTTATCTCAATGAACCTCAGTTCTTTTACGCGTTCTACATCGCTCTGCTTCATCGCAACGACACTCAGGGTATTATTTTGCCTGCTGCTTATGAAACCTACACGAACATGTTCGTTAATATGGATGTGATCAACAGAATCTACAACGCAAGGATGGCAGGAATCACGAATCCCGGTGCATATGAACGCGAGTATGGTTTAGTTAAAGAAGACAATAAATTAGTATTCTATGCCAACTACTCTGATGCCTCAAGTTATCCTAACGAAGAGTCCAGATTGTCTTATTTCACTGAAGATATTGGCGTGAATTCTCATTACTACTATTTTCACACTCACTTACCCTTCTGGTGGAGCTCCGACAAATACGGGGGATTATTAAAAGAACGCCGTGGCGAGATCTACTTTTATTTTTACCAGCAGATGTTAGCCCGTTACTCTCTTGAGCGTCTTACCAATGGCATGGGAGAAATTCCAAAGTTTTCATGGTTTTCAAAATTCAAGACTGGTTACCACCCATACCTGATTACCTACATTCTTCCATATGCTCAAAGAAACAATGACTACGAGGTTCACTCCGAAGAAAACTACGAAGCCATTCGCTTCCTTGACACATATGAGAAAACATTCTTCCAGTACTTGCAGGAGGGTAATTTCAAAGCGTTTGGCAAGGATATTGATGTCCATAAATCAAATGCTGCCAACTTTGTTGGCAGTTACTGGCAAACCGATGCTGATCTGTACTCTGAAGACATTACTAAAGACTACCAACATTCTTACGAAAGCACTGCTCGCCGTGTGCTTGGCGCTGCCCCCGACGCTTGGGACAAATATACTTTTATGCCAAGCGCTCTCGACTTTTATCAAACATCTATGCGTGACCCCGCCTTTTACCAGCTCTACCAAAGGATTGTCGACTACCTGATTGACTTCAAAGAATACTTAGAGCCCTACACTTATGAAGAGCTTCACTATGTTGGTGTCAAGATCAACGATGTGAAAGTCGATAAAATGGTCACTTACTTTGACTACTATGACTTCAACGCCACCAATGCTGCTTTCTTTGCTGGAGACGAGCTCAAGACTGACTACCCCTATGATTTCGTTGTTCGCCAGCCTCGTTTGAACCACAAACCCTTCACCGTCTCCATTGATGTCAAATCAGATGTCGCTTCTGATGCCGTCTTTAAAACCTTCATTGGCCCAAAATACGATAGCAATGGATTCCCCATCAGTATGGAGCAGGACTGGATGAAGTTCGTGGAACTCGACTGGTTTATTCACAAACTGGTTCCTGGTGAGAACAAGATTGTCAGGAAATCTGAGGAATTCGTCTTCTTCAAGGATGACTCTGTTTCCACCGAAGAGATCTACGAGCTATTGGAACAAGGAAAAGTGCCCCATGATATGTCGGAGACGCCTTTCAACATTCCCAGAAGATTAATGTTGCCTAAGGGTACCAAGGGTGGTTTTCCCTTCCAGATGTTCGTAGTCGTTTACCCGTACAACGGTGTCAAACAAGAGAATGTATTCATCAACTACCTTTCAGAAAACAAGGCTTTCAATTATCCCCTCGACCGTCCATTGAACGAGGCTTACTTCAAGCAGCCCAACATGTTCTCTGAGGAAGTGCATATTTACCATGAAGGTTCACCTTACACCTGGGAATACAACGTTCCTACATATTTCAATCATCAAAACAAGGCGTAAGACACAAAGAAATGTGATATACTAATAATGCAGATTGTTAAGCTTACGTGGAATGTGCGTATAAACAAAATCAAAATAAAAATAAATTATTAAATAGTTGTAATTATTTAATATCCTATCTTTTTCATACAATCATCGATTAAAAACATTACATTATTTAATTTCATTTGAAACAACTTTTTATTTAAGCAATTGTATATGTAGACCTAATTTTAAAAACAGTCTGCATTTTGTTGAACCGTGATTGATTAAACAAACTAGCGTTCAATGGCAGATTGACATGGTATAGTACCAACCAACACCGTCCTGGAAGTCTACTAATAGATAAATCTCAGAAGGACATTAAAAGGGGGGTTTTAGCCTTAATCCCCAGGCTTGTTAGACATCCTGGAGGTGGCAGTAGACTGTTTGAATTTCAGAATAAGCTCTATCCTATAACTGGTCACACAGCATCCAAGCAAACAGATGATGTGATATTGTTATTACGTTGTACCATATGGAAAATATAATATGAAATAAATATCTAAAGACATGCCGATACATATTCACTTATTACGTCCTGGTTAATATAACATTAATTAATACTTATTATTAATAGTTCTTAAACTTAAAATTACATCAATATATTTAGGCACTAAACGGATCGTTGATACCTTAAATATGACTTCAATTTTCTTTATTGACTCGTAAGACTAGACTAAGACTAGACAAAAGTACATCATAGTATTTAGTGGAATGAGTAAGTATACCTAAGTATACCAAAGTATGTTCAAGCCTCCTAGGAAGTGGTCCAGGCGGACCCTCAGGGGTCTACGCCAGCTGTCAAAATCACATTTGAAGTTGATGAATTTGCACAATTTTTGACACCTGGCG</t>
  </si>
  <si>
    <t>MKAVVVLTGLIALALSGNVPIKPTYKTKSVDSEFVIRQKKVLSLLEIIEHENSFYFAIGKNYSIEANIENYYNTEAVEDFLKLYTTGFLPKFFAFSVFKERQRDEAIAYFRILYYAKDFDTFYKTAAFGKIYLNEPQFFYAFYIALLHRNDTQGIILPAAYETYTNMFVNMDVINRIYNARMAGITNPGAYEREYGLVKEDNKLVFYANYSDASSYPNEESRLSYFTEDIGVNSHYYYFHTHLPFWWSSDKYGGLLKERRGEIYFYFYQQMLARYSLERLTNGMGEIPKFSWFSKFKTGYHPYLITYILPYAQRNNDYEVHSEENYEAIRFLDTYEKTFFQYLQEGNFKAFGKDIDVHKSNAANFVGSYWQTDADLYSEDITKDYQHSYESTARRVLGAAPDAWDKYTFMPSALDFYQTSMRDPAFYQLYQRIVDYLIDFKEYLEPYTYEELHYVGVKINDVKVDKMVTYFDYYDFNATNAAFFAGDELKTDYPYDFVVRQPRLNHKPFTVSIDVKSDVASDAVFKTFIGPKYDSNGFPISMEQDWMKFVELDWFIHKLVPGENKIVRKSEEFVFFKDDSVSTEEIYELLEQGKVPHDMSETPFNIPRRLMLPKGTKGGFPFQMFVVVYPYNGVKQENVFINYLSENKAFNYPLDRPLNEAYFKQPNMFSEEVHIYHEGSPYTWEYNVPTYFNHQNKA</t>
  </si>
  <si>
    <t>0.979220</t>
  </si>
  <si>
    <t>CS pos: 16-17. ALS-GN. Pr: 0.5167</t>
  </si>
  <si>
    <t>GNVPIKPTYKTKSVDSEFVIRQKKVLSLLEIIEHENSFYFAIGKNYSIEANIENYYNTEAVEDFLKLYTTGFLPKFFAFSVFKERQRDEAIAYFRILYYAKDFDTFYKTAAFGKIYLNEPQFFYAFYIALLHRNDTQGIILPAAYETYTNMFVNMDVINRIYNARMAGITNPGAYEREYGLVKEDNKLVFYANYSDASSYPNEESRLSYFTEDIGVNSHYYYFHTHLPFWWSSDKYGGLLKERRGEIYFYFYQQMLARYSLERLTNGMGEIPKFSWFSKFKTGYHPYLITYILPYAQRNNDYEVHSEENYEAIRFLDTYEKTFFQYLQEGNFKAFGKDIDVHKSNAANFVGSYWQTDADLYSEDITKDYQHSYESTARRVLGAAPDAWDKYTFMPSALDFYQTSMRDPAFYQLYQRIVDYLIDFKEYLEPYTYEELHYVGVKINDVKVDKMVTYFDYYDFNATNAAFFAGDELKTDYPYDFVVRQPRLNHKPFTVSIDVKSDVASDAVFKTFIGPKYDSNGFPISMEQDWMKFVELDWFIHKLVPGENKIVRKSEEFVFFKDDSVSTEEIYELLEQGKVPHDMSETPFNIPRRLMLPKGTKGGFPFQMFVVVYPYNGVKQENVFINYLSENKAFNYPLDRPLNEAYFKQPNMFSEEVHIYHEGSPYTWEYNVPTYFNHQNKA</t>
  </si>
  <si>
    <t>TRINITY_DN30504_c0_g1_i1.p1</t>
  </si>
  <si>
    <t>U-TPTX12-Tp1</t>
  </si>
  <si>
    <t>CTATATAAACTGAATAAGTTACCAGGGTTCGTCATTCAAAGAAAAATTTACAAGTCAACGATTGTATTGAAGAAATGATTTCGACAAAATTTCTGATTTTCGTGTGCATCTGTGCAATGATGATGTCAACTGCATTAGCTGGAAACTTCTTCAAAGATCTTGAGGGGATAGGTCAAAGAGTGCGGGATTCTATCATTAGCGCTGGTCCGGCCATAGATGTTCTGACAAAAGCTAAAGACCTTGCTACAGGATCAAATGAAAACAAAGATTGAAACATACTACTACATTAAGTCTGAAATTAATATTGTATCCCATCTGAAAACTTTAGATTTAATATTAAAAATATCTGTATAAAAACGACAATTTATTCTGATACAACTTCAATACAATTGCAATCTTATTTCAGTACATATATCATGCTAGTTATTGCTCAGTACTTCGCTCCTAAGGTAATTTATTGAATAATTTCCCATATCTTAAAACCAATACACGCGGAGTGTCTTTTAAAGCTCTGGATACATGTCCTAGAAGTCTCGCGAAACATCTGTATACTGTCTAGTTTAAATGTTCTAGATTTTAAAATTCTGACACTATACAAGAAATGTCGCTAGGGTTGCAGTGATTTCGATGACAGATGGTGCTAGCGTGTCTGTTGTTCTAATATGCGATAACAGATAGCGTTGCTATTCATGTAAATGACCTAACAATATTTTAATTGAATCGTTGATTATTAAAAGGGGGTTTTATCTAAATATTGAAAGTTATGGGAAATGAAAAGAAATTAATATTTTAGGAACATGAACTTGTTAAAAAAAAAAAACAGA</t>
  </si>
  <si>
    <t>MISTKFLIFVCICAMMMSTALAGNFFKDLEGIGQRVRDSIISAGPAIDVLTKAKDLATGSNENKD</t>
  </si>
  <si>
    <t>0.990515</t>
  </si>
  <si>
    <t>CS pos: 22-23. ALA-GN. Pr: 0.9442</t>
  </si>
  <si>
    <t>GNFFKDLEGIGQRVRDSIISAGPAIDVLTKAKDLATGSNENKD</t>
  </si>
  <si>
    <t> 4559,36</t>
  </si>
  <si>
    <t>Cecropin </t>
  </si>
  <si>
    <t xml:space="preserve">Immune modulator </t>
  </si>
  <si>
    <t>Cecropin</t>
  </si>
  <si>
    <t>Cecropin-D</t>
  </si>
  <si>
    <t>O76146</t>
  </si>
  <si>
    <t>Defense protein 4</t>
  </si>
  <si>
    <t>Q5MGD8</t>
  </si>
  <si>
    <t>Putative defense protein 4</t>
  </si>
  <si>
    <t>Antheraea mylitta (Tasar silkworm)</t>
  </si>
  <si>
    <t>Q0Q027</t>
  </si>
  <si>
    <t>Bactericidin B-3</t>
  </si>
  <si>
    <t>P14663</t>
  </si>
  <si>
    <t>Hyphancin-3D</t>
  </si>
  <si>
    <t>Hyphantria cunea (Fall webworm moth) (Phalaena cunea)</t>
  </si>
  <si>
    <t>P50720</t>
  </si>
  <si>
    <t>Antibacterial peptide enbocin</t>
  </si>
  <si>
    <t>P48821</t>
  </si>
  <si>
    <t>TRINITY_DN55_c0_g2_i2.p1</t>
  </si>
  <si>
    <t>U-TPTX12-Tp2</t>
  </si>
  <si>
    <t>CCGACCATTGCCAGTCGATTCTTACTACGCGTGAAATAAACACGCTTTTTTAAAAAAGATTAAATATTTTAAGTTGTTTTTTTTTTAATTCGTCACAATGGCATCTGCCGTGATTATGTTAAGTGCCATATTAATGCTGGTCGCTGTATGCGCTGGGGATGTTTCTCACCTTCAAAACCCTCAAGCTGCGCCAGTAACGGAGGTATGCCTTGGGTGTCTCTGCCAGGCAGTATCCGGATGTAAATTGGGAACTCAGTGTGAAGGTGACGCATGCGGGTTGTTCCATATTACGTGGGCATACTGGGCTGATGCCGGAAAACCAGTCCTGCCTGGACAATCTCCTGATCAAGCTGATGCGTACCCGAACTGCGCCACCGACCCTTACTGTGCGGCGCGCGCAGTCCAAGGATACATGACTCGGTTTGGCCAGGACTGCAATGGTGACGGTCGCATTGACTGCTACGACTACATAGCGATCCATAAGAAGGGCGGTTATGGGTGCGCCGGGGAACTGCCTTTCAACTACGTCAACGTATTCAACCAGTGCATAGCCAGCGTTGCAGCCCATCAGGGATAATGTCACAGTTAAATTTCAATAAATAATTTGAAGCCCTTAAGTCGAAACTTTTTAATTCTGATTTTGTTCGTAGACTCTTATATGAAACTTATGTCTAATTACAGATTAAATTACTGTTCAATTTCACTTAAATTAGATCTAACGTATTAATTACATTGAAAACTTTATTAATATGTTAACATTTAATAGTTTTCCTTGTTCTAATGAACAAGGTTCCACAACGTACATTTTGTAGGTGCATGTAATGCGCTCAGCGGATGATATAAAGTTTAAATCATATCACTCTACGGCACTGATTCGGGCAATTCGGACAAATTGAACTTGTCACACTTAAGTTATCAAGCCAAGTCCATATTCGTCCCCATTACAAGGCCATGGACCTGCCCTAATTAGGAGGAGTATTGGGCCTCAATCTATCACGTTAGCCTAGTACAGATTGGTAGACTTTACACACCCATTAGTCTCACAAAGTTTTGCTTCTATGTTCAGTACATTGGTGTCTACAGTACATGGGTGAAATAACCCTATGGTGTGGGACTGTAATTGAACATTTGAACGCGAATCGTGCGTAACACCACTGGACCACAAATGTATTTGACTCTCATTCAAATAAATACGAATAAATATTTTTTGATTTTGAATATTATGTTGTCAAGGTAACGAATACTCTATTGAAGTTCAGATAACAGGCCGTACAAAGTGTAGTAAAACACATAAGTTATTTTAATGGAAATTCATCGTTATATAAGCCACATGTACAGCGTGCGCCAATATAGAACCGCACTTTTATATTTTTCTGGATATTTACCAAGTACTTGATGAATGTATACCCGATATTTCATTGGTACGGAGGTCTCATCATTTTTATTTTATATTACGCCTATTTTTTATTACCATTTCACTTCTTATTTAATGAGAAAAAAATCTCGCTTAGATTTATAACATTAAAAAAAACGTAATTATTTATATTGTTTTTAAAAATTGAACAATAAACTGAACTAGTCTTAGAATTATTCTGTTTTTTATTTTTATTCTCAATTCTGAACGGTTCAATAGTTTGATTCTAATCAAACTTTCAATCTGACAAGTGATCGCATAACGTACTAGCTCTGCATTCCGTAACTGAAATTTTGACGGTTGCTGGTGAATAATAATACTGTCTTTTTCGCTTACATAACTTTTTGTAAACCAAAAAGAGATAGCACATCTGTCCGCTCGTAGCAATTGGACTGAAATTCCTCCTTAAAAAGGAGAGATTTGTCATAATCTCCACGCTTGGCAAGTGTCTTGGAGATCGCAGTAGATTTTGATTAAATAACAGGATATTGCTGCTTTCCATTATCCTGGCACATCCCTTATCTGGTTG</t>
  </si>
  <si>
    <t>MASAVIMLSAILMLVAVCAGDVSHLQNPQAAPVTEVCLGCLCQAVSGCKLGTQCEGDACGLFHITWAYWADAGKPVLPGQSPDQADAYPNCATDPYCAARAVQGYMTRFGQDCNGDGRIDCYDYIAIHKKGGYGCAGELPFNYVNVFNQCIASVAAHQG</t>
  </si>
  <si>
    <t>0.996646</t>
  </si>
  <si>
    <t>CS pos: 20-21. CAG-DV. Pr: 0.5294</t>
  </si>
  <si>
    <t>DVSHLQNPQAAPVTEVCLGCLCQAVSGCKLGTQCEGDACGLFHITWAYWADAGKPVLPGQSPDQADAYPNCATDPYCAARAVQGYMTRFGQDCNGDGRIDCYDYIAIHKKGGYGCAGELPFNYVNVFNQCIASVAAHQG</t>
  </si>
  <si>
    <t>Invertebrate-type lysozyme</t>
  </si>
  <si>
    <t>EF-Hand 1, calcium-binding site</t>
  </si>
  <si>
    <t xml:space="preserve">Lysozyme </t>
  </si>
  <si>
    <t>A0A2W1BED9</t>
  </si>
  <si>
    <t>TRINITY_DN16193_c0_g2_i1.p1</t>
  </si>
  <si>
    <t>TTTGTTTAAAACATTAAAATAGAAGAAACGCAACGGGAAAATGAAGACACTATTAAGTGTTCTGTTTTTCTTTGGAACATTTATTTACGTAAAAAGTGAATGCTGTGCCGCTTATATTATTGAATATTCCGTACCAGAGGGTGTGAAGAAGTGCAATGAAAGTATTCCCGGTGGTGAGTCAAAAACGGGCGTGGACAATGACGGCGTAGTGGGCGACATACTGTCCAAGATAGATCGAAGAAGGCCGCCCTGTTGGGTCAGCGTTTGTTACGACGGACGCAATCACCCCGGCAGTTATTGCGGACACGGCTCCTGTAATGTGTTCGGCTGTAATTGTGATGGAGGATGCATTACAGGAAATCCTGAAAAACACCCAATGGATCCTTACCAAAACTTCATGGACATCTATTCACAACATGTGAAAAAAGCTCGTCTCCGTGCAGAATATGAGAATTGGCTTCCTTAGAAGTTGGACGTTAGAAGCGTTTTATAATTATATATGTATATAACTTATATTTGCTTATACAAATACAATTATAATGTGTAATGTACACAAAATGAAAATAATGTAAAACTTTAGTATCTACGACACAGGTTCGGTTTAATTTAAATACTTGCATTATTGTTTATATTATATACTACTAC</t>
  </si>
  <si>
    <t>MKTLLSVLFFFGTFIYVKSECCAAYIIEYSVPEGVKKCNESIPGGESKTGVDNDGVVGDILSKIDRRRPPCWVSVCYDGRNHPGSYCGHGSCNVFGCNCDGGCITGNPEKHPMDPYQNFMDIYSQHVKKARLRAEYENWLP</t>
  </si>
  <si>
    <t>0.990082</t>
  </si>
  <si>
    <t>CS pos: 19-20. VKS-EC. Pr: 0.5785</t>
  </si>
  <si>
    <t>ECCAAYIIEYSVPEGVKKCNESIPGGESKTGVDNDGVVGDILSKIDRRRPPCWVSVCYDGRNHPGSYCGHGSCNVFGCNCDGGCITGNPEKHPMDPYQNFMDIYSQHVKKARLRAEYENWLP</t>
  </si>
  <si>
    <t xml:space="preserve">Diedel </t>
  </si>
  <si>
    <t>Protein Diedel-like</t>
  </si>
  <si>
    <t>A0A921ZI10</t>
  </si>
  <si>
    <t>TRINITY_DN16193_c0_g2_i2.p1</t>
  </si>
  <si>
    <t>AAACACTGATTGAGGAAATATATAATACAGAAACATGAAGTTATTGTTGTTACAAATTTTTCTTTTATTTGGTACATTTGTTTACGTAAAAAGCGAGTGCTGTGCCGCTTACATCATTGAATATTCCGTACCAGAGGGTGTGAAGAAGTGCAATGAAAGTATTCCCGGTGGTGAGTCAAAAACGGGCGTGGACAATGACGGCGTAGTGGGCGACATATTGTCCAAGTTAGATAGCAGAAGGCCACCCTGTTGGGTCAGCGTTTGTTACGACGGACGCAATCACCCCGGCAGTTATTGCGGACACGGCTCCTGTAATGTGTTCGGCTGTAATTGTGATGGAGGATGCATTACAGGAAATCCTGAAAAACACCCAATGGATCCTTACCAAAACTTCATGGACATCTATTCACAACATGTGAAAAAAGCTCGTCTCCGTGCAGAATATGAGAATTGGCTTCCTTAGAAGTTGGACGTTAGAAGCGTTTTATAATTATATATGTATATAACTTATATTTGCTTATACAAATACAATTATAATGTGTAATGTACACAAAATGAAAATAATGTAAAACTTTAGTATCTACGACACAGGTTCGGTTTAATTTAAATACTTGCATTATTGTTTATATTATATACTACTAC</t>
  </si>
  <si>
    <t>MKLLLLQIFLLFGTFVYVKSECCAAYIIEYSVPEGVKKCNESIPGGESKTGVDNDGVVGDILSKLDSRRPPCWVSVCYDGRNHPGSYCGHGSCNVFGCNCDGGCITGNPEKHPMDPYQNFMDIYSQHVKKARLRAEYENWLP</t>
  </si>
  <si>
    <t>0.993825</t>
  </si>
  <si>
    <t>CS pos: 20-21. VKS-EC. Pr: 0.7490</t>
  </si>
  <si>
    <t>ECCAAYIIEYSVPEGVKKCNESIPGGESKTGVDNDGVVGDILSKLDSRRPPCWVSVCYDGRNHPGSYCGHGSCNVFGCNCDGGCITGNPEKHPMDPYQNFMDIYSQHVKKARLRAEYENWLP</t>
  </si>
  <si>
    <t>0.999645</t>
  </si>
  <si>
    <t>TRINITY_DN44_c1_g1_i1.p1</t>
  </si>
  <si>
    <t>U-TPTX14-Tp1</t>
  </si>
  <si>
    <t>AAAACATTTCTACCAATCACAGCCATACACACGACGGACGCTGCCACGTCAAGAAAGCAAGACGGGAGTTGCGTGTGAAGTGGCATTTATCATAATTTGTGCCGTCATTTTATTGAGTGTCGTCTTCAGAGTTAGTTTGTGAATTGCGAAATATTTCAAAATGACAATTATTTTATTCACGGCTATAGCCTTATTAGGTGCCGTTATTGCAGACGATGTACCAACGGAAGACAATGTTCTGGTTTTGAGTAAATCCAACTTTGATAGTGTCGTCTCGTCAAACAACTTTATTTTAGTGGAATTCTATGCTCCATGGTGTGGCCACTGTAAATCCCTTGCGCCGGAATACGCGAAGGCAGCCACAAAACTAGCGGAGGAAGAGTCCCCGATCAAGCTAGCTAAAGTAGATGCCACGCAGGAACAAGAACTCGCCGAAAGTTACGGCGTCAGAGGCTACCCCACTCTCAAATTCTTCAAAAACGGCAACCCTATTGACTACTCAGGTGGTCGCCAAGCTGATGATATTATCGTGTGGCTGAAGAAGAAGACTGGTCCTCCAGCCCTTGAAGTTACATCAGCTGAACAGGCTAAGGAGCTGATTGCTGCCAACAATGTTATTGTATTTGGTTTCTTCCCCAACCAAGACACTGACAAGGCTAAGGCCTTCCTTAACATTGCTGGTGCAGTTGATGATCAGGTCTTTGCCATTGTATCTGATGAGAAAGTTATTGGTGAATTGGAGGCTGAAGAAGAAGATGTTATTCTCTACAAGAACTTTGAAGACCCTCGCGTCAAGTATGATGATGAGAAATTCAACGAGGACCTGTTCAAGACCTGGGTGTTTGTCCAAAGTATGCCCATTATCGTTGAGTTCTCCCACGAGACTGCCTCCAAGATCTTTGGCGGACAAATGAAACTCCACCTACTGTTATTCCTGAGCAAGAAGAACGGTGACTTCGCCAAATACGTGGAGGAGCTCAAGGGTGTTGCCAAGAACTACCGCGACAAGGTCATGTTAGTCGCGATCGACGCCGACGAGGATGAACACCAGAGAATCCTTGAGTTCTTCGGCATGAAGAAGGAAGAGGTCCCGGCCGCTCGATTGATCGCCCTGGAACATGACATGGCCAAATACAAGCCGGCTAGCGATGAACTCAGTGCCAACACAATAGAGGAATTCATACAATCGTTCTTCGCGGGCACTCTGAAGCAACATCTGCTGAGCGAAGACCTGCCCGCCGACTGGGCCGCCAAGCCCGTCAAGACTTTGGTCGCCACCAACTTCGATGAGGTTGTCTTCGACAACACCAAAAAGGTCCTCGTTGAATTCTATGCACCTTGGTGCGGCCATTGCAAGCAGCTCGTGCCTATCTACGACAAGCTGGGCGAGCACTTTGAGAAGGACGATGACGTCATCATCGCTAAGATGGACGCCACCGTCAACGAGCTTGAGCACACCAAGATCACGTCGTTCCCCACCATCAAACTGTACACCAAGGACAATCAGGCGCACGATTATAACGGTGAGAGGACGCTCGCGGCACTAACCAAGTTCGTGGAGACGGACGGCGAAGCCTCCGAACAAGTGCCTTCAGTGAGCGAGGATGAAGAGGAAGATGAGCTGCCAGCCAGAGATGAGTTATAAGCGCTCGCCGCCCACTACACTCTTATGAGACTTCCATAGCATAGTACTGTATAGATTATAATTATTTACTTTTATACTAACAGGTTCGCATTTCTTAGCTAGACTATTACTGACATATTCTCTAAACTGATTTAAATTAATTGTGGGTTGTATTCGAACGAATTTTCTGTTATACTTTTGACGTACTTTTTTATTAATTTACAAAATATAAATATGGAAATCTACCAACAATGACACAAATATTTGTTTGCGTGAACTTATTCAGGTGATCAAATTTTGATTACCTGAAGCTTTTTTGTCTCGAAAATTATATTCTATTTATTAAATTGTACATACATACACCACGTCTATATACCATAAGTCACGCGACTTTCCCATTGGGGTAGGCAGAGACCACTTTTTCGACCTGCTACGATCGTTTAATGTAGCAAAGTTGCTATCCGCAGCCCACATTTCGCCCTCGCGGGTAACGAGACGAGTTGGGT</t>
  </si>
  <si>
    <t>MTIILFTAIALLGAVIADDVPTEDNVLVLSKSNFDSVVSSNNFILVEFYAPWCGHCKSLAPEYAKAATKLAEEESPIKLAKVDATQEQELAESYGVRGYPTLKFFKNGNPIDYSGGRQADDIIVWLKKKTGPPALEVTSAEQAKELIAANNVIVFGFFPNQDTDKAKAFLNIAGAVDDQVFAIVSDEKVIGELEAEEEDVILYKNFEDPRVKYDDEKFNEDLFKTWVFVQSMPIIVEFSHETASKIFGGQMKLHLLLFLSKKNGDFAKYVEELKGVAKNYRDKVMLVAIDADEDEHQRILEFFGMKKEEVPAARLIALEHDMAKYKPASDELSANTIEEFIQSFFAGTLKQHLLSEDLPADWAAKPVKTLVATNFDEVVFDNTKKVLVEFYAPWCGHCKQLVPIYDKLGEHFEKDDDVIIAKMDATVNELEHTKITSFPTIKLYTKDNQAHDYNGERTLAALTKFVETDGEASEQVPSVSEDEEEDELPARDEL</t>
  </si>
  <si>
    <t>0.996978</t>
  </si>
  <si>
    <t>CS pos: 17-18. VIA-DD. Pr: 0.9647</t>
  </si>
  <si>
    <t>DDVPTEDNVLVLSKSNFDSVVSSNNFILVEFYAPWCGHCKSLAPEYAKAATKLAEEESPIKLAKVDATQEQELAESYGVRGYPTLKFFKNGNPIDYSGGRQADDIIVWLKKKTGPPALEVTSAEQAKELIAANNVIVFGFFPNQDTDKAKAFLNIAGAVDDQVFAIVSDEKVIGELEAEEEDVILYKNFEDPRVKYDDEKFNEDLFKTWVFVQSMPIIVEFSHETASKIFGGQMKLHLLLFLSKKNGDFAKYVEELKGVAKNYRDKVMLVAIDADEDEHQRILEFFGMKKEEVPAARLIALEHDMAKYKPASDELSANTIEEFIQSFFAGTLKQHLLSEDLPADWAAKPVKTLVATNFDEVVFDNTKKVLVEFYAPWCGHCKQLVPIYDKLGEHFEKDDDVIIAKMDATVNELEHTKITSFPTIKLYTKDNQAHDYNGERTLAALTKFVETDGEASEQVPSVSEDEEEDELPARDEL</t>
  </si>
  <si>
    <t>Protein disulphide isomerase </t>
  </si>
  <si>
    <t>Protein disulfide-isomeras</t>
  </si>
  <si>
    <t>A0A2A4J7L8</t>
  </si>
  <si>
    <t>Spodoptera exigua (beet armyworm) (noctua fulgens)</t>
  </si>
  <si>
    <t>TRINITY_DN6715_c0_g1_i2.p1</t>
  </si>
  <si>
    <t>U-TPTX8-Tp1</t>
  </si>
  <si>
    <t>TTAGAAGCGGACAGTGACTCGCAGGCAAGCGCATTGGCTGTACTTACCTGATCAGTTTATACGTTGCCATAATTATAATATTAAAAAATGAAGACCCAGTGTATTTTATTTGTGATAGCACTTCTCTCAAGCCCAGCCTTGGGATACAAAATTAAGCGACAGACGAATGAACAAAATACTGATTTGAACGACAGGCCTACTGTATCGAGTGCATTAGGCACTTGCATCACCAATTGCCCAGTAACACCCGAGTACAATCCAGTTTGCGGAAGTGACAGCATTACATATACCAACCCAGGGCGACTGTCGTGTGCGCAGATTTGTGGCGTCAATGTCACTCTTGCTAGAACAGCGCCCTGCCCGCCGTCCACTCAGGCACCGAGCCAATAATCAAACTTATTTTAATAATAAGTGAATGACTAATAAATGACACATTCTTTGTATATTCTATTTTTTTTTCTACACTTGAATATCAAACAAAGGTTAAATTGCGCTAAATATGACTTTTAAAATTTACTATATTTGAGGGTTTTCTATCGATTAAAATTTATTTTAAACCAACAACGCGTGTTTGGGTCTTCTGTAGAATTACCGTTAACAGAG</t>
  </si>
  <si>
    <t>MKTQCILFVIALLSSPALGYKIKRQTNEQNTDLNDRPTVSSALGTCITNCPVTPEYNPVCGSDSITYTNPGRLSCAQICGVNVTLARTAPCPPSTQAPSQ</t>
  </si>
  <si>
    <t>0.999242</t>
  </si>
  <si>
    <t>CS pos: 19-20. ALG-YK. Pr: 0.9710</t>
  </si>
  <si>
    <t>YKIKRQTNEQNTDLNDRPTVSSALGTCITNCPVTPEYNPVCGSDSITYTNPGRLSCAQICGVNVTLARTAPCPPSTQAPSQ</t>
  </si>
  <si>
    <t>Serine protease inhibitor Kazal-type 4-like</t>
  </si>
  <si>
    <t>Kazal</t>
  </si>
  <si>
    <t>Kazal-like domain-containing protein</t>
  </si>
  <si>
    <t>A0A922CHE8</t>
  </si>
  <si>
    <t>TRINITY_DN92_c0_g1_i7.p1</t>
  </si>
  <si>
    <t>U-TPTX8-Tp2</t>
  </si>
  <si>
    <t>CAAATATGGCCGACCGATCTCTGACGCACTGCGAACGCGGGGATTTACAAGAACATAATGTGGCCTTACTTCACTTGGGAAATAATATTCTCGTATATAAACCTCCGTGGTTGCTTCATTACATCATAATTCGCGTTAATACCGGTACTAATAATACGCGTTAATACGGTACAGTTCCACGAATACTGACTGAAACAATATTTACTGACCCCACTGATAACCTTTTGAATATTTAATATATAAAGTGATTTTATAACAAAATAATCAGTCAGTTTCAGAACATCGACGCGTATGCCAAGTTGGAAAATTCAAAATGGCTCTTAAATTCGGAGTACTGTTATTGATTGCCGCACACGTGTGCACAACTATGGCGTTGCCGCCATGCGTGTGCACACGTGACCTGACCCCTGTCTGCGGATCTGACGGCAAGACATACAACAACCAGTGCTTACTGGACTGCGAACGAATCACCAACAATAAAGAACTCACCACAGTCAAGCATGGGCCGTGCAAAGACCAAGAGATACCACGTGTCTGTGTCTGTAAGTTTGATTACAGACCTGTCTGCGGCACCGATGGAACCACCTACTCAAACAAATGCAGCCTCGAATGTCAACAGTCAAGAACACCTAATCTAAAGGTTAAACATAACGGTGAATGCGTTGATGAGGTAAAGGTAGCAGAATTGCCGCCCTGCGTCTGCACAAGGGATAAGAACCCAGTTTGTGGCAGCGATGGGAAAACGTACTCTAACGACTGTTTACTAAATTGCGCGACTGCAACTAATAATTTATTGAGTATCGCGCATCACGGCCCGTGCTCCGATGTTAAAGTGGTGGATACGCCAGCGTCAGTGCAGCCAGAATGTGCTTGCACTAGGAATTTCACTCCTGTGTGCGGTGCAGACGGACACACATATAATAATATGTGTTTGTTGAACTGTTCTGGAGTGCAGTTAGCTAAAGATGCGCCCTGCGATGCTTAGATATTATTTATCGCAATTACTGATGTTTAAGGCTCCGCACTGCATTAAACGCAACAGATTGCACATTAAACGCAAATTCAGTTGAGTGAACGGCCTACTATAGCAAGTTATCTGCTCTCTGCATTGAAATGCACGCGCAAGTCATATCTGCTGTCAGACTAAATCGACGCATAGAACGTCGTAATCTGCTTACGCATTCAGGGACCGTTCTAAAATATTTCTCGAAAATATAATATGACAGATATTTTATTATTACTCAATAACGAATCTAAAATATTTTTTATTAACAATACTGCCAGCCTTTTCTGTAAAACAAAAATTACATTATGCCTAATATTTAGACCAGAGGTCTCCAAACTTTTTTGTATTGTATTGTGTTTTTCGCTTTTGGGTCGACCCCCTGTTTGGCTAACATTGAATTTTAGCTTTAGCCAACATTTAATTTTTACAAATTAATCAGCTTCAAAGGTGTTTTTAACAGCAGGCGTGGATCCTTTGCAGGTCATCGTCGACCCGTGGGGTCAATATAGACCACTTTGTGTATCAATGATTTAAACCATAAAGGCAATTACTAGTTAAAGTTCTGTGACTATCACAGATCTCAGGTGACTATGAATGAATTCTTTCGAATCAACTAATCATTCTAATGCACTTAAAAACATTCAATTTGGAGGCGACCGACTCGACGACCAATGAACTGTGAACGTAATATCTGTTCTTATAGCATTCTATGGTTATTCGAATAAAATCAATATTTATAATACTAATTTTGTATTCTAATTGAAATATTAGTAATTACTGTTGAAATCACCGATATTCGCAATTCACTATTTCTAGTAAGTACATTTTATTAATTCAGCGCCAGATCTACGATTTTTTCGAATCGGGGCAGGAACTTGATAGTGGCGCCCCTCTCTCCAGCGTTTAAGATAAATCAATCACTTTAAAAACTCACAAATTATATATTTGTGAGTTTTTAAAGTGATTTGGCATTT</t>
  </si>
  <si>
    <t>MALKFGVLLLIAAHVCTTMALPPCVCTRDLTPVCGSDGKTYNNQCLLDCERITNNKELTTVKHGPCKDQEIPRVCVCKFDYRPVCGTDGTTYSNKCSLECQQSRTPNLKVKHNGECVDEVKVAELPPCVCTRDKNPVCGSDGKTYSNDCLLNCATATNNLLSIAHHGPCSDVKVVDTPASVQPECACTRNFTPVCGADGHTYNNMCLLNCSGVQLAKDAPCDA</t>
  </si>
  <si>
    <t>0.999367</t>
  </si>
  <si>
    <t>CS pos: 20-21. TMA-LP. Pr: 0.9257</t>
  </si>
  <si>
    <t>LPPCVCTRDLTPVCGSDGKTYNNQCLLDCERITNNKELTTVKHGPCKDQEIPRVCVCKFDYRPVCGTDGTTYSNKCSLECQQSRTPNLKVKHNGECVDEVKVAELPPCVCTRDKNPVCGSDGKTYSNDCLLNCATATNNLLSIAHHGPCSDVKVVDTPASVQPECACTRNFTPVCGADGHTYNNMCLLNCSGVQLAKDAPCDA</t>
  </si>
  <si>
    <t>Kazal domain, SERINE-TYPE ENDOPEPTIDASE INHIBITOR</t>
  </si>
  <si>
    <t>A0A922CLU7</t>
  </si>
  <si>
    <t>Serine protease inhibitor dipetalogastin[...]</t>
  </si>
  <si>
    <t>Dipetalogaster maximus (Blood-sucking bug)</t>
  </si>
  <si>
    <t>O96790</t>
  </si>
  <si>
    <t>Major royal jelly protein/protein yellow </t>
  </si>
  <si>
    <t>TRINITY_DN1333_c0_g2_i2.p1</t>
  </si>
  <si>
    <t>TCGCAATCCAGCAGCTGGAGCTCGCGCAGATCTTGTTGAACTAGATAAGATTACATTTGGTTGATATCTATAATAAGGATAATGGGGGCAATCGGTTTACTCGTTGTCCTTGCAATGACATCAGTGTGCCACGCTGCAACACCTCAACTTCGATTTGCATGGAAAGAGGTGGACTACACCTGGGAATCCCCAGAAATTCGCGATAAAGCTATTAAAGATGGAAATTTCGTGCCTGCTAACAATGTTCCTGTGGGATTGGCACGTTGGAGGAATAAACTATTTGTAACCGTACCTAAATGGAAATCTGGAGTTGTTTCGTCATTGAACTACATAGATGTAGATGGCCCTCAAGACCAACTTCTGAAACCATATCCTTCGTTCGAGGACAACTTTATTTCTGATTCAGCAAAGAGCTTGATTTCAAATAGTACAATAGTTTCAGTATTTCGAGTATATGTTGACGAATGTGACAGACTTTGGGTGATTGATTCTGGATTGGCTGATATTTATGGTGTTGCCAATCAAGTGAACGGTCCCTCTATTGTGATATTTGATTTAAAAACTGATCAATTCATCCATCGGTATCAGTTTAAAGCAGAAGACATGAAAGAAGATTCTTTCTTTGCTAATATTGTCGTGGACACGACGAAGGATACCTGCGACGATGCGTATGCTTATGTCGCCGATTTAGGAGGCTATGGTGTTGTTGTGTACAGCTTAAAGCAGGACGACTCTTGGAGGATCAGTCATCACTATTTCTACTTTGAACCTCTCGCTGGCTCCTACAACGTGTCGGGTATCGAGTTCCAATGGACCGATGGCGTATTTAGTCTGGCCTTATCAGAACCCAGAGATGACGGATACCGAATAGCGTTCTTTCACTCATTCTCAAGCACCAAGGAGTTCTGTGTGTCCACCGAGCTCCTACGCAATTACAAACACATCGACAAAGAAGAAGCGTTCCACGACTTCAAGCTGTTGGGAGACCGAGGTGAACGCACCCAATCGGCAGCCAGTTATTATGATCCAAAGACACATGTGCTGTTTTATACACAGGTGAATCGCTATGGAGTCGCATGTTGGAACCCAAGCAAGCCGTACACACCGGAAACCAACGAGTTATTTATTCACGATGAAAATCTTTTTGAATTCCCTAATGACTTGAAGGTTGACAGCGAAGGTACTCTGTGGGTGCTTTCTGACAGGTTGCAGCGTTTCCTGTATAGGAGCCTCAATCCTAACGAGATCAACTTCAGAATATTCAGTATCGACACTACTGAAGCCATTAAAGGGACAGCTTGTGAATAATTATTACCTTAAATGTAATGATGTACTAGATCTACTGGTTTAGTCGTAAAGGATTTTTCTATTTAATCCTGATACCTGGAGTAGTAGATTTCGAATTAAGTATTTACATTTCAAATGTCCGCTATAAGTACAATAGATTGAAAATTAACGTGTTATTTCACATAACAAATGCATAGAAGGAATAAATTTTAACAGAATATGTTTTTTGTAAAAATTATATTTTATGTACAGTAGAACCGGGCATTAACATAATAATACAGTTGTAATAATATCGTGCAAATTAAAATTAATGAGGGAATGAATGTGATAATATTTTGTCACGCATCAAGACACGCGGACACCGTTTTATTTGTAATACTAACAGTTACCCGCGCCTCTGATTGCGCTCTTAATACACAATTTATATTATGATGAACTGATATACATATTTAGAAATTCAAGTGAGGAATAATTCCTCACTTGAATTTCTAAATATTTCTAATAATTTCTTTTGCTTAAAACACTATGTTTTGGATGACTGGCGTTATGCAGTCTGATCGCATATGAAGTAATATATCCAAGATAGTAGGTGGTATCCATAACGCTGTAAATTACCTCCAGGTACTCCATTGAGGCGGTTTGGCCACAATCTACGTCGACTAAGAGAATGCGTCTGTATTATGACCGAGAGAATAGAAGGTCCTTTGATATAACTTTCCACGGGACACCATCTCTTAGATAAAACAAAATTCTGAAATAATAATTTTATTTCCAAAAATAAAATCGCATTGAAACCGGCTATCTACATTCAGAGAAACACATCCAGAAAATCACTCCCTGCTGGTTTATAACCGTAAAACATAACTAACAACTTACTCTGAAGTAATACTATTTTTTATCAATTACATACAGCTGAAATGATCAAAAAAGTTTCAATCGAATTAGATAGGTAACAAGAAAAATATCAACGTATTCAAAAAATGTTAGATCATAACGGTTATGCTAAATCATAATTTCTGTTACACTTATCTAAATGTGAATAAACAAAATTTATGTTCCCTTCGAGACCATAAGCAGTATATTAAGGAAAACTCTATCAAAATCAATCGTTTTTGCTTGATTTTGTATAAAGGATAGACAAAAATATTTCAACCTCTAGATCAATAAAGGAATGTATCGCAATTCAATTTTCAAAATATCTAATGTTACAAACAAGTTTCATTTTATTAAAACTGTATACATTTTCTGTGATAGCATCGTAGATGATGTGTTGCTATCATAGAAAAAAAGCTATTACATTTTTTTGTGGCAGCATCGATCACCTATGACGGAATTACAAAAAAATGATTATAATTTTTAATTATCGCAGCAAAAATGTAACAAATGTAATTCATTATTTTTAATCAAGTTTCTAGCAGGATACTTCAATAAATTACTAAAGCCAATGTTTAAAGTTGTTTTCTTAGCTATAATAGAAATGAATAGTACATTCTTACATTAAACATTTTAAATGTCGGTGCATGCATGCTATTACACTGGAATTTCATAGTAATTATTATAAAATCATTATGAATTGAAATAAACTTGATATATTATTATTAATAATCAATTATATAAATTTATTGTTAATAGTAGTAAGGTAATTATAAACACTTATATTGGCTTAATTTATTACGATAATACAATATTAAAAAATATACACAAACATTTTTCCTTAGACGTACGTATAATAGCATATAAGATGCATTTTATTAATATTTAGAAGCGGTTTATAATGAAGGTTATAGAAAATCATTGCCAGAACCAGATTATACTGATAAATAGTACATAATGTTTTAAATATCAGTGATAATTATTTTGGTTTAAATTTTATTTTATTAAAACGAGTTGGTCTACTGTGACAGAGTTGGATACTTGATAATAGCAATTGTATTTCTGTTAATTCTTTGAAGTCAGCATGAATATGATGATTTTATATGACTATTATTTTGAGTGATTGAGTCATTGTGCCAATTGCCGCCCATAACGAATCCATTTAGATGGTGAGTTGTTTACTGCTTTGTGCTTGTTCTGCCAGCTGATTACGCACCTTGGAAGAGTTTGAAGTTTGTTTGATTGTTTTTAACTGCAAAAATAATCAAACCTTAATGTCACACGTCATTTAAAATGAAATATAATATTTAAAATATTTATTTGCGTGAAACATGGTGTCTATATACCAGATGTTGTTTAAAAAAGATGTTGTTTATAAAAAACAAGCAGCACATTCCATATATTCCATAAGTATGCAAATATGCAAAAACCACAATGTGCCAGTTGAAAAAATCAAACATGCTTTAAAAACAGTTTACAGTAAGCCAACGTTTGAGCGTTTTACTGAACCTGTTAATCGATAATTCTTTGATGTCTTTAGGAACTGCATTAAGAGAATATATTTTTTAAATATGTTACTTTATGATAAAAATGAAAATAAGCTTCCGTCTTCCAAAACAGCTTGTCAAGTTTATATTTACATTTTGTGTTTTTTATTAGTATAAGTTTACATTAAATTATATTTGTACTAGTTTTTGCCCGCGGCTCCGCCCACGTGATTTCGGTTTTCCCCAACATGAGAAATCCCGAAACAATCCTAGATTTATATAAAAAGCCTTAAAACCATCTTTACTGGAGCTCTCGTACCTTAGCGGCGGCTACTAAAACAGGGGTCAAGCTGTATCATTAACTGTACTGGACCGATTTTGATGAAACATACTGCAGTATTTAAGTCGGAATAGTACCTCTAAGAGTGTAATAGTTTGACTAAAATCTA</t>
  </si>
  <si>
    <t>MGAIGLLVVLAMTSVCHAATPQLRFAWKEVDYTWESPEIRDKAIKDGNFVPANNVPVGLARWRNKLFVTVPKWKSGVVSSLNYIDVDGPQDQLLKPYPSFEDNFISDSAKSLISNSTIVSVFRVYVDECDRLWVIDSGLADIYGVANQVNGPSIVIFDLKTDQFIHRYQFKAEDMKEDSFFANIVVDTTKDTCDDAYAYVADLGGYGVVVYSLKQDDSWRISHHYFYFEPLAGSYNVSGIEFQWTDGVFSLALSEPRDDGYRIAFFHSFSSTKEFCVSTELLRNYKHIDKEEAFHDFKLLGDRGERTQSAASYYDPKTHVLFYTQVNRYGVACWNPSKPYTPETNELFIHDENLFEFPNDLKVDSEGTLWVLSDRLQRFLYRSLNPNEINFRIFSIDTTEAIKGTACE</t>
  </si>
  <si>
    <t>CS pos: 18-19. CHA-AT. Pr: 0.9608</t>
  </si>
  <si>
    <t>ATPQLRFAWKEVDYTWESPEIRDKAIKDGNFVPANNVPVGLARWRNKLFVTVPKWKSGVVSSLNYIDVDGPQDQLLKPYPSFEDNFISDSAKSLISNSTIVSVFRVYVDECDRLWVIDSGLADIYGVANQVNGPSIVIFDLKTDQFIHRYQFKAEDMKEDSFFANIVVDTTKDTCDDAYAYVADLGGYGVVVYSLKQDDSWRISHHYFYFEPLAGSYNVSGIEFQWTDGVFSLALSEPRDDGYRIAFFHSFSSTKEFCVSTELLRNYKHIDKEEAFHDFKLLGDRGERTQSAASYYDPKTHVLFYTQVNRYGVACWNPSKPYTPETNELFIHDENLFEFPNDLKVDSEGTLWVLSDRLQRFLYRSLNPNEINFRIFSIDTTEAIKGTACE</t>
  </si>
  <si>
    <t>Major royal jelly protein/protein yellow</t>
  </si>
  <si>
    <t>Yellow-c</t>
  </si>
  <si>
    <t>Helicoverpa armigera (cotton bollworm) (heliothis armigera)</t>
  </si>
  <si>
    <t>A0A2W1BZK1</t>
  </si>
  <si>
    <t>TRINITY_DN263_c0_g1_i1.p1</t>
  </si>
  <si>
    <t>TCTCATGACTTTATTAATTAATCACTCTGTTTTCATCTATACGTAGAGTATAAATACCTGTCAAACGTTTATTTTTTTAATCAGACGCTTTTGTCCGGTGGCCAGTGCGACACGCGCTTACGTACGACTCAGCTCCTGACACCATCTCATAGGATCCACGCAACATGAAGGACAGGATTTTAATACTCGTTGGCGTCCTAGCGCTCTCTGGCGCCGTCTTGGGCGTTCATCTAAACGCGGGCACAGGCTTTAAGTTCATCAAGGACTCCACCTCCCAGATCGGCGCCGAGATAATCACCGTCAAGGACCCCCTGGACAAGACTATCACGCACATCCTCTCCAGCAAATGTACCGAAATCAAGAAATTATTTGGACAGGAGTACCGTCAGGCCTCGCAACCTGATCTTTCCAAGCTTACCCTCAACTATTTAACACGCTCGGTGTCCGTCTCGTACAACCTGTCCGACGCTGCTGAGCTGCTGCCCACGTCGCGCTTGTTCCAGGCCCAGAACAAGATCATAATCTATCTCCATGGGTTCACCGAGGACCCCACAAAGAGGAGCTATACGAACGTCAACGCTGCATTCTTGGAACAAGGTGACTACAACGTTGTGGCGTTGGACTCTAGTTCACTGCTGGGCGTAAGCACCTTGTACATCGGCGCCACGACCAACGTACGGTACATCGGAGCGAAACTTGGAGAAACCCTGGCCGGCATGGTCAAAGTTGGTGCGGACCCAGCATCGATATATCTGATCGGGCACAGTCTCGGCGCCCACATCGCCAGCTTCGCCGGGAAGAAATTCACCGAGCTCACGGGGAAACGCGTGGGCCGCATCACAGGGCTCGACCCTGCAGGGCCCTGTTTTACGGCTCTGGAAGATGGCTTGAAGCTGAATGCGAGCGACGCTGATTTCGTCGACGTGATTCACACTGACGCGGGAGTATTCGGGTTGACGGAGGAGAGGGGTCACGTGGATTACTACGTGAACAGCGGCTCTCTGCAGCCCAAGTGTGTCACGCAGACTTGCAGCCACAACAGAGCGTGGTGGTACTACGCGGAGACTGTGAACAAACCCGAAGCAATGCCAGCGGTGAAATGTGACTCTTGGGACCAGTACAAGGCAGGACAGTGCGACAAGGACGACATCAGCTACTTGGGCTACGCGTGTGACCCGAAGACTCGTGGTAGGTACTACCTGCAGACCGCTGGAGACTCGCCTTTCGGTCTCGGAATGGAAGGCATCAAGTACGTCAACACTGATGGCGTGATCAAAGCCATCGGATCAGCCGTGGGGCTCTTCTGAACAGATGACAGTCCGTAACGATCGTAAAAAAAGACAGAAACCACTTTTTATAATATTTAAATAGAACTTTATAATTTTAAAAAAAAAAAAAAAAAAAAAAAACAAAAAAAAA</t>
  </si>
  <si>
    <t>MKDRILILVGVLALSGAVLGVHLNAGTGFKFIKDSTSQIGAEIITVKDPLDKTITHILSSKCTEIKKLFGQEYRQASQPDLSKLTLNYLTRSVSVSYNLSDAAELLPTSRLFQAQNKIIIYLHGFTEDPTKRSYTNVNAAFLEQGDYNVVALDSSSLLGVSTLYIGATTNVRYIGAKLGETLAGMVKVGADPASIYLIGHSLGAHIASFAGKKFTELTGKRVGRITGLDPAGPCFTALEDGLKLNASDADFVDVIHTDAGVFGLTEERGHVDYYVNSGSLQPKCVTQTCSHNRAWWYYAETVNKPEAMPAVKCDSWDQYKAGQCDKDDISYLGYACDPKTRGRYYLQTAGDSPFGLGMEGIKYVNTDGVIKAIGSAVGLF</t>
  </si>
  <si>
    <t>0.855773</t>
  </si>
  <si>
    <t>CS pos: 20-21. VLG-VH. Pr: 0.5975</t>
  </si>
  <si>
    <t>VHLNAGTGFKFIKDSTSQIGAEIITVKDPLDKTITHILSSKCTEIKKLFGQEYRQASQPDLSKLTLNYLTRSVSVSYNLSDAAELLPTSRLFQAQNKIIIYLHGFTEDPTKRSYTNVNAAFLEQGDYNVVALDSSSLLGVSTLYIGATTNVRYIGAKLGETLAGMVKVGADPASIYLIGHSLGAHIASFAGKKFTELTGKRVGRITGLDPAGPCFTALEDGLKLNASDADFVDVIHTDAGVFGLTEERGHVDYYVNSGSLQPKCVTQTCSHNRAWWYYAETVNKPEAMPAVKCDSWDQYKAGQCDKDDISYLGYACDPKTRGRYYLQTAGDSPFGLGMEGIKYVNTDGVIKAIGSAVGLF</t>
  </si>
  <si>
    <t>Triacylglycerol lipase family</t>
  </si>
  <si>
    <t>Metabolic enzymes</t>
  </si>
  <si>
    <t xml:space="preserve">Pancreatic lipase related protein 2 like </t>
  </si>
  <si>
    <t>Trichoplusia ni (cabbage looper)</t>
  </si>
  <si>
    <t>A0A7E5VJT3</t>
  </si>
  <si>
    <t>TRINITY_DN1448_c12_g1_i1.p1</t>
  </si>
  <si>
    <t>TATACCGTAACGGAGTGTGAACGCTCTACTGAGACGAATAAATTTGCAAGACATGAGGCTGCTGGCGTGTTTGCTTGTACTGACGGCGACCGTGGTCTTGGGTCAACGACCGTCTTTTGCGGGCACCCGACCGATCGGATACCCTGACACTCCGAACCGTACGACCACCGAAGCCCTTGATAATCGTTTTGGCGAAGGCACAACGGAGAGGTTGCCGTTAGAAGCCAATGGTGACAGAGACTTAGTCGACCGACTAAGCAAACTCCCAATCGACAGTCAACCCTTCTGGTTTATCAACTGGCAAGCATTGGAAGCAATGCGAAAAAATCCGCAGACATATCCGCAAAGACCAAACGTTTTCGCTGAATCTATACCTTCCAATAATTTGGAAATAACAATAACTCCACCATTGAGGGCAACACAGATACTTACCGCATCTGTAACTACTTCAGCAAATAATATTGGGAATTTAAATGTTAGTGCTGCCAATTCAATTGGTAACCCTAATCCCCAGTTTGTTGAAACAAGCACCCAAAAAATCGTTCAACGTGCTTCATTTCCATCGTTGCAAGAGCAATGGGATAGTAACGGGACTTTGAACGACAGATTTGGTATATCAGATTCAAATATTACAGCTTCCAGTACTACGAAACCATCTATTTAATAAGTGGACTATTAATATAGCCAAGGGAAGATAATATCAGAATATTTCTCCACAGACAAAATATTTCAAGCTTGGCTGTGGTAAAAATGTAGTTTTGTAGTTCGCATGTGTGTGATTAAGACATAATTTTATATTTAATAAAACATTTATTTGACTTTTAAATAAATAAAACTTAATTACTAAAAAAAAG</t>
  </si>
  <si>
    <t>MRLLACLLVLTATVVLGQRPSFAGTRPIGYPDTPNRTTTEALDNRFGEGTTERLPLEANGDRDLVDRLSKLPIDSQPFWFINWQALEAMRKNPQTYPQRPNVFAESIPSNNLEITITPPLRATQILTASVTTSANNIGNLNVSAANSIGNPNPQFVETSTQKIVQRASFPSLQEQWDSNGTLNDRFGISDSNITASSTTKPSI</t>
  </si>
  <si>
    <t>0.997111</t>
  </si>
  <si>
    <t>CS pos: 17-18. VLG-QR. Pr: 0.6668</t>
  </si>
  <si>
    <t>QRPSFAGTRPIGYPDTPNRTTTEALDNRFGEGTTERLPLEANGDRDLVDRLSKLPIDSQPFWFINWQALEAMRKNPQTYPQRPNVFAESIPSNNLEITITPPLRATQILTASVTTSANNIGNLNVSAANSIGNPNPQFVETSTQKIVQRASFPSLQEQWDSNGTLNDRFGISDSNITASSTTKPSI</t>
  </si>
  <si>
    <t>Carboxylesterase 1E</t>
  </si>
  <si>
    <t>A0A6J1WVD2</t>
  </si>
  <si>
    <t>TRINITY_DN1871_c0_g1_i1.p1</t>
  </si>
  <si>
    <t>GTCGTTGATCATGCTATACTAACGGTCATACATAGAACCGATCACGTAAACAACACACGAGTAAGAATTCTGTACACGTGCACAGAATTGATTGATATTGTTCACGTTTTTACTCGGATATATCAATTTATCTAACAACAGTTTTACATGGCTTACTGTGTACACGTGAAAAATATATAGTGACAACGATACTTCAATATTCTGTGTTGTTGTTTCAAATATAATATAATGTGTTAAAAATATATATTGAAGTAACTTTACCGTTTAACCGGATTTTATAGAAAACAGTTTTTTATAGCCTTTTTATGAAAATTAATTTATAACTCTATCTATTTACATTAATAAATTATTCAAATAGCCTTAACGAATTTATACTAAAACAGTTGTTTCTAGGGACCATTTAAAGCAAGAAGCGGAATATACAATGAAGATATTAATTTTATTGTTATTTGCAATCGGTCTTGTGGCCCCTAAATTAGCGCTCAGCTTAAACAAAGATGGTATCTTGACAACCAGTTTCGGAATTTTCCCAAATAGGTCTAATCGAGTTGAAGATGTCTATTTAAGATTCTACAATGGGAATACAATGGACGACTATGTGGATCTACCACTTAACCAAACCACGAGGTTGGTCGATATCAAAGGATTTGACACTAACAACTCTACTGTTTTGTACGCCCACGGTTATATTGAGGATGCAGAGCAGGAGAGCGTCCAGGTTGTGGTGAGCGCGTATCTAGAATCAAGACCTGGCACAAATGTAGTTTTACTGGACTGGTCAAATATGGCCCATGGCTCATATTTAGTTAACGCTGCTAGGAATACTAAAAAGGTAGGAATCGCTCTAGCCGAAGAGATGAATAAATTACTAGAATCTGGCCTATCTCTTGAAAGACTGCATGTAATTGGCCACTCCCTGGGAGGCCATGTATCCGGCTATGCAGCGAGGGAGTTGAAAAATAAATACAATAAAAACCTTAAAAGAATAACAGCACTAGATCCAGCTTTTCCAGCGTTCTACCCTGATGGCGTCGTGATGGAACATGTAAATGCGAACGATGCCGATTTCGTTGACGTCATTCACACGGATGCCGGTGGCTATGGCGCACCAGTTCATACAGGCACTGCTGACTTCTGGCCGAACGGAGGGAAGAAGGTGCAGCCTGGATGCCCTCGGTTTGCACCTATACCGTTATCTGCAGACAGTTTGTGTAGCCATTGGCGATCGTGGCGATACTACGCAGAGTCTGTGCGAAACCCGGAAGGGTTCCCTGCATCTCCAGCGGAGTCCTATCAGAAATTCAAAGAGAACCCTACGCCTGAAGCGGGAATGGTATATATGGGTCTAAACTGTGATAATAGCGCTAAAGGATCTTACTACTTATCAACAAACTCCGAAACGCCTTTCGGTAAAGGAATGGATGGAATTTATTCAAAGAAGTAAAGAACACAAAAAAGAAGAATTATTGAAAAACAAAAGGAAAAAATATAATCATCACAGAAGAACACACAAATTATTTATTTATTGGTTTTATCAAGGACTGGGTTGTCCAACATTTGCCAGTAAATAGGGGTATTTATAATTTACTAGGCTAAGGGGTATGATAAATTTAAGTCAGGGCCTGCTATTTTCAGGGGCTGTGGTGTAATTTAAGATATAATTTAACTGAAAAGTAAATTTATATCATAATTTAGAAATTAATTTATATTTACATTAGATATATGATGAAAAATCGGTCGGTTGAAAAAATTTCGGTTTCGATTTTGCCGTCCCTAAAATCTGCGGTCCTAGGCTCAAGCCTACTCTATCTACTGATAAATTCGCCACTGCGTAGTGATAGTATAAAACATAAGAACGGGCTTCATTATTTTATATTCAGACTATCCACTGAATATAAGGGGTAGTTCAAAAATGTCATTTAGTATCGAATCGACCATGTCTCGGTGGTAACGATCATAATGGTTCAAGTCATCATCATTATCAGCCCAAAAATGATCCCAATGTTGGGTCACAAGCATCCCCTCAAAACTGAGGGGATATGTGCAGTAATCCACCACGCTTGTCCAATGCGGATTGCTGGATGAAGTACTAGATAGTCAGTACCCGCTATTGATTGCCTTGGTGGCCTTGTACGACACACACAGTCAGATATGGGGTGATGCTATTCTCCTCTGCCGGCATCACACGGCTAGTTCAAGTCACAACATCTTAATCATAGTTAATTAAACAGTAAAAGATACGAGTAATCCACATCTTGTCACGTTTGAGGTATCTGACCTTTATAAATTCTTCACTAGTGTCGTACAGCAGCTGCTAATTTTATTGTAATTGATATATACCTACTTGTTTACTTGTAGTACTCTTTGGAAATGTATTCAAAATTGGTATATGTCATTGTCTATGCCACAGATACGTCAGATCAACGTCAGACAGCTGTCATATTCGTCCGTTACAATTTGTCATTTTCTCTTTCGCTTCGACTCTTGACCGAACAAGTACATTTAAATATGTAAGCAACAATAAGTCAAATAAATTATTTAAATATTCATTTACGTGTTTTATACAAGCAAGGCATTAACAAAAATGGATGTAATTTTCTGAAAATAAATTATTATTATTATTGAATACGAAATCCGCGCTGTGGTATGGAACAGTCATTTTTGAATTATTACAGAATAAATGGACTCATTTAATTAAATAAATCATTTAAATAAAAAACTCATTTAATTAAATAAATAGGTATTTACACATGAATGAACTACGTGAAAATAAATTTATTTTTTTATTTTTTGTAAATGAAGGGAATTTCGATAGAAAGCTTAATAGATAATTTAGTATTTAGTGTGTTTAATTTAGTGTTTTTTAAAGGGAGCAAACAAAACTTTTGAGGCACAAGAACATGTTCGTCCTTAGAAAATATAAAAAAAAATGTTAACAAAAAAAAAAAAAAA</t>
  </si>
  <si>
    <t>MKILILLLFAIGLVAPKLALSLNKDGILTTSFGIFPNRSNRVEDVYLRFYNGNTMDDYVDLPLNQTTRLVDIKGFDTNNSTVLYAHGYIEDAEQESVQVVVSAYLESRPGTNVVLLDWSNMAHGSYLVNAARNTKKVGIALAEEMNKLLESGLSLERLHVIGHSLGGHVSGYAARELKNKYNKNLKRITALDPAFPAFYPDGVVMEHVNANDADFVDVIHTDAGGYGAPVHTGTADFWPNGGKKVQPGCPRFAPIPLSADSLCSHWRSWRYYAESVRNPEGFPASPAESYQKFKENPTPEAGMVYMGLNCDNSAKGSYYLSTNSETPFGKGMDGIYSKK</t>
  </si>
  <si>
    <t>CS pos: 21-22. ALS-LN. Pr: 0.5066</t>
  </si>
  <si>
    <t>LNKDGILTTSFGIFPNRSNRVEDVYLRFYNGNTMDDYVDLPLNQTTRLVDIKGFDTNNSTVLYAHGYIEDAEQESVQVVVSAYLESRPGTNVVLLDWSNMAHGSYLVNAARNTKKVGIALAEEMNKLLESGLSLERLHVIGHSLGGHVSGYAARELKNKYNKNLKRITALDPAFPAFYPDGVVMEHVNANDADFVDVIHTDAGGYGAPVHTGTADFWPNGGKKVQPGCPRFAPIPLSADSLCSHWRSWRYYAESVRNPEGFPASPAESYQKFKENPTPEAGMVYMGLNCDNSAKGSYYLSTNSETPFGKGMDGIYSKK</t>
  </si>
  <si>
    <t>Inactive pancreatic lipase related protein 1 like isoform X2</t>
  </si>
  <si>
    <t>A0A9J7DMH0</t>
  </si>
  <si>
    <t>Lipase domain-containing protein</t>
  </si>
  <si>
    <t>Arctia plantaginis (Wood tiger moth) (Phalaena plantaginis)</t>
  </si>
  <si>
    <t>A0A8S0YVG4</t>
  </si>
  <si>
    <t>TRINITY_DN1221_c0_g1_i2.p1</t>
  </si>
  <si>
    <t>CTGCGGTTCTTGCGATAACATTGCAATAAATACTGCGAATGACGCCAGTTACACCAAGTTATCATCATGATGCAAAAGACTCTGCTGTGCGTGCTTGTTGCCGTGGTATATACTGCTACCGCGGTACCAGTTGACCAGACTCTATCTGAGACTCTTGAAGAACCCCGTTTCTTTGAGTACACTGATGAGGAAGGTATCAAGCGTACAGTGGATCTCGAGGCAGAGCCTAATTATGAACTTCTAGAGGAGATCAACAGAAACCCAGCGAATAATTTGTACTTGCTGTTTACTAGGCGAAACCCAACATCATCACAGACCCTGGTCATGAATAACGCTGCCTCCATCACCAACTCTAACTTCAACGCGAGGCTCCCAACCATCGTGATTGCTCACGGATGGCTCAGCAACCAGAACACAGACATCAACCCCGTTATTAGAGACGCATATCTAAGCAAAAGTGACGTGAACGTGATCGTTCTGGACTGGAGGAGGCTGGCTCTGTCTGACTACATGACTGCTGCATTGGGAGTGCCCGCCGTGGGACAAGGCTTGGGCCAGTTCCTGCTATTCCTCAACCAAGCCACCGGTGCTCCGTTCAACACGATGCACATCGTTGGGTTCAGTCTGGGCGCTCACCTGGTTGGTAACGCTGGAAGGGCACTTGGTGGAAGAGCGGCTCGTGTGACAGCTTTGGACCCTGCCGGCCCTCTATGGAACTATAACTCCAATCGTGTTAACCCCAATGACGCTGTCTACGTGGAGGCCATTCACACTGACGGTGGTCTTTACGGCCTTGGCATCGGCTCGGCAGTAGCGAATGCTGACTTCTTCCCCAACGGCGGTGATTCCCAACCAGGCTGTCTCACCAGTCTCTGCAACCACAACCGCGCTTGGGAACTCTTCGCTGCGACTGTCACATACAACCATTTGGTTGGCAACCGATGCACTAATTCCTTGCAGATTACTTTGGACAGGTGCACCGGACAGCAGTTGCGAATGGGCAACGACGACTTGAACAAATCTGGTGTTGGTATGTACAGAGTCAACACCGGCCGCAGATACCCATACTAAATCATCATCAACCCAGAATTGGACATAAGCCCTCTCTAATTATCGCCAAACCGAGGGGCGGTGATCCGCCCTTATTCCATGATTACTGACCACCCCAATTACAGTAGCGGCCTTCCTAAACGGGGGTCAATACACCACATCTAATAAATTATTTTTTATTCAAATAAAAAAAAAAAA</t>
  </si>
  <si>
    <t>MMQKTLLCVLVAVVYTATAVPVDQTLSETLEEPRFFEYTDEEGIKRTVDLEAEPNYELLEEINRNPANNLYLLFTRRNPTSSQTLVMNNAASITNSNFNARLPTIVIAHGWLSNQNTDINPVIRDAYLSKSDVNVIVLDWRRLALSDYMTAALGVPAVGQGLGQFLLFLNQATGAPFNTMHIVGFSLGAHLVGNAGRALGGRAARVTALDPAGPLWNYNSNRVNPNDAVYVEAIHTDGGLYGLGIGSAVANADFFPNGGDSQPGCLTSLCNHNRAWELFAATVTYNHLVGNRCTNSLQITLDRCTGQQLRMGNDDLNKSGVGMYRVNTGRRYPY</t>
  </si>
  <si>
    <t>0.994249</t>
  </si>
  <si>
    <t>CS pos: 19-20. ATA-VP. Pr: 0.9107</t>
  </si>
  <si>
    <t>VPVDQTLSETLEEPRFFEYTDEEGIKRTVDLEAEPNYELLEEINRNPANNLYLLFTRRNPTSSQTLVMNNAASITNSNFNARLPTIVIAHGWLSNQNTDINPVIRDAYLSKSDVNVIVLDWRRLALSDYMTAALGVPAVGQGLGQFLLFLNQATGAPFNTMHIVGFSLGAHLVGNAGRALGGRAARVTALDPAGPLWNYNSNRVNPNDAVYVEAIHTDGGLYGLGIGSAVANADFFPNGGDSQPGCLTSLCNHNRAWELFAATVTYNHLVGNRCTNSLQITLDRCTGQQLRMGNDDLNKSGVGMYRVNTGRRYPY</t>
  </si>
  <si>
    <t>A0A2A4K3P3</t>
  </si>
  <si>
    <t>TRINITY_DN44908_c0_g1_i1.p1</t>
  </si>
  <si>
    <t>GCAGTCGTAAGGTGATTCTCGTGCGCACAACATGAAGGTACTACTGGCAACGTTGGCACTTTGCTCTGTTTTTGTTATAATCTCGGCTTCCCCGGGCAAAGCACCGGTGAAAAAATTAAATGATGGGTACATTATTCCTCGACTTGGACTGGGAACCTATGGACCTGACGACATACCAAAAATGCGGCAAACAATCAACTTGGCAGTAGAGGCTGGATACCGGCACATTGATACGGCTGCTTTGTATGAAAACGAGGCAGAAATTGGGAAAGGTATTGCCGATGTCATCAGCAAAGGACTTGTTAGAAGAGGAGACTTGTTTGTCACTACAAAGTTGTGGAATGACAAGCACGCCTGTGATCAAGTGGTGCCAGCCCTTAAAGAATCCCTCAAAAAACTGGGTTTACAGTACGTTGATTTGTACTTGATTCATTCACCCACAGCATCAAAGGCTGACGGTTCTCCTGCAAACATTGACATCGAAGAAACTTGGCAAGGTATGATTGAAGCCAGAAGACTTGGCTTGACACACTCCATCGGCGTCTCCAACTTCAACATTGAACAAATAGATAGAATTATCGCCAACAGTTCCGTGCTGCCTGCTGTTAATCAGGTGGAGATCCATCCATCCAATACCAAAGAGAGCTTGGTTCGTGATAGTAAGGAGCGTGGCATTGACGTCATGGCGTACAGTCCGTTCGGATTCTTTGTGCAAAGAGAAGGTCAGAGCAGGCCCGGTGTCAACGACCCTAAGATGCTCAACATCGCTAAGAAATACGGAAAGTCTGTCACGCAAATAGTCTTGCGGTATTTGATCGAAAGGGACCTGATTCCCATCCCGAAGTCGACTAAAAAGAATCGCCTTGAGGAGAACATCGACGTATTTGACTTTAGACTTACTCCTGAGGAAGTGTCCACCATCGGTAGCTTTAATACTGACTCTAGTGTTTTTGATTAGTATTTGTGAAATTAGTATTAAAGTATTTGATATTTAAAATAAAGTATTGTTTACAGCAAAAAAAAAAAA</t>
  </si>
  <si>
    <t>MKVLLATLALCSVFVIISASPGKAPVKKLNDGYIIPRLGLGTYGPDDIPKMRQTINLAVEAGYRHIDTAALYENEAEIGKGIADVISKGLVRRGDLFVTTKLWNDKHACDQVVPALKESLKKLGLQYVDLYLIHSPTASKADGSPANIDIEETWQGMIEARRLGLTHSIGVSNFNIEQIDRIIANSSVLPAVNQVEIHPSNTKESLVRDSKERGIDVMAYSPFGFFVQREGQSRPGVNDPKMLNIAKKYGKSVTQIVLRYLIERDLIPIPKSTKKNRLEENIDVFDFRLTPEEVSTIGSFNTDSSVFD</t>
  </si>
  <si>
    <t>0.992443</t>
  </si>
  <si>
    <t>CS pos: 19-20. ISA-SP. Pr: 0.7257</t>
  </si>
  <si>
    <t>SPGKAPVKKLNDGYIIPRLGLGTYGPDDIPKMRQTINLAVEAGYRHIDTAALYENEAEIGKGIADVISKGLVRRGDLFVTTKLWNDKHACDQVVPALKESLKKLGLQYVDLYLIHSPTASKADGSPANIDIEETWQGMIEARRLGLTHSIGVSNFNIEQIDRIIANSSVLPAVNQVEIHPSNTKESLVRDSKERGIDVMAYSPFGFFVQREGQSRPGVNDPKMLNIAKKYGKSVTQIVLRYLIERDLIPIPKSTKKNRLEENIDVFDFRLTPEEVSTIGSFNTDSSVFD</t>
  </si>
  <si>
    <t>Aldo-keto reductase</t>
  </si>
  <si>
    <t>Aldo-keto reductase AKR2E4</t>
  </si>
  <si>
    <t>H9JTG9</t>
  </si>
  <si>
    <t>TRINITY_DN1871_c0_g1_i3.p1</t>
  </si>
  <si>
    <t>GTCGTTGATCATGCTATACTAACGGTCATACATAGAACCGATCACGTAAACAACACACGAGTAAGAATTCTGTACACGTGCACAGAATTGATTGATATTGTTCACGTTTTTACTCGGATATATCAATTTATCTAACAACAGTTTTACATGGCTTACTGTGTACACGTGAAAAATATATAGTGACAACGATACTTCAATATTCTGTGTTGTTGTTTCAAATATAATATAATGTGTTAAAAATATATATTGAAGTAACTTTACCGTTTAACCGGATTTTATAGAAAACAGTTTTTTATAGCCTTTTTATGAAAATTAATTTATAACTCTATCTATTTACATTAATAAATTATTCAAATAGCCTTAACGAATTTATACTAAAACAGTTGTTTCTAGGGACCATTTAAAGCAAGAAGCGGAATATACAATGAAGATATTAATTTTATTGTTATTTGCAATCGGTCTTGTGGCCCCTAAATTAGCGCTCAGCTTAAACAAAGATGGTATCTTGACAACCAGTTTCGGAATTTTCCCAAATAGGTCTAATCGAGTTGAAGATGTCTATTTAAGATTCTACAATGGGAATACAATGGACGACTATGTGGATCTACCACTTAACCAAACCACGAGGTTGGTCGATATCAAAGGATTTGACACTAACAACTCTACTGTTTTGTACGCCCACGGTTATATTGAGGATGCAGAGCAGGAGAGCGTCCAGGTTGTGGTGAGCGCGTATCTAGAATCAAGACCTGGCACAAATGTAGTTTTACTGGACTGGTCAAATATGGCCCATGGCTCATATTTAGTTAACGCTGCTAGGAATACTAAAAAGGTAGGAATCGCTCTAGCCGAAGAGATGAATAAATTACTAGAATCTGGCCTATCTCTTGAAAGACTGCATGTAATTGGCCACTCCCTGGGAGGCCATGTATCCGGCTATGCAGCGAGGGAGTTGAAAAATAAATACAATAAAAACCTTAAAAGAATAACAGCACTAGATCCAGCTTTTCCAGCGTTCTACCCTGATGGCGTCGTGATGGAACATGTAAATGCGAACGATGCCGATTTCGTTGACGTCATTCACACGGATGCCGGTGGCTATGGCGCACCAGTTCATACAGGCACTGCTGACTTCTGGCCGAACGGAGGGAAGAAGGTGCAGCCTGGATGCCCTCGGTTTGCACCTATACCGTTATCTGCAGACAGTTTGTGTAGCCATTGGCGATCGTGGCGATACTACGCAGAGTCTGTGCGAAACCCGGAAGGGTTCCCTGCATCTCCAGCGGAGTCCTATCAGAAATTCAAAGAGAACCCTACGCCTGAAGCGGGAATGGTATATATGGGTCTAAACTGTGATAATAGCGCTAAAGGATCTTACTACTTATCAACAAACTCCGAAACGCCTTTCGGTAAAGGAATGGATGGAATTTATTCAAAGAAGTAAAGAACACAAAAAAGAAGAATTATTGAAAAACAAAAGGAAAAAATATAATCATCACAGAAGAACACACAAATTATTTATTTATTGGTTTTATCAAGGACTGGGTTGTCCAACATTTGCCAGTAAATAGGGGTATTTATAATTTACTAGGCTAAGGGGTATGATAAATTTAAGTCAGGGCCTGCTATTTTCAGGGGCTGTGGTGTAATTTAAGATATAATTTAACTGAAAAGTAAATTTATATCATAATTTAGAAATTAATTTATATTTACATTAGATATATGATGAAAAATCGGTCGGTTGAAAAAATTTCGGTTTCGATTTTGCCGTCCCTAAAATCTGCGGTCCTAGGCTCAAGCCTACTCTATCTACTGATAAATTCGCCACTGCGTAGTGATAGTATAAAACATAAGAACGGGCTTCATTATTTTATATTCAGACTATCCACTGAATATAAGGGGTAGTTCAAAAATGTCATTTAGTATCGAATCGACCATGTCTCGGTGGTAACGATCATAATGGTTCAAGTCATCATCATTATCAGCCCAAAAATGATCCCAATGTTGGGTCACAAGCATCCCCTCAAAACTGAGGGGATATGTGCAGTAATCCACCACGCTTGTCCAATGCGGATTGCTGGATGAAGTACTAGATAGTCAGTACCCGCTATTGATTGCCTTGGTGGCCTTGTACGACACACACAGTCAGATATGGGGTGATGCTATTCTCCTCTGCCGGCATCACACGGCTAGTTCAAGTCACAACATCTTAATCATAGTTAATTAAACAGTAAAAGATACGAGTAATCCACATCTTGTCACGTTTGAGGTATCTGACCTTTATAAATTCTTCACTAGTGTCGTACAGCAGCTGCTAATTTTATTGTAATTGATATATACCTACTTGTTTACTTGTAGTACTCTTTGGAAATGTATTCAAAATTGGTATATGTCATTGTCTATGCCACAGATACGTCAGATCAACGTCAGACAGCTGTCATATTCGTCCGTTACAATTTGTCATTTTCTCTTTCGCTTCGACTCTTGACCGAACAAGTACATTTAAATATGTAAGCAACAATAAGTCAAATAAATTATTTAAATATTCATTTACGTGTTTTATACAAGCAAGGCATTAACAAAAATGGATGTAATTTTCTGAAAATAAATTATTATTATTATTGGTATGGAACAGTCATTTTTGAATTATTACAGAATAAATGGACTCATTTAATTAAATAAATCATTTAAATAAAAAACTCATTTAATTAAATAAATAGGTATTTACACATGAATGAACTACGTGAAAATAAATTTATTTTTTTATTTTTTGTAAATGAAGGGAATTTCGATAGAAAGCTTAATAGATAATTTAGTATTTAGTGTGTTTAATTTAGTGTTTTTTAAAGGGAGCAAACAAAACTTTTGAGGCACAAGAACATGTTCGTCCTTAGAAAATATAAAAAAAAATGTTAACAAAAAAAAAAAAAAA</t>
  </si>
  <si>
    <t>0.989340</t>
  </si>
  <si>
    <t>TRINITY_DN43498_c0_g1_i1.p1</t>
  </si>
  <si>
    <t>AACCGTCCTTAGAAGGATGTAATCATTGATAAAACAAAGTTTATATATAAAATACGTTGTTTATTATCGTGACTTAGTAGGTAACTGGTGTCAAAATGAACGCGTTGGTTAAGTGCGCATTGCTTGTGACTGTCGCTGCTTCAGCTTCGGCATTTAGTTTAGGAGATCTAGATGTCGTCTTCCATTTATTTACGAGGGCCAACCCCACGGTGAGCCAGCCTCTGTTACCCACGGTCACTTCGATTATAACATCATCGTTTTCTTTGAGTCGCCGCACCGTCATTACAATCCACAGCAATGGAGAGGGCGTCTCTGGAAACTTTAATGCTTTCGTTGTACCTGCTCATTTGGCCGCTGAGGATGTGAACCTCATTGCCGTGGACTGGACCCCTGGCTCTATCATGTACAGCGATGGACTAGGCAACGCTCCTCAGTGTGGCCAAGTTATTGCCGACTTCATGAATATCATCATCAACCAATTTGGCTACAGCGCCAACTTAATCCGCATCGTTGGCGTAGGCTTAGGTGGTCATATTGCCGGTATTGCCGCAAGAAAAATTGTAGGAGACGTACCTCACATCGTAGCGATCGATCCCTCTTTCTTCGGCTGGACTCACCATCCTGATATTCTGAATGCCGATGCCGCTGGAGTCGTTGAAGTTCTACACGCCACCAGCGGCCTTCTCGGCTATGACTACCCATTGGGTGACCTTGACTTTTACCCCAACGGTGGTACCTATCAAAATGGCTGCGCCACAGATATCACGTGCTCACACATCTACGCTTACGCGTTCTATGCTGAATCCATAAATAGAGAAGTTGTCGGTGGAAATAGATTCATTGGTACTGCTTGCGAAAGCTACGATGAGGCTATTACTCTCCAATGTTCTGGTGAAAGAGATGCTACATTTGGTGGAACTGAAGTTAAATCCGGTGAATCCGGTATCTACACATTCCTGACCAACGTAGCGCCACCGTTCGCCAGGGATTAATCAATATTTTAAGTTATTATACCG</t>
  </si>
  <si>
    <t>MNALVKCALLVTVAASASAFSLGDLDVVFHLFTRANPTVSQPLLPTVTSIITSSFSLSRRTVITIHSNGEGVSGNFNAFVVPAHLAAEDVNLIAVDWTPGSIMYSDGLGNAPQCGQVIADFMNIIINQFGYSANLIRIVGVGLGGHIAGIAARKIVGDVPHIVAIDPSFFGWTHHPDILNADAAGVVEVLHATSGLLGYDYPLGDLDFYPNGGTYQNGCATDITCSHIYAYAFYAESINREVVGGNRFIGTACESYDEAITLQCSGERDATFGGTEVKSGESGIYTFLTNVAPPFARD</t>
  </si>
  <si>
    <t>0.932387</t>
  </si>
  <si>
    <t>CS pos: 19-20. ASA-FS. Pr: 0.5567</t>
  </si>
  <si>
    <t>SAFSLGDLDVVFHLFTRANPTVSQPLLPTVTSIITSSFSLSRRTVITIHSNGEGVSGNFNAFVVPAHLAAEDVNLIAVDWTPGSIMYSDGLGNAPQCGQVIADFMNIIINQFGYSANLIRIVGVGLGGHIAGIAARKIVGDVPHIVAIDPSFFGWTHHPDILNADAAGVVEVLHATSGLLGYDYPLGDLDFYPNGGTYQNGCATDITCSHIYAYAFYAESINREVVGGNRFIGTACESYDEAITLQCSGERDATFGGTEVKSGESGIYTFLTNVAPPFARD</t>
  </si>
  <si>
    <t xml:space="preserve">Esterase </t>
  </si>
  <si>
    <t>A0A921YX99</t>
  </si>
  <si>
    <t>TRINITY_DN497_c0_g1_i2.p1</t>
  </si>
  <si>
    <t>AAAACATGAAAGTCTTACTGGTAGTGGTTGCATTCATAGCGCTGTGTTACAGCAGCCCGGCGCCCACTATTCCCGGTGACAACAGCCACTATGTGGAGGGTGAGAGCCGCTACATTTGGATGCCGGATGGTGACGGCGTACCCCACCTCGTAGATCTACATGAACCCGTAGATGAAGAAGTGGTGGCCACCAGGAACGGTGCCAATAACGTATACTTGCTTTTTACCAGATGGAACCCAAGCAATCCCCAGACTATCGTTAACGGTAACGCTAATACGATCTGGAACTCGAACTACGTCGCGAGTCGACCTTTGAAAATCATCGTCCACGGATGGAGGAGCGACAGAAATTCTGCCGTTAATACATTAATCAGAGATGCTTTCCTCGCTGTCCAGGATTGTAATGTTATTGTTGTGGACTGGAGTCATCTAGCCGGCAACCTTGTTTACAATATTGCAGCGAACGGTGTACCCGGTATTGGTCAATTTCTTGGTAACTTCCTCATCTGGTTGATCAATACCGCTGGTGGTAACTGGAACAACGTTCATCTGGTTGGGCACAGTTTGGGCGCTCACGTAATTGGCAATGCCGGTCGTCAGGCTAGCGGTCGTCCCGCCCGTGTTACTGGTTTGGATCCCGCTGGTCCAACGTGGGGTGGTAATTCCAACGCTCTGAATCGCAATGCGGCTCAGTATGTTGAGTCTATCCATACTGACGGTGGTCTGTTGGGTATCATGGACCCCATCAGCGATGCGGATTTTTACCCCAACGGTGGCAGGAACCCTCAGCCCGGTTGCTGGATAAGCTCCTGTTCCCACAGTCGTGCATACGAATTATTCGCTTCCACTGTCCGCCACAACCACTTAGTTGGGAGACGCTGTGGGACCATCCAAGAAGCCCCTAATTGTAGTGGAGCTACACTCAACATGGGCAACGCAATCGTTACTAAGCGCGGGACAGGCTTTTATGGATTATCGACTGGCTCCAGTTGGCCATTCTAACGCATCTATTCTGTATAAAGACCACTCATTTCGATTATGATTTTACTGATATTGGATAATATACTACATTTACAACAAAAAAAAA</t>
  </si>
  <si>
    <t>NMKVLLVVVAFIALCYSSPAPTIPGDNSHYVEGESRYIWMPDGDGVPHLVDLHEPVDEEVVATRNGANNVYLLFTRWNPSNPQTIVNGNANTIWNSNYVASRPLKIIVHGWRSDRNSAVNTLIRDAFLAVQDCNVIVVDWSHLAGNLVYNIAANGVPGIGQFLGNFLIWLINTAGGNWNNVHLVGHSLGAHVIGNAGRQASGRPARVTGLDPAGPTWGGNSNALNRNAAQYVESIHTDGGLLGIMDPISDADFYPNGGRNPQPGCWISSCSHSRAYELFASTVRHNHLVGRRCGTIQEAPNCSGATLNMGNAIVTKRGTGFYGLSTGSSWPF</t>
  </si>
  <si>
    <t>0.998904</t>
  </si>
  <si>
    <t>CS pos: 17-18. CYS-SP. Pr: 0.6106</t>
  </si>
  <si>
    <t>PAPTIPGDNSHYVEGESRYIWMPDGDGVPHLVDLHEPVDEEVVATRNGANNVYLLFTRWNPSNPQTIVNGNANTIWNSNYVASRPLKIIVHGWRSDRNSAVNTLIRDAFLAVQDCNVIVVDWSHLAGNLVYNIAANGVPGIGQFLGNFLIWLINTAGGNWNNVHLVGHSLGAHVIGNAGRQASGRPARVTGLDPAGPTWGGNSNALNRNAAQYVESIHTDGGLLGIMDPISDADFYPNGGRNPQPGCWISSCSHSRAYELFASTVRHNHLVGRRCGTIQEAPNCSGATLNMGNAIVTKRGTGFYGLSTGSSWPF</t>
  </si>
  <si>
    <t>pancreatic triacylglycerol lipase-like</t>
  </si>
  <si>
    <t>A0A6J1WSP9</t>
  </si>
  <si>
    <t>TRINITY_DN1871_c0_g1_i2.p1</t>
  </si>
  <si>
    <t>GTCGTTGATCATGCTATACTAACGGTCATACATAGAACCGATCACGTAAACAACACACGAGTAAGAATTCTGTACACGTGCACAGAATTGATTGATATTGTTCACGTTTTTACTCGGATATATCAATTTATCTAACAACAGTTTTACATGGCTTACTGTGTACACGTGAAAAATATATAGTGACAACGATACTTCAATATTCTGTGGACCATTTAAAGCAAGAAGCGGAATATACAATGAAGATATTAATTTTATTGTTATTTGCAATCGGTCTTGTGGCCCCTAAATTAGCGCTCAGCTTAAACAAAGATGGTATCTTGACAACCAGTTTCGGAATTTTCCCAAATAGGTCTAATCGAGTTGAAGATGTCTATTTAAGATTCTACAATGGGAATACAATGGACGACTATGTGGATCTACCACTTAACCAAACCACGAGGTTGGTCGATATCAAAGGATTTGACACTAACAACTCTACTGTTTTGTACGCCCACGGTTATATTGAGGATGCAGAGCAGGAGAGCGTCCAGGTTGTGGTGAGCGCGTATCTAGAATCAAGACCTGGCACAAATGTAGTTTTACTGGACTGGTCAAATATGGCCCATGGCTCATATTTAGTTAACGCTGCTAGGAATACTAAAAAGGTAGGAATCGCTCTAGCCGAAGAGATGAATAAATTACTAGAATCTGGCCTATCTCTTGAAAGACTGCATGTAATTGGCCACTCCCTGGGAGGCCATGTATCCGGCTATGCAGCGAGGGAGTTGAAAAATAAATACAATAAAAACCTTAAAAGAATAACAGCACTAGATCCAGCTTTTCCAGCGTTCTACCCTGATGGCGTCGTGATGGAACATGTAAATGCGAACGATGCCGATTTCGTTGACGTCATTCACACGGATGCCGGTGGCTATGGCGCACCAGTTCATACAGGCACTGCTGACTTCTGGCCGAACGGAGGGAAGAAGGTGCAGCCTGGATGCCCTCGGTTTGCACCTATACCGTTATCTGCAGACAGTTTGTGTAGCCATTGGCGATCGTGGCGATACTACGCAGAGTCTGTGCGAAACCCGGAAGGGTTCCCTGCATCTCCAGCGGAGTCCTATCAGAAATTCAAAGAGAACCCTACCCCAGAAGCGGGAATGGTATATATGGGCCTAAACTGTGATAATAGCGCTGAAGGATCTTATTATTTATCAACAAACTCCGAAACGCCTTTCGGTAAAGGAATGGATGGAATTTATTCAAAGAAGTAAAGAACACAAAAAAGAAGAATTATTGAAAAACAAAAGGAAAAAATATAATCATCACAGAAGAACACACAAATTATTTATTTATTGGTTTTATCAAGGACTGGGTTGTCCAACATTTGCCAGTAAATAGGGGTATTTATAATTTACTAGGCTAAGGGGTATGATAAATTTAAGTCAGGGCCTGCTATTTTCAGGGGCTGTGGTGTAATTTAAGATATAATTTAACTGAAAAGTAAATTTATATCATAATTTAGAAATTAATTTATATTTACATTAGATATATGATGAAAAATCGGTCGGTTGAAAAAATTTCGGTTTCGATTTTGCCGTCCCTAAAATCTGCGGTCCTAGGCTCAAGCCTACTCAATCTACTGATAAATTCGCCACCGCGTAGTGATAGTATAAAATATAAGAACGGGCTTCATTATTTTATATTCAGACTATCCACTGAATATAAGGGGTAGTTCAAAAATGTCATTTAGTATCGAATCGACCATGTCTCGGTGGTAACGATCATAATGGTTCAAGTCATCATCATTATCAGCCCAAAAATGATCCCAATGTTGGGTCACAAGCATCCCCTCAAAACTGAGGGGATATGTGCAGTAATCCACCACGCTTGTCCAATGCGGATTGCTGGATGAAGTACTAGATAGTCAGTACCCGCTATTGATTGCCTTGGTGGCCTTGTACGACACACACAGTCAGATATGGGGTGATGCTATTCTCCTCTGCCGGCATCACACGGCTAGTTCAAGTCACAACATCTTAATCATAGTTAATTAAACAGTAAAAGATACGAGTAATCCACGTCTTGTCACTTTTGAGGTATCTGACCTTTGTAAATTCTTCACTAGTGTCGTACAGCAGCTGCTAATTTTATTGTAATTGATATATACCTACTTGTTTACTTGTAGTACTCTTTGGAAATGTATTCAAAATTGGTATATGTCATTGTCTATGCCACAGATACGTCAGATCAACGTCAGACAGCTGTCATATTCGTCCGTTACAATTTGTCATTTTCTCTTTCGCTTCGACTCTTGACCGAACAAGTACATTTAAATATGTAAGCAACAATAAGTCAAATAAATTATTTAAATATTCATTTACGTGTTTTATACAAGCAAGGCATTAACAAAAATGGATGTAATTTTCTGAAAATAAATTATTATTATTATTGAATACGAAATCCGCGCTGTGGTATGGAACAGTCATTTTTGAATTATTACAGAATAAATGGACTCATTTAATTAAATAAATCATTTAAATAAAAAACTCATTTAATTAAATAAATAGGTATTTACACATGAATGAACTACGTGAAAATAAATTTATTTTTTTATTTTTTGTAAATGAAGGGAATTTCGATAGAAAGCTTAATAGATAATTTAGTATTTAGTGTGTTTAATTTAGTGTTTTTTAAAGGGAGCAAACAAAACTTTTGAGGCACAAGAACATGTTCGTCCTTAGAAAATATAAAAAAAAATGTTAACAAAAAAAAAAAAAAA</t>
  </si>
  <si>
    <t>MKILILLLFAIGLVAPKLALSLNKDGILTTSFGIFPNRSNRVEDVYLRFYNGNTMDDYVDLPLNQTTRLVDIKGFDTNNSTVLYAHGYIEDAEQESVQVVVSAYLESRPGTNVVLLDWSNMAHGSYLVNAARNTKKVGIALAEEMNKLLESGLSLERLHVIGHSLGGHVSGYAARELKNKYNKNLKRITALDPAFPAFYPDGVVMEHVNANDADFVDVIHTDAGGYGAPVHTGTADFWPNGGKKVQPGCPRFAPIPLSADSLCSHWRSWRYYAESVRNPEGFPASPAESYQKFKENPTPEAGMVYMGLNCDNSAEGSYYLSTNSETPFGKGMDGIYSKK</t>
  </si>
  <si>
    <t>LNKDGILTTSFGIFPNRSNRVEDVYLRFYNGNTMDDYVDLPLNQTTRLVDIKGFDTNNSTVLYAHGYIEDAEQESVQVVVSAYLESRPGTNVVLLDWSNMAHGSYLVNAARNTKKVGIALAEEMNKLLESGLSLERLHVIGHSLGGHVSGYAARELKNKYNKNLKRITALDPAFPAFYPDGVVMEHVNANDADFVDVIHTDAGGYGAPVHTGTADFWPNGGKKVQPGCPRFAPIPLSADSLCSHWRSWRYYAESVRNPEGFPASPAESYQKFKENPTPEAGMVYMGLNCDNSAEGSYYLSTNSETPFGKGMDGIYSKK</t>
  </si>
  <si>
    <t>TRINITY_DN497_c0_g2_i1.p1</t>
  </si>
  <si>
    <t>ATTTTGTCATTGTCGAAAATATGAAACTCGCACTGGTAGTAGCCGCTTTCGTAGCGTTGTGTTCCAGCACCCCGGTGCCTACTATTCCCGGTGACAACAGTCACTATGTGGAGGGTGAGAGCCGCTACATTTGGATGCCGGATGGTGACGGCGTACCCCAACTCGTTGATCTACATGAACCCGTAGATGAAGAAGTATTGGCTACCAGGAATGGTGCCAATAATCAATACTGGCTTTTCACCAGGTGGAACCCTACCAATGCTCAGATCATCGTCAACGGCAACGCTAATACAATCTGGAACAGCAATTACGTCGCGAGTCGTCCTCTAAAAGTCATTGTACACGGATGGAACAATAATGGAAACTCACCCGTTAATATATTGATTAGAGATGCCTTCCTCGCTGTCCAGGATTGTAATGTTATTGTTGTGGACTGGAGAGCGCTAGCTGGCAACAACAATTATAACACAGCAGCCAACGGTGTACCCGGTGTTGGTCAATTCATTGGCAACTTCCTCATCTGGTTGATCAACACCGCTGGTGGTAACTGGAACAACGTTCATCTGGTTGGACACAGCTTGGGCGCTCACGCAGTTGGGAGTGCTGGTCGTCAGGCTAGCGGTCGTCCCGCCCGTGTTACTGGTTTGGATCCTGCCGGTCCTACGTGGGGTGGTAATTCCAACGCTTTGAATAGAAATGCCGGTCAATATGTCGAGGCAATCCACACTGACGGTCGTCTTTTGGGTATCATGGACGCGATCGGTGACGCAGATTTCTACCCCAACGGTGGCAGAAATCCGCAGCCCGGCTGCTGGATAAGCACCTGTTCCCACGGACGTGCATTCGAATTCTTCGCCGCCACGGTCCGTCACAACCACTTAGTCGGTCGACGGTGCGCCAATATTTGGGAGGCAGAACTTTCTACGTGCAATGGAGCTACCTTCAACATGGGCAATGGAATTGTTACCAAGCGCGGAAACGGCCTCTATGGACTACGGACCGGCGCTAACTGGCCATACTAAAGCATCAG</t>
  </si>
  <si>
    <t>FVIVENMKLALVVAAFVALCSSTPVPTIPGDNSHYVEGESRYIWMPDGDGVPQLVDLHEPVDEEVLATRNGANNQYWLFTRWNPTNAQIIVNGNANTIWNSNYVASRPLKVIVHGWNNNGNSPVNILIRDAFLAVQDCNVIVVDWRALAGNNNYNTAANGVPGVGQFIGNFLIWLINTAGGNWNNVHLVGHSLGAHAVGSAGRQASGRPARVTGLDPAGPTWGGNSNALNRNAGQYVEAIHTDGRLLGIMDAIGDADFYPNGGRNPQPGCWISTCSHGRAFEFFAATVRHNHLVGRRCANIWEAELSTCNGATFNMGNGIVTKRGNGLYGLRTGANWPY</t>
  </si>
  <si>
    <t>0.970411</t>
  </si>
  <si>
    <t>CS pos: 22-23. CSS-TP. Pr: 0.6707</t>
  </si>
  <si>
    <t>TPVPTIPGDNSHYVEGESRYIWMPDGDGVPQLVDLHEPVDEEVLATRNGANNQYWLFTRWNPTNAQIIVNGNANTIWNSNYVASRPLKVIVHGWNNNGNSPVNILIRDAFLAVQDCNVIVVDWRALAGNNNYNTAANGVPGVGQFIGNFLIWLINTAGGNWNNVHLVGHSLGAHAVGSAGRQASGRPARVTGLDPAGPTWGGNSNALNRNAGQYVEAIHTDGRLLGIMDAIGDADFYPNGGRNPQPGCWISTCSHGRAFEFFAATVRHNHLVGRRCANIWEAELSTCNGATFNMGNGIVTKRGNGLYGLRTGANWPY</t>
  </si>
  <si>
    <t>A0A2A4IX28</t>
  </si>
  <si>
    <t>TRINITY_DN1871_c0_g1_i7.p1</t>
  </si>
  <si>
    <t>GTCGTTGATCATGCTATACTAACGGTCATACATAGAACCGATCACGTAAACAACACACGAGTAAGAATTCTGTACACGTGCACAGAATTGATTGATATTGTTCACGTTTTTACTCGGATATATCAATTTATCTAACAACAGTTTTACATGGCTTACTGTGTACACGTGAAAAATATATAGTGACAACGATACTTCAATATTCTGTGTTGTTGTTTCAAATATAATATAATGTGTTAAAAATATATATTGAAGGACCATTTAAAGCAAGAAGCGGAATATACAATGAAGATATTAATTTTATTGTTATTTGCAATCGGTCTTGTGGCCCCTAAATTAGCGCTCAGCTTAAACAAAGATGGTATCTTGACAACCAGTTTCGGAATTTTCCCAAATAGGTCTAATCGAGTTGAAGATGTCTATTTAAGATTCTACAATGGGAATACAATGGACGACTATGTGGATCTACCACTTAACCAAACCACGAGGTTGGTCGATATCAAAGGATTTGACACTAACAACTCTACTGTTTTGTACGCCCACGGTTATATTGAGGATGCAGAGCAGGAGAGCGTCCAGGTTGTGGTGAGCGCGTATCTAGAATCAAGACCTGGCACAAATGTAGTTTTACTGGACTGGTCAAATATGGCCCATGGCTCATATTTAGTTAACGCTGCTAGGAATACTAAAAAGGTAGGAATCGCTCTAGCCGAAGAGATGAATAAATTACTAGAATCTGGCCTATCTCTTGAAAGACTGCATGTAATTGGCCACTCCCTGGGAGGCCATGTATCCGGCTATGCAGCGAGGGAGTTGAAAAATAAATACAATAAAAACCTTAAAAGAATAACAGCACTAGATCCAGCTTTTCCAGCGTTCTACCCTGATGGCGTCGTGATGGAACATGTAAATGCGAACGATGCCGATTTCGTTGACGTCATTCACACGGATGCCGGTGGCTATGGCGCACCAGTTCATACAGGCACTGCTGACTTCTGGCCGAACGGAGGGAAGAAGGTGCAGCCTGGATGCCCTCGGTTTGCACCTATACCGTTATCTGCAGACAGTTTGTGTAGCCATTGGCGATCGTGGCGATACTACGCAGAGTCTGTGCGAAACCCGGAAGGGTTCCCTGCATCTCCAGCGGAGTCCTATCAGAAATTCAAAGAGAACCCTACCCCAGAAGCGGGAATGGTATATATGGGCCTAAACTGTGATAATAGCGCTGAAGGATCTTATTATTTATCAACAAACTCCGAAACGCCTTTCGGTAAAGGAATGGATGGAATTTATTCAAAGAAGTAAAGAACACAAAAAAGAAGAATTATTGAAAAACAAAAGGAAAAAATATAATCATCACAGAAGAACACACAAATTATTTATTTATTGGTTTTATCAAGGACTGGGTTGTCCAACATTTGCCAGTAAATAGGGGTATTTATAATTTACTAGGCTAAGGGGTATGATAAATTTAAGTCAGGGCCTGCTATTTTCAGGGGCTGTGGTGTAATTTAAGATATAATTTAACTGAAAAGTAAATTTATATCATAATTTAGAAATTAATTTATATTTACATTAGATATATGATGAAAAATCGGTCGGTTGAAAAAATTTCGGTTTCGATTTTGCCGTCCCTAAAATCTGCGGTCCTAGGCTCAAGCCTACTCAATCTACTGATAAATTCGCCACCGCGTAGTGATAGTATAAAATATAAGAACGGGCTTCATTATTTTATATTCAGACTATCCACTGAATATAAGGGGTAGTTCAAAAATGTCATTTAGTATCGAATCGACCATGTCTCGGTGGTAACGATCATAATGGTTCAAGTCATCATCATTATCAGCCCAAAAATGATCCCAATGTTGGGTCACAAGCATCCCCTCAAAACTGAGGGGATATGTGCAGTAATCCACCACGCTTGTCCAATGCGGATTGCTGGATGAAGTACTAGATAGTCAGTACCCGCTATTGATTGCCTTGGTGGCCTTGTACGACACACACAGTCAGATATGGGGTGATGCTATTCTCCTCTGCCGGCATCACACGGCTAGTTCAAGTCACAACATCTTAATCATAGTTAATTAAACAGTAAAAGATACGAGTAATCCACGTCTTGTCACTTTTGAGGTATCTGACCTTTGTAAATTCTTCACTAGTGTCGTACAGCAGCTGCTAATTTTATTGTAATTGATATATACCTACTTGTTTACTTGTAGTACTCTTTGGAAATGTATTCAAAATTGGTATATGTCATTGTCTATGCCACAGATACGTCAGATCAACGTCAGACAGCTGTCATATTCGTCCGTTACAATTTGTCATTTTCTCTTTCGCTTCGACTCTTGACCGAACAAGTACATTTAAATATGTAAGCAACAATAAGTCAAATAAATTATTTAAATATTCATTTACGTGTTTTATACAAGCAAGGCATTAACAAAAATGGATGTAATTTTCTGAAAATAAATTATTATTATTATTGAATACGAAATCCGCGCTGTGGTATGGAACAGTCATTTTTGAATTATTACAGAATAAATGGACTCATTTAATTAAATAAATCATTTAAATAAAAAACTCATTTAATTAAATAAATAGGTATTTACACATGAATGAACTACGTGAAAATAAATTTATTTTTTTATTTTTTGTAAATGAAGGGAATTTCGATAGAAAGCTTAATAGATAATTTAGTATTTAGTGTGTTTAATTTAGTGTTTTTTAAAGGGAGCAAACAAAACTTTTGAGGCACAAGAACATGTTCGTCCTTAGAAAATATAAAAAAAAATGTTAACAAAAAAAAAAAAAAA</t>
  </si>
  <si>
    <t>TRINITY_DN50485_c0_g1_i1.p1</t>
  </si>
  <si>
    <t>GCTTAATAATAATGGTCTATACTGTTGCTTTGGTTATTCTATGCGCTGGTTTTTGTTTGGGATACCCAACTGGAGACCAAATCATTACAAAATTGGACCCGGGATCAAGGTACCAGTATGTCTCCACCCAGGAAGGACTACGGTTAGAGGATTTGTGGTTGAAGAGTAGCGATCTACAAGCGTCTACGAGATTTGATCCCGAAGTGGATAATGGATACCATCTTTTTACTAGAGCGAACCCTCAGATAAGTCAACCGATAGTTTATGGGTTAGAGAGCATCCTCCAGAACTCGAACTTCGATCCCACCAAGAAGACGGTCGTCTTGATCCACGGCTGGTTGAATACGCCTTTATCTGATTTTAATGTTCATTTAGTTTTTGCGTACCTGGCTGCTGAGGATGTCAATGTGATCATGACAGACTGGAGTGTTGGCGCTGGTGGTTCGTACGCGTCGGCCATACTGAACAACATTACTTCAGGAAGGCACGTGGCAAAGTTTATAGCGTGGGTTAACTCCGTGACTGGTGCTACTTTATCACGTTACCACATCATAGGTCACAGTTTGGGCGGCCACCAGGTGGGCGTGGTTGGCAGAGAGTTGGACGGACAAGTAGCTTATATCACCGCCATGGACCCAGCACTTCCTGGTTGGATCACCAATCCCAACAGGATAACTCCCGATGTTTCTCTTTACACTGAAGTAATCCACACTGATGCTGGCCTCCAAGGTATCCTGCATACAGCAGGACACGTGGATTTTTATCCTAACGGTGGAACAATCATGCCTGGTTGCTCTTCAAGCAGCTGCAATCATCATCAGTGTATCTTCTACATGGCAGAATCTCTGGTCTCCGGTGGGTTTACGGGTCGTCTCTGTAGTAACCTGGCATCAGCACTCCTCGGCAACTGCACAGGATCTCAAACCCTTACCATGGGGGGCACCACACCAAAAACTGGATCAACGGGCACATTTTATTTGACTACAAACGCGTATTCGCCATTTTCTCAAGGATAAACCAGCAATTGTTATATATATATTATAAAAAATTTGTTAAATTTCAATTTTTTTAAAGCAAAAATAAAAAAAAATCTAATCAGATCGACTAATTATGG</t>
  </si>
  <si>
    <t>LIIMVYTVALVILCAGFCLGYPTGDQIITKLDPGSRYQYVSTQEGLRLEDLWLKSSDLQASTRFDPEVDNGYHLFTRANPQISQPIVYGLESILQNSNFDPTKKTVVLIHGWLNTPLSDFNVHLVFAYLAAEDVNVIMTDWSVGAGGSYASAILNNITSGRHVAKFIAWVNSVTGATLSRYHIIGHSLGGHQVGVVGRELDGQVAYITAMDPALPGWITNPNRITPDVSLYTEVIHTDAGLQGILHTAGHVDFYPNGGTIMPGCSSSSCNHHQCIFYMAESLVSGGFTGRLCSNLASALLGNCTGSQTLTMGGTTPKTGSTGTFYLTTNAYSPFSQG</t>
  </si>
  <si>
    <t>0.976748</t>
  </si>
  <si>
    <t>CS pos: 20-21. CLG-YP. Pr: 0.9145</t>
  </si>
  <si>
    <t>YPTGDQIITKLDPGSRYQYVSTQEGLRLEDLWLKSSDLQASTRFDPEVDNGYHLFTRANPQISQPIVYGLESILQNSNFDPTKKTVVLIHGWLNTPLSDFNVHLVFAYLAAEDVNVIMTDWSVGAGGSYASAILNNITSGRHVAKFIAWVNSVTGATLSRYHIIGHSLGGHQVGVVGRELDGQVAYITAMDPALPGWITNPNRITPDVSLYTEVIHTDAGLQGILHTAGHVDFYPNGGTIMPGCSSSSCNHHQCIFYMAESLVSGGFTGRLCSNLASALLGNCTGSQTLTMGGTTPKTGSTGTFYLTTNAYSPFSQG</t>
  </si>
  <si>
    <t>A0A9J7EKP1</t>
  </si>
  <si>
    <t xml:space="preserve">Lipase domain containing protein </t>
  </si>
  <si>
    <t>A0A835G5C7</t>
  </si>
  <si>
    <t>TRINITY_DN4422_c0_g1_i2.p1</t>
  </si>
  <si>
    <t>ATTATATCAAAGTTATTTATTTGATATGTTAATTTAATAATTCCAGTTGGTATCAGACGATGATTAAGACAGTGATATTTTTATTTGGGGTGGCTGCTGTGACGGCACTACCCCACGACACTGTAATCAGGAGGACAGAACCTGGCCTTCGGTACCAGTACCTGCAAGGTCCAGATGGCACGCCTCACCTGGTCGACTTGTGGATGAAGACCAGCGACCTCCAGGAAGCAGCTCGATATGATCCCGAGAGGCAAAACGTCTTCCATCTTTTTACTAGAGACAACCCCAGCGTCAGTCAGCCCTTATTGATGGGCAGCGAAGGTCTTCTTGGTCTCACGAACTACAACCCTCTACGGAGGACCGTCCTTTTAGTCCACGGGTGGCTGGATTCCGTCACTTCTGACTTCAATGCTGTACTAGTACCAGCATTCCTGTCTGCTGAGGACCTGAACGTTATTGTGCTTGATTGGAATGCCGGGGGCGGGTCCATCAACTATTTAGCTGCATTGGCTAACACTGTACCCGCTGGAGAAAGTACGGCCCGTTTCATTTCCTGGTTGAACTCTGTTACTGGAGCAGTTCCTGCCATGTATCATATTGTGGGTCACAGCTTGGGAGGACATATGGCCGGAATCATCGGGAGGAATCTCGGAGGAGAGGTCGCTTATATTACTGCGCTAGACCCTGCGTTCCCAGGTTGGCTAACCAATGATGACAAATTTCGGGAAAATGATGGCATTTACACCGAAGTTATACACACTAATGCCGGTCTACTGGGCTACATAGCGACCCTTGGGCAAGTGGACTTCTACCCCAATGGCGGAATCAACATGCCAGGGTGTAACAGCCAGGAGTGTGATCATGCCAGATCTTATTTCTACCTGGCAGAATCCCTGTTAACTGGAGGATTCAATGGTAGAAGGTGTGCGTCGTATGCTACCGCTATGACGGGCAATTGCTTTTTATGGGGCAGTTTGAATATGGGGGGTCTGGTGCCGAAGACTGGATCATCTGGAGTGTTCTATTTGGAAACAAAC</t>
  </si>
  <si>
    <t>MIKTVIFLFGVAAVTALPHDTVIRRTEPGLRYQYLQGPDGTPHLVDLWMKTSDLQEAARYDPERQNVFHLFTRDNPSVSQPLLMGSEGLLGLTNYNPLRRTVLLVHGWLDSVTSDFNAVLVPAFLSAEDLNVIVLDWNAGGGSINYLAALANTVPAGESTARFISWLNSVTGAVPAMYHIVGHSLGGHMAGIIGRNLGGEVAYITALDPAFPGWLTNDDKFRENDGIYTEVIHTNAGLLGYIATLGQVDFYPNGGINMPGCNSQECDHARSYFYLAESLLTGGFNGRRCASYATAMTGNCFLWGSLNMGGLVPKTGSSGVFYLETN</t>
  </si>
  <si>
    <t>0.953635</t>
  </si>
  <si>
    <t>CS pos: 16-17. VTA-LP. Pr: 0.6562</t>
  </si>
  <si>
    <t>LPHDTVIRRTEPGLRYQYLQGPDGTPHLVDLWMKTSDLQEAARYDPERQNVFHLFTRDNPSVSQPLLMGSEGLLGLTNYNPLRRTVLLVHGWLDSVTSDFNAVLVPAFLSAEDLNVIVLDWNAGGGSINYLAALANTVPAGESTARFISWLNSVTGAVPAMYHIVGHSLGGHMAGIIGRNLGGEVAYITALDPAFPGWLTNDDKFRENDGIYTEVIHTNAGLLGYIATLGQVDFYPNGGINMPGCNSQECDHARSYFYLAESLLTGGFNGRRCASYATAMTGNCFLWGSLNMGGLVPKTGSSGVFYLETN</t>
  </si>
  <si>
    <t>A0A2W1BR39</t>
  </si>
  <si>
    <t>TRINITY_DN18957_c0_g1_i1.p1</t>
  </si>
  <si>
    <t>U-TPTX5-Tp1</t>
  </si>
  <si>
    <t>CTTTATAAGGCGCTTCTAATATTGTGTTGTTGAGTGCGGCAACTGTTTACCAGCATACTGAAGCGTGTCTTGTCATTATAATGGAATATTGTAAAACTGTTCTGGTATTTAGTTTATTTGTACTTGTCTCTGCTGCTGCGCCACCACAATATGGGAAATCCGATGGTCTTGGTGAATATGGAGAGTATTTTGAAGGCGACATGATACTGACAAATGCTCAACGTCAAGCGATTTCTCAGGCGACGGACAACCGAAATGGATTGCGTGATGAACTTAAACGCTGGCCCAACCACACCGTCGTGTATCACATCGTTGAAGATGACTTTGATAATAATCAAATAAAGATGATAGAGGAAGGAATGGACGACATAGCCGATAAATCATGCCTGCGGTTCCGACAGAGGAGGAATGAAGATGAATATTCCGTAGTCATTCAGGGAAAGCACGATGGTTGCTTTTCAAAGGTAGGATTTAACGAAACGGATGCCGATGAGGGCGAAGCTGACCAGGTATTAAACCTCGCTGCGGGTTGCTTTACACACGGGACCGTGGTACATGAGATGTTGCACACCATCGGTTTCTACCACATGCAGAGTACTTACGATCGAGATGAGTATGTGCAAATTGTGTGGGAGAATATACAAACAGATAGAGTAAATAACTTCGATATGTACAACAACAACAAAGTCACCGACTTCGGCGTACCGTACGACTACGGTAGTGTGATGCACTACCCGGAGACGGCCTTCTCCAAAAATGGAAAGAAGACTATAATACCGCTACAGGAAAACGTGAAAATCGGCCAGCGGTACGGACTCTCAAAGAGAGACATTATAAAGTTAAATAAAATGTACTGTGAGGAATCTGATACCCAATGAATATCGATGTATAAAAGAGACTAAGCAAACTCCCAATCTGTTGCCAAATTGATCTGATAAAAAAATTATTCATTATAACGGTAAAATTTATTAAAAAAAAATTAATTTGTTTGTACTACTAAGTAAAGTTGTTGAAGTAAAAAAA</t>
  </si>
  <si>
    <t>MEYCKTVLVFSLFVLVSAAAPPQYGKSDGLGEYGEYFEGDMILTNAQRQAISQATDNRNGLRDELKRWPNHTVVYHIVEDDFDNNQIKMIEEGMDDIADKSCLRFRQRRNEDEYSVVIQGKHDGCFSKVGFNETDADEGEADQVLNLAAGCFTHGTVVHEMLHTIGFYHMQSTYDRDEYVQIVWENIQTDRVNNFDMYNNNKVTDFGVPYDYGSVMHYPETAFSKNGKKTIIPLQENVKIGQRYGLSKRDIIKLNKMYCEESDTQ</t>
  </si>
  <si>
    <t>0.987354</t>
  </si>
  <si>
    <t>CS pos: 19-20. SAA-AP. Pr: 0.4358</t>
  </si>
  <si>
    <t>APPQYGKSDGLGEYGEYFEGDMILTNAQRQAISQATDNRNGLRDELKRWPNHTVVYHIVEDDFDNNQIKMIEEGMDDIADKSCLRFRQRRNEDEYSVVIQGKHDGCFSKVGFNETDADEGEADQVLNLAAGCFTHGTVVHEMLHTIGFYHMQSTYDRDEYVQIVWENIQTDRVNNFDMYNNNKVTDFGVPYDYGSVMHYPETAFSKNGKKTIIPLQENVKIGQRYGLSKRDIIKLNKMYCEESDTQ</t>
  </si>
  <si>
    <t>Peptidase, metallopeptidase, Astacin (Peptidase family M12A), Metallopeptidase, catalytic domain superfamily</t>
  </si>
  <si>
    <t>Metalloendopeptidase</t>
  </si>
  <si>
    <t>A0A921YXG5</t>
  </si>
  <si>
    <t>TRINITY_DN59_c0_g1_i10.p2</t>
  </si>
  <si>
    <t>U-TPTX3-Tp1</t>
  </si>
  <si>
    <t>CCGATCTTGGTATGTACACCATTATTATCTCTGTTTTATTTAATAACCTCATACTTTCCGGTGGAATATTCCACAACTTTAAAACTTATTATCATTTTAATAAGTGCTTAGTTCAAAACGAGTCTCTGTGTTGAGCAGTCCACAATATAACACAGCAGCAGTCATGAAACTCATTTTGATATTGTCAATTGTGACGGTTTTATCTACGGCTCAAGCCCAAGTTACGTACAGCACAGAAAATGATGACTTCGATGTAGAGGCTCTCGTTTCAAATCTTGACTCCTTAAAGGCCTTCAACGGCTGCTTTATAGACACAATGACGTGCGACCCAACCGCTGCTGATTTTAAGAAGGATATACCTGAAGCAGTCGCACAATCATGCGCTAAGTGCACAGAAGCACAGAAGCATATTTTCAAAAGGTTCTTAGAAGCTCTCAAAGAAAAGCTTCCTCAAGGTTATGAGGATTTCAAGAAGAAGTACGATCCTAATGGAGGACATTTTTCAGCATTGGAACAAGCCGTTGCGGCGTTTTAGAACTACCCACTAATTGTTATTTTTCTAGAAACATCCAATGTTGCAATTAAATTAATAATCCTTTCAATAATCAATGAAGAGAAGCAAACTCTGCGTGCTTTTTTCTTTCAGATTTATTACCCTGGTCGTAGGACCTTCCGTCGAGGGACCCTTTGTCCCTCTATTTCAAAATTCTTCATTTCCACCGGTCACCACCCCCTAAGTTTATGACACTTTCATAACGGATACTGGCAGAATTGTACCAATTGGGTCAAACGCCATAAACTAAGAAGAAGAAGAAGAAGAAGGTTATAACGAATTTAAATAATTTAAAGTAATATTACCGAAAAAAATAAATAAAAATGTACTCTAGCGATGACTACAATGAGGGTGGATACGAATCATATGGGGATTATGAACCGCATACTGGAGATCCACAATATGATTTGGAATATGATCGGTCATCTTTCTACAAAATGCCTGACATGGTTAAAAAGTTTCTTGTATATTTTAGAAATATGATAACTGAGGGTGTTACTTATGAAATTCTAAACCTCTATGAGAATACCTTCCCAAAGCTCACGGAGCAGTACTTTGAAAACACTCCTTGGCCAGACGAAAATGAGGTGGCACCAGTAGTTGACAATGACCATGTTTTTATGATTCTATATAAAGAGCTGTACTATCGTGATATCTACGCCCGTGTGCCCGGTGGTCCTAAGCCTGATCAAAGGTTCCACTCATTCTACAACTACTGTGATCTTTTCAACTACATTTTATCTGCGGAGACTCCGGTTCCTCTGGAATTGCCTGACCAATGGCTCTGGGAGCTTATTGATGAATTTGTGTATCAATTCCAATCATTTGCGCAATATAGGTCGCGAACATCAAAGTTGAGCCCTGCTGAGATTGAGGCTCTTAACACTGAGAATAAGGCTTGGAATGTACTCTGCATTCTCAATGTGTTGCATTCCTTAGTAGACAAGTCTAACATCAAACGGCAGCTTGAGGTGTATGCTGCTGGCGGCGATCCCGACTCTGTGGCGGGAGAGTTTGGTCGTCACTCTCTCTACAAGATGCTGGGGTACTTCTCACTGGTGGGACTTCTGCGCTTACATTCCCTACTTGGAGATTATTACCAGGCCATTAAGGTTCTAGAGAACATTGAGCTTCATAAAAAGTCTCAGTACTCGCACGTGCCAGCGTGCCAGATCTCCACGTCGTACTACGTGGGCTTCGCGTACATGATGATGCGTCGTTATGCAGACGCGATCCGCACGCTCTCTTCGGCGCTGCTGTACATGCAGCGCACCAAGCAGCTGTTCTCGTCTCGTTCCTACCAGAACGACCAGATCAACAAACAGACGGAGCAGATGTACCATCTGTTGGCCATTTGCTTGGTACTGCATCCGCAATGCGTCGACGAGTCTATTCAACAGGTGCTTCGCGAAAAGAACTACCATGAAAAGATGTACAAGATGCAGTACGGTGAGCTAGGAGAGTTCGAGAATTGCTTCATGTTCGCGTGCCCCAAGTTCTTGTCGCCGTGCCCGCCGCCCATTGAGCCCGGCTCCAACTACGGCCGCGACGCCGTCAAACACCAGACGCAGGTGTTCATGGATGAGGTCCGTCAGCAAAAGATGCTGCCGACAATCCG</t>
  </si>
  <si>
    <t>MKLILILSIVTVLSTAQAQVTYSTENDDFDVEALVSNLDSLKAFNGCFIDTMTCDPTAADFKKDIPEAVAQSCAKCTEAQKHIFKRFLEALKEKLPQGYEDFKKKYDPNGGHFSALEQAVAAF</t>
  </si>
  <si>
    <t>0.999389</t>
  </si>
  <si>
    <t>CS pos: 18-19. AQA-QV. Pr: 0.9566</t>
  </si>
  <si>
    <t>QVTYSTENDDFDVEALVSNLDSLKAFNGCFIDTMTCDPTAADFKKDIPEAVAQSCAKCTEAQKHIFKRFLEALKEKLPQGYEDFKKKYDPNGGHFSALEQAVAAF</t>
  </si>
  <si>
    <t>Insect odorant-binding protein A10/Ejaculatory bulb-specific protein 3 (</t>
  </si>
  <si>
    <t xml:space="preserve">Odorant binding protein </t>
  </si>
  <si>
    <t>Chemosensory protein 7</t>
  </si>
  <si>
    <t>TRINITY_DN59_c0_g1_i25.p1</t>
  </si>
  <si>
    <t>U-TPTX3-Tp2</t>
  </si>
  <si>
    <t>CCGATCTTGGTATGTACACCATTATTATCTCTGTTTTATTTAATAACCTCATACTTTCCGGTGGAATATTCCACAACTTTAAAACTTATTATCATTTTAATAAGTGCTTAGTTCAAAACGAGTCTCTGTGTTGAGCAGTCCACAATATAACACAGCAGCAGTCATGAAACTCATTTTGATATTGTCAATTGTGACGGTTTTATCTACGGCTCAAGCCCAAGTTACGTACAGCACAGAAAATGATGACTTCGATGTAGAGGCTCTCGTTTCAAATCTTGACTCCTTAAAGGCCTTCAACGGCTGCTTTATAGACACAATGACGTGCGACCCAACCGCTGCTGATTTTAAGAAGGATATACCTGAAGCAGTCGCACAATCATGCGCTAAGTGCACAGAAGCACAGAAGCATATTTTCAAAAGGTTCTTAGAAGCTCTCAAAGAAAAGCTTCCTCAAGGTTATGAGGATTTCAAGAAGAAGTACGATCCTAATGGAGGACATTTCTCAGCGTTGGAACAAGCCGTTGCGATATTTTAGAACTACCCAGTAATTGTTATTTTCTAGAAACATCCAATGATGCAATTAAATTTATAATCCTTTCAATAATCAATGAAGAAGAAGCAAACACTACAAAAACACTTGAGTTTGTAGAAATGTATTTTTTTCTGCATGATATATGTGACGTCGTGGTTCGCCACCCGACACGTCTTGTTGCCCGCGGGGGTGAAATGTGGGCTGCGGATAGCCACTTTGCTTGTAGCAAGTGGAAAGAAGTGGTCTCTGCCTACCCCAAT</t>
  </si>
  <si>
    <t>MKLILILSIVTVLSTAQAQVTYSTENDDFDVEALVSNLDSLKAFNGCFIDTMTCDPTAADFKKDIPEAVAQSCAKCTEAQKHIFKRFLEALKEKLPQGYEDFKKKYDPNGGHFSALEQAVAIF</t>
  </si>
  <si>
    <t>QVTYSTENDDFDVEALVSNLDSLKAFNGCFIDTMTCDPTAADFKKDIPEAVAQSCAKCTEAQKHIFKRFLEALKEKLPQGYEDFKKKYDPNGGHFSALEQAVAIF</t>
  </si>
  <si>
    <t>TRINITY_DN2206_c1_g2_i1.p2</t>
  </si>
  <si>
    <t>U-TPTX3-Tp3</t>
  </si>
  <si>
    <t>GGCAGATGTCAGAATTTGATTTGAAGGTATTTGCTTACCTAGATGACATCATTGTCATAAGCCAAGATTAATATACAAGAGTCAGGCAATTAGTATTTTTTTCTCAAATAAAAAAAAGGCTTTGTGTTTAAAAAAAACCAGCTCTGGTAGCTTCGAACTTGTTAGAATCATTTGCAGTCAAGCATATCGTTGCCAGTATATAAAGACGGAATCGTATAGGTAGCGTATCAGAGTTAAAAGTTTGTACATTCGCAATAACCATGAAACTGATAATCTTCTTTGCTCTGGTGGCTGTCGCCATCGCCCGCCCTGATGGCCTGGATGATCTTGATAACGTCAACATAGATGAAATAACTTCGAACATAAGGTTGTTAAAGACAAACGCAAACTGCATTCTTGATAAGGGCTCATGCACCAAGGAAGCAAAACAGTTTAAGGAACTGGCGCCTGAAGCTGTAAAAACTTCTTGCAGCAATTGCTCGGATAAACACAAAAAACTTATTAGCAAACTCATTAAAGCTGTTCAGGTGAATCTGCCTGAAGAGTATGCGCAGATAAAGAAAATGTATGACCCTGAAGACAAGCGCGATGATGAACTTCAGGAGTTCCTTAATAAATATAGCGCCTAAGAAGGGAAATAACCGAAAATATTAATATGTGAAAGATTATGTTTCGTCGTCTTGAAAATTATTTCATGAAACATTTTGTTAAGTAATATATGTATTATGTGCAATATAATTTTTGATTATTATTAAAAAAAAAAA</t>
  </si>
  <si>
    <t>MKLIIFFALVAVAIARPDGLDDLDNVNIDEITSNIRLLKTNANCILDKGSCTKEAKQFKELAPEAVKTSCSNCSDKHKKLISKLIKAVQVNLPEEYAQIKKMYDPEDKRDDELQEFLNKYSA</t>
  </si>
  <si>
    <t>0.998702</t>
  </si>
  <si>
    <t>CS pos: 15-16. AIA-RP. Pr: 0.6643</t>
  </si>
  <si>
    <t>RPDGLDDLDNVNIDEITSNIRLLKTNANCILDKGSCTKEAKQFKELAPEAVKTSCSNCSDKHKKLISKLIKAVQVNLPEEYAQIKKMYDPEDKRDDELQEFLNKYSA</t>
  </si>
  <si>
    <t>Insect odorant-binding protein A10/Ejaculatory bulb-specific protein 3/ chemosensory protein</t>
  </si>
  <si>
    <t>TRINITY_DN47589_c0_g1_i1.p1</t>
  </si>
  <si>
    <t>U-TPTX3-Tp4</t>
  </si>
  <si>
    <t>TCGGACGATCACAAGTGATAAGTGTTGCCAGTATACAAAAGATCAAGATGTCTAAATTCACATTAATTATTCTTTGTGTAGTTGCCTTGAGCTTAAGCAAAGTTAATAGTTTGTCAGAAGAAGACAGGAATGTTTTGAAAATGAAGGTCGCTCCCATCATTGAAGAGTGCTCTAAGGAGTTTCAAGTCACCGGGGATGAAATTGATGCTGCTGTGAAGGCCTCCAGTACCAATAATATCAAGCCGTGTTTCTTGGGATGCGTCTTCAAGAAATCT</t>
  </si>
  <si>
    <t>GRSQVISVASIQKIKMSKFTLIILCVVALSLSKVNSLSEEDRNVLKMKVAPIIEECSKEFQVTGDEIDAAVKASSTNNIKPCFLGCVFKKS</t>
  </si>
  <si>
    <t>0.655843</t>
  </si>
  <si>
    <t>CS pos: 36-37. VNS-LS. Pr: 0.4700</t>
  </si>
  <si>
    <t>LSEEDRNVLKMKVAPIIEECSKEFQVTGDEIDAAVKASSTNNIKPCFLGCVFKKS</t>
  </si>
  <si>
    <t>Pheromone/general odorant binding protein</t>
  </si>
  <si>
    <t>General odorant-binding protein 28a-like</t>
  </si>
  <si>
    <t>TRINITY_DN43554_c0_g1_i1.p1</t>
  </si>
  <si>
    <t>U-TPTX4-Tp1</t>
  </si>
  <si>
    <t>AGCTGAAAGTGGAATCATGAAGGGCCTGATTGTATTGATGTGCGCGCTGGTCGCCGTTCAGGCACGCAGCACTGCTATTAGCAAGATCGTTAGGACCGAAGCTGCCTTGGGCGAGAACCCATGGGTGGTGCACCTGCGTATTGCTGTATCCACCAGTGGGTTGCTGGAAACTTGCGCCGGTTCCCTGATTGACGAATCCTGGGTCCTCACAGCCGCTGACTGCCTTGCTGAGCAGCGCTTTATCTGGATCCGCTACGGTGTCGTGAATGTGATCAACCCCGAGCTGGTGACGGAGAACAGCATCGTGCGCATGGCCCCAGTCCACGGCACAGTCGCGCTTATCAGTATCAACAGAGTCGTCCACTCCACCGCTAACATCAGCCCCGTTGCCCTCGCTGCCGCTGACGCCGAGACTCCTGAGACTGCCACTTACTGCAGTTTCAACGATGTTGAATCTTCTGGACCTGGTGAGATCCTGACTTGCTCAGAATTGACCTTGGAATCGGCTGACGAAGGAATCCTCGCTGACGTCAGCGCGACTGTTTTCGATCTGGGGGCACCTCTAGTAGCAGATGGCGTGCAGTTTGGTGTGTTGGTCCGCTCAGTCGACGGTGTCACCACATTCGTTCGTTCCGGCGATTTCTTAGAGTGGATCGAGGAAGAGACTGGTGTAGACTTCAGCTCCAGGGTTGCCGCCGTCGTAGCTTCAGGACCCGAGGCCGTCAATTTCGTGAACTAAACTTAAGTTGTACTATTTTCGAAAATACAATAATGGTTTTTTCAAG</t>
  </si>
  <si>
    <t>AESGIMKGLIVLMCALVAVQARSTAISKIVRTEAALGENPWVVHLRIAVSTSGLLETCAGSLIDESWVLTAADCLAEQRFIWIRYGVVNVINPELVTENSIVRMAPVHGTVALISINRVVHSTANISPVALAAADAETPETATYCSFNDVESSGPGEILTCSELTLESADEGILADVSATVFDLGAPLVADGVQFGVLVRSVDGVTTFVRSGDFLEWIEEETGVDFSSRVAAVVASGPEAVNFVN</t>
  </si>
  <si>
    <t>0.979295</t>
  </si>
  <si>
    <t>CS pos: 21-22. VQA-RS. Pr: 0.6971</t>
  </si>
  <si>
    <t>RSTAISKIVRTEAALGENPWVVHLRIAVSTSGLLETCAGSLIDESWVLTAADCLAEQRFIWIRYGVVNVINPELVTENSIVRMAPVHGTVALISINRVVHSTANISPVALAAADAETPETATYCSFNDVESSGPGEILTCSELTLESADEGILADVSATVFDLGAPLVADGVQFGVLVRSVDGVTTFVRSGDFLEWIEEETGVDFSSRVAAVVASGPEAVNFVN</t>
  </si>
  <si>
    <t>Trypsin domain, peptidase S1 PA chymotrypsin, trypsin like serine protease, chymotrypsin related</t>
  </si>
  <si>
    <t>Trypsin II-P29[...]</t>
  </si>
  <si>
    <t>Gallus gallus (Chicken)</t>
  </si>
  <si>
    <t>Q90629</t>
  </si>
  <si>
    <t>Factor V activator RVV-V gamma</t>
  </si>
  <si>
    <t>Eumeta variegata (Bagworm moth) (Eumeta japonica)</t>
  </si>
  <si>
    <t>A0A4C1Z095</t>
  </si>
  <si>
    <t>TRINITY_DN49616_c0_g1_i1.p1</t>
  </si>
  <si>
    <t>CGTAGACAAAGATGGACTTTAAAACTGGAATTTTGGTGTTGACGCTCCTCGTAGGGAGCTTGGCCATCCCTACGCCCGAAGATGACATGTCCATATTCTTCGAGCACGTTAATCCTGAGGCTCGTATTGTTGGCGGAACTGAAGCACCCGTAGGAAGTCACCCACACATGGTGGCGCTTTCCAGCGGACTCCTCATTAGAAGTTTCCTATGCGGCGGCTCTCTTATCAGTACCAGGACTGTTCTGACCGCTGCTCACTGCATCGACCATGTTTTCAGTTTTGGATCACTGACCAGCACTCTCCGTGCTACAGTCGGCACCAACCGCTGGAGCTCGGGTGGAACGAGCTACACCCTGTCCCGCAACGTCACGCACCCCAACTACCTCAGCGCTAACATCAAGAACGACATCGGTATCCTCATCACTTCTTCAGTGGTGGCCCTCACGGCTCTCGTCAACGTGGTCCCAGTTAGCTTCAACTATGTACCTGGAGGCGTCGATTCCAGAGTCGCCGGATGGGGCAGGATCAGGGCCAATGGCGCACTCTCCGCGAACCTTCTCCAACTAGAGCTGACTACTATCGGCGGCGACGAGTGCGTGAGCCGCGTGGCTCAAGCCGCCGCCGACTTCAACGTGAGGGCGCCCCCAGTGGAGCCGCACATCGAGGTCTGCACATTGCACGAGCCTAACTTCGGTACTTGCAATGGTGACTCTGGCAGCGCTCTGATCCGACAAGACACCAATCAGCAGTTCGGCATCGTGTCTTGGGGCTTCCCATGCGCACGTGGCGCTCCCGACATGTTTGTCAGGATCTCCGGCTTCCAGGACTGGCTGCAGCAGAACATCGTCTGAACTACCGCCAAACAATATGAATGATAAATGATATTGATTAAAACTAAGAAATTAAAAAAAAA</t>
  </si>
  <si>
    <t>MDFKTGILVLTLLVGSLAIPTPEDDMSIFFEHVNPEARIVGGTEAPVGSHPHMVALSSGLLIRSFLCGGSLISTRTVLTAAHCIDHVFSFGSLTSTLRATVGTNRWSSGGTSYTLSRNVTHPNYLSANIKNDIGILITSSVVALTALVNVVPVSFNYVPGGVDSRVAGWGRIRANGALSANLLQLELTTIGGDECVSRVAQAAADFNVRAPPVEPHIEVCTLHEPNFGTCNGDSGSALIRQDTNQQFGIVSWGFPCARGAPDMFVRISGFQDWLQQNIV</t>
  </si>
  <si>
    <t>0.993323</t>
  </si>
  <si>
    <t>CS pos: 18-19. SLA-IP. Pr: 0.8807</t>
  </si>
  <si>
    <t>IPTPEDDMSIFFEHVNPEARIVGGTEAPVGSHPHMVALSSGLLIRSFLCGGSLISTRTVLTAAHCIDHVFSFGSLTSTLRATVGTNRWSSGGTSYTLSRNVTHPNYLSANIKNDIGILITSSVVALTALVNVVPVSFNYVPGGVDSRVAGWGRIRANGALSANLLQLELTTIGGDECVSRVAQAAADFNVRAPPVEPHIEVCTLHEPNFGTCNGDSGSALIRQDTNQQFGIVSWGFPCARGAPDMFVRISGFQDWLQQNIV</t>
  </si>
  <si>
    <t>Peptidase S1A, chymotrypsin family</t>
  </si>
  <si>
    <t>peptidase S1 domain containing protein</t>
  </si>
  <si>
    <t>A0A835GNC5</t>
  </si>
  <si>
    <t>TRINITY_DN54371_c0_g1_i1.p1</t>
  </si>
  <si>
    <t>TTTGGACTCCCAAGATGCAGCTCTATATAGTAGGATTACTTACATTAGCAAGTTTTGTTTGTGCAAAAAATGCACAATTTGATCAAATTACTCCCACCTATGGCTATATAGAAAACTATGGAATCCCAGAAGCAGAAAGAATCCGTAAAGCGGAGGAAGATTATTTGAATTCGAGAATCGTTGGAGGTGTTCCGGCTGCTCTTGGACAATACCCTTTCCAGGCTGGCCTTCTCGGTGATGTTGTTGGTATAAATGGAGTGACTGTCTGCGGGGGATCTTTAGTCAGTCACAATCGCGTCATCACCGCTGCTCACTGTTGGTTTGACGGCGTCCATCAAGTTTGGCGGTTCACTATCGTCTTAGGCTCCGTCCTACTCTTCAGTGGTGGCAGCAGGATTGAGACCAGTGCAGCAGTATTACACCCCAGCTATTCGTTCCTATTAGCACGCAATGACGTTGCGGTTCTTTACTTATCAACAAGCGTTACGTTTTCGAATAATATCGCCCCAATATCTTTGCCTACTGGAAGTGAACTGTTTGAAAACTTTTCCGGTGAACAAGCCATTGCAAGTGGCTTTGGTTTGACTAGCGATGGTGGATCAATTACTACAACTCAGGGCTTGAGTCACGTGAGTTTAAGCGTCATAACGAACAACGTGTGCACCGTTGCATTCCCACTGATTATCCAAAGCTCCAACATCTGCACTAGCGGTGTTGGCGGTGTTGGAATTTGCAGCGGTGACTCTGGTGGCCCTCTAATCGTTACTAGGAACGACAGACCTATTTTGATTGGCGTTTCCTCCTTTGGTTCTGCTCTCGGTTGTCAAGCCAATTTACCGGCTGCCTACGCCCGAGTCACATCTTTCATGGATTTCTTCGGTATACACGTATAAAAATATGTAAAATGTATGTTGTTGGGGGTAGAGCACTGGATAGACTAGGGGGATTCACCGTCTTACCAAATCTAACTAAACTCCG</t>
  </si>
  <si>
    <t>WTPKMQLYIVGLLTLASFVCAKNAQFDQITPTYGYIENYGIPEAERIRKAEEDYLNSRIVGGVPAALGQYPFQAGLLGDVVGINGVTVCGGSLVSHNRVITAAHCWFDGVHQVWRFTIVLGSVLLFSGGSRIETSAAVLHPSYSFLLARNDVAVLYLSTSVTFSNNIAPISLPTGSELFENFSGEQAIASGFGLTSDGGSITTTQGLSHVSLSVITNNVCTVAFPLIIQSSNICTSGVGGVGICSGDSGGPLIVTRNDRPILIGVSSFGSALGCQANLPAAYARVTSFMDFFGIHV</t>
  </si>
  <si>
    <t>0.973814</t>
  </si>
  <si>
    <t>CS pos: 21-22. VCA-KN. Pr: 0.7037</t>
  </si>
  <si>
    <t>KNAQFDQITPTYGYIENYGIPEAERIRKAEEDYLNSRIVGGVPAALGQYPFQAGLLGDVVGINGVTVCGGSLVSHNRVITAAHCWFDGVHQVWRFTIVLGSVLLFSGGSRIETSAAVLHPSYSFLLARNDVAVLYLSTSVTFSNNIAPISLPTGSELFENFSGEQAIASGFGLTSDGGSITTTQGLSHVSLSVITNNVCTVAFPLIIQSSNICTSGVGGVGICSGDSGGPLIVTRNDRPILIGVSSFGSALGCQANLPAAYARVTSFMDFFGIHV</t>
  </si>
  <si>
    <t>Brachyurin-like</t>
  </si>
  <si>
    <t>Galleria mellonella</t>
  </si>
  <si>
    <t>A0A6J3C3E1</t>
  </si>
  <si>
    <t>Peptidase S1 domain-containing protein</t>
  </si>
  <si>
    <t>A0A2A4K0B4</t>
  </si>
  <si>
    <t>TRINITY_DN53772_c0_g1_i1.p1</t>
  </si>
  <si>
    <t>CGTTGCTGCCAGAATGAAGGTCTTCGTCGCTCTACTGGCACTAGCTGCCGTCTCTTACGCCAGAAATGTTCAGGGGCCTGTAATAGACAATACTGCCTATGGCTACCTGGCGAATATTGGTGTACCCGAAGCTGAGAGGATCCGCAAGGCTGAGGAACAACACTTGAGCAACAGGATTGTGGGAGGCGTCCCTGCAGGAGTCGACCAGTACCCATATCAGGTTGGCCTTCTTATTTCCATGATCGGTTTCGAAGGTACTGGAGTCTGTGGAGGATCAGTTCTCAGCGCCAACAGAATCATTACGGCTGCTCACTGTTGGTTCGACGGCATCCACCAGGCCTGGCAGTTCACCGTCGTGATGGGCTCTGTCCTTCTATTCAGTGGTGGCACTAGGGTTAATACAGGCGTCGTGGCTATGCATCCCAACTGGTTTCCACAGCTGGTCCGTAATGACGTGGCTGTAGCTTATTTGCCTACACCCGTTACTTTCTCAACCGCAATTGCTCCTATCTCGCTTCCTTCTGGATCTGAATTGAATGAAGACTTCGCTGGCGCTACTGCCATCGCATCTGGCTTCGGTATAACTAGCGACAATGCTGGAATTTCATCTGGACAATTCTTGAGCCACGTCAGCCTAAACGTCATCACGAACAGTGTCTGCTCATTGGCTTTCCCCCTGATTCTTCAGAGCTCAAACATTTGCACCAGCGGTGTTGGTGGAGTGGGAACTTGTGGTGGTGATTCTGGTGGCCCTCTTGTCGTTACAAGAGGAGACAGACAGATCCAGATTGGTGTGACGTCATTCGGTTCAGCTCTTGGCTGTCAAGGGAATTTACCTGCAGCATTCGCGCGCGTGACCTCCTTCGTGGACTTTTTCAACCAACACATGTAAAATGTTCAACATGATATCCAATATATTATAAACTAAT</t>
  </si>
  <si>
    <t>VAARMKVFVALLALAAVSYARNVQGPVIDNTAYGYLANIGVPEAERIRKAEEQHLSNRIVGGVPAGVDQYPYQVGLLISMIGFEGTGVCGGSVLSANRIITAAHCWFDGIHQAWQFTVVMGSVLLFSGGTRVNTGVVAMHPNWFPQLVRNDVAVAYLPTPVTFSTAIAPISLPSGSELNEDFAGATAIASGFGITSDNAGISSGQFLSHVSLNVITNSVCSLAFPLILQSSNICTSGVGGVGTCGGDSGGPLVVTRGDRQIQIGVTSFGSALGCQGNLPAAFARVTSFVDFFNQHM</t>
  </si>
  <si>
    <t>0.995185</t>
  </si>
  <si>
    <t>CS pos: 20-21. SYA-RN. Pr: 0.8938</t>
  </si>
  <si>
    <t>RNVQGPVIDNTAYGYLANIGVPEAERIRKAEEQHLSNRIVGGVPAGVDQYPYQVGLLISMIGFEGTGVCGGSVLSANRIITAAHCWFDGIHQAWQFTVVMGSVLLFSGGTRVNTGVVAMHPNWFPQLVRNDVAVAYLPTPVTFSTAIAPISLPSGSELNEDFAGATAIASGFGITSDNAGISSGQFLSHVSLNVITNSVCSLAFPLILQSSNICTSGVGGVGTCGGDSGGPLVVTRGDRQIQIGVTSFGSALGCQGNLPAAFARVTSFVDFFNQHM</t>
  </si>
  <si>
    <t>Galleria mellonella (greater wax moth)</t>
  </si>
  <si>
    <t>TRINITY_DN45288_c0_g1_i1.p1</t>
  </si>
  <si>
    <t>TATGAGGCAAGTTTTAATTTCAAGGATCACTTTTTAACATCGTCATGAAGGTACTGGTATTGCTATCTTTGTTGGCCTTCGCCTACGCAAGAAATGTGGAGCCTCTCACACCCGTTGAGTTGGCAGAACCACTCAGCGCGTACGGCTACATCCAAGACTATGCAATCCCATTGGCCGAGGAAATCCGTCAAGCGGAAGCAAAGTACGCTCAAGAGAGAATAGTGGGAGGCAGTCCAGCTGCCGTTGGCCAATTCCCTTACCAGGCTGGTCTCCTCGCTGAATATCAAAACGTTGCTGGTACGGGAGTATGTGGTGGTTCCCTCGTGAGTGCGAATAGAGTCATCACCGCTGCCCACTGTTGGTTTGACGGTCGCAACCAAGCGTGGCGGTTAACGGTCGTTCTGGGCTCTGAATTGCTATTCAGCGGCGGCAACAGAATTCTAACCAGCGACGTTATCTTGCACCCTAACTGGGGCCCCATTACTATTCGTAATGACGTCGCTGTAATCTACCTGCCTGAAAATGTCGCATTCACAAATGTTATATCTCCTATTGCGCTGCCTTCTGGAGCTGAGTTGAACCAAAACTTCGTTGGTGTCGTCGGTGTTGCTTCTGGATTCGGTCTTACCAGTGATAGCGGTTCCATCACTACTGGTCAGTTCCTGAGCCATGTTAACTTAAACGTGATCTCCAATGACATATGTCGGATCAGCTTCCCCTTGAACTTGCGGTCCTCAAATATTTGCACCAGCGGCCTTCGTGGTACTAGCACTTGCCGAGGTGACTCGGGTGGCCCTCTTGCTGTTATCAGCAACAACAGACCTGTTTTGATCGGTATCACTTCATTCGGTTCTGGTCTTGGCTGCCAGGTCGGCTTCCCTGCTGTATTCGCCCGTGTCACTTCGTTCATGGACTTCTTCAACG</t>
  </si>
  <si>
    <t>MKVLVLLSLLAFAYARNVEPLTPVELAEPLSAYGYIQDYAIPLAEEIRQAEAKYAQERIVGGSPAAVGQFPYQAGLLAEYQNVAGTGVCGGSLVSANRVITAAHCWFDGRNQAWRLTVVLGSELLFSGGNRILTSDVILHPNWGPITIRNDVAVIYLPENVAFTNVISPIALPSGAELNQNFVGVVGVASGFGLTSDSGSITTGQFLSHVNLNVISNDICRISFPLNLRSSNICTSGLRGTSTCRGDSGGPLAVISNNRPVLIGITSFGSGLGCQVGFPAVFARVTSFMDFFN</t>
  </si>
  <si>
    <t>0.997355</t>
  </si>
  <si>
    <t>CS pos: 15-16. AYA-RN. Pr: 0.8676</t>
  </si>
  <si>
    <t>RNVEPLTPVELAEPLSAYGYIQDYAIPLAEEIRQAEAKYAQERIVGGSPAAVGQFPYQAGLLAEYQNVAGTGVCGGSLVSANRVITAAHCWFDGRNQAWRLTVVLGSELLFSGGNRILTSDVILHPNWGPITIRNDVAVIYLPENVAFTNVISPIALPSGAELNQNFVGVVGVASGFGLTSDSGSITTGQFLSHVNLNVISNDICRISFPLNLRSSNICTSGLRGTSTCRGDSGGPLAVISNNRPVLIGITSFGSGLGCQVGFPAVFARVTSFMDFFN</t>
  </si>
  <si>
    <t>TRINITY_DN32761_c0_g1_i1.p1</t>
  </si>
  <si>
    <t>TGTTAAGATGGCGGCAGCTTACTTACTGGGGTTAATATTTGTACTTGGCTGCGTCCAGAGTGACCCATTATACAAAATTGCAGAGCCAAGATTTATCGAAGATTTAAGAAATGACGGCTCTAGAATCGTGGGTGGCTGGCCTGCGGTTGACTCCAGCCAGATCCCGTACCAGATCAGCCTGAGGATGGTGAGCGACGCAGGCGCTGTCAGCTCATGTGGTGGATCCCTCATCCACCACCAATGGGTGATTACCGCCGCCCACTGTCTTGCCAACCGCATTTCGTTCGTGGTCCGTTTGGGTTTGACTAACCTAACCAAGCCGGAGTACATCGTGGAGTCGACCAACAAGCACATCCACCCGGAGTACGACGAGTTCCGCGCCGGCGTGCAGACTGCCGACATTGCGCTGGTCGGGCTTGACCAATACATTCCATACTCCGATACCATCCAGCCCTGCCGTCTCCAGAACAGTGAGCAGAAAAACATCAATTACGATGGAGTAAGAATGGTCGTCAGTGGTTATGGCCGCACTGACGACTTATGGAATGGCGGTACTACTTCCGAGATCCTGTTATGGGTATACCTACAAGGTATTACGAATGAGGAGTGTCTGCGTTGGTACCCAGGAAGCCAGGTTATCAAAGAACAGACCATATGCGCCGCTTCTTACAACGAAAGCTCACAGTCATCTTGCCAGGGTGACAGTGGTGGCCCTCTAACGGTTGTGGACTACGACGGACAGCCGACCATGGTAGGAGTGGTCAGCTTTGGATCCTCGGCTGGTTGCAACAGCCCGTTCCCGGCAGGTTACGTCCGTCCTGGACATTACCATGACTGGTACGTCGAGGTGACCGGTATTGACTTCGACTGGAAGGAGACGGAGGACTCGGAGACAGAAAGCCTTAGCGAACCACAGTATGAAAGCCACAACGTGATTATTGTCAATATGTAGCGCCACACGTGCTACTCAAGAGTTACAAAATAAATTAAAGTTACAAAG</t>
  </si>
  <si>
    <t>VKMAAAYLLGLIFVLGCVQSDPLYKIAEPRFIEDLRNDGSRIVGGWPAVDSSQIPYQISLRMVSDAGAVSSCGGSLIHHQWVITAAHCLANRISFVVRLGLTNLTKPEYIVESTNKHIHPEYDEFRAGVQTADIALVGLDQYIPYSDTIQPCRLQNSEQKNINYDGVRMVVSGYGRTDDLWNGGTTSEILLWVYLQGITNEECLRWYPGSQVIKEQTICAASYNESSQSSCQGDSGGPLTVVDYDGQPTMVGVVSFGSSAGCNSPFPAGYVRPGHYHDWYVEVTGIDFDWKETEDSETESLSEPQYESHNVIIVNM</t>
  </si>
  <si>
    <t>0.994472</t>
  </si>
  <si>
    <t>CS pos: 20-21. VQS-DP. Pr: 0.9536</t>
  </si>
  <si>
    <t>DPLYKIAEPRFIEDLRNDGSRIVGGWPAVDSSQIPYQISLRMVSDAGAVSSCGGSLIHHQWVITAAHCLANRISFVVRLGLTNLTKPEYIVESTNKHIHPEYDEFRAGVQTADIALVGLDQYIPYSDTIQPCRLQNSEQKNINYDGVRMVVSGYGRTDDLWNGGTTSEILLWVYLQGITNEECLRWYPGSQVIKEQTICAASYNESSQSSCQGDSGGPLTVVDYDGQPTMVGVVSFGSSAGCNSPFPAGYVRPGHYHDWYVEVTGIDFDWKETEDSETESLSEPQYESHNVIIVNM</t>
  </si>
  <si>
    <t>Collagenase</t>
  </si>
  <si>
    <t>Hypoderma lineatum (Early cattle grub) (Common cattle grub)</t>
  </si>
  <si>
    <t>P08897</t>
  </si>
  <si>
    <t>Trypsin 5G1</t>
  </si>
  <si>
    <t>P29787</t>
  </si>
  <si>
    <t>A0A2W1BWI0</t>
  </si>
  <si>
    <t>TRINITY_DN24220_c0_g1_i1.p1</t>
  </si>
  <si>
    <t>TAGCCCTCCTCGCTGTCGCTCTGTTTGCAGGGTCGTCATTCTCGGTGCCGCAAACTAATCGTATTGTAGGTGGCACAGAGACCACTGTGGAGAAATTCCCTTCGATTGTGCAAGTGGATAGCCTTGGCGTCTTCACTGGAACTTGGGCACAGTCCTGCGCTGCTAACATCCTCACTACTCGCTACGTTCTATCTGCTGCTCACTGCTTCGAAGGAATATTTTATGCCCCGGAGCGTCGCCGTATCAGGGCTGGTGCCACTTACCGCAATACTGGTGGGATCCTTTCATACGTAGAACGCGAGTACAACCACCCAACGTACGGCACTCTTGGCCTGGACGGCGATATATCTGTGATCCGATTGTTGGAAGCCCTGGTGTATAGCCCGGTGGTCCAGCAAGGAACTATTATCTCTCAAAATGCATTCATTCCAGATAATTTATCTGTCGTGCACGCCGGTTGGGGAACCACTACGCATGAAGGCTCTGCGTCACCCGTTCTTCTGGAAACCAGCATCTACACCATCAACAACCAGCTCTGCGCTGAAAGATACCTGACCCTTCCTACGCCACAAGTTGTGACAGTTAACATGATCTGCGCTGGTCTCCTTGACGTTGGGGGGCGTGATGCTTGCCAGGGCGACTCCGGCGGTCCTCTGTACTACGAAGACATTATTATAGGCATTGTATCCTGGGGCGAAGGCTGCGGAAACGATACCTTTCCCGGAGTTAGTACTG</t>
  </si>
  <si>
    <t>AVLALLAVALFAGSSFSVPQTNRIVGGTETTVEKFPSIVQVDSLGVFTGTWAQSCAANILTTRYVLSAAHCFEGIFYAPERRRIRAGATYRNTGGILSYVEREYNHPTYGTLGLDGDISVIRLLEALVYSPVVQQGTIISQNAFIPDNLSVVHAGWGTTTHEGSASPVLLETSIYTINNQLCAERYLTLPTPQVVTVNMICAGLLDVGGRDACQGDSGGPLYYEDIIIGIVSWGEGCGNDTFPGVST</t>
  </si>
  <si>
    <t>0.973029</t>
  </si>
  <si>
    <t>CS pos: 17-18. SFS-VP. Pr: 0.7627</t>
  </si>
  <si>
    <t>VPQTNRIVGGTETTVEKFPSIVQVDSLGVFTGTWAQSCAANILTTRYVLSAAHCFEGIFYAPERRRIRAGATYRNTGGILSYVEREYNHPTYGTLGLDGDISVIRLLEALVYSPVVQQGTIISQNAFIPDNLSVVHAGWGTTTHEGSASPVLLETSIYTINNQLCAERYLTLPTPQVVTVNMICAGLLDVGGRDACQGDSGGPLYYEDIIIGIVSWGEGCGNDTFPGVST</t>
  </si>
  <si>
    <t>Peptidase S1A, chymotrypsin family </t>
  </si>
  <si>
    <t>Trypsin, alkaline C</t>
  </si>
  <si>
    <t>P35047</t>
  </si>
  <si>
    <t>Trypsin, alkaline A</t>
  </si>
  <si>
    <t>P35045</t>
  </si>
  <si>
    <t>Trypsin, alkaline B</t>
  </si>
  <si>
    <t>P35046</t>
  </si>
  <si>
    <t>Trypsin CFT-1</t>
  </si>
  <si>
    <t>P35042</t>
  </si>
  <si>
    <t>TRINITY_DN20802_c0_g1_i1.p1</t>
  </si>
  <si>
    <t>AAACGGCAGTTCTGAACATGGCTTTTCTCGGTTTTCTGTTGGTTGGACTTTTAGCTGCTGTATCAGCAGCTCCGGAAAGCCGCATAGTGGGCGGCAACCCGGTCACCATCGAGGAGTTCCCCTACATAGTGTCCTACAGTTACTACTACCCAGGACCAGGCATTACCGTACAAAGATGTGTTGGTTCACTGCTCTCTTCCTGGCATGTGCTCACTTCAGCCTTCTGCTTCACAGGAGCAGTCCTTGATAACATGCAGGTCCGTGCTGGCTCAACCAACAGCTTAACTGGAGGCATTCTTGTACCCATCCGTGAGGTGATAAAGCACCCTGGCTACGTTGAGACGCCTCGCTTGGATGACGTCGCGCTGACCGTCCTGAGTCAACCTCTTGGCATCAGCAGCACAATTAATGTATTATACCTACCCCCGTCTGGCTTTTCCATTCCTGATGGACAACTTGTGAAGGTGGTGAGCTGGGGTTTTGAGAGTGAGACAGGTCCTCAACTGGAGTTGCTGAAGACTATCAACCTAGCGAAGATAAACGTGGAGCAATGTCAAGGTATCTACGCGAGCTCTGAAGATATCAGCATTAGCGATGACGTAATCTGCGCAAATACAGCCGGCCAAGGTATGTGCCTCGGCGACTCTGGGGCACCCATGGTCATCAACAACGTCGTGGTCGGTACCTCCTCCTACTTCGAAGCTTGCGGCGCTGACGAATATCCTGATGTCTTTGCCAGAATCGACAGATACACCAACTGGATCCTCGAAGTGGCAACGGCCGGTAGAAGTAGCAACGGGCCTGGCATTATACCTGCCCCTATGGTCTCAAAGTAAACTGAATAATAATGACGCCGTTTTATTGTTTGGCATTGTGATATTTATTTAAATTAAAGATATTATTGAA</t>
  </si>
  <si>
    <t>TAVLNMAFLGFLLVGLLAAVSAAPESRIVGGNPVTIEEFPYIVSYSYYYPGPGITVQRCVGSLLSSWHVLTSAFCFTGAVLDNMQVRAGSTNSLTGGILVPIREVIKHPGYVETPRLDDVALTVLSQPLGISSTINVLYLPPSGFSIPDGQLVKVVSWGFESETGPQLELLKTINLAKINVEQCQGIYASSEDISISDDVICANTAGQGMCLGDSGAPMVINNVVVGTSSYFEACGADEYPDVFARIDRYTNWILEVATAGRSSNGPGIIPAPMVSK</t>
  </si>
  <si>
    <t>0.995280</t>
  </si>
  <si>
    <t>CS pos: 22-23. VSA-AP. Pr: 0.8564</t>
  </si>
  <si>
    <t>APESRIVGGNPVTIEEFPYIVSYSYYYPGPGITVQRCVGSLLSSWHVLTSAFCFTGAVLDNMQVRAGSTNSLTGGILVPIREVIKHPGYVETPRLDDVALTVLSQPLGISSTINVLYLPPSGFSIPDGQLVKVVSWGFESETGPQLELLKTINLAKINVEQCQGIYASSEDISISDDVICANTAGQGMCLGDSGAPMVINNVVVGTSSYFEACGADEYPDVFARIDRYTNWILEVATAGRSSNGPGIIPAPMVSK</t>
  </si>
  <si>
    <t>Trypsin-3</t>
  </si>
  <si>
    <t>P35037</t>
  </si>
  <si>
    <t>Trypsin-7</t>
  </si>
  <si>
    <t>P35041</t>
  </si>
  <si>
    <t>A0A2A4JX60</t>
  </si>
  <si>
    <t>TRINITY_DN53868_c0_g1_i1.p1</t>
  </si>
  <si>
    <t>CAAAGATGAAACTCTTAATTGGAGCGCTGTGTGTTATTCTGGCTGTAGCCGCGTGCGCGGCAGAAGTAGCCCAAGAGGGTATTACGGCCTACGGTTATCACATGCGCTTTGGTATTCATGAGGCGGCCAGGATCAAGAGGTTGGAGGAGCAAAGCGCTAACAATGAAGATGCGCAACGAATTGTCGGTGGATCTATCTCAGATATCTCACAAACTCCGTACCAGGCTGGTCTCCAAATCCAAATCCTGTTCATTTTCACATCTGTCTGTGGTGCTTCACTCATCTCATCGAACCGCCTCGTGACCGCGGCTCATTGTCAGTCCGATGGTAGCGTCACTGCACAGTCCATGACTGTTGTCTTGGGCTCCAACACTTTGTTCAGCGGCGGTACCCGTGTCGTGACCAGAGATGTCGTGATGCACCCCCAGTGGAACCCTTCGGTAGCTGCTAATGACATTGCCGTCATTAGAATTGCAAATTCGGTGGTTTTCTCAAACGTGATCCAGCCCATTGCTCTACCAGGTGGAACCGACGTTAATAACAATTTCGTCGGCTGGACAGCTCTCGCCTCTGGATTTGGTCTAACTTCTGATGGTGGCAGTATTGGCACCACTCAGCGCCTCAGCTCGGTCGAGCTGCCCGTGATCACCAACGCCGAATGTGCGGCCGTGTACGGCTCATTTGTGCACGACACCAACATATGTACCAGCGGCGCTGGCGGCCGGGGGACTTGTAGCGGCGACTCCGGCGGCCCGCTGGTCGTAACTAGCGGCGGAAACAGAATTTTGATCGGTGCAACATCATTTGGTGCAAGTGCCGGCTGCGAAGTTGGCTTCCCGGCCGCCTTCGCCAGAATTACATCTTACATTAGCTGGATCTTGTCTCAATAATTTCTTTATAATACAAAAATAAATACTTG</t>
  </si>
  <si>
    <t>KMKLLIGALCVILAVAACAAEVAQEGITAYGYHMRFGIHEAARIKRLEEQSANNEDAQRIVGGSISDISQTPYQAGLQIQILFIFTSVCGASLISSNRLVTAAHCQSDGSVTAQSMTVVLGSNTLFSGGTRVVTRDVVMHPQWNPSVAANDIAVIRIANSVVFSNVIQPIALPGGTDVNNNFVGWTALASGFGLTSDGGSIGTTQRLSSVELPVITNAECAAVYGSFVHDTNICTSGAGGRGTCSGDSGGPLVVTSGGNRILIGATSFGASAGCEVGFPAAFARITSYISWILSQ</t>
  </si>
  <si>
    <t>0.996264</t>
  </si>
  <si>
    <t>CS pos: 19-20. ACA-AE. Pr: 0.4311</t>
  </si>
  <si>
    <t>AEVAQEGITAYGYHMRFGIHEAARIKRLEEQSANNEDAQRIVGGSISDISQTPYQAGLQIQILFIFTSVCGASLISSNRLVTAAHCQSDGSVTAQSMTVVLGSNTLFSGGTRVVTRDVVMHPQWNPSVAANDIAVIRIANSVVFSNVIQPIALPGGTDVNNNFVGWTALASGFGLTSDGGSIGTTQRLSSVELPVITNAECAAVYGSFVHDTNICTSGAGGRGTCSGDSGGPLVVTSGGNRILIGATSFGASAGCEVGFPAAFARITSYISWILSQ</t>
  </si>
  <si>
    <t>A0A2A4JFK9</t>
  </si>
  <si>
    <t>A0A9J7ITH3</t>
  </si>
  <si>
    <t>TRINITY_DN33771_c0_g1_i1.p1</t>
  </si>
  <si>
    <t>AGAATATAAATATTGCAAAAAATAATTATAATTTATTATTTGCTAAGTATAATCATGAAACTGCTGGTATCTCTGTTGGCGATTTTCGCCGTCGCCTATGCGAGAAATATTGATCTTGAGGAGATTATCGACCTCGAGGACAATACAGCTTATGGATACTTAACTAAAGTCGGCCTTCCTTTGGCCGAAGAGATCCGTAAAGCTGAAGAATCCCAAGTCAGGATCGTCGGTGGACAGGCTGCGAGACTTGGTCAATTCCCGTACCAGGCGGGTCTTGTGATGAACTTTGCGGGTGGACAAGGTGTCTGCGGCGGCTCTTTACTCAACAACCGTAGGGTTGTGACGGCTGCCCATTGTTGGTTCGACGGAGTAAACCAGGCATGGCAATTGACGGTTGTCCTTGGATCTATCACGATATTTTCTGGTGGTACCAGGATTGCCACATCTAACGTAGTTATGCATGAAAACTGGATGCCCCAACTTGTGCGTAATGACATTGCCATGATTAGTCTGCCAAACGCAGTCACCATTTCCGCTAACATCGCTCCAATTGCTCTTCCTGCTGGCGCTGAGCTTAATGAGAACTTCGCTGGCTCTACAGGGGTCGCCTCCGGGTTCGGTCTAACTAGTGATGGCGGTAGCATTACCACCAGCCAGTTCCTGAGTCATGTCAACTTGGACGTTATTACCAACGCGCAATGCTACCTTTCATTCCCTGTGATTATACAAGCCTCAAACATCTGTACTAGCGGTTCTGGCGGTAGAAGCACCTGTGGAGGCGACTCTGGTGGACCCTTGGTTGTCTCAAGGAACAACCGTAACATTTTGATCGGCATCACCTCCTTTGGATCTGCTCGCGGTTGCCAGCAAGGTTTCCCCGCAGCTTTTGTGAGGGTTACTTCTTTCATCAACTGGATTAATAGCAACTTAAATTGATTTAGTGTAAAATTAATATGTAATAATAAAAAAATAATAAAAAAAAAAAA</t>
  </si>
  <si>
    <t>AYARNIDLEEIIDLEDNTAYGYLTKVGLPLAEEIRKAEESQVRIVGGQAARLGQFPYQAGLVMNFAGGQGVCGGSLLNNRRVVTAAHCWFDGVNQAWQLTVVLGSITIFSGGTRIATSNVVMHENWMPQLVRNDIAMISLPNAVTISANIAPIALPAGAELNENFAGSTGVASGFGLTSDGGSITTSQFLSHVNLDVITNAQCYLSFPVIIQASNICTSGSGGRSTCGGDSGGPLVVSRNNRNILIGITSFGSARGCQQGFPAAFVRVTSFINWINSNLN</t>
  </si>
  <si>
    <t>0.997639</t>
  </si>
  <si>
    <t>CS pos: 16-17. AYA-RN. Pr: 0.9652</t>
  </si>
  <si>
    <t>RNIDLEEIIDLEDNTAYGYLTKVGLPLAEEIRKAEESQVRIVGGQAARLGQFPYQAGLVMNFAGGQGVCGGSLLNNRRVVTAAHCWFDGVNQAWQLTVVLGSITIFSGGTRIATSNVVMHENWMPQLVRNDIAMISLPNAVTISANIAPIALPAGAELNENFAGSTGVASGFGLTSDGGSITTSQFLSHVNLDVITNAQCYLSFPVIIQASNICTSGSGGRSTCGGDSGGPLVVSRNNRNILIGITSFGSARGCQQGFPAAFVRVTSFINWINSNLN</t>
  </si>
  <si>
    <t>Spodoptera litura (asian cotton leafworm)</t>
  </si>
  <si>
    <t>A0A9J7E9U4</t>
  </si>
  <si>
    <t>TRINITY_DN264_c0_g1_i13.p1</t>
  </si>
  <si>
    <t>CGCCAAACAACTTGGTGCAGCGTTAACGAAGTGTTGTGTTTTTCTGTAGAGTTTTACATACGGTTATTTTTATTGCAACGATGTTTAAATTACTACCAATATTTCTACTGATAGCCATTGCACAAAGCCGTACCACGGCTAGTGACAAGGACAACGAAGATGTTAACAAAGAGATACTTGGAGAGTCTCCGAACGAAGATAAGTCCTCGGATTTCGATTCCATAATAAAAGTGCTATTTGGAGATGAGCCGAAAAACAAGAGCGATACTAGCAACATTAACTCTGAAAAGGTTATCAGTACTGAAGCCACAGGTGATTTAACCACTGCGGCGCCAGCGCATAAAGCATGCAAATGCGTAGCTTACTACTTATGCAAAAATGAAGAAACATACGTGGAGACTGGACTCCTCGACTCGCGAGTACCTGATGAAAATACTTGTGATAGTTATATAGACATTTGCTGTAATCCTAAGTCAATCATTACTGAAGAAGAAGCTAGGAAGCCTCCATCAAACTGATATAATACAAGCGCAGTATCCTAACGTACTATAGAAGGGCTGTCCAAACCAGACACGCTCAAGAATACAAATCGGATTGGAGACCCGCATACACAAATACCTATTATAATTGATTGAAAAAAGAAATAGTGATAAAAAAACTTGTCATTCGAACAAATATTTCATTCGTTTATATGTTAATGTAAAGTCACAAAAATAAAATAATGTTCTACCAAAATGTATTTATATAATGAAAACATTCGTAATTGTGGTAGATCAAAACACGTCGCGCGCCGTATATATACGAATAAGTATAAAGCGTGCTTTGGACAGCTCTATACTATAACATGCCGAACAATACCGTCAATAGTACATTATATAAAATTCACACAGATTATTATTATAATTAAATTTCAGTATATAATCTTCTTCTTCTTCTTGTGGTTATTAATCCCGGCTTCGATTGCCAGGGTCCGCCTTCCTACTAAGTTTCCTCCACTTTGCTCGGTCTTTAACACTCTTCTTTAAGGTCTTTAAGTCGGTATTTAAGGTCTATCAGTATATAATACAGAGAT</t>
  </si>
  <si>
    <t>MFKLLPIFLLIAIAQSRTTASDKDNEDVNKEILGESPNEDKSSDFDSIIKVLFGDEPKNKSDTSNINSEKVISTEATGDLTTAAPAHKACKCVAYYLCKNEETYVETGLLDSRVPDENTCDSYIDICCNPKSIITEEEARKPPSN</t>
  </si>
  <si>
    <t>0.995905</t>
  </si>
  <si>
    <t>CS pos: 20-21. TTA-SD. Pr: 0.5369</t>
  </si>
  <si>
    <t>SDKDNEDVNKEILGESPNEDKSSDFDSIIKVLFGDEPKNKSDTSNINSEKVISTEATGDLTTAAPAHKACKCVAYYLCKNEETYVETGLLDSRVPDENTCDSYIDICCNPKSIITEEEARKPPSN</t>
  </si>
  <si>
    <t>PPAF-2-like, Clip domain</t>
  </si>
  <si>
    <t>TSVP-42-like</t>
  </si>
  <si>
    <t>Cotesia congregata (parasitoid wasp) (Apanteles congregatus)</t>
  </si>
  <si>
    <t>A0A8J2H9I1</t>
  </si>
  <si>
    <t xml:space="preserve">PPAF-2-like Clip domain containing protein </t>
  </si>
  <si>
    <t>Leptidea sinapis</t>
  </si>
  <si>
    <t>A0A5E4QK67</t>
  </si>
  <si>
    <t>TRINITY_DN16928_c0_g1_i1.p1</t>
  </si>
  <si>
    <t>TTCATTTTATATTCTTTCACGGACGTAATGGACAAAGTACTCTTGTGCGTCCTTTTCTTTGTTCTCGCTGGTGGAGATGTTTTGTCCAGTGAAATACCCCGTAAAAAGGAGATAAATAAAATTGTAGGTGGACAAATCACACCTATAGAAAAGTTACCATACCAAGTATATCTTGAAATATCGAATGATACAGTCAAGCGTATATGTGGAGGCTCCATTATAAATGAGA</t>
  </si>
  <si>
    <t>FILYSFTDVMDKVLLCVLFFVLAGGDVLSSEIPRKKEINKIVGGQITPIEKLPYQVYLEISNDTVKRICGGSIINE</t>
  </si>
  <si>
    <t>0.840481</t>
  </si>
  <si>
    <t>CS pos: 29-30. VLS-SE. Pr: 0.4988</t>
  </si>
  <si>
    <t>SEIPRKKEINKIVGGQITPIEKLPYQVYLEISNDTVKRICGGSIINE</t>
  </si>
  <si>
    <t xml:space="preserve">Peptidase S1, PA chymotrypsin  </t>
  </si>
  <si>
    <t>Trypsin</t>
  </si>
  <si>
    <t>Sarcophaga bullata (Grey flesh fly) (Neobellieria bullata)</t>
  </si>
  <si>
    <t>P51588</t>
  </si>
  <si>
    <t>Trypsin zeta</t>
  </si>
  <si>
    <t>Drosophila erecta (Fruit fly)</t>
  </si>
  <si>
    <t>P54630</t>
  </si>
  <si>
    <t>Trypsin theta</t>
  </si>
  <si>
    <t>P42278</t>
  </si>
  <si>
    <t xml:space="preserve">Leptitdea sinapis </t>
  </si>
  <si>
    <t>A0A5E4Q0E7</t>
  </si>
  <si>
    <t>TRINITY_DN264_c0_g1_i17.p2</t>
  </si>
  <si>
    <t>CGCCAAACAACTTGGTGCAGCGTTAACGAAGTGTTGTGTTTTTCTGTAGAGTTTTACATACGGTTATTTTTATTGCAACGATGTTTAAATTACTACCAATATTTCTACTGATAGCCATTGCACAAAGCCGTACCACGGCTAGTGACAAGGACAACGAAGATGTTAACAAAGAGATACTTGGAGAGTCTCCGAACGAAGATAAGTCCTCGGATTTCGATTCCATAATAAAAGAGATATTTGGAGACAAGCCGAAAAACAAGAGAGATAGTAGCAACATTAACTCTGAAAAGGTTATCAGTACTGAAGCCACAGGTGATTTAACCACTGCGGCGCCAGCGCATAAAGCATGCAAATGCGTAGCTTACTACTTATGCAAAAATGAAGAAACATACGTGGAGACTGGACTCCTCGACTCGCGAGTACCTGATGAAAATACTTGTGATAGTTATATAGACATTTGCTGTAATCCTAAGTCAATCATTACTGAAGAAGAAGCTAGGAAGCCTCCATCAAACTGATATAATACAAGCGCAGTATCCTAACGTACTATAGAAGGGCTGTCCAAACCAGACACGCTCAAGAATACAAATCGGATTGGAGACCCGCATACACAAATACCTATTATAATTGATTGAAAAAAGAAATAGTGATAAAAAAACTTGTCATTCGAACAAATATTTCATTCGTTTATATGTTAATGTAAAGTCACAAAAATAAAATAATGTTCTACCAAAATGTATTTATATAATGAAAACATTCGTAATTGTGGTAGATCAAAACACGTCGCGCGCCGTATATATACGAATAAGTATAAAGCGTGCTTTGGACAGCTCTATACTATAACATGCCGAACAATACCGTCAATAGTACATTATATAAAATTCACACAGATTATTATTATAATTAAATTTCAGTATATAATCTTCTTCTTCTTCTTGTGGTTATTAATCCCGGCTTCGATTGCCAGGGTCCGCCTTCCTACTAAGTTTCCTCCACTTTGCTCGGTCTTTGACATCCTCAATAGTAAGTCCATTGGCTTCCATGTCTTTGGTCACAACATTCCAGCCAGCGCTTCTTAGGGCGGCCCCGAGATCGTGCTTCAAGGACAGCCATATCGAGGCATCTTCTACCGACGTAGTCTGGGCCGACGCATTATGTGACCGAACCATCTCAGACGACTCTCCTGGAGCTTATCTGCCACGTCCCGTACGCTGAATCTGCCTCGGATATGTGAGTTACGCACGCGATCAGAACTTGTGACGCCACTCATCCTATATTATATTGGTCGACATATTACCTTTAAATCTGTCATTGTTATGCTAAATCTGAGGACTTTGAATTGATTAAATAATATTTTTTAACATACTTCTAGTGGTAGTCTCTACTTTATGCATTCTGTCGGGCGATGCAAATGCGTTAATCGACTATGTTATGACAGGAAGTAGTTACACGTCCATGAAACGCTACTGTATGGCTACAAAAAGTAGTTTTGTGATAACGCTCTTTTAGGTGCCACATAAGTTTTTATAACACAAATCTAATATAATTTTGTTTAGAACCATCATCACGGTAGAAAATTTTTAAAAAACATTTGCATTTCCCGTGAATAGAACTCGTTCTACACAGATTATTATGAAAGAATGCTATGTTTTACATGTAGTTATAATTGTTAATTTAATATTATTTACATAAAATCATTTAATATATACTTAGCGTGTTTTCGTTTCTTAAGGTTTACCTAAATCATATTACAATGTGTAAATTTTCAAGTATCACGAAGCAATTTCATTGAAATTTTTTTTGGTTCGAATTAGTTAAGATTATTTAGTTTATCCGACAATTTATAGTTATTTCTATAATATATTGTCAATCATGATATTTACAAGTTTGTGGTGACTATCAATATCTAATCTAAGTAATCCGAAATCCTTAGAAGTAACAAATATTTGTAGAGACTGTACAATCTAAAAAATGTTTATTTATCAAAGTAAATTACATTAGTCATATTCAATAACAAATTTAAAACAAACAAATGTGCCCAAAAGAAATAAACAAAACTCGTTTTATGAATATATACTAAATATATGTACACATTATGTATTATACAACAAATAACTACCATGATATACTTTTATCTATCCTTTCGTATTATATGATCTCTTCGGAAGCACTGGAGTGGTTTTCAACTTACCTTCGTGGACGCCAACAGTCGGTTCGTGTCGACGATTCCTTATCGTGCTGGTGCGCACTTGACTCTGGTGTTCCTCAGGGCGGTATTATATCTCCATTGCTGTTTGCTATGTTTATTAATCTTATAACACAAAACCTTCGTTGTGCGTATCATCTTTATGCCGATGACTTGCAATTATATTCTCAAGCGAGTGTTGACCATGCTACGATGGCGATCGAGGCCGTTAATAGGGACTTAGTCTATATTCAAGGTTGGTCTAACAGGTTTGGTCTGAAGGTGAACCCTTCCAAGACCCAGGCGATCATCATAGGGAGTCAACGTATGATGAAAAGGTTGGATTTAGCTGCTTTGCCTCCAATCATCTTTGAAAACAATGTTATACACCTGTGTGATACAGTCAAAAATCTTGGGTTACACTTAGATAATACTTTGAGTTGGCAGCCTCAGGTGACAAATATAAGCCAAAAAGTAACTAGTACATTACGTGCCCTGTATCGCCTAAAAATTTCCTTCCTATCAGCACCAAAACAATGCTTATGCAGACTTTGATTTTCCCTATAATCGACTATGGTGATTTGTGTTGCTTTGACCTGAATGCAGATCTACTCGACAAGCTTGATCGTCTTCTTAATAACTGTATTCGATTCATATTTAATCTTCGAAAGTATGATCATGTGTCCTCCTGTCGCTCTCAACCAAAGTGGTTACCTGTTCGCTATCGTCGGAAGTTACGCGCGCTCACATCTCTTTATACATTCTTGATGTCTCCTAATGCTCCCAGCTATTTAACTACCCACTTTCAATATCTACATTCCGCACATGACAGGAACCTACGTTCCACTAATAATCTCCTTCTTCGGTGTCCTCCTCATTGTTCTGGTATTGTTAATTCTTCTTTTCTTGTACAATCGGTCTTCCTATGGTACCTATGCTCTCTCTACTGAGGTGAGGTTGACGGCTTCCCGGGACGCGTTCAAAGTTAGGGTGCGTGAACTGATTTTGCGTGAGTTATCGGATTCATCACATTAATTTATACTGTTTATATTTATTAATATATATTATTATATTTTTTGTATGTATTTATATTTTATATATCTATTGTAATATTTTCTGGTTCAGACTACATTCGTTGATTTCTGTACTTCATTGTCTCTGTACTACGTAG</t>
  </si>
  <si>
    <t>MFKLLPIFLLIAIAQSRTTASDKDNEDVNKEILGESPNEDKSSDFDSIIKEIFGDKPKNKRDSSNINSEKVISTEATGDLTTAAPAHKACKCVAYYLCKNEETYVETGLLDSRVPDENTCDSYIDICCNPKSIITEEEARKPPSN</t>
  </si>
  <si>
    <t>0.995392</t>
  </si>
  <si>
    <t>CS pos: 20-21. TTA-SD. Pr: 0.5278</t>
  </si>
  <si>
    <t>SDKDNEDVNKEILGESPNEDKSSDFDSIIKEIFGDKPKNKRDSSNINSEKVISTEATGDLTTAAPAHKACKCVAYYLCKNEETYVETGLLDSRVPDENTCDSYIDICCNPKSIITEEEARKPPSN</t>
  </si>
  <si>
    <t>Cimex lectularius (Bed bug) (Acanthia lectularia)</t>
  </si>
  <si>
    <t>A0A816SAC0</t>
  </si>
  <si>
    <t>TRINITY_DN16928_c0_g1_i2.p1</t>
  </si>
  <si>
    <t>TTCATTTTATATTCTTTCACGGACGTAATGGACAAAGTACTCTTGTGCGTCCTTTTCTTTGTTCTCGCTGGTGGAGATGTTTTGTCCAGCGAAATACACCGTGAAAAGGATACAAATAAAATTATAGGTGGTGAAATCACACAGATAAAAAAGTTACCATACCAAGTATATCTTGAAATATCGAATGATACAGTCAAGCGTATATGTGGAGGCTCCATTATAAATGAGA</t>
  </si>
  <si>
    <t>FILYSFTDVMDKVLLCVLFFVLAGGDVLSSEIHREKDTNKIIGGEITQIKKLPYQVYLEISNDTVKRICGGSIINE</t>
  </si>
  <si>
    <t>0.801082</t>
  </si>
  <si>
    <t>CS pos: 29-30. VLS-SE. Pr: 0.4444</t>
  </si>
  <si>
    <t>SEIHREKDTNKIIGGEITQIKKLPYQVYLEISNDTVKRICGGSIINE</t>
  </si>
  <si>
    <t>P54628</t>
  </si>
  <si>
    <t>TRINITY_DN40852_c0_g1_i1.p2</t>
  </si>
  <si>
    <t>ACCCGCACCGCTAGCCCGACATGAAGTTCTTCCTGGTGTTGAGTGCGCTGTGCGCGCTGGCGAGCGCGACCCTCTACGAGCCCATCGAGGTGGACTACCACAACAACGTGGGCATCCCCGAAGCCGCGCGCATCAAGCAGCAGGAGCTGGCGCTCGACTTCGACGGCAGCAGGATCGTGGGCGGTTCCACGGCCGCCGTCGGCGCACACCCCTTCCTGATCGGGCTGGTGATCACGCTGACGACGGGCGCGACGTCGGTGTGCGGCGCGTCCATGCTGACCAACACGC</t>
  </si>
  <si>
    <t>MKFFLVLSALCALASATLYEPIEVDYHNNVGIPEAARIKQQELALDFDGSRIVGGSTAAVGAHPFLIGLVITLTTGATSVCGASMLTNT</t>
  </si>
  <si>
    <t>0.997197</t>
  </si>
  <si>
    <t>CS pos: 16-17. ASA-TL. Pr: 0.9011</t>
  </si>
  <si>
    <t>TLYEPIEVDYHNNVGIPEAARIKQQELALDFDGSRIVGGSTAAVGAHPFLIGLVITLTTGATSVCGASMLTNT</t>
  </si>
  <si>
    <t>Peptidase S1, P, trypsin like serine protease, egion of a membrane-bound protein predicted to be embedded in the membrane</t>
  </si>
  <si>
    <t>Papilio xuthus (asian swallowtail butterfly)</t>
  </si>
  <si>
    <t>A0A194Q399</t>
  </si>
  <si>
    <t xml:space="preserve">Peptidase S1 domain containing protein </t>
  </si>
  <si>
    <t>A0A2W1BAG4</t>
  </si>
  <si>
    <t>TRINITY_DN35496_c0_g1_i1.p1</t>
  </si>
  <si>
    <t>CTTGACAAAAATGCGTGTGGTTATACTCTTAGCATTACTGGGCACCGCCCTGGCGGTGCCAAAGAGCGTCACTCGCATCGTGGGCGGGTCGCCCACCACGGTCGACCAGTACCCCTACATGTCCAACATGCAGTACGGCTGGTGGGGCATCTTCTGGTCACAAGCCTGCGGCGGCTCCCTCATCAACAATAGATCTATTCTTTCTGCTGCTCACTGCTATTTTGGTGACCGCGCGGCAGACTGGCGCGTGGTGCTGGGCACGTCGTTCGCGTCCAGTGGCGGCACCACGCACCTGGTGCAGGAGCT</t>
  </si>
  <si>
    <t>LTKMRVVILLALLGTALAVPKSVTRIVGGSPTTVDQYPYMSNMQYGWWGIFWSQACGGSLINNRSILSAAHCYFGDRAADWRVVLGTSFASSGGTTHLVQE</t>
  </si>
  <si>
    <t>0.996011</t>
  </si>
  <si>
    <t>CS pos: 18-19. ALA-VP. Pr: 0.8880</t>
  </si>
  <si>
    <t>VPKSVTRIVGGSPTTVDQYPYMSNMQYGWWGIFWSQACGGSLINNRSILSAAHCYFGDRAADWRVVLGTSFASSGGTTHLVQE</t>
  </si>
  <si>
    <t xml:space="preserve">Trypsin domain, peptidase S1 PA chymotrypsin, trypsin like serine protease </t>
  </si>
  <si>
    <t>Choristoneura fumiferana (Spruce budworm moth) (Archips fumiferana)</t>
  </si>
  <si>
    <t>Achelase-2</t>
  </si>
  <si>
    <t>Lonomia achelous (Giant silkworm moth) (Saturnid moth)</t>
  </si>
  <si>
    <t>P23605</t>
  </si>
  <si>
    <t>Achelase-1</t>
  </si>
  <si>
    <t>P23604</t>
  </si>
  <si>
    <t>TRINITY_DN20802_c0_g1_i2.p1</t>
  </si>
  <si>
    <t>AAACGGCAGTTCTGAACATGGCTTTTCTCGGTTTTCTGTTGGTTGGACTTTTAGCTGCTGTATCAGCAGCTCCGGAAAGCCGCATAGTGGGCGGCAACCCGGTCACCATCGAGGAGTTCCCCTACATAGTGTCCTACAGTTACTACTACCCAGGACCAGGCATTACCGTACAAAGATGTGTTGGTTCACTGCTCTCTTCCTGGCATGTGCTCACTTCAGCCTTCTGCTTCACAGGAGCAGTCCTTGATAACATGCAGGTCCGTGCTGGCTCAACCAACAGCTTAACTGGAGGCATTCTTGTACCCATCCGTGAGGTGATAAAGCACCCTGGCTACGTTGAGACGCCTCGCTTGGATGACGTCGCGCTGACCTCCTGAGTCAACCTCTTGGCATCAGCAGCACAATTAATGTATTATACCTACCCCCGTCTGGCTTTTCCATTCCTGATGGACAACTTGTGAAGGTGGTGAGCTGGGGTTTTGAGAGTGAGACAGGTCCTCAACTGGAGTTGCTGAAGACTATCAACCTAGCGAAGATAAACGTGGAGCAATGTCAAGGTATCTACGCGAGCTCTGAAGATATCAGCATTAGCGATGACGTAATCTGCGCAAATACAGCCGGCCAAGGTATGTGCCTCGGCGACTCTGGGGCACCCATGGTCATCAACAACGTCGTGGTCGGTACCTCCTCCTACTTCGAAGCTTGCGGCGCTGACGAATATCCTGATGTCTTTGCCAGAATCGACAGATACACCAACTGGATCCTCGAAGTGGCAACGGCCGGTAGAAGTAGCAACGGGCCTGGCATTATACCTGCCCCTATGGTCTCAAAGTAAACTGAATAATAATGACGCCGTTTTATTGTTTGGCATTGTGATATTTATTTAAATTAAAGATATTATTGAA</t>
  </si>
  <si>
    <t>TAVLNMAFLGFLLVGLLAAVSAAPESRIVGGNPVTIEEFPYIVSYSYYYPGPGITVQRCVGSLLSSWHVLTSAFCFTGAVLDNMQVRAGSTNSLTGGILVPIREVIKHPGYVETPRLDDVALTS</t>
  </si>
  <si>
    <t>APESRIVGGNPVTIEEFPYIVSYSYYYPGPGITVQRCVGSLLSSWHVLTSAFCFTGAVLDNMQVRAGSTNSLTGGILVPIREVIKHPGYVETPRLDDVALTS</t>
  </si>
  <si>
    <t>Trypsin, alkaline B-like</t>
  </si>
  <si>
    <t>A0A9J7J010</t>
  </si>
  <si>
    <t>TRINITY_DN50633_c0_g1_i1.p1</t>
  </si>
  <si>
    <t>TTGGAAGTCAGAACACAAGCAACCATGAGGTCCTACGTGCTCCTTAGCTTGGCCATCATTCTGCTGGCAGGCTACAGCGTGGCTGAGGATGAAGAGCCGGAATATGATGGCAAGTACATCGAGGAGTACCCTAGTCTGGTGCAAGTCGAGGTCGGCTGGAGCAACGTCTGGTTGCTGGGCTGCATTGGGAATGTGCTGACTTCCCGCCACATCTTGTCTGCTGCACGCTGTTTCTCTGGAAACCTCTACTCCTCCAGATTCCGCCGCATCAGAGCCGGTGCCACGTTCCGTGGGCGTGATGGTATCGTCGTCGGCATTGAGGGCGCTGCCAACCATCCCAGTTTTGGTGTCCAAGGCTTTGATGGGGATATAACTGTCGTCCGTCTCAACTCTTTTCTTCCTTTGGGCTCCGACATCGCTCAAGCGTCCATTGTTGCGGCAAACACAGTCATCCCTGACAATATTCTCGTGGAACACGCAGGATGGGGTAGCACAGCTCAACAAAGGCTCATTGCAAACAGAGGTCTCTACAGCGTGGATCTTTACACTATAAACCAAGATACATGTGTTGCAATGTATGATGAACTTCTGTTCGTCCAAGTGACCATCACGGACAACATGATCTGCGCTGGCCTCTCAAGCACCACCGGCCGTGATGCGGATCTTCGTGACGCTGGTGGCCCGCTTTACTATCAAGGAGTCGTGGTTGGCGTCCTCTCCTACGGCCATTACTTAGGGAACAACAGCTTCCCTCTTGTCGCTACCAATGTCGCATCTTACACCAACTGGATAGTAGATACAGCCGTATAAAATATTTTACTGAAAATATATAATTAAATACAAAAAAAA</t>
  </si>
  <si>
    <t>LEVRTQATMRSYVLLSLAIILLAGYSVAEDEEPEYDGKYIEEYPSLVQVEVGWSNVWLLGCIGNVLTSRHILSAARCFSGNLYSSRFRRIRAGATFRGRDGIVVGIEGAANHPSFGVQGFDGDITVVRLNSFLPLGSDIAQASIVAANTVIPDNILVEHAGWGSTAQQRLIANRGLYSVDLYTINQDTCVAMYDELLFVQVTITDNMICAGLSSTTGRDADLRDAGGPLYYQGVVVGVLSYGHYLGNNSFPLVATNVASYTNWIVDTAV</t>
  </si>
  <si>
    <t>0.945737</t>
  </si>
  <si>
    <t>CS pos: 28-29. SVA-ED. Pr: 0.8009</t>
  </si>
  <si>
    <t>EDEEPEYDGKYIEEYPSLVQVEVGWSNVWLLGCIGNVLTSRHILSAARCFSGNLYSSRFRRIRAGATFRGRDGIVVGIEGAANHPSFGVQGFDGDITVVRLNSFLPLGSDIAQASIVAANTVIPDNILVEHAGWGSTAQQRLIANRGLYSVDLYTINQDTCVAMYDELLFVQVTITDNMICAGLSSTTGRDADLRDAGGPLYYQGVVVGVLSYGHYLGNNSFPLVATNVASYTNWIVDTAV</t>
  </si>
  <si>
    <t>Trypsin domain, Peptidase S1 PA, trypsin like serine proteases</t>
  </si>
  <si>
    <t>Choristoneura fumiferanan (spruce budworm moth) Archips fumiferana)</t>
  </si>
  <si>
    <t>TRINITY_DN43550_c0_g1_i1.p1</t>
  </si>
  <si>
    <t>TACACATCATGGGTTTCGTCTCCTGGACTTTGTTTATAGCTGCAGCAGTAATCTGCAGCGCTCAGGGTAGTCGCATCGTGGGTGGCAATCCTACCACCATAGACCAATACCCTTCCATCGTCCAGGTGGAGTCCCGCACCGGCATCTTATGGAGTCAGTCCTGCGCTGCTACCATCTTAACTAGCAGATATGTGGTCTCCGCGGCTCATTGCTTTGCAGGATTGTTATTTACCATCTCCAGTCGTCGTGTTCGTGCTGGTACCACAAACCGGGGCTCCGGTGGAACTGTCATCACTTTAACTAGACGCGTCAACCACCCCTCGTACAATAGCCTGACTATCGATGGAGACATCAGCTTGGTCCAGTTATCCTCTGCATTTACTTACGGCACCAACATCCAACCAAGTGCGATTGTCCCTCAAAACTACGTTATACCTGATGGAGCACCTGTTGTGCATGCTGGATGGGGCGCGACTTCTCAAGGAGGCTTAAGCTCATCAGTACTTCGCGACGTGGAAATCTACACAATCAATCGCGATGTTTGCGCAGCTAGATATTTGACCCTCTCCAGGCCTCGTATCGTCACAGAAAATATGATCTGTGCTGGTATTCTTGACGTCGGTGGTCGTGACGCCTGCCAGGGTGACTCCGGGGGACCTTTATACCTCGGCGACGTCCTTGTCGGCATTGTGTCCTGGGGTGAAGGCTGTGCCAACGCTTTTTATCCCGGAGTCAGCACTAATGTTGCGTCTTACACTGACTGGATCATTGCTAATGCTATTTAAGGAGTTTTGTGTTATTATATGATTTATCAATAAAAAAA</t>
  </si>
  <si>
    <t>HIMGFVSWTLFIAAAVICSAQGSRIVGGNPTTIDQYPSIVQVESRTGILWSQSCAATILTSRYVVSAAHCFAGLLFTISSRRVRAGTTNRGSGGTVITLTRRVNHPSYNSLTIDGDISLVQLSSAFTYGTNIQPSAIVPQNYVIPDGAPVVHAGWGATSQGGLSSSVLRDVEIYTINRDVCAARYLTLSRPRIVTENMICAGILDVGGRDACQGDSGGPLYLGDVLVGIVSWGEGCANAFYPGVSTNVASYTDWIIANAI</t>
  </si>
  <si>
    <t>0.990435</t>
  </si>
  <si>
    <t>CS pos: 22-23. AQG-SR. Pr: 0.5319</t>
  </si>
  <si>
    <t>SRIVGGNPTTIDQYPSIVQVESRTGILWSQSCAATILTSRYVVSAAHCFAGLLFTISSRRVRAGTTNRGSGGTVITLTRRVNHPSYNSLTIDGDISLVQLSSAFTYGTNIQPSAIVPQNYVIPDGAPVVHAGWGATSQGGLSSSVLRDVEIYTINRDVCAARYLTLSRPRIVTENMICAGILDVGGRDACQGDSGGPLYLGDVLVGIVSWGEGCANAFYPGVSTNVASYTDWIIANAI</t>
  </si>
  <si>
    <t>A0A2A4JUT0</t>
  </si>
  <si>
    <t>TRINITY_DN1199_c0_g1_i1.p1</t>
  </si>
  <si>
    <t>GAGAGAGAGTGAAGTGACAATGCGTGCCATTATTCTTCTGGCCTTGTGTATCGCGGCTGTCTCAGCCTTGCGTCCGAACCCGCAGAGGATTGTGGGGGGTGCCGTCACCACGATTGACCGCTACCCCACTATAACCGCCCTCCTCCGCTCTACAAACTTAGCTACCTGGTGGCAATCTTGTGGTGGTACTATTTTGAACAACAGATCCGTCCTTACCGCAGCTCACTGTCCTTTCGGTGATACTCTTGCTCGGTGGCGTTTCCGTGTTGGTTCTACCTGGGCTAACAGCGGTGGTGTCGTCCACACTCTCTCTAGTTGGATCCTCCACCCTAACTACAACTCGCGCACTCAAGATCACGATGTTTGCATCTTCCGTTCCGCATCCACCATCGCACACAACAACAATGTTCGCCCCGCCGCTATTGCCGGTGCCAACTACAACCTTGGTGATAACCAGGTCGTCTGGGCTGCTGGCTGGGGTACTACTAGTGCGGGAGGATCCCTTTCTGAGCAGCTCCGTCACGTCCAGATTTGGAGCATAAACCAGGCCGTTTGCAGACAGCGTTACGCTACTCGTGGCCTCGCCATCACCGACAACATGTTGTGCTCCGGCTGGCTCGACGTAGGAGGTCGCGACCAGTGCCAGGGTGACTCCGGCGGTCCTCTCTACCACAACAACGTTGTCGTTGGTGTTTGCTCCTGGGGTCTCGGTTGCGCTGATGCTTTCTTCCCCGGTGTCAACGCACGCGTCTCTCGCTATACTGCTTGGATCCAAAGTAATGCTTAAAATATAAGTTATTGTGTTTTTCGGCATCTTTCAAATAATTATATTCATAAGAACAGAAAAAAAAAA</t>
  </si>
  <si>
    <t>RESEVTMRAIILLALCIAAVSALRPNPQRIVGGAVTTIDRYPTITALLRSTNLATWWQSCGGTILNNRSVLTAAHCPFGDTLARWRFRVGSTWANSGGVVHTLSSWILHPNYNSRTQDHDVCIFRSASTIAHNNNVRPAAIAGANYNLGDNQVVWAAGWGTTSAGGSLSEQLRHVQIWSINQAVCRQRYATRGLAITDNMLCSGWLDVGGRDQCQGDSGGPLYHNNVVVGVCSWGLGCADAFFPGVNARVSRYTAWIQSNA</t>
  </si>
  <si>
    <t>0.968693</t>
  </si>
  <si>
    <t>CS pos: 22-23. VSA-LR. Pr: 0.8229</t>
  </si>
  <si>
    <t>LRPNPQRIVGGAVTTIDRYPTITALLRSTNLATWWQSCGGTILNNRSVLTAAHCPFGDTLARWRFRVGSTWANSGGVVHTLSSWILHPNYNSRTQDHDVCIFRSASTIAHNNNVRPAAIAGANYNLGDNQVVWAAGWGTTSAGGSLSEQLRHVQIWSINQAVCRQRYATRGLAITDNMLCSGWLDVGGRDQCQGDSGGPLYHNNVVVGVCSWGLGCADAFFPGVNARVSRYTAWIQSNA</t>
  </si>
  <si>
    <t>Trypsin CFT-1[...]</t>
  </si>
  <si>
    <t>TRINITY_DN349_c0_g1_i15.p1</t>
  </si>
  <si>
    <t>CGAATATTACTGTCATTAACATTGAAATCTTGACTGCAGCGAACATATAGTTCGCGTTTATAATACCAACACGTATAAGTAACCGGTTAGTTTCGTTTGAGCGTCCGTCGGAGTGGTCGTTATGATGAAGACAATTATATACATAATCTCCTTGGCGGCTATGGCCGTGGCCAATACGGAATTAGAAGAAATCCTACAGAAAAGCAATGACCAGTTCACTGCTAACATGTTCTCAGAAGTTGTGAAGAGCAAACCAGAAGAAAGCGTGGTGATATCCGGTTTTTCTGTAATGCCGATTTTGATACAGATAGGGCTAGCAACAGTCAATGAGACCCATGATGAGATATTGAGGACCGCGGGATTCCCCAATTATAATGTTGCAAAAGAAGTGTTCTCCGATGTGAACAAAAGACTAAGGTCAGTGACAGATATTGAACTCAAACTAGCAAATAGGATATACGTGAAAAATGGCGCAGAATTGAACGACCAGTTTGCTACTGTATCTAAAGATGTCTTCGGATCAGACGTTAAAAGTGTCGATTTCGTGAAAGCAGTAGAAACTGCTGGAGAAATTAATGCATGGGTGGAAGATAATACTAATCATCGTATCAAAAATTTAATCAGTCCTGATTCATTAGGCCCTCAAACCGCTGTTGTTCTTGTCAACGCGATCTACTTTAAGGGAAAATGGAAGACCCCATTCAATGAAGAAGCTACCACAGAACGCGACTTCCATGTGACGAAAAACAAAACAATTAAAGTACCTATGATGTCACAAACACATGATTTCAAATATGGCGAGAGTAAAGAACTGGACGCTAAGCTTCTAGAAATGCCATATGAAGGAGAACAGTCATCGCTTCTAATCGTACTGCCAAACAAAGATGATGGTATAAACTCCTTGGTTGAAAAGATGAAGAAACCATCAGTCTTGGCATATGCTCAAAACAATATGCGTATTTATGAAGTTGATGTTTCCATACCAAAATTTAAGATTGAAACTACTACTGACCTTAAAGATGTTCTTATGAAGATGGGAAGCACAAGATTGTTTACAGTTGGTGAAGCCAAGTTAGACAACCTATTGAAAGGTCAAAACGACTTGGTTGTAAGTGATGCAATCCAAAAGGCATTCATTGAAGTCAATGAAGAGGGTGCTGAAGCAGCTGCTGCTAACCAATTCACTATTACACTTCTAAGCGCTGTCATATCAGACAAACGCACTTTCAGAGCGGATCATCCCTTCGTGTTTTTCTTAAAAGAAAACAATAACGTTCTGTTTAGCGGAAGCTTCCATTCTTAGATTTATTAGTTGAAATTACAGAGGACTGGGTAATCAACAGTCAATATTTGAGATTAATAAATAGTCTTCAATTTAAAAAAAAAAAAAAAAAA</t>
  </si>
  <si>
    <t>MMKTIIYIISLAAMAVANTELEEILQKSNDQFTANMFSEVVKSKPEESVVISGFSVMPILIQIGLATVNETHDEILRTAGFPNYNVAKEVFSDVNKRLRSVTDIELKLANRIYVKNGAELNDQFATVSKDVFGSDVKSVDFVKAVETAGEINAWVEDNTNHRIKNLISPDSLGPQTAVVLVNAIYFKGKWKTPFNEEATTERDFHVTKNKTIKVPMMSQTHDFKYGESKELDAKLLEMPYEGEQSSLLIVLPNKDDGINSLVEKMKKPSVLAYAQNNMRIYEVDVSIPKFKIETTTDLKDVLMKMGSTRLFTVGEAKLDNLLKGQNDLVVSDAIQKAFIEVNEEGAEAAAANQFTITLLSAVISDKRTFRADHPFVFFLKENNNVLFSGSFHS</t>
  </si>
  <si>
    <t>0.954501</t>
  </si>
  <si>
    <t>CS pos: 17-18. AVA-NT. Pr: 0.5852</t>
  </si>
  <si>
    <t>NTELEEILQKSNDQFTANMFSEVVKSKPEESVVISGFSVMPILIQIGLATVNETHDEILRTAGFPNYNVAKEVFSDVNKRLRSVTDIELKLANRIYVKNGAELNDQFATVSKDVFGSDVKSVDFVKAVETAGEINAWVEDNTNHRIKNLISPDSLGPQTAVVLVNAIYFKGKWKTPFNEEATTERDFHVTKNKTIKVPMMSQTHDFKYGESKELDAKLLEMPYEGEQSSLLIVLPNKDDGINSLVEKMKKPSVLAYAQNNMRIYEVDVSIPKFKIETTTDLKDVLMKMGSTRLFTVGEAKLDNLLKGQNDLVVSDAIQKAFIEVNEEGAEAAAANQFTITLLSAVISDKRTFRADHPFVFFLKENNNVLFSGSFHS</t>
  </si>
  <si>
    <t>Serpin family</t>
  </si>
  <si>
    <t>Alaserpin</t>
  </si>
  <si>
    <t>P14754</t>
  </si>
  <si>
    <t>Antichymotrypsin-2</t>
  </si>
  <si>
    <t>P80034</t>
  </si>
  <si>
    <t>Serine protease inhibitor 3/4</t>
  </si>
  <si>
    <t>Q5MGH0</t>
  </si>
  <si>
    <t>Antitrypsin</t>
  </si>
  <si>
    <t>P22922</t>
  </si>
  <si>
    <t>TRINITY_DN5398_c0_g1_i1.p1</t>
  </si>
  <si>
    <t>GAGTAGTAACATCGATGACCTTGATGTAAGATCAACATATCGTTTTTAAAACCGGTTACTTCTGATGTAAGCGTCCGTCGGAGTAGCTGTGTTAAAATGGAAATCCTTTTGTGTGTCCTAGGCCTTATGGCCACAGTCATGGCTGCCTCTGAACAAGAGAAAATCCTTGAAGATGTTAATAACCAGTTCAGTGCGAGGTTCTTATATGAAGTAGTCAAGAATGTGCCAGAAGAAAGTGTGGTCATGTCCGGATGTTCATTACTGTCACCTCTCGCACAAATGGCGTTGGCGTCAGTCGGAGAAACCCATAATGAGACTTTAAATATAATTGGATTTCCCAATGATAATGTGACAAAGGAAGTGTTTGCCGACATGAACAAAAGACTACGATCAATCAAAGATGTTGAACTCAAACTAGCAAACAGAGTGTACGTCACCCATAGTGCAAAACTAAATGACCAGTTTGCTGCTCTGTCCAGGGATGTCTTCGATTCTGAAGTCAAAAGTGTTGATTTTGTGAAGGCAGATGAAACCGCTAAAGAAATCAATGCATGGGTGGAAAATAGCACCAACAATCGTATCAAAGATTTGGTAAGCGCCGATACTTTAGGTCCTGACACCGCTGTAGTTCTCGTCAATGCGATCTATTTTAAGGGAAAATGGGCAAACCCATTTGATAAAGGAGCTACCACGGAGCGTGACTTCTATGTGACAAAAGATAAAACTATCAAATTGCCTATGATGTTTCAATCAACGGACTTGAAGTACGGTGAAAGCAAAGAATTAGACTCTAAGCTTATAGAATTACCGTATCAAGGAGACCATACATCGTTTTTAATCGTGCTGCCAAATAAAGTAGACGGAATTAATTCCTTGACTGAAAAACTGAGCGTGTCATCAGTTTTATCTAATGCTATACAGGATATGAGCATTTATAGTGTCCAGCTTACTATGCCGAAGTTCAAGATTGAAACTACCACAGACCTTAAAGATATTCTTGTACAGATGGGCATCAAAAGGTTATTCACACCTCACCAAGCAAAGTTGGATAACCTACTGGACGGTCAGAATGATTTGTATGTAAGTAATGCTATTCAGAAGGCATTTATTGAAGTCAACGAGGAAGGTGCTGAGGCAGCAGTTGCAAATGAATTCGGTATTGTAGGATTTAGTCTAATCATAAGACAGAAACGAGTATTCACCGCAAACCATCCCTTCGTGTTCATTTTAAAGGAAAAGAATAATATTATATTCAACGGAGTCTACCGATCATAGTTACTTACAGCTTATTTTATAATTGTTTGTTTCTTTATGACTACGTGAATAATGTTGGAAAAGTAAACAATAATAGTTTTCTTATAACTGCTTGAACCAAATAATCTACATTCACCAAAATAAACAGCTATATATTTAAAAAAAAAAAAAAAA</t>
  </si>
  <si>
    <t>MEILLCVLGLMATVMAASEQEKILEDVNNQFSARFLYEVVKNVPEESVVMSGCSLLSPLAQMALASVGETHNETLNIIGFPNDNVTKEVFADMNKRLRSIKDVELKLANRVYVTHSAKLNDQFAALSRDVFDSEVKSVDFVKADETAKEINAWVENSTNNRIKDLVSADTLGPDTAVVLVNAIYFKGKWANPFDKGATTERDFYVTKDKTIKLPMMFQSTDLKYGESKELDSKLIELPYQGDHTSFLIVLPNKVDGINSLTEKLSVSSVLSNAIQDMSIYSVQLTMPKFKIETTTDLKDILVQMGIKRLFTPHQAKLDNLLDGQNDLYVSNAIQKAFIEVNEEGAEAAVANEFGIVGFSLIIRQKRVFTANHPFVFILKEKNNIIFNGVYRS</t>
  </si>
  <si>
    <t>0.995851</t>
  </si>
  <si>
    <t>CS pos: 16-17. VMA-AS. Pr: 0.7168</t>
  </si>
  <si>
    <t>ASEQEKILEDVNNQFSARFLYEVVKNVPEESVVMSGCSLLSPLAQMALASVGETHNETLNIIGFPNDNVTKEVFADMNKRLRSIKDVELKLANRVYVTHSAKLNDQFAALSRDVFDSEVKSVDFVKADETAKEINAWVENSTNNRIKDLVSADTLGPDTAVVLVNAIYFKGKWANPFDKGATTERDFYVTKDKTIKLPMMFQSTDLKYGESKELDSKLIELPYQGDHTSFLIVLPNKVDGINSLTEKLSVSSVLSNAIQDMSIYSVQLTMPKFKIETTTDLKDILVQMGIKRLFTPHQAKLDNLLDGQNDLYVSNAIQKAFIEVNEEGAEAAVANEFGIVGFSLIIRQKRVFTANHPFVFILKEKNNIIFNGVYRS</t>
  </si>
  <si>
    <t>TRINITY_DN5398_c0_g1_i2.p1</t>
  </si>
  <si>
    <t>GAGTAGTAACATCGATGACCTTGATGTAAGATCAACATATCGTTTTTAAAACCGGTTACTTCTGATGTAAGCGTCCGTCGGAGTAGCTGTGTTAAAATGGAAATCCTTTTGTGTGTCCTAGGCCTTATGGCCACAGTCATGGCTGCCTCTGAACAAGAGAAAATCCTTGAAGATGTTAATAACCAGTTCAGTGCGAGGTTCTTATATGAAGTAGTCAAGAATGTGCCAGAAGAAAGTGTGGTCATGTCCGGATGTTCATTACTGTCACCTCTCGCACAAATGGCGTTGGCGTCAGTCGGAGAAACCCATAATGAGACTTTAAATATAATTGGATTTCCCAATGATAATGTGACAAAGGAAGTGTTTGCCGACATGAACAAAAGACTACGATCAATCAAAGATGTTGAACTCAAACTAGCAAACAGAGTGTACGTCACCCATAGTGCAAAACTAAATGACCAGTTTGCTGCTCTGTCCAGGGATGTCTTCGATTCTGAAGTCAAAAGTGTTGATTTTGTGAAGGCAGATGAAACCGCTAAAGAAATCAATGCATGGGTGGAAAATAGCACCAACAATCGTATCAAAGATTTGGTAAGCGCCGATACTTTAGGTCCTGACACCGCTGTAGTTCTCGTCAATGCGATCTATTTTAAGGGAAAATGGGCAAACCCATTTGATAAAGGAGCTACCACGGAGCGTGACTTCTATGTGACAAAAGATAAAACTATCAAATTGCCTATGATGTTTCAATCAACGGACTTGAAGTACGGTGAAAGCAAAGAATTAGACTCTAAGCTTATAGAATTACCGTATCAAGGAGACCATACATCGTTTTTAATCGTGCTGCCAAATAAAGTAGACGGAATTAATTCCTTGACTGAAAAACTGAGCGTGTCATCAGTTTTATCTAATGCTATACAGGATATGAGCATTTATAGTGTCCAGCTTACTATGCCGAAGTTCAAGATTGAAACTACCACAGACCTTAAAGATATTCTTGTACAGATGGGCATCAAAAGGTTATTCACACCTCACCAAGCAAAGTTGGATAACCTACTGGACGGTCAGAATGATTTGTATGTAAGTAATGCTATTCAGAAGGCATTTATTGAAGTCAACGAGGAAGGTGCTGAGGCAGCAGTTGCAAATGAATTCGGTATTTCATTTACAAGTTTGATTATAAGAGAGAATCGCGTTATCACGGCAGACCATCCCTTCGTGTTCATCTTAAAAGAAAATAAAAATATCCTGTTCAACGGAGTCTTCCGATCTTAGATTCAGATTTATTTTTATACTTTTTACTTTTTTCATGTTATTGTTCAATTCATCCGCTCTTTTTGTATTATATCTGTTTTACTTTAGTACAATTAAAGTCATTATGACCGATTGAATATTATAACTGAATAAATGTTGGAAACATAAAAAAAAAAAAAAAA</t>
  </si>
  <si>
    <t>MEILLCVLGLMATVMAASEQEKILEDVNNQFSARFLYEVVKNVPEESVVMSGCSLLSPLAQMALASVGETHNETLNIIGFPNDNVTKEVFADMNKRLRSIKDVELKLANRVYVTHSAKLNDQFAALSRDVFDSEVKSVDFVKADETAKEINAWVENSTNNRIKDLVSADTLGPDTAVVLVNAIYFKGKWANPFDKGATTERDFYVTKDKTIKLPMMFQSTDLKYGESKELDSKLIELPYQGDHTSFLIVLPNKVDGINSLTEKLSVSSVLSNAIQDMSIYSVQLTMPKFKIETTTDLKDILVQMGIKRLFTPHQAKLDNLLDGQNDLYVSNAIQKAFIEVNEEGAEAAVANEFGISFTSLIIRENRVITADHPFVFILKENKNILFNGVFRS</t>
  </si>
  <si>
    <t>ASEQEKILEDVNNQFSARFLYEVVKNVPEESVVMSGCSLLSPLAQMALASVGETHNETLNIIGFPNDNVTKEVFADMNKRLRSIKDVELKLANRVYVTHSAKLNDQFAALSRDVFDSEVKSVDFVKADETAKEINAWVENSTNNRIKDLVSADTLGPDTAVVLVNAIYFKGKWANPFDKGATTERDFYVTKDKTIKLPMMFQSTDLKYGESKELDSKLIELPYQGDHTSFLIVLPNKVDGINSLTEKLSVSSVLSNAIQDMSIYSVQLTMPKFKIETTTDLKDILVQMGIKRLFTPHQAKLDNLLDGQNDLYVSNAIQKAFIEVNEEGAEAAVANEFGISFTSLIIRENRVITADHPFVFILKENKNILFNGVFRS</t>
  </si>
  <si>
    <t>TRINITY_DN5398_c0_g1_i3.p1</t>
  </si>
  <si>
    <t>GAGTAGTAACATCGATGACCTTGATGTAAGATCAACATATCGTTTTTAAAACCGGTTACTTCTGATGTAAGCGTCCGTCGGAGTAGCTGTGTTAAAATGGAAATCCTTTTGTGTGTCCTAGGCCTTATGGCCACAGTCATGGCTGCCTCTGAACAAGAGAAAATCCTTGAAGATGTTAATAACCAGTTCAGTGCGAGGTTCTTATATGAAGTAGTCAAGAATGTGCCAGAAGAAAGTGTGGTCATGTCCGGATGTTCATTACTGTCACCTCTCGCACAAATGGCGTTGGCGTCAGTCGGAGAAACCCATAATGAGACTTTAAATATAATTGGATTTCCCAATGATAATGTGACAAAGGAAGTGTTTGCCGACATGAACAAAAGACTACGATCAATCAAAGATGTTGAACTCAAACTAGCAAACAGAGTGTACGTCACCCATAGTGCAAAACTAAATGACCAGTTTGCTGCTCTGTCCAGGGATGTCTTCGATTCTGAAGTCAAAAGTGTTGATTTTGTGAAGGCAGATGAAACCGCTAAAGAAATCAATGCATGGGTGGAAAATAGCACCAACAATCGTATCAAAGATTTGGTAAGCGCCGATACTTTAGGTCCTGACACCGCTGTAGTTCTCGTCAATGCGATCTATTTTAAGGGAAAATGGGCAAACCCATTTGATAAAGGAGCTACCACGGAGCGTGACTTCTATGTGACAAAAGATAAAACTATCAAATTGCCTATGATGTTTCAATCAACGGACTTGAAGTACGGTGAAAGCAAAGAATTAGACTCTAAGCTTATAGAATTACCGTATCAAGGAGACCATACATCGTTTTTAATCGTGCTGCCAAATAAAGTAGACGGAATTAATTCCTTGACTGAAAAACTGAGCGTGTCATCAGTTTTATCTAATGCTATACAGGATATGAGCATTTATAGTGTCCAGCTTACTATGCCGAAGTTCAAGATTGAAACTACCACAGACCTTAAAGATATTCTTGTACAGATGGGCATCAAAAGGTTATTCACACCTCACCAAGCAAAGTTGGATAACCTACTGGACGGTCAGAATGATTTGTATGTAAGTAATGCTATTCAGAAGGCATTTATTGAAGTCAACGAGGAAGGTGCTGAGGCAGCAGTTGCAAATGAATTCGGTATTGTAGGATTTAGTCTAATCATAAGACAGAAACGAGTATTCACCGCAAACCATCCCTTCGTGTTCATTTTAAAGGAAAAGAATAATATTATATTAAACGGAGTCTACCGATCTTAGATACTTACAGCTTATTTTATACTTGTTTATTTTTACCAGACAATCTACATATACCAAAATAAATAGCTGTATATATAACTACTATTTTATTTATCTTATCTTTTACCTTATGTGGTATTCCATATCAAAATGTAATGTATATAACGAAGGTATATTGGGTACCTTGCTATCAGATTGGTCAGAGATGACCGGAAACTGAGGAAATATGGTCAGGATGTAGTTTTAACGTTTGTCTGTTCACTTCGATGCACAATTATTATGATATTCAA</t>
  </si>
  <si>
    <t>MEILLCVLGLMATVMAASEQEKILEDVNNQFSARFLYEVVKNVPEESVVMSGCSLLSPLAQMALASVGETHNETLNIIGFPNDNVTKEVFADMNKRLRSIKDVELKLANRVYVTHSAKLNDQFAALSRDVFDSEVKSVDFVKADETAKEINAWVENSTNNRIKDLVSADTLGPDTAVVLVNAIYFKGKWANPFDKGATTERDFYVTKDKTIKLPMMFQSTDLKYGESKELDSKLIELPYQGDHTSFLIVLPNKVDGINSLTEKLSVSSVLSNAIQDMSIYSVQLTMPKFKIETTTDLKDILVQMGIKRLFTPHQAKLDNLLDGQNDLYVSNAIQKAFIEVNEEGAEAAVANEFGIVGFSLIIRQKRVFTANHPFVFILKEKNNIILNGVYRS</t>
  </si>
  <si>
    <t>ASEQEKILEDVNNQFSARFLYEVVKNVPEESVVMSGCSLLSPLAQMALASVGETHNETLNIIGFPNDNVTKEVFADMNKRLRSIKDVELKLANRVYVTHSAKLNDQFAALSRDVFDSEVKSVDFVKADETAKEINAWVENSTNNRIKDLVSADTLGPDTAVVLVNAIYFKGKWANPFDKGATTERDFYVTKDKTIKLPMMFQSTDLKYGESKELDSKLIELPYQGDHTSFLIVLPNKVDGINSLTEKLSVSSVLSNAIQDMSIYSVQLTMPKFKIETTTDLKDILVQMGIKRLFTPHQAKLDNLLDGQNDLYVSNAIQKAFIEVNEEGAEAAVANEFGIVGFSLIIRQKRVFTANHPFVFILKEKNNIILNGVYRS</t>
  </si>
  <si>
    <t>TRINITY_DN349_c0_g1_i20.p1</t>
  </si>
  <si>
    <t>CGAATATTACTGTCATTAACATTGAAATCTTGACTGCAGCGAACATATAGTTCGCGTTTATAATACCAACACGTATAAGTAACCGGTTAGTTTCGTTTGAGCGTCCGTCGGAGTGGTCGTTATGATGAAGACAATTATATACATAATCTCCTTGGCGGCTATGGCCGTGGCCAATACGGAATTAGAAGAAATCCTACAGAAAAGCAATGACCAGTTCACTGCTAACATGTTCTCAGAAGTTGTGAAGAGCAAACCAGAAGAAAGCGTGGTGATATCCGGTTTTTCTGTAATGCCGATTTTGATACAGATAGGGCTAGCAACAGTCAATGAGACCCATGATGAGATATTGAGGACCGCGGGATTCCCCAATTATAATGTTGCAAAAGAAGTGTTCTCCGATGTGAACAAAAGACTAAGGTCAGTGACAGATATTGAACTCAAACTAGCAAATAGGATATACGTGAAAAATGGCGCAGAATTGAACGACCAGTTTGCTACTGTATCTAAAGATGTCTTCGGATCAGACGTTAAAAGTGTCGATTTCGTGAAAGCAGTAGAAACTGCTGGAGAAATTAATGCATGGGTGGAAGATAATACTAATCATCGTATCAAAAATTTAATCAGTCCTGATTCATTAGGCCCTCAAACCGCTGTTGTTCTTGTCAACGCGATCTACTTTAAGGGAAAATGGAAGACCCCATTCAATGAAGAAGCTACCACAGAACGCGACTTCCATGTGACGAAAAACAAAACAATTAAAGTACCTATGATGTCACAAACACATGATTTCAAATATGGCGAGAGTAAAGAACTGGACGCTAAGCTTCTAGAAATGCCATATGAAGGAGAACAGTCATCGCTTCTAATCGTACTGCCAAACAAAGATGATGGTATAAACTCCTTGGTTGAAAAGATGAAGAAACCATCAGTCTTGGCATATGCTCAAAACAATATGCGTATTTATGAAGTTGATGTTTCCATACCAAAATTTAAGATTGAAACTACTACTGACCTTAAAGATGTTCTTATGAAGATGGGAAGCACAAGATTGTTTACAGTTGGTGAAGCCAAGTTAGACAACCTATTGAAAGGTCAAAACGACTTGGTTGTAAGTGATGCAATCCAAAAGGCATTCATTGAAGTCAATGAAGAGGGTGCTGAAGCAGCTGCTGCTAACCAGTACGATCTACCTAACAAAATCTTTACGCCTGGATTCGAATTGATTGCCGACCGACCATTTTACTTCCAAGTCAAATATGGGGACATAGAGTTATTCAGTGGAACCCTAATGAAACCATCGTACTGAAAATTTATTAGTTGAAATTACAGAGGACTGGGTAATCAACAGTCAATATTTGAGATTAATAAATAGTCTTCAATTTAAAAAAAAAAAAAAAAAA</t>
  </si>
  <si>
    <t>MMKTIIYIISLAAMAVANTELEEILQKSNDQFTANMFSEVVKSKPEESVVISGFSVMPILIQIGLATVNETHDEILRTAGFPNYNVAKEVFSDVNKRLRSVTDIELKLANRIYVKNGAELNDQFATVSKDVFGSDVKSVDFVKAVETAGEINAWVEDNTNHRIKNLISPDSLGPQTAVVLVNAIYFKGKWKTPFNEEATTERDFHVTKNKTIKVPMMSQTHDFKYGESKELDAKLLEMPYEGEQSSLLIVLPNKDDGINSLVEKMKKPSVLAYAQNNMRIYEVDVSIPKFKIETTTDLKDVLMKMGSTRLFTVGEAKLDNLLKGQNDLVVSDAIQKAFIEVNEEGAEAAAANQYDLPNKIFTPGFELIADRPFYFQVKYGDIELFSGTLMKPSY</t>
  </si>
  <si>
    <t>NTELEEILQKSNDQFTANMFSEVVKSKPEESVVISGFSVMPILIQIGLATVNETHDEILRTAGFPNYNVAKEVFSDVNKRLRSVTDIELKLANRIYVKNGAELNDQFATVSKDVFGSDVKSVDFVKAVETAGEINAWVEDNTNHRIKNLISPDSLGPQTAVVLVNAIYFKGKWKTPFNEEATTERDFHVTKNKTIKVPMMSQTHDFKYGESKELDAKLLEMPYEGEQSSLLIVLPNKDDGINSLVEKMKKPSVLAYAQNNMRIYEVDVSIPKFKIETTTDLKDVLMKMGSTRLFTVGEAKLDNLLKGQNDLVVSDAIQKAFIEVNEEGAEAAAANQYDLPNKIFTPGFELIADRPFYFQVKYGDIELFSGTLMKPSY</t>
  </si>
  <si>
    <t>TRINITY_DN31_c0_g1_i1.p1</t>
  </si>
  <si>
    <t>CGATCTTATCAAACAAACATTTTTAATATAAACATGTAGAATGATTATTAATTAGGTAAATAAGGAATTATAAACTGTACTCATTTGTAACGCTGATTTAATCCCAATCAGACGTACGGATACAATGGCAGCATTCGCTCCAATTTTTTTTACTGTGTTCTCACTTTTAACATTACTCGAAGGTTTAGAAATTCAATCATTATTTAATCAATACAATAATCACTGTAATATATCTACAGACGTAAAAAAGGAATATGAAAATGCATTGCATGATTTCATTATCAAGAGTTACAAATTGGCTACAGTGAAGAACGACTACCATGTTATGTACGCGCCATTTTCCATGTGGATGGCAATGTCTGCGATAGCAGAAGGAGTGGACTCCAGCACTCAAAAAGAAATGTTTAAAATTCTGAACCTTCCAGAGGATATGTGCGTTCGACAGGAGTATTACAAGTTGGCCTCGACACGCATACGGCCCGACGTAACGTCTGTTGTAAACAAAAGAATTCTCTTTGTTGACAAAGGGCTTAAGATCGATACAAATTGGAGTAACTACCTCACAAAAAATTCTTTGGTAGAATTGGTCAAATTGCCTATGAAAATCAATCCGTTAGCAGCTCTAGTACAAATGAAACAAGCTATATCTGTGAAACTTCCACAATTTGACCTTGTGGGCAACTCAGTACTGGCAGACGTTATGGACTTCGGTGATATTGTCGCAACAACATTCCCCGACGCGGTTTCAGAACGTAGACCTTTTTACTCCATATCTGGTGAACAAATCGGTAGCGATGACTTCATAAAAATAAGAGCAATCGTAAAAATGGGATACATTGAGTCACTACATTCCAAATGTATAGCAATACCGATGGGGGAGAATTCTCACTTCCAGCTCATGATGGGTATACCGAGCGCTGGTTTTACTGATAATCGAAATGATTTGCAACGATCTTCAGGAAAACTGATAGAGGAAGTTGAAAAAAGTCTCCGGGAGACCGCTGAACCAATTGAAATAGTTTTCCCAAAACCGATGTCTTCTTTTGAAACAGACATATTGGAAATGTTTTCAGAATTAGGAATGAATAGTGATTGGAATACAAATGAGGCGAGATCGATATCGGGGCTTGGATCAGTGGTAAGCCGTGCTGTACATCGAGCTCACTTAAGCATGGAGGTCACTAAAGGAAAAATACATTCTCAAAAGTCAGCACCTTCGCCGAACGCTACCATTGGCGTGGACCCTCGAGCCGGAAGCGACTTCATAGCTGATGGACCTATTATGATGGGAATTTACGAAACGGAAACGTACACCTGCATGATGGGTATAGCATACTCAAAACCAAGGTATCCTTTGTCAGCGATTATAAAACAGACCAATGAAAACTAGTTATATAACAAAAACAACTAAACTCTGAAAACTCTCAAAGTTAGTTCAAATTCGAGCATATTACTAGTTGTCAACCGAGTTTGACTATTAGTAACAAGATTCATGTCACTTTTTTGCTAATTAATAAAAAAAAAATTTTCTTGTATATATATATATATATTTTCAGTGATCCAATATATCAATCGCACTCCTAGATCAAAACTGATTCAGCTTGAAATTCTCGACTTTAGAGATAACCGCATTTTCTGTTCCCAGACTCAATATCTATTGGGATTAGAACTGTAATAACTATGTTTCTGCTAGGGTTTGTAACGGAACGTACCTCTCGATACCTTCACGAAAATCACAATATTTAACTAAAATATATTCAACTAAGACATAGTATTTAAACAATAGTATAGTTAACTGAATTGAATCTAAATAATATCATTATTTAACGAAAAATCGATATTTAAATAAATTAATTTAAATATGCCTAAAAATTAATATTTTATTAAGAGTGTGACGAATTAACCGCTGCGCATACGCAGGTCGCGGCTTCGTTTAGAGATAAGGAAATACTGGTGTCGGATTTCAAAAAAATACTGCGTAGATCAATAGAGGTGAGAACGATACCTAACCTGTTACTTAAAAATACCAGATAACCTAATACAGATATTCATACATTGCGATATTTATCGGATCACGTTATATCACGTTTTCTGTGTGGATTAAGAATGGAAGTATTCGTTCCGCTATAAAGCACGATCTACTGAGATACCGTTCTTAGAATGATATAGACGTTACTTCCCTAGAATTTCGTCTCATGTTTGAATAAACATTACAAATTAAGAAATAACGGGTCATTTTAATTCATTCATAGGTTACTTTAAAGTTAATATTCTCTTTAAGGTTATTTGGCGAGTAAATGATGTTTTATAACAGAAAATATAGGTACACATACATCCACGTCTATCAACTGCCAGGGAATTACTCTGACGATATTTTACCTTTTATTCAACACTACTCCGCCTGCGTGATGTCGGTTTTCCGCTGCATGAGGGATCCCAAGATAATCCTAGAGTTGTGTAAGGGGCGTTGGAGCCACCTTTGCTTGAGCTCTCGTACCTTAGCGGCGACTTCATTTAACTGTATATTATTCTATTACACCGTGTTTTACAACGACTAACAATAAAAGGCATGGGATGCTTATTCCTATAGCATTTTCAAATAACTCCACCTAGAGTACAATCATATAATCAATATTGAAATAACAATCTCAATATCCCACGTTACTAACTAATGTTCAATCAGTACTTCAAACTTATTTTGTAGGTCTTAAGGTTTAAAATAGTTGAATAGATTCTGTAGAAAAATATTCGATACCAATACCAAATCTTTAACGCATTGGAATAAGTACGAATGGTATCGAATAGACGCCAAATCCAAATTATTTATGTCTCACCTCTAGTCTCGCGCCGAAAGTCGAGAGCGGCGCTTTGATAGTAATCAATCACTGTCAAGGTAATGAAATAAATCATGTCAAAAAGATAAATAAAATTTGCGATAGGGACAAAGGGGATTTTGGCCGATGTACTTGGACGTTTCCCTATATAAACTCGGGCATCTAGTTCGGAGGGACAGTTCTTCACAGTTTATCTTCGAGAGTTTTTCATCGACTGCTTCACCGATCGCTTCGAGAGTCTTCACCGACTGCTTCATCAAATACATACTCCGCCGCGCGTCGTCGTCCTGTTGCGTGTAGGGTTTTAGACTTCTGGATAGAGTTTATAATTTTATTCGCGTTTCAGTCCGAGTTTGATTTTATAAAGTGTTTCAGTTTAGATTCAGTAAATTGAATAGTTAGTTTCCTCTCACGAACGCGCCAGCGATGGATTAGGGGTCTTCTGGGGCGCTCCGCCTCAGAAGCCAGGTAAGTCCTTTGTTATTTGACAGGATTCTATTGTTCTAATGTTGTTTATTAATGTCGTGTATTGTGAATTTTATATCTTTTGTCTGTATTTACGTTCCGGCTTAAATCTTTCTAGGTCCCCTAATTCTGTTATTTCATCGGACTAATTGCAAACGTTGGGGATAGTCTTTAAGGATTAACGTTAGTCCTAGATGCCATAAACCTTCGAATCTTACAGACATGATCACATAAACACTCACTCAATTTTACACAAATCGTAAGGAACCAATTACGTAAAAGGATAATTTCTCGGGTTTGATCCGACGGACTTCAACAGAAGTTGATCCCTGCATGTATTACATAATATAAGATAGATTTAAGTTAGTTTAATACATAATTATTTACTATTTAGTATAAGATATATTTAAGATTCGCTTACTACATAGTTATTTAATACATAGTATAAGGTAGATTAATTTATCTTAAGGCCCTTGTAGCGAAAGGCTTGCTAAAAATCCTCTCAATAATATCGTGCAAATCGAAGGGTTTGCATGACGTTAGACGGCCCTCAGATGTGTTTTACTATAGGGTTCCACTGGTGGGGCTTTGGGAGTTCGTGATCTTGGGCACTGCAAGGGAATATATTCACGACATCTTCCCAATGCAGATTTTGTCTGGTAACATATCAGTACTGATGCCAGGGTCCTAGGGTTTCCCGTGGAACTGAAGTCAGATTACTATGTGTTACAAAGGGATTCTAGTTTTTAGTCATGCTGGCCTGTCTCAGGGTATACTTACGCCGTGACACGTGTGCCACAGCTATTGGATTAGCAAGACATTAAGGATACATTGAGATTTGGCTATTGGTGGCTATGAACCGGTCTAAAACACGAACAGTCGATGGTGACAGCTCAAAGGCTTGCTTCAGCGTGTCTGTTCCTCAACAGCATACGTTGATCCTCTCTGTGTGTGAGTAGGAATCGGTCGCCTAGTGTCATAAAATCCATGATCTATGCACAATAAGCCGCAGATTCTGTATAACGTGAGTCTTTCTAAACAAGACTGCATGTATTTTTGCATGAGCAAATGAAAACCTATTATGGGCATATCATTGACTTGATACAATATCCATTATTTGTCATCGCAGGCTGTACTTGTATTTAATGCATTTATACCGCCTTTGCTATACACATTCATATTATTCTGGCTAACGGACTGAGATCTGTACGCCGGCAACCACAAACAACTTACATTTATTGTAAATTTTATTATGGCCTAATATGGCATGTCATTAGACAACCTATAATATCCATTACCAATGGAAACAGGCTGTATTTGTATTTAATACATCCATACAGTCACTGCATAACGAAATTCACATCATTCTGGTGCTAACAGACTAAGATCTGACACCATCAACAACATTCAAGTTACAGTCATTGTAAATTTTATTATAACCTAACATGTGCCTGTCGTTTGATATGCGCATAATTGGTGGCTTTCCACCCTGACAATTAACAAGCATCAATAGTTTTGACCTGCTCAAACTATTGTACATTACTTACTGGAGGTAGTTCTTGATGCGGCCAGATGCAAAACCGCACACCTACCTATCTATCTAATCTACATAAATGTTGGACGGTGAGGTACCTAAGGTCGGGCCTATTATCATATCTACATAGGGGTTATAATACCTCTACTACATGTGGTTGTTCGAACCTGTTTCCAGTACCCAGCGACGTTCAGATGTAACATTCCTGTTCTGAGGGGCTGATGCACAGCTAAGACTCCACTTCTACATCAATGATATGGGTCACACCGAATTCCAGTGCTCTGGGTGCCATCACTGTGAACCTACCAAATCCTGACAACATTTATTGGTCGCTAGCATCCGCTGCAACCAACTCACTACAACTGGTTAATATCAGCTTCTTTGAACTGATATATCTGCCTGTCATTAAGACATTGCCTCCAGAATTATCATCAAATCTGAGCTGGATTATTCCTGTCTCACTATACCAATTGCTTGATCTGTTGAGTATTCTCCAGACTTAAATTTTACCGTCATCACTGAAATTGGTGCTTGGTTGATTTAAGGCTAGTAATAACTTAGAACTGGGGCGTCGGAAGGTGGTAAGGGACTTGGCTCGAGAACAACTATCTCGAGCCCCGAAGCGGGCTAACCGCGCTGTGACCACAGGCAGAGTGAGGGAACCTTGTTACCTCCACTCTCTTCAGTCTCTAATAAAGGAGATAGCTGTTGTCGATGGGGTGTAGCGGAGGCCAAGCCAGGGCGGGTGTGATTAGGCCTAGCTTAATCTATATGTACTAATTTACATTTAAGACTCAGCAAAAGGTTCATCGACTAAAATTTTACATCACCAAGAAGACAACTATTCCACCCATAACAATATACAAATAAACAAACAATGTATACACTATACTAGCACACATTTACATATATTATATACTATATATTCTCCAGCATTCCAATATCCTTTGTTCAAGTACTAAGTCAGAGTTATCTCTAGTTCTTTTCATAAAATTTAGGTAAAATAATTCTTTATTGAATATTTAAATTTTGTGTGAATATCTTAATCTAAAATTACTCCCACAGGAAAAGCAGAATGTCGCGTTTCTATTGCAACTTGGGTCAACATAATGATACTATTTACTATATCCCTATCACCTGGTACCGGGCAGGTGAACCAGATTTTGAGAATCTCAAGCCTTCACTATTTCTTACTGAGAGAAGTATTATAATCGACAGAAATAGCACCGGAAACGAATGGGTTATATTTAACAAGCAGCAATCTGGTTATTATAGAGTCAACTATGATTCAAACACTTGGAAGCTTATTACCAAAGCACTAAAGTCTCCACAGAGAAAGCTTATTCACGAAAATAATCGTGCTCAGATAGTAGATGATCTCTTCAAACTGGCAAAACATAGTGTGGTCACATATACAACAATGTTCGAAGTTCTATCATTTTTGAAGTATGAAGATCAGTACGCCCCTTGGGTGGCCGCTATACGCGGATATAAGGAGATTTTGAATATCGTCAAATATTACTGGCCTACTCTACAGAACATTAAACAAATGATTATAAGCCAAACCGAAGCAGTGGTACAACGAATCGGGCATTATGACCGTGGAAACGATTCTTTCATGGATGGACTATTACGCTTGCAATTAATGAAATTTCTGTGCAACATAGGGCACAAGGAATGTATCAAAACAAGCAAACATTACTTTGAGCTTTGGCAAAAACACGGTAAATTGGTTCCAGCAAACATGCGGCCATGGGTGTACTGTACCGCCCTTCGGCATGGGAATTCTAGTCAATACGAATTTTTCATATCGCAGATCCAAAAGTTTACACTTTACAACGATAAAATAATGTTAATCGAAGCAATGGGGTGTACTACGACTCCAATTAGCCTGCACCATTTTCTAAATATTATTTTAAATCCAGACAAGAAAATGCAAAAAGACTTCTTCTTTGAGGATGACTGGTCGAATAGGTTTCAATCTGTTCTAGAGAAACAGTCAGAGAGTATATTGTTAGTTTTTGATTGGCTTAAAGAATACGTAAGAAGTGATACGCTAAACAAGAGAAGGTTGCTCTTTGCAGAAGATGTGGTAAAAAGGATTACGGAAAATGTTTGCGAGGATGCTGAAGCTAATGAGATCACTTTGTGGTTGGATACGGAACTCAAGAAATACTACGCTGAAGATATTGTAGCAATATTCAGAAAAGCTATTCAAGGCGCCCTCAAAGCATACAGGGACAAAAAGGACTTGCACAATAGTACAATTTCCGAGATAAGTCAGTACTTCCGAACGGTGTTCTACATTCCTAAACCCCCCAAAATATTTGTATTATTACGGATTGATTTTTGGATAAAAGTGTTTATACCTATATTTATGTACGGCTTTACCACGGGCTTGAGTTATTTAATATTTCGTTACTTATAGTTTATTTTTGTGTTCAAAGATAATAAAATGATTTTGAACCTGAACCTATTCAATTTAATTAACATAATATAATACCCGACAGGGTACTATAC</t>
  </si>
  <si>
    <t>MRQLCLGRRIGIMAKLILLLLVAVSQVLADPFFSLPPIYDRTPLGDAIDKSTMKVLQTAYEVAGDKNIVSSPLGLMILLSLYNTGAGEVSKQEIKHFLGGQDLKQVSESYTSLSNEFSNMDPAYLTLANKVYTSNEYTPTDVFSAAAKAYQSEVDTLDFTKPADAAAVINQWASEKTKGHIKDPVSEDVLSPDVTAVLVNVIFFQGHWHVPFSASETKEKDFHVDEKTTVKKPMMHLLQSLYYTESEELEAKMIELPYKQTGFRMVIVLPNKVDGLPAVMKKVSEKGLLSDVFRLAPAGRDVDLDMPKFEIRSSLDFNNILPKIGVSKIFTEGAPGIVKEKTVEISKAFQEAFIKVDEEGATAGAFTGVVAVPTSSISQPPPPMLFKVDHPFMYVILYEDKILFAGTYTK</t>
  </si>
  <si>
    <t>0.992634</t>
  </si>
  <si>
    <t>CS pos: 29-30. VLA-DP. Pr: 0.9626</t>
  </si>
  <si>
    <t>DPFFSLPPIYDRTPLGDAIDKSTMKVLQTAYEVAGDKNIVSSPLGLMILLSLYNTGAGEVSKQEIKHFLGGQDLKQVSESYTSLSNEFSNMDPAYLTLANKVYTSNEYTPTDVFSAAAKAYQSEVDTLDFTKPADAAAVINQWASEKTKGHIKDPVSEDVLSPDVTAVLVNVIFFQGHWHVPFSASETKEKDFHVDEKTTVKKPMMHLLQSLYYTESEELEAKMIELPYKQTGFRMVIVLPNKVDGLPAVMKKVSEKGLLSDVFRLAPAGRDVDLDMPKFEIRSSLDFNNILPKIGVSKIFTEGAPGIVKEKTVEISKAFQEAFIKVDEEGATAGAFTGVVAVPTSSISQPPPPMLFKVDHPFMYVILYEDKILFAGTYTK</t>
  </si>
  <si>
    <t>Antichymotrypsin-1</t>
  </si>
  <si>
    <t>Q03383</t>
  </si>
  <si>
    <t>TRINITY_DN31_c0_g1_i5.p1</t>
  </si>
  <si>
    <t>AAGTGTATTATCTATGAAGCGTGCCACCACGCGAGTGGTGAGGCCGCGGGCGTAACAGGTAATGTGTTGGTTCACTAGGATCAGTCATCTAAGGGATCAGCTAACCCTCTAACCCTAAAACCTCTTCCTGCTAAGCGTGCCACCTACGGTGCAGCCTTATTCTTAGAGGTCACGCACGGTAAAACGTTTGAGGACGGATTAGTAATTATTATTAAGAGTTTTGTTACTCGGTCAAGGCTAAGGTCAACAGCTCGCACAAAGAGACTGACTTAGGATAATGCGTCAGTTGTGTCTCGGACGCCGGATCGGTATCATGGCTAAACTTATTCTTCTGTTGTTGGTTGCGGTCAGTCAAGTGCTGGCGGATTCCTTCTTTTCGCTTCCACCAATTTACGACAGGACACCGCTGGGAGATGCCATCGACAAGTCCACCATGAAAGTACTTCAGACGGCGTACGAAGTAGCAGGGGACAAGAACATTGTTTCATCGCCTCTGGGCTTGATGATACTACTCTCGTTGTATAACACTGGTGCCGGAGAGGTATCCAAGCAAGAGATAAAACATTTCCTAGGAGGACAAGATTTAAAACAGGTGTCCGAATCGTACACGAGTTTAAGCAATGAGTTTTCCAATATGGACCCCGCGTACCTTACTCTGGCGAATAAAGTGTATACGTCGAATGAATATACGCCTACCGACGTATTCTCGGCCGCAGCAAAGGCCTATCAAAGTGAAGTGGACACCCTTGACTTCACAAAGCCGGCGGATGCAGCTGCGGTCATCAATCAGTGGGCTTCAGAGAAGACGAAGGGTCATATCAAAGATCCGGTCAGCGAAGATGTCTTGAGTCCGGACGTAACTGCTGTCCTTGTCAACGTGATATTTTTCCAGGGTCATTGGCACGTGCCTTTCAGTGCTTCAGAAACCAAAGAAAAGGACTTTCACGTGGACGAAAAGACGACAGTTAAGAAGCCGATGATGCACTTGCTGCAGTCTCTTTACTATACGGAGAGCGAAGAGCTGGAAGCTAAGATGATTGAGTTACCCTATAAACAAACAGGTTTCCGTATGGTGATAGTGCTGCCAAATAAAGTGGATGGTTTACCTGCAGTCATGAAGAAGGTCTCGGAAAAGGGCCTGCTCTCTGACGTATTCAGGCTTGCCCCAGCTGGCCGTGATGTGGACCTTGACATGCCCAAGTTCGAAATTAGGAGTTCTTTGGATTTCAACAACATTCTTCCAAAGATTGGAGTTTCTAAGATTTTCACGGAGGGAGCTCCAGGTATCGTTAAGGAGAAAACAGTCGAAATTTCCAAAGCATTCCAAGAGGCCTTCATTAAGGTTGACGAAGAAGGCGCTACGGCTGGTGCCTTTACTGGTGTGGTAGCAGTTCCGACGTCTTCAATCTCTCAACCGCCACCACCAATGCTGTTCAAAGTGGATCATCCGTTCATGTACGTCATCCTATACGAAGACAAAATACTGTTCGCAGGAACATACACAAAGTAACAAGAATATTATATCTTCTCACAATAAATTTTTCATGTAATTAAAAAAAAAAAAAAAAAA</t>
  </si>
  <si>
    <t>MRQLCLGRRIGIMAKLILLLLVAASQVLADSFFSLPPIYDRTPLGDAIDKSTMKVLQTAYEVAGDKNIVSSPLGLMILLSLYNTGAGEVSKQEIKHFLGGQDLKQVSESYTSLSNEFSNMDPAYLTLANKVYTSNEYTPTDVFSAAAKAYQSEVDTLDFTKPADAAAVINQWASEKTKGHIKDPVSEDVLSPDVTAVLVNVIFFQGHWHVPFSASETKEKDFHVDEKTTVKKPMMHLLQSLYYTESEELEAKMIELPYKQTGFRMVIVLPNKVDGLPAVMKKVSEKGLLSDVFRLAPAGRDVDLDMPKFEIRSSLDFNNILPKIGVSKIFTEGAPGIVKEKTVEISKAFQEAFIKVDEEGATAGAFTGVVAVPTSSISQPPPPMLFKVDHPFMYVILYEDKILFAGTYTK</t>
  </si>
  <si>
    <t>0.979658</t>
  </si>
  <si>
    <t>CS pos: 29-30. VLA-DS. Pr: 0.9241</t>
  </si>
  <si>
    <t>DSFFSLPPIYDRTPLGDAIDKSTMKVLQTAYEVAGDKNIVSSPLGLMILLSLYNTGAGEVSKQEIKHFLGGQDLKQVSESYTSLSNEFSNMDPAYLTLANKVYTSNEYTPTDVFSAAAKAYQSEVDTLDFTKPADAAAVINQWASEKTKGHIKDPVSEDVLSPDVTAVLVNVIFFQGHWHVPFSASETKEKDFHVDEKTTVKKPMMHLLQSLYYTESEELEAKMIELPYKQTGFRMVIVLPNKVDGLPAVMKKVSEKGLLSDVFRLAPAGRDVDLDMPKFEIRSSLDFNNILPKIGVSKIFTEGAPGIVKEKTVEISKAFQEAFIKVDEEGATAGAFTGVVAVPTSSISQPPPPMLFKVDHPFMYVILYEDKILFAGTYTK</t>
  </si>
  <si>
    <t>TRINITY_DN840_c0_g2_i2.p1</t>
  </si>
  <si>
    <t>CATTTTAGATAACTATACATTATTCTCGTACAGTACACAAATACATAAATTAATATTCTGAGCTGAGTTTAACAACAACAAGATAAAACAAAAGACGATTGAGGGATCATGAGATCAAGCTGTCCGTAAACACGGGTCAGGGTTATCTGAAGCATGTTCTTATAATTACATACGTCTGTTCTCGTTGTCATTATAGTTACCGGCTTCTCATCAAACTACACAGCTCCAAAAATCAAAATGAAAGCCACCATTATTCTGTTACTGCTGGCTTGCGCCATGGCTGTGGTGTACGGTGATCTGGTTTGCGGTACCAATTACTGCAAGCAGAACCCTTGCAACTCTCCTGTAGCAAAGACCAGCTGTCGCACGCCCTCAGTCTACCGCGCAAACCACGCCGGCAAATGCGCCTGCTGTCCAGCTTGCGTTAGCTTCTTGAATGAAGGTGCTGCTTGCAAGACGTACAGTAAAGAGATTGGAGCGACCCCATCCGCGATTTGTCGTGAACCACTATTGTGTCTCAAGGGCGTTTGTACCAAGGTCACGCCCAGGCCTTAACTTAACTTCGACTAATTGATAATCTATTAATATAAAATAAACTACGAATATATAAAAAAAAAAA</t>
  </si>
  <si>
    <t>MKATIILLLLACAMAVVYGDLVCGTNYCKQNPCNSPVAKTSCRTPSVYRANHAGKCACCPACVSFLNEGAACKTYSKEIGATPSAICREPLLCLKGVCTKVTPRP</t>
  </si>
  <si>
    <t>0.999805</t>
  </si>
  <si>
    <t>CS pos: 19-20. VYG-DL. Pr: 0.9670</t>
  </si>
  <si>
    <t>DLVCGTNYCKQNPCNSPVAKTSCRTPSVYRANHAGKCACCPACVSFLNEGAACKTYSKEIGATPSAICREPLLCLKGVCTKVTPRP</t>
  </si>
  <si>
    <t xml:space="preserve">Protease inhibitor </t>
  </si>
  <si>
    <t>Fungal protease inhibitor-1</t>
  </si>
  <si>
    <t>B0JFB8</t>
  </si>
  <si>
    <t>Inducible serine protease inhibitor 1</t>
  </si>
  <si>
    <t>P81905</t>
  </si>
  <si>
    <t>TRINITY_DN167_c0_g1_i12.p1</t>
  </si>
  <si>
    <t>TTTTGGTATTGGATTGGAAGAAAGTTTTAGACGGTACAGGGCACGTAATGTACCAATAACTTACATACAATATTCTGCATCGTTAGGTACCTAAAATAATGTAAATGAAATGTATAATAATTCGAGCGTAGCCATTGAATAAACTAGTTTAATTCACAGCTATTCGATATAAAACTCGTTCGTCCGCCATATTGGTCTGACATTTGACCGTTGCTAATTGTTGTTCAGTTCTGAGTGTTGTAACTCGCCGATAACACGGCGCAGCGCATGCGCGAGCCTTTCAATTCCATATTCGAAAAACAATTCCATATTCAAAATGCGGGTAGTTCACGTATTTTTGTTGGTATCTGCTGCGCTGTGTGTGAGCGCGCGTACCGCCACCAGACAGCAGTCAATTTCCGGTCAAATTACGTCCTTGACTGATAAGGATGCAAGAACAAAGGCGCGTGCTCATTCGGCGTTTGCGAATGCTGGCCGACAAGCCGGAGTGGAGGCTTGGAGAATTGAAAATTTCAATCCTGTTCCGGTGGCACAAAAGGATTTTGGAAAATTCTATAAAGGCGATTCCTACATCGTACTCAAGACAACTGCGGACAAAAGGAACAAGTTATCCTGGGATATCCACTACTGGATTGGAAGCGAGTCCTCGCAGGACGAGTCTGGCGCTGCCGCCATCCTGACCGTGGGCTTAGACGACAAGTTCAATGGAGCCGCTGTACAGCACAGAGAGACGTTAGGACACGAGAGCCAACAGTTTCTGAGCTACTTCCCATCAGCAATACAATATTTAAATGGCGGTGTGGGGTCTGGTTTCAATCATGTGGTCACTAACGCAGGCGCCGAAAAGCGGATGTTCCAAGTAAAAGGCAAGAGGAATGTCCGCGTGAGGCAGGTGGATCCACTGATCTCTTCAATGAACAAAGGTGATGTGTTCATCTTGGATGTAGGCAATGACGTATATGTATATGTGGCAGACAGCGCCAAGAACATGGAGAGACTTAAAGCCATCTCTTTCGCGAATCAAGTGAGGGACCAGGATCATAGTGGGAGGGCACGCGTTGAGATTATTGACCAGTACTCCAGCGATGTGGATTATCAGAAGTTCTTTACTGCGCTCGGGTCTGGCACCAGAGACTTGATTCCTGAGGAAACAGCTGGAGGCGACGATCAGGCTTTCGAAAAAACCGAAGAGCAATCAATTGTTCTATCTGAAGTGTCTGACAGCAGTGGAAAATTGAAGGTGACTCCGTTGACCAAACCATACAGACAAGAACAGCTCAAACCACAGGAAACATATATTCTGGACACAGTCAGCGGCAGTATCTACGTTTGGATCGGAAAGCAAGCCACCGAGAAGGAAAAGACAGAAGCTATGACAAAAGCCCAGCAATACTTGACAGCTAAAAACTATCCTTCGTGGGTGCATATAGCCAGGGTCCCGCAAGGATCTGAGCCGGCAATCTTCAAACAGTACTTCACAACATGGCGCGACGTCGGCATGTCTCATACCAGGATTGTATGAAGGTATTCCTCGAGTCCAGAATTTCAGTATGTTGGTGCTTTAACTGAACATATTTTTTTTATAATTTTAAATATGAAATATAATTGAATAATATCTAAAAAAAAAAAAAAGATCGG</t>
  </si>
  <si>
    <t>MRVVHVFLLVSAALCVSARTATRQQSISGQITSLTDKDARTKARAHSAFANAGRQAGVEAWRIENFNPVPVAQKDFGKFYKGDSYIVLKTTADKRNKLSWDIHYWIGSESSQDESGAAAILTVGLDDKFNGAAVQHRETLGHESQQFLSYFPSAIQYLNGGVGSGFNHVVTNAGAEKRMFQVKGKRNVRVRQVDPLISSMNKGDVFILDVGNDVYVYVADSAKNMERLKAISFANQVRDQDHSGRARVEIIDQYSSDVDYQKFFTALGSGTRDLIPEETAGGDDQAFEKTEEQSIVLSEVSDSSGKLKVTPLTKPYRQEQLKPQETYILDTVSGSIYVWIGKQATEKEKTEAMTKAQQYLTAKNYPSWVHIARVPQGSEPAIFKQYFTTWRDVGMSHTRIV</t>
  </si>
  <si>
    <t>CS pos: 18-19. VSA-RT. Pr: 0.5576</t>
  </si>
  <si>
    <t>RTATRQQSISGQITSLTDKDARTKARAHSAFANAGRQAGVEAWRIENFNPVPVAQKDFGKFYKGDSYIVLKTTADKRNKLSWDIHYWIGSESSQDESGAAAILTVGLDDKFNGAAVQHRETLGHESQQFLSYFPSAIQYLNGGVGSGFNHVVTNAGAEKRMFQVKGKRNVRVRQVDPLISSMNKGDVFILDVGNDVYVYVADSAKNMERLKAISFANQVRDQDHSGRARVEIIDQYSSDVDYQKFFTALGSGTRDLIPEETAGGDDQAFEKTEEQSIVLSEVSDSSGKLKVTPLTKPYRQEQLKPQETYILDTVSGSIYVWIGKQATEKEKTEAMTKAQQYLTAKNYPSWVHIARVPQGSEPAIFKQYFTTWRDVGMSHTRIV</t>
  </si>
  <si>
    <t>Villin/Gelsolin</t>
  </si>
  <si>
    <t>Structural Proteins</t>
  </si>
  <si>
    <t>Actin depolymerising venom protein gelsolin 1</t>
  </si>
  <si>
    <t>Platymeris rhadamanthus (Red spot assassin bug)</t>
  </si>
  <si>
    <t>A0A6B9KZ40</t>
  </si>
  <si>
    <t>Gelsolin like</t>
  </si>
  <si>
    <t>A0A7E5X5YZ</t>
  </si>
  <si>
    <t>TRINITY_DN7118_c0_g1_i1.p1</t>
  </si>
  <si>
    <t>TCTGTACGACATGGCGCATTTAACCGTTGCATTCGCCTTAGGGCTGTTCGTGTGCGCATACGCTGCTACAGAGCTTCAGCGCGTTCGCCGTAGTTACGGAGGTAATACCGGCGGCAGTGGAAGTGGCAACGGGGGTGGAATTGGCAGCGGCGGCGGATTCGGTGGCGGCGGCGGATTCGGTGGCGGCGGCGGTTATGGCGGCAGTTGCGGAAGCAGTGGAGGCGGATTTGGCGGCGGTTTCGGCAGTGGAGGCGGATTTGGCAGCGGCAGTGGTTTCGGAATTGGCAGCGGTATTGGTCGCGGGCTTGGTAGCGGCATTGGTCGCGGACTTAGCGGCATCAGTGTTGGCGGACTTGGCAGCGGCAGTGTAGGCGGCCTTGGTGCCGGAAGTGGTGGTGGACTTCGCGGCGGTAGTGGTGGCGAACTTGGCGGTGGTAGTGGTAGTGGACTTGGCGGCGGCACTGGAGGCGGCCTTGGTGGCGGCACAGGAGGCGGCGTTGGCGGCGGCACAGGAGGCGGCCTTGGCGGCGGCACTGGAGGCGGCCTTGGTGGCGGCACAGGAGGCGGCGTTGGCGGCGGCACAGGAGGCGGCCTTGGCGGCGGCACTGGAGGCGG</t>
  </si>
  <si>
    <t>LYDMAHLTVAFALGLFVCAYAATELQRVRRSYGGNTGGSGSGNGGGIGSGGGFGGGGGFGGGGGYGGSCGSSGGGFGGGFGSGGGFGSGSGFGIGSGIGRGLGSGIGRGLSGISVGGLGSGSVGGLGAGSGGGLRGGSGGELGGGSGSGLGGGTGGGLGGGTGGGVGGGTGGGLGGGTGGGLGGGTGGGVGGGTGGGLGGGTGG</t>
  </si>
  <si>
    <t>0.984850</t>
  </si>
  <si>
    <t>CS pos: 21-22. AYA-AT. Pr: 0.7734</t>
  </si>
  <si>
    <t>ATELQRVRRSYGGNTGGSGSGNGGGIGSGGGFGGGGGFGGGGGYGGSCGSSGGGFGGGFGSGGGFGSGSGFGIGSGIGRGLGSGIGRGLSGISVGGLGSGSVGGLGAGSGGGLRGGSGGELGGGSGSGLGGGTGGGLGGGTGGGVGGGTGGGLGGGTGGGLGGGTGGGVGGGTGGGLGGGTGG</t>
  </si>
  <si>
    <t>consensus disorder</t>
  </si>
  <si>
    <t>Glycine-rich cell wall structural protein</t>
  </si>
  <si>
    <t>A0A821SVL8</t>
  </si>
  <si>
    <t>TRINITY_DN15933_c0_g1_i3.p1</t>
  </si>
  <si>
    <t>TGAACGATATACGAAACACGTTCTGTTTAAGTAATTAAAATAAATATTTTAGACGTGTCATACGAACGAATTTCGCATTCAATGAGACAATAATACATTCAACATGAGGATCATACATTTATTTCTTCTTGTATCCTTACTATGCTTAGTGAGCGCGAAATACTTGCCAAATCAAAACCCTTCACGGGCTCTGCTTAGGAAGATAAGATCGATAGATGAGTCGCAAGATTTTTTCGAAAATAAGAGCAATGAGTCTACTGATAATGACGATGTTAGTGACACTAGTAATGAAAACGATGATAGCTCAAACGAGTCAAAAGAATTAAAAGAACGCATAAAGCAAACAGAAAAAGAGGAACAACTCAATCAAGAAACGAAATCCGAGGAACAACAGCGTAAATTTGGAGAAAAGAAGCTAAAAGAAGAACGCAAACAACAAGAGAAATTAGAAAAAGAGCGTAAACGTGCAGAAAAAATTGAGGAAGAAGAACGTAAGAGGGAAGAAAAACTTGAAAAAGAAAAACGTAAACTTAAAGAAAAGTTTGAAGAAGAAGAGCACAAACTTCAAGAAAAATTAAAGGAAAAGGAGCAAAAATTGGCGGAAGCAGAACGTAAGCGTAAAGAGAAGATTGAAAATGAAGAACGTAAGCGCTTAGAAAAGTTAGAAAAAGCGAAGCGTAAATACGAAGAACAGTTGGCGAAAGAAGAACACAAAAGAGAAGAAAAAGTTGCTAAGGAAGAACACAAGCGCCAAGAAACGATTCGCAAGCAACTTGAAGAGATCGAAGAAGAAACTCTAGAAAACACAAAAGTAGTTGACGTTTCAGTGGAATCTGAAGAAAATGTTGAAGATCTAGACTTTGACAATATTTGGAAAAATTACATATATTCAAATTACGGTTTATCTGCAACCAGCACTAGTTTAGAAAAGAAGACGGCATTGTACAGATATTTCCAAGAAGAACTGGGCCTTAATATTAACAGTACTAAGAGTGAATATCACGCAGCGATTTTGAAGTTAATACAAGTCAAGCTACTTAATGATACTGCACAAGATAGTTTTGGAAACTATTTAATAAGCCACGTTAACGCCATGTACATACAAAAACTGCAAACAGAGTTGGAACAAAAAATAGCAAAACTAGATAACGAAACAGCACTATTAGAAAACGTGACTATGCTTTGGGTACCTGCTGCACGGAATAACATAGAAGAAAAAAGAACTTTGCTACAAACTTTTGTACAGTTCCTCTCTGATGTACTACCAAACTGGATCGCTGGTGGCAAACCTTCACCTGCTGTCAATAGTCCTGCTAGTTCAAGTAATAGTAGTGCAGTTTCTGGATCCATATCTGGTGACTCATCAGTTAATACCGTTTCTTCTGTTGAAGGATCAAGTGCAAACCCTATCAGTGATGTCGGTGAAACATCACCTAGCACTGGTGGCAAACCTTCACCTGCTGCTAATATTCCTGCTAGCCCAAGTAACAACAATGCCGTTTCTGGATCCCTATCTGGTAACTCATCAGTTAATATTGTTCCTTCTGTTGAAGAATCAAGTGTAAACCCTATCAATAATGACGGTGAAACATCATCTGGTGCTGTCCCTACTAGTGTTGCAGAATCATCCATTGGAAATGTTGATTCTGCCTCCAATGTTGCTGGTGAAACATCGACAGGAACAGCCAGCTCCACTGCTACTGATGTTGAAGGCTCACCCGTTGAAACAGACGGATCTGTAACTTCTAATACTGAAGGATCATTTCCTGGGATTGCTAGCTCTACCAGTCTTAGTACTGAACAATTACCCCCAGTCGACTCAGTTTCTTCTGGTGCTGAAGGATCATCCACTGGAATAACTAGCACTGCCACTTCTGGCGCTGAAGATCCAACCACTGCAACAGTTAGTCTTGCCACCTCTGGTGCGGTAGTATCATCGGATGGAATCGCTGGCTCTGCTGTTTCTGATGATGTAGTAACAAACACAGGAATAGCTAGTTCTGGAACTTCTTTCATTCAGGGATCAAATGCTGGAGCAGCCGGATCTGCCGCACTTGGGGCCGAAGAATCAACAACTGGAGTAGCTGCATCTGAGATTTCTGGTGTTGTAGAATCATCTGCTGGAACTGCTGGCTCAGCTGATTCTGATGTTGAAAGTTCATCTAACGGAACACCTGGCTCTGTTCTTCCTAGTACTGAAGAGTCAACCCCTATAACGACCGGTTTTGCCATTCCCGGCGCTGAAGAATCAACTGCTGGAATAGCAGCTCCTGGTGCTGATGAATTGAATACTGGAATATCCGATTCTGCCGCTTCTGGGGGTCAAGAATTATCCGCTGGAATAGACACCTCTGACACTTCTGATGTTACAGAATCGATTATTGGAACGGACAATTCTGCTACTTCTGGTGCTGAGGGACCAACCACTAGAATACCTGTATCTGTGACTTCAATATCGTCTGCTGAAAATTCGGGCTCTGCCACTTCCGTTTCAACTTCTGGAGTAAACAGTTCTGGCGTTGAAGGGTCAACCACCGGAACCGCATTCTCTGTCACTTCTGGTACAGAAGATTCAACTACTGGAATAAATGGACTTGTGACTTCTGGTTCTGAAGGATTAAACACTGTAACAGTCACTGATGGTCTTGGTGCTGAAGAATCAACCGGCGCAGCAGTTGAATCGATCAATCAGGAACCTGAAGGATCAAGCACTGGAACTATCAATTCTGGGAGTTCCGGAAATGAGGTATCAACCGAGGGTGCAGCTACTTCTGGTACTGGAGTATCCACCGGAATAGTCGAATCTGTGGCTCCTAATTCTGAAGGAGTAACAGTTGGATCTACCGGTTCTGTTGCTTCTGGTAGTGAAGGATCAATTACTGCAATAAATGAATCTAAAACTTCTATATCCGAAGTCTCATCTGATAAACATGGATTACCTAGTGAAATACCCGGATCTTCTATTTCTGGGGCTGAAGGATTAATTGCAGAATCATCAAGTACTGTTACAACTGAATTAGCTGCTGATATTGTAGAGGGACCACACGATGGGACATCTGGCTCTGACGTTTCTGCTGTTGAAGGATCAACTGCAGGAATAGCTGTTTCTAGTACTGAAGGAGCACCCACTCTAATAGTCGAATCTGTGACACCTAGTTCTGAAATATCAACAGATGGATCTGCGAGTTCTGTACTAGATCAGTCATCTATAGGAACTCCTGGTTCCGCTGCTTCTGATACCGAAGGATCATACATCGGAATATCTGATTCTGCCACTCCTGGTGTTGAAGAACCAACCGCTGTAACAACCATATCAGTTGGTCAAGATGGTGAAGGATTTAGTACCGGTGCAGCTGGTTCTGGAACTCCTGATGCTGAAATATCAACAGCTGAGGCAATAATTCCTGGAACTGAAAATTCAACCATAGTAACAGTTGGATCTGACTCTGCTGGTGCTACAGAATCAAGCACTATTATAGAAAACTCTTTGTCTCCCGGTGCTGAAGAATCGGTTATTGATATAACCAACCCTAGCACTTCTGATACTGAAGCGGTATTTACCACCGCAGCAAGTTCTGTTTCGATTGCTGAGGGACTACCTTCGGGATCAGAACTTTCCACCGCCTCTAAAACTGAAATGTCACATGTTACATCAGAAGGATCCACCATTACGAGTAATGCGGGTCCACCAGCTGAATCTGGTGGTACAAACGCTTTAAAACAGGTATCAATCACTGAAACGGGCGTGGTCACACCTAGTGCGGTAGAATCATCATCAGGATCAGCTGGTGTCAACTCTATAGGCACTGAAAAATCAAAGGGAGGTACGAATATAGTAGAAAGCGATTTTACCGTGGGAACTACCACCATTTCAACTAATGTCTCATCTAGTGATACCTCTAAAATAAGTATTGATGCAGTTCCTTCGGGAATAAATATCACTTCTGTTGAAGGAGCCACTGGTAATGTTATTACTCCGAGTTCTTCTCCGGCGTTCAAGACTACCGAAGAACTTGTCTTAACAGATAATCCTATGCCTGTTAGTACTGAAGTTCCTACTATAGCACAGACTGCACCAGTAATAACAAACTCATCGGATTTGGTTTCATCTGATGCGGATCAAGTCATTCCAGTTGTGACTTCATTTACCACGTTTGAGACGAGTACTTCAGAAATTATAGATATGGCCTCATCTGGTAATGTGAATCCAACAACTAACTTAAATGATGCTACTACAATAGTTACACCCATTGAAATATCGACTGAAGTTCCAAATCCACCGGCAGTTACTGAAATGGTATCAGAGCAAAGAACCGAATCAACTTCAGATGTAGTTAGTCCGGATTTAATTCCCAATGAGAATGGTGCTACAGTAGTAGATGTAACAACACAATGATTAACACATCAATAATTTTATAATATTTATATAGTTTGGTTTGTAATTAGATATAGTGATTTTAGAATAAATATAAAATCAGAGCAATAAAAAAAAAAAAA</t>
  </si>
  <si>
    <t>MRIIHLFLLVSLLCLVSAKYLPNQNPSRALLRKIRSIDESQDFFENKSNESTDNDDVSDTSNENDDSSNESKELKERIKQTEKEEQLNQETKSEEQQRKFGEKKLKEERKQQEKLEKERKRAEKIEEEERKREEKLEKEKRKLKEKFEEEEHKLQEKLKEKEQKLAEAERKRKEKIENEERKRLEKLEKAKRKYEEQLAKEEHKREEKVAKEEHKRQETIRKQLEEIEEETLENTKVVDVSVESEENVEDLDFDNIWKNYIYSNYGLSATSTSLEKKTALYRYFQEELGLNINSTKSEYHAAILKLIQVKLLNDTAQDSFGNYLISHVNAMYIQKLQTELEQKIAKLDNETALLENVTMLWVPAARNNIEEKRTLLQTFVQFLSDVLPNWIAGGKPSPAVNSPASSSNSSAVSGSISGDSSVNTVSSVEGSSANPISDVGETSPSTGGKPSPAANIPASPSNNNAVSGSLSGNSSVNIVPSVEESSVNPINNDGETSSGAVPTSVAESSIGNVDSASNVAGETSTGTASSTATDVEGSPVETDGSVTSNTEGSFPGIASSTSLSTEQLPPVDSVSSGAEGSSTGITSTATSGAEDPTTATVSLATSGAVVSSDGIAGSAVSDDVVTNTGIASSGTSFIQGSNAGAAGSAALGAEESTTGVAASEISGVVESSAGTAGSADSDVESSSNGTPGSVLPSTEESTPITTGFAIPGAEESTAGIAAPGADELNTGISDSAASGGQELSAGIDTSDTSDVTESIIGTDNSATSGAEGPTTRIPVSVTSISSAENSGSATSVSTSGVNSSGVEGSTTGTAFSVTSGTEDSTTGINGLVTSGSEGLNTVTVTDGLGAEESTGAAVESINQEPEGSSTGTINSGSSGNEVSTEGAATSGTGVSTGIVESVAPNSEGVTVGSTGSVASGSEGSITAINESKTSISEVSSDKHGLPSEIPGSSISGAEGLIAESSSTVTTELAADIVEGPHDGTSGSDVSAVEGSTAGIAVSSTEGAPTLIVESVTPSSEISTDGSASSVLDQSSIGTPGSAASDTEGSYIGISDSATPGVEEPTAVTTISVGQDGEGFSTGAAGSGTPDAEISTAEAIIPGTENSTIVTVGSDSAGATESSTIIENSLSPGAEESVIDITNPSTSDTEAVFTTAASSVSIAEGLPSGSELSTASKTEMSHVTSEGSTITSNAGPPAESGGTNALKQVSITETGVVTPSAVESSSGSAGVNSIGTEKSKGGTNIVESDFTVGTTTISTNVSSSDTSKISIDAVPSGINITSVEGATGNVITPSSSPAFKTTEELVLTDNPMPVSTEVPTIAQTAPVITNSSDLVSSDADQVIPVVTSFTTFETSTSEIIDMASSGNVNPTTNLNDATTIVTPIEISTEVPNPPAVTEMVSEQRTESTSDVVSPDLIPNENGATVVDVTTQ</t>
  </si>
  <si>
    <t>0.995124</t>
  </si>
  <si>
    <t>CS pos: 18-19. VSA-KY. Pr: 0.9671</t>
  </si>
  <si>
    <t>KYLPNQNPSRALLRKIRSIDESQDFFENKSNESTDNDDVSDTSNENDDSSNESKELKERIKQTEKEEQLNQETKSEEQQRKFGEKKLKEERKQQEKLEKERKRAEKIEEEERKREEKLEKEKRKLKEKFEEEEHKLQEKLKEKEQKLAEAERKRKEKIENEERKRLEKLEKAKRKYEEQLAKEEHKREEKVAKEEHKRQETIRKQLEEIEEETLENTKVVDVSVESEENVEDLDFDNIWKNYIYSNYGLSATSTSLEKKTALYRYFQEELGLNINSTKSEYHAAILKLIQVKLLNDTAQDSFGNYLISHVNAMYIQKLQTELEQKIAKLDNETALLENVTMLWVPAARNNIEEKRTLLQTFVQFLSDVLPNWIAGGKPSPAVNSPASSSNSSAVSGSISGDSSVNTVSSVEGSSANPISDVGETSPSTGGKPSPAANIPASPSNNNAVSGSLSGNSSVNIVPSVEESSVNPINNDGETSSGAVPTSVAESSIGNVDSASNVAGETSTGTASSTATDVEGSPVETDGSVTSNTEGSFPGIASSTSLSTEQLPPVDSVSSGAEGSSTGITSTATSGAEDPTTATVSLATSGAVVSSDGIAGSAVSDDVVTNTGIASSGTSFIQGSNAGAAGSAALGAEESTTGVAASEISGVVESSAGTAGSADSDVESSSNGTPGSVLPSTEESTPITTGFAIPGAEESTAGIAAPGADELNTGISDSAASGGQELSAGIDTSDTSDVTESIIGTDNSATSGAEGPTTRIPVSVTSISSAENSGSATSVSTSGVNSSGVEGSTTGTAFSVTSGTEDSTTGINGLVTSGSEGLNTVTVTDGLGAEESTGAAVESINQEPEGSSTGTINSGSSGNEVSTEGAATSGTGVSTGIVESVAPNSEGVTVGSTGSVASGSEGSITAINESKTSISEVSSDKHGLPSEIPGSSISGAEGLIAESSSTVTTELAADIVEGPHDGTSGSDVSAVEGSTAGIAVSSTEGAPTLIVESVTPSSEISTDGSASSVLDQSSIGTPGSAASDTEGSYIGISDSATPGVEEPTAVTTISVGQDGEGFSTGAAGSGTPDAEISTAEAIIPGTENSTIVTVGSDSAGATESSTIIENSLSPGAEESVIDITNPSTSDTEAVFTTAASSVSIAEGLPSGSELSTASKTEMSHVTSEGSTITSNAGPPAESGGTNALKQVSITETGVVTPSAVESSSGSAGVNSIGTEKSKGGTNIVESDFTVGTTTISTNVSSSDTSKISIDAVPSGINITSVEGATGNVITPSSSPAFKTTEELVLTDNPMPVSTEVPTIAQTAPVITNSSDLVSSDADQVIPVVTSFTTFETSTSEIIDMASSGNVNPTTNLNDATTIVTPIEISTEVPNPPAVTEMVSEQRTESTSDVVSPDLIPNENGATVVDVTTQ</t>
  </si>
  <si>
    <t>NEUROFILAMENT TRIPLET M PROTEIN-LIKE PROTEIN</t>
  </si>
  <si>
    <t>Mucin-17-like</t>
  </si>
  <si>
    <t>A0A9J7E1E7</t>
  </si>
  <si>
    <t>TRINITY_DN68_c0_g2_i1.p1</t>
  </si>
  <si>
    <t>ACCAAATAATTTATCCGTACTACAAGTAATAACATAGTAGAATTAAATTAATTGTTGGTTACTATGAAATCTTTGGCGGTGTTATGTCTTTTGTCTTTAATCGCTTTATCACTGGCGAAACCGAGCGATCGAGGGTGTATCTACGTAATGGAAAACTGTTATAGTGAATGTGAAGAAGGAACACACGCATACACTACCGGCTGCAGTCAGAAGATGCCAGAAGCGACTTGCGATGTCCCCAACCCGGTCAAAGAAAAGGGGATTATCTGTGACTACTCTGCCTGTTACTGCGACCCCCCCACCGTGAGAGACACAATCAGCGGCAAATGTGTCACACTGGATCAATGTCCGAAGAAGCAATAAACAAAATATTTATCACCTGCTGAGAAAGAAACCGAGCTAACTAAAAATCATTATTTTTTACAAAATGAAAACGTATTTCGTTATACTCGTATCGCAGGAATTTCATCATCATCATCAGCGCTTGGAAGCCCACTGCTGGACATGAGTCTTCTCCTTAAAAAGGAGGGATTTGCCATAATCACCACAATTGGCACGAGTCCCGGAGATTACAGGATAACGCTGATGCCTAACAATTTGGTACATTCCTTAGCTGGTTCTCCCAGCATCCACGGGAAGAGATGGAGTAATGTCATTATTATACTAGCGCCACATAGTCAATTTATAGAGACCAGCAAGCAAGAATTTATAGGGACGGAAATATAAGTTTATCCTTATTTTATTGAAAAGTGACACTTTAGAAAATATCAAGATTTTAAAGCGTCCCTCGCAAAGTCATTTTATACATATGTGATATTTTCTTATAAATTTGAATTGAGTCAGTTTTCCTTTTTTAGTTTTAGTATATAGGTATAGTAACGCACCTATGTACTTATTCTATATTTAGTGGTTCATGGACACCCTCAAAGAATCCATTTTATGTTATAGAACCCACTATCAAATGACGTAAATAAAAGATACTGCATTTCGAAAATAATATTTATCAATAAATGTATGTTTATTATCTTATTTATTTTATTACTGACTACTGATTGGTGCAGGCGGCAGTGGCACTGCTTTCTGTATCAATTGGTCCCCGGTTCGAATCCTGGTAGGGACACAAACTTTGTGTGATGAACGCGTATGTTTGTGCCTGAGTCGTGGAGA</t>
  </si>
  <si>
    <t>MKSLAVLCLLSLIALSLAKPSDRGCIYVMENCYSECEEGTHAYTTGCSQKMPEATCDVPNPVKEKGIICDYSACYCDPPTVRDTISGKCVTLDQCPKKQ</t>
  </si>
  <si>
    <t>0.999775</t>
  </si>
  <si>
    <t>CS pos: 18-19. SLA-KP. Pr: 0.8602</t>
  </si>
  <si>
    <t>KPSDRGCIYVMENCYSECEEGTHAYTTGCSQKMPEATCDVPNPVKEKGIICDYSACYCDPPTVRDTISGKCVTLDQCPKKQ</t>
  </si>
  <si>
    <t xml:space="preserve">Laminin </t>
  </si>
  <si>
    <t>TIL domain-containing protein</t>
  </si>
  <si>
    <t>A0A2A4K128</t>
  </si>
  <si>
    <t>Protease inhibitor</t>
  </si>
  <si>
    <t>A0A8S0ZIP2</t>
  </si>
  <si>
    <t>TRINITY_DN68_c0_g1_i1.p1</t>
  </si>
  <si>
    <t>CGCGCTGCGGCCGTGCCGTTTGAATTGTTAATTGGTGATATCTTAAACATATATAAGATGTAATATTTAAGTGCATTAGTACATTGAGAAGGAACAGTTAGACCGAGCTACAGGTCATACTACGGAGTTAACAATTTATCAGCAACAATGAAATATCTGGTACCTGTATTTGTTCTGTCTATGGTCGCTTTGTCTTTGGCTGGGGCTTTGACAGAGCCAGAAGGGCGAGGCTGTATCTATGTGAATGGAAAATGTCAACGTGAATGCGAAGAAGGAACACACGCATACACGACCGGCTGCGGTCAGAAGATGCCAGAAGCGACTTGCGATGTCCCCAACCCGGTCGAAGAAACAGGTGACATCTGTGACTACTCTGCCTGTTACTGCGACCCCCCCACCGTGAGAGACAAGCACAGCGGTAAATGTGTCACACTGGACCTATGCCCGCAGAATGATTAAAAAATTAAGACATGCCTCCTTTAACACTGCCTCGACATAGAGATACTTTTTGTTGAGTTCTCTCTGCGCGAGGCATACATTTAAATGTACTCATTCACAGTTGATAGTTTACCAACTCTTTTAAATGCTACATACAGACATTATAAGACATCTCTCAATTCTATATTTATGGTGTATGAACGATACAGTTTTTTGTATGTACAAAAAGTCACATTTGGACTTATTTTATATTTTCGGTCTCATTATTCTTAGATTAATCGTCAGTCAACAATCATTGTATGAATTTTATTTATCGAATAAAGCTTCAGCTAACATTTTAAAAAAAAAAAAAAAAAATAAAAAAAA</t>
  </si>
  <si>
    <t>MKYLVPVFVLSMVALSLAGALTEPEGRGCIYVNGKCQRECEEGTHAYTTGCGQKMPEATCDVPNPVEETGDICDYSACYCDPPTVRDKHSGKCVTLDLCPQND</t>
  </si>
  <si>
    <t>0.999479</t>
  </si>
  <si>
    <t>CS pos: 20-21. AGA-LT. Pr: 0.5303</t>
  </si>
  <si>
    <t>LTEPEGRGCIYVNGKCQRECEEGTHAYTTGCGQKMPEATCDVPNPVEETGDICDYSACYCDPPTVRDKHSGKCVTLDLCPQND</t>
  </si>
  <si>
    <t>laminin</t>
  </si>
  <si>
    <t>Arctia plantaginis (wood tiger moth) (Phalaena plantaginis)</t>
  </si>
  <si>
    <t>A0A8S0ZNG1</t>
  </si>
  <si>
    <t xml:space="preserve">TIL domain containing protein </t>
  </si>
  <si>
    <t xml:space="preserve">Heliothis virescens (Tobacco budworm moth) </t>
  </si>
  <si>
    <t>TRINITY_DN44485_c0_g1_i1.p1</t>
  </si>
  <si>
    <t>GTTTACGAGGCATCAGTTTGATCCGAGCATATGAGAACAGAACTGAAAATGAAATTCTTCATTGCCTTCGCTGCCCTCGTTGCCGTGGCGGTCTCTACCCCACTGCTGAAGCCTACTGCTAACGATCATGAAGCGTTGGAGGCCATAATTGCCGCTATCAACAGCCCCAACACTGACCCGGCCACCGCTGCTCTCCTCGAACAACAGCTCCAAGATATCCTTGTCGCAGCTAACCCAGTCCAAGTTGGGCCCGTAGTCGTCGAACCCATTGAATACGAGCCCATTTCTGTTGGCCCTGCCATCGTCGAAGAGTCTGTCTACGAGCCGATTTCCGTCGGCCCCACAATCGTTGAATTTCCCCTTGTTGACGGTGGAGTAGTCACCGCTCCTGTCCCAGTTGCTCCTTCTCCCGTCGTCATTGGACCTATAGCTCCTGGCTCACCTGCCCCTCTTGTCCATATCATCCTTAACATTAACAATGCTGACTCTACTATCCCTCCCGTGGTAGGTGCTATCACTCCTGAGCCCATCGTTAAGCCTGACCCGGTCTACATTGTAGAGAGCCCCATTGAGCCTGTCCAGGTTGTCGAAATTGCCCCCGAGCCTGTCCAGATTGAGGAGATAGCAGCCACCCCTGTCCAAGTTGAAGAGACAGCACCAGTAGTTGTGGAGCCCATCATCATTGGAACTCCCATCATCCCAGCACCCGCTGTCATCCTCCCCGAGGAGCTCAACTGAAATCGTTTCCTAAAAAATCATATCTTCTTCTTCTTTTTAAATAATAAATAATTAAAAAAAAA</t>
  </si>
  <si>
    <t>MRTELKMKFFIAFAALVAVAVSTPLLKPTANDHEALEAIIAAINSPNTDPATAALLEQQLQDILVAANPVQVGPVVVEPIEYEPISVGPAIVEESVYEPISVGPTIVEFPLVDGGVVTAPVPVAPSPVVIGPIAPGSPAPLVHIILNINNADSTIPPVVGAITPEPIVKPDPVYIVESPIEPVQVVEIAPEPVQIEEIAATPVQVEETAPVVVEPIIIGTPIIPAPAVILPEELN</t>
  </si>
  <si>
    <t>0.817481</t>
  </si>
  <si>
    <t>CS pos: 22-23. AVS-TP. Pr: 0.3824</t>
  </si>
  <si>
    <t>TPLLKPTANDHEALEAIIAAINSPNTDPATAALLEQQLQDILVAANPVQVGPVVVEPIEYEPISVGPAIVEESVYEPISVGPTIVEFPLVDGGVVTAPVPVAPSPVVIGPIAPGSPAPLVHIILNINNADSTIPPVVGAITPEPIVKPDPVYIVESPIEPVQVVEIAPEPVQIEEIAATPVQVEETAPVVVEPIIIGTPIIPAPAVILPEELN</t>
  </si>
  <si>
    <t>Actin cytoskeleton-regulatory complex protein PAN1-like</t>
  </si>
  <si>
    <t>A0A7E5WSZ4</t>
  </si>
  <si>
    <t>TRINITY_DN5478_c1_g3_i1.p1</t>
  </si>
  <si>
    <t>TTTTGCAAGAACTAAACAAAAATGAAATTCCTGTTGACTGTTGCTGCTTTGATCGCCGTGGCTGCCGCCGTGCCTACGCACCGTGGACTTGTCTCACCCATCGTGGCTGGGCCCGCCCCGGTCATCGTCCCCGAAATCATCGCTAGCCCCTCCGTCATCAGCCCTGAACCAATCGCCATCGGGCCCGCTATCCTCGACAACGTCCCCATCTCCGTTGGACCCGCAATCGTTGGTTTCCCTCTTTCCGACGGTGGTGTTGTCGCTGAAGACTCCATTGTCCAGCCTGCTCCTGTTGTCGTCGTCCCCGTTGCTGACGCCGAGGCCAGCAGCGCTCCCCTCGTCCAAATCATTGTGAACATCAGACAGACCGAGGCTACCGTCGCTGTTAACCCTGCCCCAGCTGCTACTGTACCCGCTGAGATCAACCCCAGCCCCGTCAACGTTATCGACTCTGTTTTTGAGCCCGTCCCTGAACCCATCCAGGTGATCGAGGCTGCTCCCGAGCCCATCCAGGTAGTTGAGGTTGCTCCTCAGCCCGTCCAGGTTGTAGAGTCCGTTCCCGTTGCTGTGGAGCCCGTCATCATTGGCACACCCATCATTCCCGCCCCCGCTGTCGTCCTCCCCGAGACCCTCAACTAAATAAAACCTAGTTTTAACACTTGAGATACACAAAACAACTTGAAATGATTTAAAGTACGAGAATGTTGCCATTTTCAACCTATTTAGTAACGTAATGACAGACTAGATAAGGTCAAAATAAGAGCTAAGTATAAAATAAGAACGTTTAAGACAATAAATATCATGTGTTAAATTAAAAAAAAAAA</t>
  </si>
  <si>
    <t>MKFLLTVAALIAVAAAVPTHRGLVSPIVAGPAPVIVPEIIASPSVISPEPIAIGPAILDNVPISVGPAIVGFPLSDGGVVAEDSIVQPAPVVVVPVADAEASSAPLVQIIVNIRQTEATVAVNPAPAATVPAEINPSPVNVIDSVFEPVPEPIQVIEAAPEPIQVVEVAPQPVQVVESVPVAVEPVIIGTPIIPAPAVVLPETLN</t>
  </si>
  <si>
    <t>0.989852</t>
  </si>
  <si>
    <t>CS pos: 16-17. AAA-VP. Pr: 0.5591</t>
  </si>
  <si>
    <t>VPTHRGLVSPIVAGPAPVIVPEIIASPSVISPEPIAIGPAILDNVPISVGPAIVGFPLSDGGVVAEDSIVQPAPVVVVPVADAEASSAPLVQIIVNIRQTEATVAVNPAPAATVPAEINPSPVNVIDSVFEPVPEPIQVIEAAPEPIQVVEVAPQPVQVVESVPVAVEPVIIGTPIIPAPAVVLPETLN</t>
  </si>
  <si>
    <t xml:space="preserve">No match </t>
  </si>
  <si>
    <t>Actin cytoskeleton-regulatory complex protein PA</t>
  </si>
  <si>
    <t>A0A9J7DPV7</t>
  </si>
  <si>
    <t>Calphotin-like</t>
  </si>
  <si>
    <t>A0A9J7DSA9</t>
  </si>
  <si>
    <t>TRINITY_DN812_c0_g1_i2.p1</t>
  </si>
  <si>
    <t>CGATCTCCAACATGAACGCGACTATGCTACTCCTTGCTGTGCTGACGCTGGTCAGCGCGTGCGCTCAGGCATCGGGGGCTCCAGGCGTCTACCGCCCGAGCCGAGATTCCGAACCGATCCGGGCGAACCGGGAGGTGATTGACAGTGGCACGGATAGCGTTGGCGGTGGCGGCCTAGGCGGCGGGGTCGGCGGGAGCGGCGGCGTCAGCACCGACGATGTTGATGAGGGCGGACTAGACGGTGGAATCGATGGAGCCCACAATGTCAGCGTTCGTGATGTTGGTGGTGGCGGACTTGGCGGCGGAGTCGGCGAGGACGGAGGCATCAGCACCGACGATGTTGATGGGGGCGGACTAGACGGTGGAATCGGTGGAACCGACGATGCCAGCGTTCATAATGTTGGTGGTGGCGGACTTGGCGGCGGAGTCGGCGAGGACGGAGGCATCAGCACCGACGATGTTGATGGGGGCGGACTAGACGGTGGAATCGGTGGAACCGACGATGCCAGCGTTCATAATGTTGGTGGTGGCGGACTTGGCGGCGGAGTCGGTAGGAGCTAATTGACTACTCGACCAATAAACACATTTGAACGTGAAAAAAAAAAA</t>
  </si>
  <si>
    <t>ISNMNATMLLLAVLTLVSACAQASGAPGVYRPSRDSEPIRANREVIDSGTDSVGGGGLGGGVGGSGGVSTDDVDEGGLDGGIDGAHNVSVRDVGGGGLGGGVGEDGGISTDDVDGGGLDGGIGGTDDASVHNVGGGGLGGGVGEDGGISTDDVDGGGLDGGIGGTDDASVHNVGGGGLGGGVGRS</t>
  </si>
  <si>
    <t>0.994066</t>
  </si>
  <si>
    <t>CS pos: 23-24. AQA-SG. Pr: 0.4553</t>
  </si>
  <si>
    <t>SGAPGVYRPSRDSEPIRANREVIDSGTDSVGGGGLGGGVGGSGGVSTDDVDEGGLDGGIDGAHNVSVRDVGGGGLGGGVGEDGGISTDDVDGGGLDGGIGGTDDASVHNVGGGGLGGGVGEDGGISTDDVDGGGLDGGIGGTDDASVHNVGGGGLGGGVGRS</t>
  </si>
  <si>
    <t>Glycine-rich cell wall structural protein 1</t>
  </si>
  <si>
    <t>Petunia hybrida (Petunia)</t>
  </si>
  <si>
    <t>TRINITY_DN5478_c1_g1_i2.p2</t>
  </si>
  <si>
    <t>GAAAAATTCATAGTCCCTGTTGGCACAAAATAATCAATAAACATGAAGTTCTTCCTCGCTGTCGTTCTCGTCGCCTCCGTGGCTTCGGCCGCCTTCGTGCCCATCACACCTGTAGCTGGCAACGAATTGGCTGAGATCCAAGAGATCATCGCCGCCATCAACAGCCCTAGCACCGACCCCGCCACCGCCGCCGCTCTGGAACAAATGCTTCTCGACGTTCTCGGCCTCTCTCCTATCGCCGTCGGACCCGCCATCGTTGACAACGAGCCCATCTCCGTTGGACCCGCCATCATCGAATCCAACCCCATCTCTGTTGGCCCCGCTATCATCGACTTCCCTCTACCCGACAACGGTGTGGTCGCCGAAGATTCCATTGTCCAGCCTGCTCCCGTTGTCGTTGCCCCCGTCGTTGAGGCCGAGGCCAGCAGCACTCCCCTTGTCCAGATCATCTTAAACATCAACCAGGCTGAGTCTGGCGCTGCTGTTGTCCCCTCACCTGTGGTTGTTGGCCCCGCTGAGATCGTTGCCTCCCCCGTCAACGTTATTGACTCCGTTTTCGAACCCGCCCCTGAACCCATCCAGGTGATCGAGGCTGCTCCCGAGCCCATCCAGGTTGTTGACGTTGTCCCTGAACCCGTCCAGGTAATAGAGTCCGCTCCCGTCGCTGTGGAGCCCGTCATCATTGGCACACCCATCATCCCCGCTCCTGCTGTCGTCCTCCCCGAGACCCTCAACTAAGAAGTCAAGTTCCTACCATTTATAACATGTCTCTTTAATGAACTCATGTGAGACGATAAAATATACCGACTGTTATAATGTAAAAGTTTTTTATTTTTTATTACCAAATAATAGAATATAATATATGGTATATATGGTAGTTTAGTACCTAACGTATTATACTCGTCTTACAATTATGTAAAG</t>
  </si>
  <si>
    <t>MKFFLAVVLVASVASAAFVPITPVAGNELAEIQEIIAAINSPSTDPATAAALEQMLLDVLGLSPIAVGPAIVDNEPISVGPAIIESNPISVGPAIIDFPLPDNGVVAEDSIVQPAPVVVAPVVEAEASSTPLVQIILNINQAESGAAVVPSPVVVGPAEIVASPVNVIDSVFEPAPEPIQVIEAAPEPIQVVDVVPEPVQVIESAPVAVEPVIIGTPIIPAPAVVLPETLN</t>
  </si>
  <si>
    <t>0.997021</t>
  </si>
  <si>
    <t>CS pos: 16-17. ASA-AF. Pr: 0.6777</t>
  </si>
  <si>
    <t>AFVPITPVAGNELAEIQEIIAAINSPSTDPATAAALEQMLLDVLGLSPIAVGPAIVDNEPISVGPAIIESNPISVGPAIIDFPLPDNGVVAEDSIVQPAPVVVAPVVEAEASSTPLVQIILNINQAESGAAVVPSPVVVGPAEIVASPVNVIDSVFEPAPEPIQVIEAAPEPIQVVDVVPEPVQVIESAPVAVEPVIIGTPIIPAPAVVLPETLN</t>
  </si>
  <si>
    <t>A0A9J7IK42</t>
  </si>
  <si>
    <t>TRINITY_DN965_c0_g1_i3.p1</t>
  </si>
  <si>
    <t>TTGATCTTTGTGGAAATAAGAAAACCAAATTACAACAATGAGAACCATCGTTGCCCTCTTCGCTTTGCTCGCCGTGGCCACTGCCAACCCCCTGCCCCTGGTGCAGATCATCGTCAACGTTGACGCTCAAGGCAACAATGACAAGCCCGTTGTCATCGAATACCCCGCCGCTGAAGTTCTACCCATCGAGCCTAGCCCCGTGATTATCGTCGACGAAGCTGCTGTCGTTGCCCCTGCGCCTGTAGTGCTCCCTGAACCGGTTCTTCCCGAGGTTGTTGCTCCCGAACCTATAGTGCTCCCTGAGCCCGTGCTTCCCGAGGTTGTTGTGCCTGAGCCTGTGGTGCTTCCCGAGCCTGCCCTCCCTGAGGTTGTCGCCCCTGAGCCAGTTGTGATGCCTGAACCAGTGAGCCCTGAGGTTGTCGCCCCTGAGCCAGTTGTGATGCCTGAACCAGTGAGCCCTGAGGTTGTCATCCCTGAGCCTGTCGTGCTCCCCGAGCCCGCAGTTCCTGAGGTTGAAGTCAGTCCCGTCGTCGCTCTTCCCGAAGAACTTAACTAAACTTTAAAGCCAAAAATTAAACCTAGTCCCAATAAATCTACGGGGAGTAGTGAAGAAAATAACGACTACGTAAATCTATAGCAGACACAAATTGTTTTCAGTTACTTTGAAGAGAT</t>
  </si>
  <si>
    <t>MRTIVALFALLAVATANPLPLVQIIVNVDAQGNNDKPVVIEYPAAEVLPIEPSPVIIVDEAAVVAPAPVVLPEPVLPEVVAPEPIVLPEPVLPEVVVPEPVVLPEPALPEVVAPEPVVMPEPVSPEVVAPEPVVMPEPVSPEVVIPEPVVLPEPAVPEVEVSPVVALPEELN</t>
  </si>
  <si>
    <t>0.994079</t>
  </si>
  <si>
    <t>CS pos: 16-17. ATA-NP. Pr: 0.7683</t>
  </si>
  <si>
    <t>NPLPLVQIIVNVDAQGNNDKPVVIEYPAAEVLPIEPSPVIIVDEAAVVAPAPVVLPEPVLPEVVAPEPIVLPEPVLPEVVVPEPVVLPEPALPEVVAPEPVVMPEPVSPEVVAPEPVVMPEPVSPEVVIPEPVVLPEPAVPEVEVSPVVALPEELN</t>
  </si>
  <si>
    <t>Actin cytoskeleton-regulatory complex protein PAN-1 like</t>
  </si>
  <si>
    <t>I1VZI7</t>
  </si>
  <si>
    <t xml:space="preserve">Protein app1 like </t>
  </si>
  <si>
    <t>A0A7E5V8W3</t>
  </si>
  <si>
    <t>TRINITY_DN5478_c0_g1_i1.p2</t>
  </si>
  <si>
    <t>CCGATCTAATAACCAAATAAACAGTAAACATGAGATCCCTGTTGATTATCGCTTCCGTGGTTGCCCTTGCGGTCGCCACCCCTATGCACCGTGGTCTTGTCACCCCCGGAGGTGCTGGACCCGCCCCCGCCCCTGTTCCCGAGCAGTCCCCCATCGCCGTGGGCCCCGCTATCTTGCCGTACGAGCCCATCGCCGTAGGACCCGCTATCTTGCCGTTCGAGCCCATAGCCGTTGGACCCGCCATCATTGACAACGCTCCCATCTCCGTCGGCCCCGCTATCGTCGAGCCCGTTCAGGAGACCGAGCCCATCTCCGTTGGACCCGC</t>
  </si>
  <si>
    <t>MRSLLIIASVVALAVATPMHRGLVTPGGAGPAPAPVPEQSPIAVGPAILPYEPIAVGPAILPFEPIAVGPAIIDNAPISVGPAIVEPVQETEPISVGP</t>
  </si>
  <si>
    <t>0.987005</t>
  </si>
  <si>
    <t>CS pos: 16-17. AVA-TP. Pr: 0.5642</t>
  </si>
  <si>
    <t>TPMHRGLVTPGGAGPAPAPVPEQSPIAVGPAILPYEPIAVGPAILPFEPIAVGPAIIDNAPISVGPAIVEPVQETEPISVGP</t>
  </si>
  <si>
    <t>Consensus disorder</t>
  </si>
  <si>
    <t>A0A9J7INQ5</t>
  </si>
  <si>
    <t xml:space="preserve">Putative cuticle protein </t>
  </si>
  <si>
    <t xml:space="preserve">Operophtera brumata (Winter moth) Phalaena brumata </t>
  </si>
  <si>
    <t>Arctia plantaginis (wood tiger moth) phalaena plantaginis)</t>
  </si>
  <si>
    <t>TRINITY_DN37212_c0_g1_i1.p1</t>
  </si>
  <si>
    <t>CTTAGTAACCATGAACGGTGTGCTCAAAATTATTATAATACTTTGCTTTATCTTACAAATTATGAATTGTGTGTACGGAAAATATTTGGTGACGGAATATCAGTGTGACAGTAATGCTGGCTTGCAAGAAATGTCTCGCAACATTGCACGTAGAAGTCTTAGTAATAAAAAAACATTGCAGCGAGTAATGCGGTGCCCACGTGACAGGAGCAGAAATATCAGCGGGAAATGTCTAGAGAATATTGATTCAGAGCTGCCAATAGACATAACATAATTTATACGGCTGGGTCATTGAAATTATA</t>
  </si>
  <si>
    <t>LVTMNGVLKIIIILCFILQIMNCVYGKYLVTEYQCDSNAGLQEMSRNIARRSLSNKKTLQRVMRCPRDRSRNISGKCLENIDSELPIDIT</t>
  </si>
  <si>
    <t>0.758995</t>
  </si>
  <si>
    <t>CS pos: 26-27. VYG-KY. Pr: 0.6946</t>
  </si>
  <si>
    <t>KYLVTEYQCDSNAGLQEMSRNIARRSLSNKKTLQRVMRCPRDRSRNISGKCLENIDSELPIDIT</t>
  </si>
  <si>
    <t>Pro-resilin</t>
  </si>
  <si>
    <t>Trachymyrmex cornetzi</t>
  </si>
  <si>
    <t>A0A195E5T6</t>
  </si>
  <si>
    <t>TRINITY_DN5478_c1_g1_i1.p1</t>
  </si>
  <si>
    <t>GTAAGACACGGGTGAAACAAAAATCTTTAAAGATGAAATTCTTCCTCGCTGTCGCTCTCATCGCCTCCGTGGCTTCGGCCGCCTTCGTGCCCATCACACCTGTAGCTGGCAACGAATTGGCTGAGATCCAAGAGATCATCGCCGCCATCAACAGCCCCAGCACCGACCCTGCCACCGCCGTCGCTCTGGAGCAGATGCTTCTCGACGTTCTCGGCCTCTCTCCTATCGCCGTCGGACCCGCCATCGTTGACAACGAGCCCATCTCCGTTGGACCCGCCATCATCGAATCCAACCCTATCTCTGTTGGCCCCGCTATAATCGACTTCCCTCTTCCCGACAACGGTGTGGTCGCCGAAGATTCCATTGTCCAGCCTGCTCCCGTTGTCGTTGCCCCCGTCGTTGAGGCCGAGGCCAGCAGCACTCCCCTTGTCCAGATCATCTTAAACATCAACCAGGCTGAGTCTGGCGCTGCTGTTGTCCCCTCACCTGTGATTGTCAGCCCCGTTGAGATCCTGCCCTCACCCGTGGTTGTCGCCCCCTCTGAAATTGCTCCCTCACCCGTCAACGTCATCGACTCCGTTTTTGAACCCGCCCCTACACCCGTCCAGGTCGTCGAGGTAGCCCCCGTCCCAGTCCAAGTCGTCGAGGTAGCCCCCTCCCCAGTCCAGGTCGTTGAGCCCTCCCCCGAACCCGTGATCATCGGCACCCCGATTATCCCCTCACCCGCAGTCGTCCTCCCTGAAACCCTCAACTAATACGTACCTGTAACAAG</t>
  </si>
  <si>
    <t>KTRVKQKSLKMKFFLAVALIASVASAAFVPITPVAGNELAEIQEIIAAINSPSTDPATAVALEQMLLDVLGLSPIAVGPAIVDNEPISVGPAIIESNPISVGPAIIDFPLPDNGVVAEDSIVQPAPVVVAPVVEAEASSTPLVQIILNINQAESGAAVVPSPVIVSPVEILPSPVVVAPSEIAPSPVNVIDSVFEPAPTPVQVVEVAPVPVQVVEVAPSPVQVVEPSPEPVIIGTPIIPSPAVVLPETLN</t>
  </si>
  <si>
    <t>0.920939</t>
  </si>
  <si>
    <t>CS pos: 26-27. ASA-AF. Pr: 0.6172</t>
  </si>
  <si>
    <t>AFVPITPVAGNELAEIQEIIAAINSPSTDPATAVALEQMLLDVLGLSPIAVGPAIVDNEPISVGPAIIESNPISVGPAIIDFPLPDNGVVAEDSIVQPAPVVVAPVVEAEASSTPLVQIILNINQAESGAAVVPSPVIVSPVEILPSPVVVAPSEIAPSPVNVIDSVFEPAPTPVQVVEVAPVPVQVVEVAPSPVQVVEPSPEPVIIGTPIIPSPAVVLPETLN</t>
  </si>
  <si>
    <t> 22565,20</t>
  </si>
  <si>
    <t>TRINITY_DN5478_c1_g1_i4.p1</t>
  </si>
  <si>
    <t>GAAAAATTCATAGTCCCTGTTGGCACAAAATAATCAATAAACATGAAGTTCTTCCTCGCTGTCGTTCTCGTCGCCTCCGTGGCTTCGGCCGCCTTCGTGCCCATCACACCTGTAGCTGGCAACGAATTGGCTGAGATCCAAGAGATCATCGCCGCCATCAACAGCCCTAGCACCGACCCCGCCACCGCCGCCGCTCTGGAACAAATGCTTCTCGACGTTCTCGGCCTCTCTCCTATCGCCGTCGGACCCGCCATCGTTGACAACGAGCCCATCTCCGTTGGACCCGCCATCATCGAATCCAACCCTATCTCTGTTGGCCCCGCTATAATCGACTTCCCTCTTCCCGACAACGGTGTGGTCGCCGAAGATTCCATTGTCCAGCCTGCTCCCGTTGTCGTTGCCCCCGTCGTTGAGGCCGAGGCCAGCAGCACTCCCCTTGTCCAGATCATCTTAAACATCAACCAGGCTGAGTCTGGCGCTGCTGTTGTCCCCTCACCTGTGATTGTCAGCCCCGTTGAGATCCTGCCCTCACCCGTGGTTGTCGCCCCCTCTGAAATTGCTCCCTCACCCGTCAACGTCATCGACTCCGTTTTTGAACCCGCCCCTACACCCGTCCAGGTCGTCGAGGTAGCCCCCGTCCCAGTCCAAGTCGTCGAGGTAGCCCCCTCCCCAGTCCAGGTCGTTGAGCCCTCCCCCGAACCCGTGATCATCGGCACCCCGATTATCCCCTCACCCGCAGTCGTCCTCCCTGAAACCCTCAACTAATACGTACCTGTAACAAG</t>
  </si>
  <si>
    <t>MKFFLAVVLVASVASAAFVPITPVAGNELAEIQEIIAAINSPSTDPATAAALEQMLLDVLGLSPIAVGPAIVDNEPISVGPAIIESNPISVGPAIIDFPLPDNGVVAEDSIVQPAPVVVAPVVEAEASSTPLVQIILNINQAESGAAVVPSPVIVSPVEILPSPVVVAPSEIAPSPVNVIDSVFEPAPTPVQVVEVAPVPVQVVEVAPSPVQVVEPSPEPVIIGTPIIPSPAVVLPETLN</t>
  </si>
  <si>
    <t>AFVPITPVAGNELAEIQEIIAAINSPSTDPATAAALEQMLLDVLGLSPIAVGPAIVDNEPISVGPAIIESNPISVGPAIIDFPLPDNGVVAEDSIVQPAPVVVAPVVEAEASSTPLVQIILNINQAESGAAVVPSPVIVSPVEILPSPVVVAPSEIAPSPVNVIDSVFEPAPTPVQVVEVAPVPVQVVEVAPSPVQVVEPSPEPVIIGTPIIPSPAVVLPETLN</t>
  </si>
  <si>
    <t>TRINITY_DN15933_c0_g1_i2.p1</t>
  </si>
  <si>
    <t>TGAACGATATACGAAACACGTTCTGTTTAAGTAATTAAAATAAATATTTTAGACGTGTCATACGAACGAATTTCGCATTCAATGAGACAATAATACATTCAACATGAGGATCATACATTTATTTCTTCTTGTATCCTTACTATGCTTAGTGAGCGCGAAATACTTGCCAAATCAAAACCCTTCACGGGCTCTGCTTAGGAAGATAAGATCGATAGATGAGTCGCAAGATTTTTTCGAAAATAAGAGCAATGAGTCTACTGATAATGACGATGTTAGTGACACTAGTAATGAAAACGATGATAGCTCAAACGAGTCAAAAGAATTAAAAGAACGCATAAAGCAAACAGAAAAAGAGGAACAACTCAATCAAGAAACGAAATCCGAGGAACAACAGCGTAAATTTGGAGAAAAGAAGCTAAAAGAAGAACGCAAACAACAAGAGAAATTAGAAAAAGAGCGTAAACGTGCAGAAAAAATTGAGGAAGAAGAACGTAAGAGGGAAGAAAAACTTGAAAAAGAAAAACGTAAACTTAAAGAAAAGTTTGAAGAAGAAGAGCACAAACTTCAAGAAAAATTAAAGGAAAAGGAGCAAAAATTGGCGGAAGCAGAACGTAAGCGTAAAGAGAAGATTGAAAATGAAGAACGTAAGCGCTTAGAAAAGTTAGAAAAAGCGAAGCGTAAATACGAAGAACAGTTGGCGAAAGAAGAACACAAAAGAGAAGAAAAAGTTGCTAAGGAAGAACACAAGCGCCAAGAAACGATTCGCAAGCAACTTGAAGAGATCGAAGAAGAAACTCTAGAAAACACAAAAGTAGTTGACGTTTCAGTGGAATCTGAAGAAAATGTTGAAGATCTAGACTTTGACAATATTTGGAAAAATTACATATATTCAAATTACGGTTTATCTGCAACCAGCACTAGTTTAGAAAAGAAGACGGCATTGTACAGATATTTCCAAGAAGAACTGGGCCTTAATATTAACAGTACTAAGAGTGAATATCACGCAGCGATTTTGAAGTTAATACAAGTCAAGCTACTTAATGATACTGCACAAGATAGTTTTGGAAACTATTTAATAAGCCACGTTAACGCCATGTACATACAAAAACTGCAAACAGAGTTGGAACAAAAAATAGCAAAACTAGATAACGAAACAGCACTATTAGAAAACGTGACTATGCTTTGGGTACCTGCTGCACGGAATAACATAGAAGAAAAAAGAACTTTGCTACAAACTTTTGTACAGTTCCTCTCTGATGTACTACCAAACTGGATCGCTGGTGGCAAACCTTCACCTGCTGCTAATATTCCTGCTAGCCCAAGTAACAACAATGCCGTTTCTGGATCCCTATCTGGTAACTCATCAGTTAATATTGTTCCTTCTGTTGAAGAATCAAGTGTAAACCCTATCAATAATGACGGTGAAACATCATCTGGTGCTGTCCCTACTAGTGTTGCAGAATCATCCATTGGAAATGTTGATTCTGCCTCCAATGTTGCTGGTGAAACATCGACAGGAACAGCCAGCTCCACTGCTACTGATGTTGAAGGCTCACCCGTTGAAACAGACGGATCTGTAACTTCTAATACTGAAGGATCATTTCCTGGGATTGCTAGCTCTACCAGTCTTAGTACTGAACAATTACCCCCAGTCGACTCAGTTTCTTCTGGTGCTGAAGGATCATCCACTGGAATAACTAGCACTGCCACTTCTGGCGCTGAAGATCCAACCACTGCAACAGTTAGTCTTGCCACCTCTGGTGCGGTAGTATCATCGGATGGAATCGCTGGCTCTGCTGTTTCTGATGATGTAGTAACAAACACAGGAATAGCTAGTTCTGGAACTTCTTTCATTCAGGGATCAAATGCTGGAGCAGCCGGATCTGCCGCACTTGGGGCCGAAGAATCAACAACTGGAGTAGCTGCATCTGAGATTTCTGGTGTTGTAGAATCATCTGCTGGAACTGCTGGCTCAGCTGATTCTGATGTTGAAAGTTCATCTAACGGAACACCTGGCTCTGTTCTTCCTAGTACTGAAGAGTCAACCCCTATAACGACCGGTTTTGCCATTCCCGGCGCTGAAGAATCAACTGCTGGAATAGCAGCTCCTGGTGCTGATGAATTGAATACTGGAATATCCGATTCTGCCGCTTCTGGGGGTCAAGAATTATCCGCTGGAATAGACACCTCTGACACTTCTGATGTTACAGAATCGATTATTGGAACGGACAATTCTGCTACTTCTGGTGCTGAGGGACCAACCACTAGAATACCTGTATCTGTGACTTCAATATCGTCTGCTGAAAATTCGGGCTCTGCCACTTCCGTTTCAACTTCTGGAGTAAACAGTTCTGGCGTTGAAGGGTCAACCACCGGAACCGCATTCTCTGTCACTTCTGGTACAGAAGATTCAACTACTGGAATAAATGGACTTGTGACTTCTGGTTCTGAAGGATTAAACACTGTAACAGTCACTGATGGTCTTGGTGCTGAAGAATCAACCGGCGCAGCAGTTGAATCGATCAATCAGGAACCTGAAGGATCAAGCACTGGAACTATCAATTCTGGGAGTTCCGGAAATGAGGTATCAACCGAGGGTGCAGCTACTTCTGGTACTGGAGTATCCACCGGAATAGTCGAATCTGTGGCTCCTAATTCTGAAGGAGTAACAGTTGGATCTACCGGTTCTGTTGCTTCTGGTAGTGAAGGATCAATTACTGCAATAAATGAATCTAAAACTTCTATATCCGAAGTCTCATCTGATAAACATGGATTACCTAGTGAAATACCCGGATCTTCTATTTCTGGGGCTGAAGGATTAATTGCAGAATCATCAAGTACTGTTACAACTGAATTAGCTGCTGATATTGTAGAGGGACCACACGATGGGACATCTGGCTCTGACGTTTCTGCTGTTGAAGGATCAACTGCAGGAATAGCTGTTTCTAGTACTGAAGGAGCACCCACTCTAATAGTCGAATCTGTGACACCTAGTTCTGAAATATCAACAGATGGATCTGCGAGTTCTGTACTAGATCAGTCATCTATAGGAACTCCTGGTTCCGCTGCTTCTGATACCGAAGGATCATACATCGGAATATCTGATTCTGCCACTCCTGGTGTTGAAGAACCAACCGCTGTAACAACCATATCAGTTGGTCAAGATGGTGAAGGATTTAGTACCGGTGCAGCTGGTTCTGGAACTCCTGATGCTGAAATATCAACAGCTGAGGCAATAATTCCTGGAACTGAAAATTCAACCATAGTAACAGTTGGATCTGACTCTGCTGGTGCTACAGAATCAAGCACTATTATAGAAAACTCTTTGTCTCCCGGTGCTGAAGAATCGGTTATTGATATAACCAACCCTAGCACTTCTGATACTGAAGCGGTATTTACCACCGCAGCAAGTTCTGTTTCGATTGCTGAGGGACTACCTTCGGGATCAGAACTTTCCACCGCCTCTAAAACTGAAATGTCACATGTTACATCAGAAGGATCCACCATTACGAGTAATGCGGGTCCACCAGCTGAATCTGGTGGTACAAACGCTTTAAAACAGGTATCAATCACTGAAACGGGCGTGGTCACACCTAGTGCGGTAGAATCATCATCAGGATCAGCTGGTGTCAACTCTATAGGCACTGAAAAATCAAAGGGAGGTACGAATATAGTAGAAAGCGATTTTACCGTGGGAACTACCACCATTTCAACTAATGTCTCATCTAGTGATACCTCTAAAATAAGTATTGATGCAGTTCCTTCGGGAATAAATATCACTTCTGTTGAAGGAGCCACTGGTAATGTTATTACTCCGAGTTCTTCTCCGGCGTTCAAGACTACCGAAGAACTTGTCTTAACAGATAATCCTATGCCTGTTAGTACTGAAGTTCCTACTATAGCACAGACTGCACCAGTAATAACAAACTCATCGGATTTGGTTTCATCTGATGCGGATCAAGTCATTCCAGTTGTGACTTCATTTACCACGTTTGAGACGAGTACTTCAGAAATTATAGATATGGCCTCATCTGGTAATGTGAATCCAACAACTAACTTAAATGATGCTACTACAATAGTTACACCCATTGAAATATCGACTGAAGTTCCAAATCCACCGGCAGTTACTGAAATGGTATCAGAGCAAAGAACCGAATCAACTTCAGATGTAGTTAGTCCGGATTTAATTCCCAATGAGAATGGTGCTACAGTAGTAGATGTAACAACACAATGATTAACACATCAATAATTTTATAATATTTATATAGTTTGGTTTGTAATTAGATATAGTGATTTTAGAATAAATATAAAATCAGAGCAATAAAAAAAAAAAAA</t>
  </si>
  <si>
    <t>MRIIHLFLLVSLLCLVSAKYLPNQNPSRALLRKIRSIDESQDFFENKSNESTDNDDVSDTSNENDDSSNESKELKERIKQTEKEEQLNQETKSEEQQRKFGEKKLKEERKQQEKLEKERKRAEKIEEEERKREEKLEKEKRKLKEKFEEEEHKLQEKLKEKEQKLAEAERKRKEKIENEERKRLEKLEKAKRKYEEQLAKEEHKREEKVAKEEHKRQETIRKQLEEIEEETLENTKVVDVSVESEENVEDLDFDNIWKNYIYSNYGLSATSTSLEKKTALYRYFQEELGLNINSTKSEYHAAILKLIQVKLLNDTAQDSFGNYLISHVNAMYIQKLQTELEQKIAKLDNETALLENVTMLWVPAARNNIEEKRTLLQTFVQFLSDVLPNWIAGGKPSPAANIPASPSNNNAVSGSLSGNSSVNIVPSVEESSVNPINNDGETSSGAVPTSVAESSIGNVDSASNVAGETSTGTASSTATDVEGSPVETDGSVTSNTEGSFPGIASSTSLSTEQLPPVDSVSSGAEGSSTGITSTATSGAEDPTTATVSLATSGAVVSSDGIAGSAVSDDVVTNTGIASSGTSFIQGSNAGAAGSAALGAEESTTGVAASEISGVVESSAGTAGSADSDVESSSNGTPGSVLPSTEESTPITTGFAIPGAEESTAGIAAPGADELNTGISDSAASGGQELSAGIDTSDTSDVTESIIGTDNSATSGAEGPTTRIPVSVTSISSAENSGSATSVSTSGVNSSGVEGSTTGTAFSVTSGTEDSTTGINGLVTSGSEGLNTVTVTDGLGAEESTGAAVESINQEPEGSSTGTINSGSSGNEVSTEGAATSGTGVSTGIVESVAPNSEGVTVGSTGSVASGSEGSITAINESKTSISEVSSDKHGLPSEIPGSSISGAEGLIAESSSTVTTELAADIVEGPHDGTSGSDVSAVEGSTAGIAVSSTEGAPTLIVESVTPSSEISTDGSASSVLDQSSIGTPGSAASDTEGSYIGISDSATPGVEEPTAVTTISVGQDGEGFSTGAAGSGTPDAEISTAEAIIPGTENSTIVTVGSDSAGATESSTIIENSLSPGAEESVIDITNPSTSDTEAVFTTAASSVSIAEGLPSGSELSTASKTEMSHVTSEGSTITSNAGPPAESGGTNALKQVSITETGVVTPSAVESSSGSAGVNSIGTEKSKGGTNIVESDFTVGTTTISTNVSSSDTSKISIDAVPSGINITSVEGATGNVITPSSSPAFKTTEELVLTDNPMPVSTEVPTIAQTAPVITNSSDLVSSDADQVIPVVTSFTTFETS</t>
  </si>
  <si>
    <t>KYLPNQNPSRALLRKIRSIDESQDFFENKSNESTDNDDVSDTSNENDDSSNESKELKERIKQTEKEEQLNQETKSEEQQRKFGEKKLKEERKQQEKLEKERKRAEKIEEEERKREEKLEKEKRKLKEKFEEEEHKLQEKLKEKEQKLAEAERKRKEKIENEERKRLEKLEKAKRKYEEQLAKEEHKREEKVAKEEHKRQETIRKQLEEIEEETLENTKVVDVSVESEENVEDLDFDNIWKNYIYSNYGLSATSTSLEKKTALYRYFQEELGLNINSTKSEYHAAILKLIQVKLLNDTAQDSFGNYLISHVNAMYIQKLQTELEQKIAKLDNETALLENVTMLWVPAARNNIEEKRTLLQTFVQFLSDVLPNWIAGGKPSPAANIPASPSNNNAVSGSLSGNSSVNIVPSVEESSVNPINNDGETSSGAVPTSVAESSIGNVDSASNVAGETSTGTASSTATDVEGSPVETDGSVTSNTEGSFPGIASSTSLSTEQLPPVDSVSSGAEGSSTGITSTATSGAEDPTTATVSLATSGAVVSSDGIAGSAVSDDVVTNTGIASSGTSFIQGSNAGAAGSAALGAEESTTGVAASEISGVVESSAGTAGSADSDVESSSNGTPGSVLPSTEESTPITTGFAIPGAEESTAGIAAPGADELNTGISDSAASGGQELSAGIDTSDTSDVTESIIGTDNSATSGAEGPTTRIPVSVTSISSAENSGSATSVSTSGVNSSGVEGSTTGTAFSVTSGTEDSTTGINGLVTSGSEGLNTVTVTDGLGAEESTGAAVESINQEPEGSSTGTINSGSSGNEVSTEGAATSGTGVSTGIVESVAPNSEGVTVGSTGSVASGSEGSITAINESKTSISEVSSDKHGLPSEIPGSSISGAEGLIAESSSTVTTELAADIVEGPHDGTSGSDVSAVEGSTAGIAVSSTEGAPTLIVESVTPSSEISTDGSASSVLDQSSIGTPGSAASDTEGSYIGISDSATPGVEEPTAVTTISVGQDGEGFSTGAAGSGTPDAEISTAEAIIPGTENSTIVTVGSDSAGATESSTIIENSLSPGAEESVIDITNPSTSDTEAVFTTAASSVSIAEGLPSGSELSTASKTEMSHVTSEGSTITSNAGPPAESGGTNALKQVSITETGVVTPSAVESSSGSAGVNSIGTEKSKGGTNIVESDFTVGTTTISTNVSSSDTSKISIDAVPSGINITSVEGATGNVITPSSSPAFKTTEELVLTDNPMPVSTEVPTIAQTAPVITNSSDLVSSDADQVIPVVTSFTTFETS</t>
  </si>
  <si>
    <t>TRINITY_DN5478_c1_g1_i3.p1</t>
  </si>
  <si>
    <t>GTAAGACACGGGTGAAACAAAAATCTTTAAAGATGAAATTCTTCCTCGCTGTCGCTCTCATCGCCTCCGTGGCTTCGGCCGCCTTCGTGCCCATCACACCTGTAGCTGGCAACGAATTGGCTGAGATCCAAGAGATCATCGCCGCCATCAACAGCCCTAGCACCGACCCCGCCACCGCCGCCGCTCTGGAACAAATGCTTCTCGACGTTCTCGGCCTCTCTCCTATCGCCGTCGGACCCGCCATCGTTGACAACGAGCCCATCTCCGTTGGACCCGCCATCATCGAATCCAACCCCATCTCTGTTGGCCCCGCTATCATCGACTTCCCTCTACCCGACAACGGTGTGGTCGCCGAAGATTCCATTGTCCAGCCTGCTCCCGTTGTCGTTGCCCCCGTCGTTGAGGCCGAGGCCAGCAGCACTCCCCTTGTCCAGATCATCTTAAACATCAACCAGGCTGAGTCTGGCGCTGCTGTTGTCCCCTCACCTGTGGTTGTTGGCCCCGCTGAGATCGTTGCCTCCCCCGTCAACGTTATTGACTCCGTTTTCGAACCCGCCCCTGAACCCATCCAGGTGATCGAGGCTGCTCCCGAGCCCATCCAGGTTGTTGACGTTGTCCCTGAACCCGTCCAGGTAATAGAGTCCGCTCCCGTCGCTGTGGAGCCCGTCATCATTGGCACACCCATCATCCCCGCTCCTGCTGTCGTCCTCCCCGAGACCCTCAACTAAGAAGTCAAGTTCCTACCATTTATAACATGTCTCTTTAATGAACTCATGTGAGACGATAAAATATACCGACTGTTATAATGTAAAAGTTTTTTATTTTTTATTACCAAATAATAGAATATAATATATGGTATATATGGTAGTTTAGTACCTAACGTATTATACTCGTCTTACAATTATGTAAAG</t>
  </si>
  <si>
    <t>KTRVKQKSLKMKFFLAVALIASVASAAFVPITPVAGNELAEIQEIIAAINSPSTDPATAAALEQMLLDVLGLSPIAVGPAIVDNEPISVGPAIIESNPISVGPAIIDFPLPDNGVVAEDSIVQPAPVVVAPVVEAEASSTPLVQIILNINQAESGAAVVPSPVVVGPAEIVASPVNVIDSVFEPAPEPIQVIEAAPEPIQVVDVVPEPVQVIESAPVAVEPVIIGTPIIPAPAVVLPETLN</t>
  </si>
  <si>
    <t>0.918149</t>
  </si>
  <si>
    <t>CS pos: 26-27. ASA-AF. Pr: 0.6148</t>
  </si>
  <si>
    <t>TRINITY_DN5275_c2_g1_i1.p1</t>
  </si>
  <si>
    <t>CAGATCCTGTACGTATCATACATTTTCTGAACTCGTACAGTAACCATGAAGGGTGCTTTGAAGACTATCCTTGTGCTTTGCTTTATCCTGCACGTAATTAATTGCGTGACGGCGGACCACGAAACAGATCTCGATGACAGCAATGTACCGAGAATTGGTCGACACATTATTGACGCACCAAAAAGAGGGTGCCCCGAAGGCTACAGGAAAGATCACCAAGGAAAGTGTAGAGAGGTTTTATAAGGATAATTTAAAGAAGAAGATCTTTACAACATTGTGAATATCTAAACCTTTGAATAAATGTAATTTTTGTGAATAAAAAAAAAAAAAAACAAAATAAAAAGGGAAGGAAAAAGAACCGGAAAAGAGTGGAAAAAGAGAATAGGAA</t>
  </si>
  <si>
    <t>MKGALKTILVLCFILHVINCVTADHETDLDDSNVPRIGRHIIDAPKRGCPEGYRKDHQGKCREVL</t>
  </si>
  <si>
    <t>0.997238</t>
  </si>
  <si>
    <t>CS pos: 23-24. VTA-DH. Pr: 0.7842</t>
  </si>
  <si>
    <t>DHETDLDDSNVPRIGRHIIDAPKRGCPEGYRKDHQGKCREVL</t>
  </si>
  <si>
    <t>None predicted</t>
  </si>
  <si>
    <t>U17-myrmicitoxin-Tb1f</t>
  </si>
  <si>
    <t>Tetramorium bicarinatum</t>
  </si>
  <si>
    <t>TRINITY_DN5275_c1_g1_i1.p2</t>
  </si>
  <si>
    <t>U-TPTX1-Tp2</t>
  </si>
  <si>
    <t>CTCGTACAGTGACCATGAAGGGTACATTCATAACTATTCTTGTGCTTTGCTTTTTCCTGCACGTAATTAATTCCGTGTCGGCGGACCCCCAAATAGAACCCGAAGACCTTGAGGCACCGAGAGTTAGCCGAGCCCTCATGGACGTTCTGGGCTGTGCTGAAGGCTACATTAAAGACTCTCAAGGGACATGCAGGCAGCTTGTTGATTAATATTTGAATAAATGTAATTTTTTTGCATAAAAAAAAAAAAAAAAA</t>
  </si>
  <si>
    <t>RTVTMKGTFITILVLCFFLHVINSVSADPQIEPEDLEAPRVSRALMDVLGCAEGYIKDSQGTCRQLVD</t>
  </si>
  <si>
    <t>0.992361</t>
  </si>
  <si>
    <t>CS pos: 27-28. VSA-DP. Pr: 0.8210</t>
  </si>
  <si>
    <t>DPQIEPEDLEAPRVSRALMDVLGCAEGYIKDSQGTCRQLVD</t>
  </si>
  <si>
    <t>TRINITY_DN77_c0_g1_i1.p1</t>
  </si>
  <si>
    <t>U-TPTX1-Tp3</t>
  </si>
  <si>
    <t>AACGAACTCAACGTCAATTATATTTAAAACTTGAAATTAATGACATTATCTTAACGATTATTAAGTGATATATGTAAATTTTTATTATAGTGCATTTCTCAGACATCAAACGTGTCAAGTTGGACTATATAAGCCCGAGTCACGTCCAGTAGAAGTATACACAGAGTCAGAACTCGTACCAGTAATCATGAACGGAGCGCTCAAAACTGTTATAGTACTTTGCTTCATTATGCAAATAGTAAATTGTCAGCGCGACGTTACACCGCAGGAGAAAGAGAAAGATGTGCACGTGGAATGGAAAGCTGACAATCCAGAAAGAAATGCAAGAAATATCGTTACCGGACCGTGCCCCGAAGGCCTGCGCAGAGATTCTAATGGAAAATGCAGACAGGACATTCCTTAAATCTACTAATAATACTATGACGATCTTTGTATAATGGTAAATATTATTGTATTTTTATAAAAATGATTATTGTGTATTTATTTTGTTTGATTTCTATTAGTAAATTATCAGCGCAACGTTAGTCCGCAGGAGAAGGAAAAATATGCGCACGTTGAATGGAAAGATGACA</t>
  </si>
  <si>
    <t>MNGALKTVIVLCFIMQIVNCQRDVTPQEKEKDVHVEWKADNPERNARNIVTGPCPEGLRRDSNGKCRQDIP</t>
  </si>
  <si>
    <t>0.995081</t>
  </si>
  <si>
    <t>CS pos: 20-21. VNC-QR. Pr: 0.9507</t>
  </si>
  <si>
    <t>QRDVTPQEKEKDVHVEWKADNPERNARNIVTGPCPEGLRRDSNGKCRQDIP</t>
  </si>
  <si>
    <t>Secapin</t>
  </si>
  <si>
    <t>TRINITY_DN77_c0_g1_i2.p1</t>
  </si>
  <si>
    <t>U-TPTX1-Tp4</t>
  </si>
  <si>
    <t>AACGAACTCAACGTCAATTATATTTAAAACTTGAAATTAATGACATTATCTTAACGATTATTAAGTGATATATGTAAATTTTTATTATAGTGCATTTCTCAGACATCAAACGTGTCAAGTTGGACTATATAAGCCCGAGTCACGTCCAGTAGAAGTATACACAGAGTCAGAACTCGTACCAGTAATCATGAACGGAGCGCTCAAAACTGTTATAGTACTTTGCTTCATTATGCAAATAGTAAATTGTCAGCGCGACGTTACACCGCAGGAGAAAGAGAAAGATGTGCACGTGGAATGGAAAGATGACAATCCAACTAGAAATGCAAGAGGTCTCATTAACGTACCGTGCAGAAAAGGCTGGTTCAAAGACGAGTCTGGAATATGTAGAGAAATCTACTAGACGAAAGCTAGAAGAAATAGAAAATTATTAGAAATAATTTGTAGTTCCGTACTCTCCGATAGATGGTGATAGCATCGAATTAAAACGCGCTATGGTTTGGTTGTAAGTGTAACAATACATCTGTGAGTTAAAAATAAATCTTCAAGTTTCCCACCAGAAAAAAAA</t>
  </si>
  <si>
    <t>MNGALKTVIVLCFIMQIVNCQRDVTPQEKEKDVHVEWKDDNPTRNARGLINVPCRKGWFKDESGICREIY</t>
  </si>
  <si>
    <t>0.994879</t>
  </si>
  <si>
    <t>CS pos: 20-21. VNC-QR. Pr: 0.9498</t>
  </si>
  <si>
    <t>QRDVTPQEKEKDVHVEWKDDNPTRNARGLINVPCRKGWFKDESGICREIY</t>
  </si>
  <si>
    <t xml:space="preserve">None predicted </t>
  </si>
  <si>
    <t>TRINITY_DN77_c0_g1_i3.p1</t>
  </si>
  <si>
    <t>AACGAACTCAACGTCAATTATATTTAAAACTTGAAATTAATGACATTATCTTAACGATTATTAAGTGATATATGTAAATTTTTATTATAGTGCATTTCTCAGACATCAAACGTGTCAAGTTGGACTATATAAGCCCGAGTCACGTCCAGTAGAAGTATACACAGAGTCAGAACTCGTACCAGTAATCATGAACGGAGCGCTCAAAACTGTTATAGTACTTTGCTTCATTATGCAAATAGTAAATTGTCAGCGCGACGTTACACCGCAGGAGAAAGAGAAAGATGTGCACGTGGAATGGAAAGATGACAATCCAACTAGAAATGCAAGAGATATCGTTTATGCACCGTGCAATGATAAAAAGCAAGCCAAAGATGATGCTGGAATATGTAGAAAAAAATACTAGAGACGAAAGCTAGAAGAAATAGAAAATTATTAGGAAAGTATTGATTAATAATACCAATAATCTTTTCTAATCTTATTTTTTTATGTCAATAATATCAATAATAATAATAAGTTTTTTATTATTGGAAACTCCTAATTACATATTAAGATTCAGGTTATAGTTACATATTATCTATTCGTTACATATAATAAAACCTCTGTACATTAAATATTTTTTGAAAATTTTATGGGTTACACTTACTTATCGATATAGAGGGCAAAACTATATATATATATATATATATATATCTCTGTGACGCCATCATCATCACGGCGGAACGTCCGCGGGGGCGTGCAGGTGTAGGCCGCGCGCCCTATGCAGGTGTAGGTGAATTCAAATGTAAACTATGATATGAAGCATCCTGTAATCCTGTCAAAATATTGTAAATTATCACGTTTAGTTATTGAAAATGCACATATTAAAACTTTACACGGGGGGGGGGGGGGTAAACTAATGTTAAGTTATAT</t>
  </si>
  <si>
    <t>MNGALKTVIVLCFIMQIVNCQRDVTPQEKEKDVHVEWKDDNPTRNARDIVYAPCNDKKQAKDDAGICRKKY</t>
  </si>
  <si>
    <t>0.996243</t>
  </si>
  <si>
    <t>CS pos: 20-21. VNC-QR. Pr: 0.9514</t>
  </si>
  <si>
    <t>QRDVTPQEKEKDVHVEWKDDNPTRNARDIVYAPCNDKKQAKDDAGICRKKY</t>
  </si>
  <si>
    <t>U17-myrmicitoxin-Mri1b</t>
  </si>
  <si>
    <t>Manica rubida (European giant red ant)</t>
  </si>
  <si>
    <t>TRINITY_DN77_c0_g1_i4.p1</t>
  </si>
  <si>
    <t>U-TPTX1-Tp6</t>
  </si>
  <si>
    <t>AACGAACTCAACGTCAATTATATTTAAAACTTGAAATTAATGACATTATCTTAACGATTATTAAGTGATATATGTAAATTTTTATTATAGTGCATTTCTCAGACATCAAACGTGTCAAGTTGGACTATATAAGCCCGAGTCACGTCCAGTAGAAGTATACACAGAGTCAGAACTCGTACCAGTAATCATGAACGGAGCGCTCAAAACTGTTATAGTACTTTGCTTCATTATGCAAATAGTAAATTGTCAGCGCGACGTTACACCGCAGGAGAAAGAGAAAGATGTGCACGTGGAATGGAAAGATGACAATCCAACTAGAAATGCAAGAGGTCTCATTAACGTACCGTGCAGAAAAGGCTGGTTCAAAGACGAGTCTGGAATATGTAGAGAAATCTACTAGACGAAAGCTAGAAGAAATAGAAAATTATTAGGAAAGTATTGATTAATAATATCAATAATCTTTTTTAATCTTATTTTTTTTATTTCAATAATATCAATAATAATAATAAGTTTTTTATTATTGGAAACTCCTAATTACATATTAAGATTCAGGTTATAGTTACATATTATCTATTCGTTACATATAATAAAACCTCTGTACATTAAATATTTTTTGAAAATTTTATGGGTTACACTTACTTATCGATATAGAGGGCAAAACTATATATATATATATATATATATATCTCTGTGACGCCATCATCATCACGGCGGAACGTCCGCGGGGGCGTGCAGGTGTAGGCCGCGCGCCCTATGCAGGTGTAGGTGAATTCAAATGTAAACTATGATATGAAGCATCCTGTAATCCTGTCAAAATATTGTAAATTATCACGTTTAGTTATTGAAAATGCACATATTAAAACTTTACACGGGGGGGGGGGGGGTAAACTAATGTTAAGTTATAT</t>
  </si>
  <si>
    <t>TRINITY_DN77_c0_g1_i4</t>
  </si>
  <si>
    <t>0.997458</t>
  </si>
  <si>
    <t>3.1</t>
  </si>
  <si>
    <t>TRINITY_DN77_c0_g1_i5.p1</t>
  </si>
  <si>
    <t>U-TPTX1-Tp7</t>
  </si>
  <si>
    <t>AACGAACTCAACGTCAATTATATTTAAAACTTGAAATTAATGACATTATCTTAACGATTATTAAGTGATATATGTAAATTTTTATTATAGTGCATTTCTCAGACATCAAACGTGTCAAGTTGGACTATATAAGCCCGAGTCACGTCCAGTAGAAGTATACACAGAGTCAGAACTCGTACCAGTAATCATGAACGGAGCGCTCAAAACTGTTATAGTACTTTGCTTCATTATGCAAATAGTAAATTGTCAGCGCGACGTTACACCGCAGGAGAAAGAGAAAGATGTGCACGTGGAATGGAAAGCTGACAATCCAGAAAGAAATGCAAGAAATATCATTACTGCACCGAAGATTCCATGCCCCGAAGGCCAGCGCAGAGACTCAAATGGAAATTGCAGAAAGGTCGTGCGTTAAATCTACCAACAATACTATGATGAGCTTTGTATAGTGGTAAATATCATTGTCTTTTAATAAAAAGGATTATTGTGTAAAAAAAAAAAAAACAAAAAAAA</t>
  </si>
  <si>
    <t>MNGALKTVIVLCFIMQIVNCQRDVTPQEKEKDVHVEWKADNPERNARNIITAPKIPCPEGQRRDSNGNCRKVVR</t>
  </si>
  <si>
    <t>0.995561</t>
  </si>
  <si>
    <t>CS pos: 20-21. VNC-QR. Pr: 0.9509</t>
  </si>
  <si>
    <t>QRDVTPQEKEKDVHVEWKADNPERNARNIITAPKIPCPEGQRRDSNGNCRKVVR</t>
  </si>
  <si>
    <t>TRINITY_DN497_c1_g1_i2.p1</t>
  </si>
  <si>
    <t>CTTCTTCAGTCTATTAATTGTGCTAATAACAATTGTCCACATTACTACAAAGAAGAAAAAAGTACATAGTTCAAGATGAGGTCCATCATTATTGCGCTGTTCGCTTTAGTCCTTGTGTCAAATGCGAAAATTATTTCGCTAAGTGACCAAGTGAATTATGAACCGACAAATGAGGTATACAGTGAAGTTGAACGCCACGCGCGGGAGCCTGTGACCCAGAACATCCCCATGACCCAGAGGGCGTGCAATAACGCTGACTGTAACGCGATCTGTCGTGCGCTCGGCTTCTGGTTCGGTACCTGCATTTCTTCTACGACCTGCAGATGTTACGCCTAGCTTGATCCAAATGTCATTCCACAACATATACCATACGAGTATTGTTAAAGTTATTTTTCATGTAATCTTTAAGTTCTTTGTCACGTTTATTAATGAATGTAATTTTCATTTTTAAATTTATAAAAATACTTTGTATGTATATGCATATTAAAAAGATTGTATATTTATTAATTTTTCAAATATAAAATAATAATACCAGAAAAAAAAAAA</t>
  </si>
  <si>
    <t>MRSIIIALFALVLVSNAKIISLSDQVNYEPTNEVYSEVERHAREPVTQNIPMTQRACNNADCNAICRALGFWFGTCISSTTCRCYA</t>
  </si>
  <si>
    <t>CS pos: 17-18. SNA-KI. Pr: 0.8071</t>
  </si>
  <si>
    <t>KIISLSDQVNYEPTNEVYSEVERHAREPVTQNIPMTQRACNNADCNAICRALGFWFGTCISSTTCRCYA</t>
  </si>
  <si>
    <t xml:space="preserve">None predicted, homology to scorpion toxin </t>
  </si>
  <si>
    <t>Potassium channel toxin alpha-KTx 19.2</t>
  </si>
  <si>
    <t>Buthus occitanus tunetanus (Common European scorpion) (Buthus tunetanus)</t>
  </si>
  <si>
    <t>Blocks voltage-gated potassium channels rKv1.1/KCNA1, rKv1.2/KCNA2, hKv1.3/KCNA3, rKv1.6/KCNA6 (IC50=75.9 nM) and, to a lesser extent, Shaker IR (with the inactivation domain removed).</t>
  </si>
  <si>
    <t>TRINITY_DN497_c1_g1_i10.p1</t>
  </si>
  <si>
    <t>CTTCTTCAGTCTATTAATTGTGCTAATAACAATTGTCCACATTACTACAAAGAAGAAAAAAGTACATAGTTCAAGATGAGGTCCATCATTATTGCGCTGTTCGCTTTAGTCGTTGTGTCAAATGCGAAAATGATTTCGCTAAGCGATCAAGTGAATTACGAACCGGCGAATGAGGTGTACGGTGAAGTTGAACGCCACGCGCGGGAGCCTGTGACCCAGAACATCCCCATGACCCAGAGGGCGTGCAATAACGCTGACTGTAACGCGATCTGTCGTGCGCTCGGCTTCTGGTTCGGTACCTGCATTTCTTCTACGACCTGCAGATGTTACGCCTAGCTTGATCCAAATGTCATTCCACAACATATACCATACGAGTATTGTTAAAGTTATTTTTCATGTAATCTTTAAGTTCTTTGTCACGTTTATTAATGAATGTAATTTTCATTTTTAAATTTATAAAAATATTTTATATGTATATGCATATTAAAGAGATTGTATATTTATTAATTCTTCAAATATAAAATAATAATACCAGAAAAAAAAAAA</t>
  </si>
  <si>
    <t>MRSIIIALFALVVVSNAKMISLSDQVNYEPANEVYGEVERHAREPVTQNIPMTQRACNNADCNAICRALGFWFGTCISSTTCRCYA</t>
  </si>
  <si>
    <t>0.997028</t>
  </si>
  <si>
    <t>CS pos: 17-18. SNA-KM. Pr: 0.8383</t>
  </si>
  <si>
    <t>KMISLSDQVNYEPANEVYGEVERHAREPVTQNIPMTQRACNNADCNAICRALGFWFGTCISSTTCRCYA</t>
  </si>
  <si>
    <t>TRINITY_DN497_c1_g1_i12.p1</t>
  </si>
  <si>
    <t>CTTCTTCAGTCTATTAATTGTGCTAATAACAATTGTCCACATTACTACAAAGAAGAAAAAAGTACATAGTTCAAGATGAGGTCCATCATTATTGCGCTGTTCGCTTTAGTCCTTGTGTCAAATGCGAAAATTATTTCGCTAAGTGACCAAGTGAAATATGAACCGACAAATGAAGTATACAGTGAAGTTGAACACGACGCGCGGGAGCCTGTGACCCAGAACATCCCCATGACCCAGAGGGCGTGCAATAACGCTGACTGTAACGCGATCTGTCGTGCGCTCGGCTTCTGGTTCGGTACCTGCATTTCTTCTACGACCTGCAGATGTTACGCCTAGCTTGATCCAAATGTCATTCCACAACATATACCATACGAGTATTGTTAAAGTTATTTTTCATGTAATCTTTAAGTTCTTTGTCACGTTTATTAATGAATGTAATTTTCATTTTTAAATTTATAAAAATA</t>
  </si>
  <si>
    <t>MRSIIIALFALVLVSNAKIISLSDQVKYEPTNEVYSEVEHDAREPVTQNIPMTQRACNNADCNAICRALGFWFGTCISSTTCRCYA</t>
  </si>
  <si>
    <t>0.997420</t>
  </si>
  <si>
    <t>CS pos: 17-18. SNA-KI. Pr: 0.8170</t>
  </si>
  <si>
    <t>KIISLSDQVKYEPTNEVYSEVEHDAREPVTQNIPMTQRACNNADCNAICRALGFWFGTCISSTTCRCYA</t>
  </si>
  <si>
    <t>TRINITY_DN596_c0_g1_i1.p1</t>
  </si>
  <si>
    <t>CACAGTGCAATTACCTTAATCACGACCAATATATTCAGTCATTTTACATTAAAGATAAGTGTAATTACAGTTATCAAAAATGTCATATCCACTTTTTTTGTTAATTATAAAAAAAAAATAGGTATAATTTTAAGTATATATGTACGAGTGGTATAGTGTCATTCGTATTGAACCTACTTGCGCGGTATCCGTCGTAGTCTCTCAAAGAACTGCCGTATTAGTGATTCTGAAATGTTGACGAATTTTCCGTTGCTTTTAACTGTGTGCTTAGCTGTTTGTATAAATGGCTACAAAGGTATGAATGTGCCCTTTATATCTAATGAACTACCATGCACGAGTATAGCCGGGCAATGCGCTAAAGCTGAGAGCTGTCCTCAAGGTACACGGGTCGGTGAGGAAGGGTTATGTCCCCTTCAAAGGAGCAATGGTATTGAGTGCTGTGTATCAGAGTCAATATTAAGATCATTGAAAAAAAAATGTGAATCAGTAGGCGGAGAATGTATCCCCGTAAGTAACGGGTGTGCTGAAAAATTGATTTATCAACACGCAACAGATTGTACAGAAAATGAGAAATGTTGCATACTTGTGTGATTCAAATATATTAATTCACAAATATACAAAAAAAAAACTTAAAATTGTCATTTCAGTAATATATAAAGAGCGTTTTCATTATTTGCATAGTTGTTACTCCCGCAATCTTAGGTCAACGGAAACTCTTGTTCTTATGATACCTACTCATACCAGTAACATTCATGATCGGTCTTTTACAGTTCAATCTGCTCGCTTGTGGAACTAATTACCAGCGCCAATACGACTTGCTCCGTCGCTGTCAGTATTTAAGGATAGAGTGAGGCAATTTTATTTAGATAAACTGCTTTCGTAAATACCACATGTGAATTACCACATTTTGTGTCTGAGTGCGTGTGCATGAGTGCGTTTGTGTGTGCGTTTGTGCGTTCATGCGTGCGTGTGTACGTGTGTGTATGTTTGCGTGCGTGTGCATATGTTATATTTTTAGTACGTTATCTATACTATTATAAAATTGTTAAACGTCAAATTTTTCAAATCAATAATATTAAAAAAAAACTAATCAGATCGACTAATTGGGATTGTTCATTTTTTTTAATGTGCTG</t>
  </si>
  <si>
    <t>MLTNFPLLLTVCLAVCINGYKGMNVPFISNELPCTSIAGQCAKAESCPQGTRVGEEGLCPLQRSNGIECCVSESILRSLKKKCESVGGECIPVSNGCAEKLIYQHATDCTENEKCCILV</t>
  </si>
  <si>
    <t>0.991934</t>
  </si>
  <si>
    <t>CS pos: 19-20. ING-YK. Pr: 0.7206</t>
  </si>
  <si>
    <t>YKGMNVPFISNELPCTSIAGQCAKAESCPQGTRVGEEGLCPLQRSNGIECCVSESILRSLKKKCESVGGECIPVSNGCAEKLIYQHATDCTENEKCCILV</t>
  </si>
  <si>
    <t>None predicted, Myotoxin/Anemone neurotoxin domain superfamily</t>
  </si>
  <si>
    <t>U-scoloptoxin(19)-Sm1a</t>
  </si>
  <si>
    <t>Scolopendra morsitans (Tanzanian blue ringleg centipede)</t>
  </si>
  <si>
    <t>Carboxypeptidase inhibitor</t>
  </si>
  <si>
    <t>Rhipicephalus bursa (Tick)</t>
  </si>
  <si>
    <t>TRINITY_DN981_c0_g1_i1.p1</t>
  </si>
  <si>
    <t>TCTTATTTAGACGACTGCGCACGTAATATAATAATATAAGATGTATAAACTTTTCGTATTATGTGCCCTTGTGGTCGCAGTATCTTGCAAAAGCGTGTTTGTTGGACAAGTATACGAACAAAATGGCATTAGAAAAATCCACGAAACTACAGTCGAAGCAAGCTCGATACCACTCTTTAAGCGAGAAAAGTTCGTTGAGTTTGAATCGCCCGATGGAAGCGTGAAGATTAAAGGTATCGCGATCAAAGACTTGGAAGACGGTTTAGCGGAACCTTCCATCATCAGAGGAGGACTCGGATTTAGTGAAACAGAAATCAAGCTAAAAAGTGCAAGAGGATACGGCTTTAAGTTCTTAATAGAAATCTACGCGTGATAATTGGACTTGGATGTTACAGTGGGATTACATGATAACTTTTTACATATCATACGTATGTTATATTCAACTTCAAATAAATAGATTTTAAATCTTTAAAAAAAAAAAAA</t>
  </si>
  <si>
    <t>MYKLFVLCALVVAVSCKSVFVGQVYEQNGIRKIHETTVEASSIPLFKREKFVEFESPDGSVKIKGIAIKDLEDGLAEPSIIRGGLGFSETEIKLKSARGYGFKFLIEIYA</t>
  </si>
  <si>
    <t>0.990997</t>
  </si>
  <si>
    <t>CS pos: 16-17. VSC-KS. Pr: 0.5324</t>
  </si>
  <si>
    <t>KSVFVGQVYEQNGIRKIHETTVEASSIPLFKREKFVEFESPDGSVKIKGIAIKDLEDGLAEPSIIRGGLGFSETEIKLKSARGYGFKFLIEIYA</t>
  </si>
  <si>
    <t>Transcription activator MBF2 (</t>
  </si>
  <si>
    <t>Transcription Factors</t>
  </si>
  <si>
    <t>A0A8S3X3N9</t>
  </si>
  <si>
    <t>TRINITY_DN1155_c0_g3_i1.p1</t>
  </si>
  <si>
    <t>CCGATCTCTCATTGTAGTAACGATGACGAGACAGTATATAAACGAAGAGTCAATAATTTTCCAATCATTTCTGTTTCTGAATTCATTATAACAAGTCAAGATGTACTTCAAAATATTCTTAGTATTTTTATATCTCGCTTCAGTGCAGTGCAATGATTTAAGAATCGGATTCGCTAAACCGTCATCCAAGAAGGTATACAGTGAAATAAGGCAGGCTGATCCAGCTTTGTGGAAAAGGACTGACGATATTATAATCAATGCACCAAACAATGAGGTAATCGATGCTATAATTGTTACTGACCTTCGAGAAGAAAAGGACGGCGAGGCGTATATCGAAAGCGGTGGTGTTGGCATGAAGAGTGTGACAATTGGACTGAAGAGTCCTACAATTTTGAGAGGATACAAATTTGAAATCGAGGTTTTCGCTGAAAATCCCAATTCTGGATATTTCAGCAAAGGCTACAATTCAGAATACAACGTTGACACTCAATATGGCAGAAAGTTTTAATTTAAGTTTGTTTTAGTTTAAGTTTTTATGTGTTGTAAATAAATTTGTTATATTTTTCTCTTTTTTTAAATTTTATTTAGTGCAAGATTTCTGTTTTGTTGTTTAAAAAAGTGAAATTTCATCAAAACTGTATAATAATTGTATTGTATATTTAAGTACGAACAAGTTCAGAGGAATACATTTGTTACGTTGACAATATTTATAATTATATTTATAGGTACCTTCAAATATTAATATTATTACAATATATATGGTAAATACATCAAATAATATATTGAGAAATATTGTTTGATGTACATATATTGTATCGCACAATTTGTAATGTTTGCTACAAAAATATCATATGTATTGTATTATGTACGGCACAGTTGCGTACTTTAGTGGAAGCAAACCTTTTCTTATGGTAACACGTAAACTTAGATAAAAAGTAGATACCTACGTTAAAATATGCCAAAAACACCTCTGAAGATCCCTTTGGTATTAATAGATAGGTAGTCTCACAACTTTACACGGTTACGTGACTACTATACATATAATTTCTTAGAACTCTGAAAAGAATCCTGGACTACATTACAGTAGTTATATATCTACATAAATTGTATTAAGCACAAAATAGTATACTTAATTATATAAGACAATCAATTCATGATATCGTGTACAGTTAGTTATTCAAGTAATTGTAAACAACGAACCCGATTATAGAAAAGGTACAGTAAAAATATTTTTAGCGTAATCAAAACATTAATGAAGTGACAATGTCAATAGGGCAATGTCAAATGTCAATGTCAAATTCATCGTATATGTTCTTTGTGTTTATAATCTATATTAGTTTTTGCCCGCGGCTCCACCCGCGTGATATCGGTTTTCCGCTACATGAGAAATCCCGGAACAATCCTAGTTTTATATAAAAAGTCATATAACCACCTTTACTTGAGCTCTCA</t>
  </si>
  <si>
    <t>MYFKIFLVFLYLASVQCNDLRIGFAKPSSKKVYSEIRQADPALWKRTDDIIINAPNNEVIDAIIVTDLREEKDGEAYIESGGVGMKSVTIGLKSPTILRGYKFEIEVFAENPNSGYFSKGYNSEYNVDTQYGRKF</t>
  </si>
  <si>
    <t>0.996410</t>
  </si>
  <si>
    <t>CS pos: 17-18. VQC-ND. Pr: 0.9578</t>
  </si>
  <si>
    <t>NDLRIGFAKPSSKKVYSEIRQADPALWKRTDDIIINAPNNEVIDAIIVTDLREEKDGEAYIESGGVGMKSVTIGLKSPTILRGYKFEIEVFAENPNSGYFSKGYNSEYNVDTQYGRKF</t>
  </si>
  <si>
    <t>Transcription activator MBF2</t>
  </si>
  <si>
    <t>Salivary secreted peptide</t>
  </si>
  <si>
    <t>Papilio xuthus (Asian swallowtail butterfly)</t>
  </si>
  <si>
    <t>A0A0N1IDE8</t>
  </si>
  <si>
    <t>TRINITY_DN167_c0_g1_i1.p2</t>
  </si>
  <si>
    <t>CATATAAGAAGTCTATGTGTCGGTTTTTTGGCGGCAATCCGAGTGAAGCACCACTTGAAGTTTTATTTTAACGCTTTATATTAGTTTATTGTGATGTTTAATATATAAATTTGGTGTTGTTTTGTGTATTAATCGTCAATAATCGTGAACAATATTGAAACATTGAAATAAAACTGTGACTAACACAGCTAAGTGGCGGTATTTTTTTTAAGGCGTGACCTGCGGAAATTTGGCTCGGTCAAAGTGGTATTCGTCGGATTCACTTCAAAGCTCCCAAGAAGCAATAAAATGTGACATACCGATATTTTATTGTTAAACTGAGGAAAGTAATATTAAATAATGATTTGGCTTAAAGGTCTCGGATACTAGGCCATAAAATATAGTTTAAAAAAAGTCTAAAAAACTTCGTTCATTCAACGCTCACCACTAATAGAAACCAAGATACAACATTTTTCTTATAGGCGTACCAGATAGAAATGTATGCAGTACTAAAATGGTTTTTGGGCTCTTCTGTAAAATTTCACTGAAAGCACTTACTGGGTTTTAAAATTTTTAGCTGAATAGTCCTCCTAAAATTGCTACACATGCACTTGTCGTCAGAATCATGAATAAACGGCCGTTTGTATGTATAGAAAAATCAATCGCCGTGCATTAGTCTCGCAAAAACTCGAAAACGACTCGACCGATTTGAATTTTTGGTTTGTTCGCCTCAATACAGGTGGTTCATGGAAAAATAAAATTAGGAAAAACCTAAGAGAACCGCCGAAAAATTTTAAAAATTGTTTTAGTTGGTATGAAGTTCCCGGCGAACTCAGTAATGTAAAAATTGGAATTTAAATTGAAAACTATTTGTCAAATGTACATTGCGTTCACGTTGTGATTCGCTGAGCGACCTCGTACCGTTCGTTGTGTTTCTTTCGAACGATTAGTTATCTGAAGTTTAGTTGATGTTAAGGACCCGTCTCACATAATTTATATTATCGTAAACATACAAGTTGTGAGTGTGTCTAGGTACTGTTAAATTTTAAGTCTGGCAATTCACAATAAGTTCAATTAAATTCAATTGGCGTTCACAATTAAGTGTACAAATGTACTGAATTTGTACACTTAATTGTGTGTATAATGTCATGTCATGGGTGGTTTATTGCAGTTTATAAATTATTAGTATTATAATGAAAGTAACATATTTTTACACAGCACTTTAATATCTAATAAACACTTTGCTTTGAATTTGTTAACACATCCGTTTTTTTTTATTTATTCATCGATGCAAGTACTCTGTAAACGTAAATACAGTTTTATAAAAAAATAAAAAAAAAAA</t>
  </si>
  <si>
    <t>MKAAPLLLFVLFSFVCTSYCKDLIVGTSFNNRLIWQQKVEYNSFVITKRVKEVFFTDPGQQIIKGIILRDLDHSEAIPSITAGGVGFSFVNIRLKSERGSGLNYQLEIYV</t>
  </si>
  <si>
    <t>CS pos: 20-21. SYC-KD. Pr: 0.8868</t>
  </si>
  <si>
    <t>KDLIVGTSFNNRLIWQQKVEYNSFVITKRVKEVFFTDPGQQIIKGIILRDLDHSEAIPSITAGGVGFSFVNIRLKSERGSGLNYQLEIYV</t>
  </si>
  <si>
    <t>A0A9J7DRH3</t>
  </si>
  <si>
    <t>TRINITY_DN630_c0_g1_i1.p1</t>
  </si>
  <si>
    <t>GCTGTGGATATCCAGATAACAGACACCATGCTTAAACTGTTCGTTCTTACCGTGGTAGTTGGGCTCGCAGCCGCTAAGCCCAGCGCCCCCTACTACCCTACACCCGGTGCAATCTCATACAGCTACCCGAAGACATACTCCACGTACCTGCCAAGCACTTATTCGTACACCGCTCCAGTCTCTACGTACTACAGTGCACCCATCTCTTCGTACTCTAGCTACTCTGTGCCGAGCACTTACTCTTACAGTGTCCCTAGCTATTCCTACTCAGCTCCCTACTATTCATCGCCTAAGGTTTACTCGTCTTACAGCGTGGGTAGTTCACCCGTAGCCTACGGTTCATACGCGTACCCCTCTCTGTACTGGAAGCGCAAGTAGACTGGATTCGATACACAGAATGTTACAATAACTGTACAACAGGTATGACAAGGAATGAAATAAATTTTTTTTGACACAAAAAAAAAA</t>
  </si>
  <si>
    <t>AVDIQITDTMLKLFVLTVVVGLAAAKPSAPYYPTPGAISYSYPKTYSTYLPSTYSYTAPVSTYYSAPISSYSSYSVPSTYSYSVPSYSYSAPYYSSPKVYSSYSVGSSPVAYGSYAYPSLYWKRK</t>
  </si>
  <si>
    <t>0.895750</t>
  </si>
  <si>
    <t>CS pos: 25-26. AAA-KP. Pr: 0.6305</t>
  </si>
  <si>
    <t>KPSAPYYPTPGAISYSYPKTYSTYLPSTYSYTAPVSTYYSAPISSYSSYSVPSTYSYSVPSYSYSAPYYSSPKVYSSYSVGSSPVAYGSYAYPSLYWKRK</t>
  </si>
  <si>
    <t>Early growth response protein 1</t>
  </si>
  <si>
    <t>Bos taurus (Bovine)</t>
  </si>
  <si>
    <t>Q29W20</t>
  </si>
  <si>
    <t>Mucin-5AC-like</t>
  </si>
  <si>
    <t>Thrips palmi (Melon thrips)</t>
  </si>
  <si>
    <t>A0A6P8YBB9</t>
  </si>
  <si>
    <t>TRINITY_DN167_c0_g1_i23.p1</t>
  </si>
  <si>
    <t>GTTTGTTATATGCGCTGGCGAGTTAACCAGTCGATTGAGACCAATCGAGCGAGACGCATTACATACAAGCGCACTCCGCTATCAAGATGAAAGCCGCACCTTTGTTACTATTTGTACTGTTTTCGTTTGTCTGTACTTCCTATTGTAAAGATTTAATAGTGGGTACCAGTTTCAACAACCGTTTGATATGGCAGCAGAAAGTCGAATACAATTCTTTCGTGATCACGAAACGCGTTAAGGAAGTGTTCTTTACGGACCCCGGGCAGCAAATAATTAAGGGCATTATACTTCGTGATCTGGACCACTCAGAGGCAATTCCCAGCATCACTGCCGGAGGGGTCGGCTTCTCGTTTGTAAACATTAGACTTAAGAGCGAACGAGGATCAGGACTCAACTACCAGCTAGAAATCTATGTCTAAATACCAAAGATAATAAAGTAAGCTGTTAAAGTATTACGTTATCGAACCAAATAATTTTAATGGTGAATTATTAACTACGCAACTTTTTTAGAATCAAACTCGGAACTAACTAGCGGCCACAGAAGCTGTAGAATAAACCACGTTAGATTTTTATAAAAGCCATATCGATGGAAGAAAACGTATTTGCTCTGAGTAACTAAGATCTTTTCAGTAGAACCAAAAAAAATTATAGCATTTGAACCAGATAAGACATATGAATGGGGAGTTTTGGCGCCTACCCGAGTGAAGCGTTACTTGAAGTTTTATTTTAATGTTTTATATTAGTTTATTGTGATTTTTAATATATAAACTTGGTGTTGTTTTGTGTATTAATCGTCAATAATCGTGAACAATATTGAAACATTGAAATAAAACTGTGACTAACACAGCTAAGTGGCGGTATTTTTTTTAAGGCGTGACCTGCGGAAATTTGGCTCGGTCAAAGTGGTATTCGTCGGATTCACTTCAAAGCTCCCAAGAAGCAATAAAATGTGACATACCGATATTTTATTGTTAAACTGAGGAAAGTAATATTAAATAATGATTTGGCTTAAAGGTCTCGGATACTAGGCCATAAAATATAGTTTAAAAAAAGTCTAAAAAAACTTCGTTCATTCAACGCTCACCACTAATAGAAACCAAGATACAACATTTTTCTTATAGGCGTACCAGATAGAAATGTATGCAGTACTAAAATGGTTTTTGGGCTCTTCTGTAAAATTTCACTGAAAGCACTTACTGGGTTTTAAAATTTTTAGCTGAATAGTCCTCCTAAAATTGCTACACATACACTTTTCGGAAGAATCATGAATAAACGGCCATTTGTATGTATAGAAAAATCAATCGCCGTGCATTAGTCTCGCAAAAACTCGAAAACGACTCGACCGATTTGAATTTTTGGTTTGTTCGCCTCAATACAGGTGGTTCATGGAAAAATAAAATTAGGAAAAACCTAAGAGAACCGCCGAAAAATTTTAAAAATTGTTTTAGTTGGTATGAAGTTCCCGGCGAACTCAGTAATGTAAAAATTGGAATTTAAATTGAAAACTATTTGTCAAATGTACATTGCGTTCACGTTGTGATTCGCTGAGCGACCTCGTACCGTTCGTTGTGTTTCTTTCGAACGATTAGTTATCTGAAGTTTAGTTGATGTTAAGGACCCGTCTCACATAATTTATATTATCGTAAACATACAAGTTGTGAGTGTGTCTAGGTACTGTTAAATTTTAAGTCTGGCAATTCACAATAAGTTCAATTAAATTCAATTGGCGTTCACAATTAAGTGTACAAATGTACTGAATTTGTACACTTAATTGTGTGTATAATGTCATGTCATGGGTGGTTTATTGCAGTTTATAAATTATTAGTATTATAATGAAAGTAACATATTTTTACACAGCACTTTAATATCTAATAAACACTTTGCTTTGAATTTGTTAACACATCCGTTTTTTTTTATTTATTCATCGATGCAAGTACTCTGTAAACGTAAATACAGTTTTATAAAAAAATAAAAAAAAAAA</t>
  </si>
  <si>
    <t>0.996701</t>
  </si>
  <si>
    <t>Transcription activator MBF2 </t>
  </si>
  <si>
    <t>TRINITY_DN6574_c1_g1_i1.p1</t>
  </si>
  <si>
    <t>TTGCGTTTAAGTAAAATCTTGACTGAACTAATCATACACGATAAACTTTATAAACAGTTCAAGACACTAGTAGTGTATTCAGTAATTAGATGCTTCAGTATTGAATTGAATCCCGCAACTCAACACAAGCGACTGATAAATCCACCGAGATGAAGCTGACGGTCACAGGTCTGATGTTCCTGGTGCTCCTGGAATTCACTTACTGTGCACCACCGTACGCGCAACTGCCACAAGAGCGTCCGCGGGTGGATTACACAAGAACAGGTGCAATGTACGACCCGTACAGCCCCGGCTTTAGTCAAGATCCAAACGGAGGTGTACAATGGACACAACAAAACTGGCAGAACAGACAGCCATATTATATGAATCAAAATCAAGACCGCACGCAGACTTCCAAGAGAGCAGGTCCCAACCTTGGTGGAGGTCTTAATTTATTCAAAGGACTTCTAGACGTTAATGCCCGAGCGAGTCTTAACGATGAGTACAGCAATGCGAACGAGCATTACAGTAATACTAACGTCTTTCAGCCAGAAAGAACCTTTTATGACCCATTCGGGAAATAATTTATTTTTCTTTCAATAGCTGGCCTTACTGTAACAAATTTCTTATTGTAAACATTTAGGTTTTATGTCTACAACAATGATAACGACCGTTTATCCTCGATCCTATTCGCTTCGATTACTTAAAAATGTGACAAGTAAAACAAGTAAATATATGTACTACTTTTATCCGATTAAAATTACACAAGTTTAATCTAAAAAAAAAAAAAAAAAAAACAAAAAAAA</t>
  </si>
  <si>
    <t>MKLTVTGLMFLVLLEFTYCAPPYAQLPQERPRVDYTRTGAMYDPYSPGFSQDPNGGVQWTQQNWQNRQPYYMNQNQDRTQTSKRAGPNLGGGLNLFKGLLDVNARASLNDEYSNANEHYSNTNVFQPERTFYDPFGK</t>
  </si>
  <si>
    <t>0.997935</t>
  </si>
  <si>
    <t>CS pos: 19-20. TYC-AP. Pr: 0.8617</t>
  </si>
  <si>
    <t>APPYAQLPQERPRVDYTRTGAMYDPYSPGFSQDPNGGVQWTQQNWQNRQPYYMNQNQDRTQTSKRAGPNLGGGLNLFKGLLDVNARASLNDEYSNANEHYSNTNVFQPERTFYDPFGK</t>
  </si>
  <si>
    <t>Transport proteins</t>
  </si>
  <si>
    <t>Protein transport protein SEC24</t>
  </si>
  <si>
    <t>Diversispora epigaea</t>
  </si>
  <si>
    <t>A0A397JHK5</t>
  </si>
  <si>
    <t>TRINITY_DN672_c0_g1_i1.p1</t>
  </si>
  <si>
    <t>CACTCCGCGCTCCGCACTCCACTCGCAGCACCCGACACCGCAGCACAATGGCAGCTCGACTGGTCTTCACGCTGGCCGCGTGCCTCGCACTCAGTGCGGCCGCGATGGTGCGCCGCGACGCGCACTCCACGCCCCTGGAGGACCTGCAGAAGCACGCCGAAGAGTTCCAGAAGACGCTGAGCGAGCAGTTCAACGCGCTCGTCAACTCCAAGAACACCAAAGAAATCAACAAGGCGATAAAAGAGAGCTCCGACTCGTTGCTGCAGCAGCTCTCCACGCTGTCCAACACGCTGCAGGGCGCGTTGGGCGACGCAAGCGGCAAGGCGAAGGAGGCGCTGGAGCAGACGCGCCAGAACCTGCAGCACACCGCCGACGAGCTGCGCAAGGCGCACCCCGAGGTCGAGAAGGAAGCCTCGGCGCTGCGCGACAGACTGCAGAGCGCCTTGCAGAGGACCGCGCAGGAGACCCAGAAGCTCGCTAAGGAAGTTGGCGCCAACATGGAGCAGACCAACCAGAAGCTGGCGCCCAAGATCAAGGCGGCGTACGACGATTTCGTGAAGCATGCAGAGGAGGTGCAGAAGAAGCTGCACGAGGCAGCCAACAAGCAGTGAGCGCGCGACGCGCACTCGCCCCTACCGCATTAACTATACAATAAACTAGTTGTGAACAGTGAAAAAAAAAAAAAAGAT</t>
  </si>
  <si>
    <t>LRAPHSTRSTRHRSTMAARLVFTLAACLALSAAAMVRRDAHSTPLEDLQKHAEEFQKTLSEQFNALVNSKNTKEINKAIKESSDSLLQQLSTLSNTLQGALGDASGKAKEALEQTRQNLQHTADELRKAHPEVEKEASALRDRLQSALQRTAQETQKLAKEVGANMEQTNQKLAPKIKAAYDDFVKHAEEVQKKLHEAANKQ</t>
  </si>
  <si>
    <t>0.679090</t>
  </si>
  <si>
    <t>CS pos: 34-35. AAA-MV. Pr: 0.2258</t>
  </si>
  <si>
    <t>MVRRDAHSTPLEDLQKHAEEFQKTLSEQFNALVNSKNTKEINKAIKESSDSLLQQLSTLSNTLQGALGDASGKAKEALEQTRQNLQHTADELRKAHPEVEKEASALRDRLQSALQRTAQETQKLAKEVGANMEQTNQKLAPKIKAAYDDFVKHAEEVQKKLHEAANKQ</t>
  </si>
  <si>
    <t>Apolipophorin-III </t>
  </si>
  <si>
    <t>Apolipophorin-3</t>
  </si>
  <si>
    <t>P13276</t>
  </si>
  <si>
    <t>Myosin heavy chain, cardiac muscle isoform</t>
  </si>
  <si>
    <t>P29616</t>
  </si>
  <si>
    <t>TRINITY_DN22027_c0_g1_i1.p1</t>
  </si>
  <si>
    <t>CCTCTGTACCGTGTATATAAAGGTACGAAACATCTCGATCAATTCAGTGTATTTCAGAGCACCGTCAAGATTAGGCGTACAAAATGTTAAAGTTGCTCTTTATCTGTATCGTTGCTGTGGCAACGGCGGAAGTATCTCACGACGGCCCGTGTCCTGATTTAAAACCTGTGGAGAACTTCAATTTGACAGCTTACCAAGGAGTGTGGTACGAAATCTCCAAGTTCTACATCGAGTCAGAAAAGGATGGCAAATGCGCTCAGGCTGAGTATAAAGTGGAGGGTGACTTGGTTAAAGTGAAGAACACACACGTGGTCAACGGTGTTCAGACCTTCATAGAGGGTGTTGCCAAGTTCGCTCCTGATGCAAACAACAGCGCCAAGTTCATTGTTACTCTTACATTTGCAGATGTCTCGAGGGATTCTCCTCTTCTTATTTTAGCGACTGACTACAATAGCTACTCCATTGCCTATAACTGCAAGTATGATGAGAACAAGAATACTCATCACGATAACGCCTGGATAGTTTCAAGATCAAAAACTCTGGAAGGAGATGCAAAGAAAGCAGTTGATGCTTTCTTGAAAGCACACTCTAAAGAAATTGATGCCAGCAAACTTTTGCAGACTGACTTCTCTGAAGAAGCTTGCAAATTCAACAGCACAAGTTTGATCACTGAACCGACGATGCTTCACTGAAGGAAATAAAGAATTGAAACAGAAGAAAAAAATAATTGTTGTCACCTGGTTAATTTAGACCTAATGTATTCTGATATTAAAAGCACAATGGTGTAAAATAGCATACCGCAAAATAGCAAAACCTAATCTTATCTCTACTGGCATTAGATTCTTTTTTTAATTATTCGAATAGATTTGTTAATCATTCTAGTAGGTTTCCTAGCATTACTTCAGGAGAATTTGGGGATATATCAAACGTCACTTAAAGTCTGGGATAATCTTGTATGTCTTTATAAGATCTGTGATGTCTACAATCCGCAAATCTATTTATTGTGCAAAACACACCATCATTTTATGAAGTTCGATAAACACCAAATTGTCAAAAAATATTTTTTGTTATTGATAACGCCAGTTAGTTACTAGGAATTCTTGTTCATAATAAATTTCTTATGTCGGCTGATTGTATCACATTTTATTTGATAAGATAAGGTCAAAACTGATACAGTGACATAGTGACTTAGGCCGTGTATCACTTTATATCATTGTCATTTCTCAATAAAAAAATTAGTCTTTATACTCAAATATATCATTAAACTCATCACTCGTTTAAAATTATGTTTTTGTAAGTTATATAAGACCACGTTTAGTATTTGAGCAATTTGTGCAAATTTATTTTAGTTGACTATTTCAATCTTTGTTTAAATTATAAACAATTTAATCAGTAAGCTCGTAATAAGGTTATTTTGCGCACTGAGTGTATAGATGTATTTATGAGTTAATAAATTTTTGTATTAAAA</t>
  </si>
  <si>
    <t>MLKLLFICIVAVATAEVSHDGPCPDLKPVENFNLTAYQGVWYEISKFYIESEKDGKCAQAEYKVEGDLVKVKNTHVVNGVQTFIEGVAKFAPDANNSAKFIVTLTFADVSRDSPLLILATDYNSYSIAYNCKYDENKNTHHDNAWIVSRSKTLEGDAKKAVDAFLKAHSKEIDASKLLQTDFSEEACKFNSTSLITEPTMLH</t>
  </si>
  <si>
    <t>CS pos: 15-16. ATA-EV. Pr: 0.7878</t>
  </si>
  <si>
    <t>EVSHDGPCPDLKPVENFNLTAYQGVWYEISKFYIESEKDGKCAQAEYKVEGDLVKVKNTHVVNGVQTFIEGVAKFAPDANNSAKFIVTLTFADVSRDSPLLILATDYNSYSIAYNCKYDENKNTHHDNAWIVSRSKTLEGDAKKAVDAFLKAHSKEIDASKLLQTDFSEEACKFNSTSLITEPTMLH</t>
  </si>
  <si>
    <t>Lipocalin, ApoD type (IPR022271), Invertebrate colouration protein</t>
  </si>
  <si>
    <t>Insecticyanin-B</t>
  </si>
  <si>
    <t>Q00630</t>
  </si>
  <si>
    <t>Lopap</t>
  </si>
  <si>
    <t>Q5ECE3</t>
  </si>
  <si>
    <t>Bilin-binding protein</t>
  </si>
  <si>
    <t>Pieris brassicae (White butterfly) (Large white butterfly)</t>
  </si>
  <si>
    <t>P09464</t>
  </si>
  <si>
    <t>TRINITY_DN15434_c0_g1_i2.p1</t>
  </si>
  <si>
    <t>CGGTAGTCAGCAGTCGTGCAGTACACAAGGACAGTAATCGCTGGCTAGTGGTTCGAGATGTTGGTAAAAACCGTATTTTTCGTCTTCTTGGCTGTGGCCGTACTGGCCGACCATCCCTTGATAAAGGATAAGAGTCAGGAACTCAAACAGTTGCTAACTGAACAATGCAAGAAGAACAATGCTGAAGATAAAGTACCAGGTATTGAGAACTCCATAACTACTTTCACGGAGTGCATTCGTAATCTTGTCAACGTACAGGAGCTAAGGAAAGAAATTAACGACGCCAAACCCAACGGCGCCCTCGACGAGGTGTTCAAGAAGTACTGCGCGAAAACACCACAGTTGAAGACATGTCTCCACACTCTGATGGATGGCGTGAGTCCTTGCGTGGACCCCAGCGCCCAAGAACAGTTCAATTCGGCAAAGAACAGCACCGACCAACTCATCGACTTCATTTGCTACAAGGATGGCGACAGAATCGCCCTTTTCATCGCTGACGGTGGACCGGAATGTTTCCAGAGTAAGGTTGAAGAGATGAAGCAATGTACCGACAAATTTAAGGAAAACCTGGGTCCCATACAAAACATTAAGAGTCTCACCCTACAGGAAAAATGCGCCAAATTCGATGAGCTATCAACGTGTGTTGTGAACAAGTTGGAGACGTGTACCAACCCAACTCCTGCCAACATGGCCGAGTCGCTGCTCAAGTACATTCGCAAAGGATCTCCCTGCGATAGTGCTCTACCGAAATGAGCTGCGGACGCAACAACAGGCGTCGAGAATTTAACGTACTATTGAAAAAGTGCCATTAAGAAATACTCTCTATGTAAAACAATAAAATCTCTCTACTTTTGAAAAAAAAAAAAAAA</t>
  </si>
  <si>
    <t>MLVKTVFFVFLAVAVLADHPLIKDKSQELKQLLTEQCKKNNAEDKVPGIENSITTFTECIRNLVNVQELRKEINDAKPNGALDEVFKKYCAKTPQLKTCLHTLMDGVSPCVDPSAQEQFNSAKNSTDQLIDFICYKDGDRIALFIADGGPECFQSKVEEMKQCTDKFKENLGPIQNIKSLTLQEKCAKFDELSTCVVNKLETCTNPTPANMAESLLKYIRKGSPCDSALPK</t>
  </si>
  <si>
    <t>0.991961</t>
  </si>
  <si>
    <t>CS pos: 17-18. VLA-DH. Pr: 0.9239</t>
  </si>
  <si>
    <t>DHPLIKDKSQELKQLLTEQCKKNNAEDKVPGIENSITTFTECIRNLVNVQELRKEINDAKPNGALDEVFKKYCAKTPQLKTCLHTLMDGVSPCVDPSAQEQFNSAKNSTDQLIDFICYKDGDRIALFIADGGPECFQSKVEEMKQCTDKFKENLGPIQNIKSLTLQEKCAKFDELSTCVVNKLETCTNPTPANMAESLLKYIRKGSPCDSALPK</t>
  </si>
  <si>
    <t>Protein of unknown function DUF1397</t>
  </si>
  <si>
    <t>27 kDa hemolymph protein</t>
  </si>
  <si>
    <t xml:space="preserve">	Galleria mellonella (Greater wax moth)</t>
  </si>
  <si>
    <t>P83632</t>
  </si>
  <si>
    <t>TRINITY_DN85_c0_g1_i4.p1</t>
  </si>
  <si>
    <t>TGTACAACAACGAGCAGCACAATGAAGACAGTGAAAACTTTCGTGTACTTCGCCCTCCTGGCCTGCGCCGTCCTCGCTGTCGCTGCCAACAGACAAAGGGCCCTCGACTCCGCTGTTATTAAAACTCTCGCCGGCGGCGGCCTCGGCTAGTCCGTGCCGCTTTCATCTCGGACACACTAACCACCGGCTTCTGTGGATTATATGCTCCTTGAATTTCATTTCATATATATTATGCATTATTATAACTTATCTAAGTTAAGTATTGTGTAATAAAAGCCAAGCGGTGGGTGAAAAAAAAAAAAAAAAA</t>
  </si>
  <si>
    <t>CTTTSSTMKTVKTFVYFALLACAVLAVAANRQRALDSAVIKTLAGGGLG</t>
  </si>
  <si>
    <t>0.582247</t>
  </si>
  <si>
    <t>CS pos: 28-29. AVA-AN. Pr: 0.2373</t>
  </si>
  <si>
    <t>ANRQRALDSAVIKTLAGGGLG</t>
  </si>
  <si>
    <t>Putative permease</t>
  </si>
  <si>
    <t>Rahnella aquatilis</t>
  </si>
  <si>
    <t>7.6</t>
  </si>
  <si>
    <t>70.6</t>
  </si>
  <si>
    <t>TRINITY_DN85_c0_g1_i2.p2</t>
  </si>
  <si>
    <t>TGTACAACAACGAGCAGCACAATGAAGACAGTGAAAACTTTCGTGTACTTCGCCCTCCTGGCCTGCGCCGTCCTCGCTGTCGCTGCCAACAGACAAAGGGCCCTCGACTCCAAGGTTTTGGAATCTCTCATCGGCGGCGGCCTCGGCTAGTCCGCGCCGCTTTCATCTCGGACACACTAACCACCGGCTTCTGTGGATTCTGTGAACCTTGAATTTCATTTCATATATATTATAAGTATTGGTTAATTTTAAAAAAAAAAAAAAA</t>
  </si>
  <si>
    <t>TRINITY_DN85_c0_g1_i2</t>
  </si>
  <si>
    <t>CTTTSSTMKTVKTFVYFALLACAVLAVAANRQRALDSKVLESLIGGGLG</t>
  </si>
  <si>
    <t>0.593565</t>
  </si>
  <si>
    <t>CS pos: 28-29. AVA-AN. Pr: 0.2443</t>
  </si>
  <si>
    <t>ANRQRALDSKVLESLIGGGLG</t>
  </si>
  <si>
    <t>GPI ethanolamine phosphate transferase 1</t>
  </si>
  <si>
    <t>Fusarium phyllophilum</t>
  </si>
  <si>
    <t>6.9</t>
  </si>
  <si>
    <t>TRINITY_DN10809_c0_g1_i7.p1</t>
  </si>
  <si>
    <t>CAAAATATCACTTGAGAATATGTGTATCATTGAATGTCTGTCCACGTGGAACAAAACGATTGTGCATCGTGTACAAATGTGTTATGTTCATTGTATTTTTCAGTGTGAATATGTTTCTCTGAGAACTTAGCATTCGTCACAGCTATTTGCTCAGCTGGCTCGTCGAACAACAACCAATGAACAATATATTTAAATGAAAATTTATTTTCTTGAATATCAGTTAAGTCTCATCAGTTTGTTGCGCACTCTGCTACCAGTACAGTTTATTACATGTAATAAAACCATCGCCTAGAAATGGCGACCACGATTCTAATAACATTTTTATTGGCCGGCATCGCATACGGTCATCCTGACGACGATGCATACTATGGATTTGGACCAAACATGTTTCCAGATTTTCCAACAAAGTTCAATTATTTCATGCCGCCGCCACCGCCGCCGCCAGTGTTCCAACCTTTTCCGAACTTTGAGCCATTTAGGCCCGTAAATCCATACGTTTTTCCGGACATCAATTCTGATACTATGAAGAATTTCGTCCCGGCGGAGGGCCAACATTACGTCGGAGTATCGTCATCCAGCCAAAGCTTTTCATCGAACGTGAATGGAGTAAAGACAAGCGGAGGAAAGGTCAGCTCATTGACCAATATCGATGGGAATGTTGACGAACAGAAGCTGGCGTTCCACAAGAATGATCCACCAAAACCATAATTTAAGACACTACTGTTTTTAAAGTAAACTTTTGAATAAATAATACATTTTCATCGAAATATTACTTTATATAGTCCCATTATCACTTATAAAACTAACTACAATACATAAATAAATAAATTCATAAATAATTCAATATTCATAAGTGATAATGAATAATTAACACAGGTTGTGTATTTTTATGTTCTCAGATTTATATAGTCCCAGTAATAGAAAACAAAAAAAAAATATAGTAGAGTTTTTGTATTAGTTGTAGAGATTTATCATATATTACAATTATTAATATCTAGAAATGTATATCGTATCATGTTTTGATGTAACGTTTTTAGATTTTAGTTTTTTTAGGCTTAATAATGAGAATATTGAACTTATTGTATAAAAAATAAAAAGAACAATTTCTTATTCTGTAACTAGTTTATTTAAATATATTACTTTGGACTAATATTTTCTGTATTCAATTTTGTAAGCGTTAAGATTTTTCCTTTCTCTAATAAAATTTTCAAAAAGAAAAAAAAAAAA</t>
  </si>
  <si>
    <t>MATTILITFLLAGIAYGHPDDDAYYGFGPNMFPDFPTKFNYFMPPPPPPPVFQPFPNFEPFRPVNPYVFPDINSDTMKNFVPAEGQHYVGVSSSSQSFSSNVNGVKTSGGKVSSLTNIDGNVDEQKLAFHKNDPPKP</t>
  </si>
  <si>
    <t>0.988774</t>
  </si>
  <si>
    <t>CS pos: 17-18. AYG-HP. Pr: 0.9048</t>
  </si>
  <si>
    <t>HPDDDAYYGFGPNMFPDFPTKFNYFMPPPPPPPVFQPFPNFEPFRPVNPYVFPDINSDTMKNFVPAEGQHYVGVSSSSQSFSSNVNGVKTSGGKVSSLTNIDGNVDEQKLAFHKNDPPKP</t>
  </si>
  <si>
    <t> 13303,31</t>
  </si>
  <si>
    <t>Seroin isoform X1</t>
  </si>
  <si>
    <t>A0A6J3C8K9</t>
  </si>
  <si>
    <t>TRINITY_DN85_c0_g1_i3.p1</t>
  </si>
  <si>
    <t>TGTACAACAACGAGCAGCACAATGAAGACAGTGAAAACTTTCGTGTACTTCGCCCTCCTGGCCTGCGCCGTCCTCGCTGTCGCTGCCAACAGACAAAGGGCCCTAGACTCCGCTGCTATTAAAACTCTCGCCGGCGGCGGCCTTGGCTAGTCCGCGCCGCTTTCATCTCGGACACACTAACCACCGGCTTCTGTGGATTCTGTGAACCTTGAATTTAATTTCATATATATTATGCACTATTTTATTTTTTGTATAAAATAAACGATTGATTCATTTTAAAAAAAAAAAAAAA</t>
  </si>
  <si>
    <t>CTTTSSTMKTVKTFVYFALLACAVLAVAANRQRALDSAAIKTLAGGGLG</t>
  </si>
  <si>
    <t>0.582487</t>
  </si>
  <si>
    <t>CS pos: 28-29. AVA-AN. Pr: 0.2330</t>
  </si>
  <si>
    <t>ANRQRALDSAAIKTLAGGGLG</t>
  </si>
  <si>
    <t>G domain-containing protein</t>
  </si>
  <si>
    <t>Botryobasidium botryosum FD-172 SS1</t>
  </si>
  <si>
    <t>2.7</t>
  </si>
  <si>
    <t>on-specific serine/threonine protein kinase</t>
  </si>
  <si>
    <t>Sinosporangium siamense</t>
  </si>
  <si>
    <t>A0A919V8V7 </t>
  </si>
  <si>
    <t>TRINITY_DN152_c14_g1_i2.p1</t>
  </si>
  <si>
    <t>CGTCAGCCAAAGGTCGCATAGTGTCGGCTACACAACGCGAGCGCAGAGATCACTAGTGCCCCGGGTTCGCGCTAGATACAACGTACCAAATCATTTTCAACATGAAACTGATAATTGCACTTCTTGTTATTGTGGCTGCGTGTCACGCTGACGATCTGTCACACGCCGCCGGCCAGATCTTCAATAATATACTGCCGAACTTAATCGGCAATCATGTGACCGGACAACAAGGAAATACCGCGGGAAACACACTCCAACAGATAGGAACAGTTGTGGGCGGCGTCGTGGACTATGCCAAAAAGAAGAGTTACGAAGACATGCTGCGTCAGATCCAGGACTCGACAACCGACGAGGATCTTTTGCGTGTCAGCGAGGAAATGTTCAATACTGACATTAATAACGCCTTCAACTTTATTCAAGTTAATTTACAAGGCAAAACCAGTCCCATGTCGAAGAACGACGAAGCTGCATCTAACCTCCTAAGTGTGCCGGAGAACGTTTGGAACGGACCCACAATAAGACCCTTCGTAGCACTCTTCGACAATTATCACAAGAACGTGATTAGACCCGAGTTCGTCACACCTAATGAGGAAACGGAACAAACCACTTATATCAACACTATACTCGCGACCGGACCAATTAGAAGCCTCATGACATTTTTGACTAGCAAAGGTCTGACCCAAATGAACGAGTACAGCGAGCAAGTGGAACTCCTGAGGAAGATCTGGTTCACCAAGTACGCGCGCCACTGGACCGGTCTCTGTAAATGTAGCTGCGCCTTCGAGAACATATTTATGGCTGAGCTCAAGTCGAACGATGTGCTCGGTCTTCACAGCTGGTTGTTCTTCGCTAAGCGCGAAATGGACCGTAAAGCAAACTATTTGGGCTACGTCGATAAACTGGACTTATCTGGAAAAGGCCTAATACTGAAACAGCACTCCGTGTTGAGTGAAACCAAAGACGCGCCCGAAGTGACAATGTTTGTGGGCACATCACCCGAGCTGGAAATGGCCTTGTATACCATGTGCTTCATGGCACGCCCTGACAGGCCCTGCAAACTGCATTACAATAACGTGCCGTTCACCATACAGACCAAGACGTTGAAATCTGACAACCTTTTACTAATTGACACCGCTTATCCAGTCTTCTAAATGTTCACTAACAATCCTGAGCACATTGGTCCAGTGGCTGGCAACAGTCGCACACCAAATCATTCGTTGCACCGTTTAAAGTCAACCGTTTACCAGGTCTATGGGTTACTTCAATTCTAACATCATGTTTAGACCTGCCTTCTTCTGGGACTAGTGTTGACTAAAAACACAGACTTGCTCTTGGATGCAAAACTGGCAGAAATATAAATGAAATAATCGAAAATGTAGATAGACTATCAATCGTTATCACATAGCGAAGCCGCAAGTTTTTGCTATTTCCATATAAATACTGAACAACGCTACTTTGTTACTTGATAAAAACAGAACTTAGTTCGATGAGTAGTGATTAGATCTTTCAAGGCTCGCTAAACTATTGCAATAAGTGCAAAACTAGACATGCAAGAACAATACCAAAACCCGGTTTACTTGTGCAAGACGAACCACCGAGTCTTGTATAGGCAACACTATCCAGGACATAAGTCAATGTGACGTTAGGTAATAGTCAGTCATCAGAATCCATTGAACAAATACATCCCCTTTAATAAAAGCAGATCTTACATGCATACATATAATCATGCCTTTTTCCCTGGCTCTCCGACGGGGAATCGAACCCCGGTCTCCCACGTTACAGGCGGGGATACTGAATACTATACCACCGAAGAATTGGAGTAACCAGAGACTACTACTTTCCATTTGCTACGAGCAGTGGCTATCCGTAGCCCACTTTTTGCCCCAGCGGGAAACGATACGTGTCGGGTGAAGAACCACGACGCCGCCATTTTATAAGGTTCAAAAATATTAAAGTTCCTCATTGCGTTCCCACGAAAAGCAAGAGTAAATCAGGTCAACCCAAACTAGAGCACCG</t>
  </si>
  <si>
    <t>MKLIIALLVIVAACHADDLSHAAGQIFNNILPNLIGNHVTGQQGNTAGNTLQQIGTVVGGVVDYAKKKSYEDMLRQIQDSTTDEDLLRVSEEMFNTDINNAFNFIQVNLQGKTSPMSKNDEAASNLLSVPENVWNGPTIRPFVALFDNYHKNVIRPEFVTPNEETEQTTYINTILATGPIRSLMTFLTSKGLTQMNEYSEQVELLRKIWFTKYARHWTGLCKCSCAFENIFMAELKSNDVLGLHSWLFFAKREMDRKANYLGYVDKLDLSGKGLILKQHSVLSETKDAPEVTMFVGTSPELEMALYTMCFMARPDRPCKLHYNNVPFTIQTKTLKSDNLLLIDTAYPVF</t>
  </si>
  <si>
    <t>0.999563</t>
  </si>
  <si>
    <t>CS pos: 16-17. CHA-DD. Pr: 0.9330</t>
  </si>
  <si>
    <t>DDLSHAAGQIFNNILPNLIGNHVTGQQGNTAGNTLQQIGTVVGGVVDYAKKKSYEDMLRQIQDSTTDEDLLRVSEEMFNTDINNAFNFIQVNLQGKTSPMSKNDEAASNLLSVPENVWNGPTIRPFVALFDNYHKNVIRPEFVTPNEETEQTTYINTILATGPIRSLMTFLTSKGLTQMNEYSEQVELLRKIWFTKYARHWTGLCKCSCAFENIFMAELKSNDVLGLHSWLFFAKREMDRKANYLGYVDKLDLSGKGLILKQHSVLSETKDAPEVTMFVGTSPELEMALYTMCFMARPDRPCKLHYNNVPFTIQTKTLKSDNLLLIDTAYPVF</t>
  </si>
  <si>
    <t>Poly(U)-specific endoribonuclease</t>
  </si>
  <si>
    <t xml:space="preserve">Endoribonuclease </t>
  </si>
  <si>
    <t>A0A8B8HVY3</t>
  </si>
  <si>
    <t>TRINITY_DN211_c0_g1_i3.p2</t>
  </si>
  <si>
    <t>ATAGTGTTGAGTGACTTCGGAAGAAAATGCTGAATTAATTTTGTTGAGTACGTGATATCTTAGTTTTAATAATGTTTTTATATTATTCAAAGATTAATAATTTCTTGGAATATTTATGTTATGTATAATTGTTCTGATAAGTCTATTATTAGGGTCGAGAAGTTATCTTTATAATATATTCGTTCTTGAGAATTCAGTTACTAGAAAATTTTAGAGAAGACACACCGATCTTGTGCATCCAACATGATATTCAAAATTTACGTTTTGTTTGGTTTAATTTTAATATGTCAAAATTACTTTGTCGATTGTAGTTTTGGTAACCTTATGAATAATATTGATAATAATATTGACAAAGGGAGACAAGCTGTGAGAGACTTTCTAGGTTTGAATTCTGAAAAAAATCAAGAGTATTCAGAAGCTAGTAACAGTAAAGCTACTGAAGTTCATAAAAGTGTAATGACGGAAGAAATGGTACAAGAATCAAAGGATAATGCATCGATTACTACTTCTCAATCACTTCCAACGACTATGACTGCACCAAAGAATAATTCTTCGAAGAGTGACGAAAATGGCAGAGAAAATTTAGGTGCAGGTTGTTCCCCGGGGTACCTTCGAACTGCTGATGGAAGATGTAAACCAGTGTATTAGACACACAAAATGTTTATGTTTATTTTATGTTTTGTTTTTTACAAATTATTCAAGACCTTAAATTGGATTCATCCCCTTGTAATATGTAAAAATACTGTTGTTACTTTGTTTAAATTTAAAGGTTAAATAATAAACAGTATACTTTAGATATGAAGACTATGTAAAGAAATATACCGTTTAAAAAAGTCTAATGTATGTATTCCTATCATGTTAAATCCGATAATCGAAAAGTCTCGGGTTCGATTCCCTGGCTGTTAATATTACTATAGCTTCTGCATGTTTCGGAAGGCACGCAAAATAGTGGCTCCCGGTTGCTTAGACGATATGTAATTTTCAAATGAAACAAGTTTTCGGACATTTATTTTATTCTAGATTATTTCGTTAATATAATATTAGTTAAACTAAATACATAATATTTAGCCATAAAGTCAATTACTAAATTTATTGCTTAGCCAAGACATAAAAGTGTCATAAAAAGACGATCCAATAAAAATGTTTAAGATGAAAAAAAAAACGAGGAAAATTAAGTTCCTAAGTGAACCCTAATTGTAAAAAGTACAAATTATATCATATTAAGGCCAGACAGCTTAAAGTTATTTAAGCCTTCGAATTCAGTATTTCTTATTACTAAATGAATTTTAAACTGACACATCTGGGGTAACTGCTATTGCTTGGAATATGGGAATAGTATGAGGTGATTTTGTAGTGGCTTTACTTTGATTAATTACATTTTTACTGTTCACAATATCATCAGCATCATTTGAAAAACGATATTGATTGGTAAGAACTTTTAGATTCCCAGCGTTATTATTATCACGTAATTTCTGGGGGTTTTCTGTTGTAATAACATTATTGTATTTTTCTTCATCATTTTTGTTGTTATTTGATGCTATGTCTGATAAGTTTTGAAAGCGTGGCGCTTCATTAACCTGCTGATCATTTTCATTTTTCAAAATTTCTTCATCATTTACAATATTTCTATTTGGGGCTCCTTTGTTGTTTGGTGGTCCTTGGTCTTTCAATGGTTCATTGTTAAATGTAGGCCCACTGTTATTCGGAGGGCCCTTGTTGTCTGGAGGCCCCCTGTTG</t>
  </si>
  <si>
    <t>MIFKIYVLFGLILICQNYFVDCSFGNLMNNIDNNIDKGRQAVRDFLGLNSEKNQEYSEASNSKATEVHKSVMTEEMVQESKDNASITTSQSLPTTMTAPKNNSSKSDENGRENLGAGCSPGYLRTADGRCKPVY</t>
  </si>
  <si>
    <t>0.874892</t>
  </si>
  <si>
    <t>CS pos: 22-23. VDC-SF. Pr: 0.6465</t>
  </si>
  <si>
    <t>SFGNLMNNIDNNIDKGRQAVRDFLGLNSEKNQEYSEASNSKATEVHKSVMTEEMVQESKDNASITTSQSLPTTMTAPKNNSSKSDENGRENLGAGCSPGYLRTADGRCKPVY</t>
  </si>
  <si>
    <t>Paralytic/GBP/PSP peptide</t>
  </si>
  <si>
    <t>Growth-blocking peptide, long form</t>
  </si>
  <si>
    <t>Mythimna separata (Oriental armyworm) (Pseudaletia separata)</t>
  </si>
  <si>
    <t>Q27913</t>
  </si>
  <si>
    <t>TRINITY_DN15782_c0_g1_i1.p1</t>
  </si>
  <si>
    <t>CCGGTGTATCGAGCAACGAGATCCATTCGCTGCGAAACCTCACGCTGATAAATACGGGAAAATGTTCAAGGCAGTGGTGTTATTAGCTGCAGTGGCACTAGCAACAGCTGAAAATGATTGCAATGGTGAAGACGTCACTAAAGCAATTGTCCACCTCGAAGGTGGCAACGTGAAAGGGAGCGTCTTCTTCACGCAACAAGACGATGGCAAGATCCGCGTTACTGGCACTATAGAGGGCATGAATCCTGGAATGTACGGCTTTCATATTCACGAAAAGGGAGACCTGGGCCAGGGATGCTTATCAGCCAAAGGTCATTTCAACCCTGATAATAATGACCATGGCCATCCAGATGACGAAATCCGCCACGCCGGTGATCTCGGTAATATAATCTTCAACGACTCCAAAGTGGCCAATCTTGATTTCGTGGATAAGCAGATTGCACTTAGGGGCCGCTACAGTATCGTCGGCAGGGCTCTGGTACTTCACGAGAAGCACGACGACTTCGGCAAGACTGACCATCCTGACTCCAAGAAAACAGGCAACGCTGGCGGCCGTGTCGCATGTGGAGTCGTTGGAATTCTAAAATCCAGTGCCGCAACGAGTGCAGCATCCTCCTTGCTGTTAGCGACTGTTATAATTAGAGCATTTATTTAAAAAAAATGTATATAATTGTCAATCCATTTTTGTTTAAAAATAATGTACTTATCATATAAGAGCGTTGAATAGAACTCGATGTGATTAGGTATATAAAATTTTATTGTTAACTATTTAATAATTAATATATTTTTTACTATTTTGTAAGTTACTTTATTAA</t>
  </si>
  <si>
    <t>RCIEQRDPFAAKPHADKYGKMFKAVVLLAAVALATAENDCNGEDVTKAIVHLEGGNVKGSVFFTQQDDGKIRVTGTIEGMNPGMYGFHIHEKGDLGQGCLSAKGHFNPDNNDHGHPDDEIRHAGDLGNIIFNDSKVANLDFVDKQIALRGRYSIVGRALVLHEKHDDFGKTDHPDSKKTGNAGGRVACGVVGILKSSAATSAASSLLLATVIIRAFI</t>
  </si>
  <si>
    <t>0.588891</t>
  </si>
  <si>
    <t>CS pos: 36-37. ATA-EN. Pr: 0.4608</t>
  </si>
  <si>
    <t>ENDCNGEDVTKAIVHLEGGNVKGSVFFTQQDDGKIRVTGTIEGMNPGMYGFHIHEKGDLGQGCLSAKGHFNPDNNDHGHPDDEIRHAGDLGNIIFNDSKVANLDFVDKQIALRGRYSIVGRALVLHEKHDDFGKTDHPDSKKTGNAGGRVACGVVGILKSSAATSAASSLLLATVIIRAFI</t>
  </si>
  <si>
    <t>Superoxide dismutase (Cu/Zn) / superoxide dismutase copper chaperone</t>
  </si>
  <si>
    <t>Superoxide dismutase [Cu-Zn]</t>
  </si>
  <si>
    <t>A0A7E5WPN0</t>
  </si>
  <si>
    <t>TRINITY_DN85_c0_g1_i1.p1</t>
  </si>
  <si>
    <t>TGTACAACAACGAGCAGCACAATGAAGACAGTGAAAACTTTCGTGTACTTCGCCCTCCTGGCCTGCGCCGTCCTCGCTGTCGCTACCAATAGACAAAGAGCAATCGACCCCGCCGTTTTGGGATCTCTCGCCGGCGGCGGTATCGGCTAGTCCGCGCCGCTTTCATCTCGGACACACTAACCACCGGCTTCTGTGGATTCTGTAAACCCTGAATTTCATTTCATATATATTATGCCCTGTTGTAACTTAAGTATAAAATACACTATTGATTGATTTTAAAAAAAAAA</t>
  </si>
  <si>
    <t>CTTTSSTMKTVKTFVYFALLACAVLAVATNRQRAIDPAVLGSLAGGGIG</t>
  </si>
  <si>
    <t>0.557971</t>
  </si>
  <si>
    <t>CS pos: 28-29. AVA-TN. Pr: 0.2313</t>
  </si>
  <si>
    <t>TNRQRAIDPAVLGSLAGGGIG</t>
  </si>
  <si>
    <t>PepSY domain-containing protein</t>
  </si>
  <si>
    <t>Sphingobium sp. SCG-1</t>
  </si>
  <si>
    <t>TRINITY_DN174_c1_g1_i1.p2</t>
  </si>
  <si>
    <t>ACTCCCAAGCCCGTTCCCTTGGCTGTGGTTTCGCTAGAGAGTAGCTGTGTACGAGTGGTGATCCAACAACATGGACAAAATTCTGATCTTCACCAGCGCACTTCTCTTACTGTCTGCGCTGACTCAGTCAGCACCAGCCGACCAGAAACCAGCTGAACTGGATAATGAAGACTTGGCAACAGCGGAGAAAGATGATTTGAAAACAGCTGCTTCGCACTGGGGTGGGCACTACGGTGGGTGGGGCGGCCATTATGGCAGCCATTGGGGCGGCTACTACCCCTCGTATAGTTACTGGGGTTGGCCCAGCTATGGATACGGCTATTGGCCATATGGCGGATACTATGGTCACCACGGATATTGGTGGTAACCCACTGCATTAAAATTAGGTATTTTAGTTTGAATGGCCCGTTAAAACCGTAGCATTTGTATGACGATATGTTTGTATGATTTTTGTGTGAAGTTAAAATGAATTGCAGTTCGAACATTTCAATATAATGGAATAAAAATATCACCGTTGAGAATACTTTAGGTTTTACACGTACTGCATAGTTTGCGGCAAACAGTTTGCTTTCAGTTAGAGCAAGATTTTAGTAATATGACAATACTAATATAATTTTAAATAAATATGCACAGTACAATTGCATCACCATATCCAGCTATGGATCCTTTTCACCCAAAAGTTGTCTGGAAGAAATCGCGTGTTGCGATATGACCGTCCAATATGCACTTTCTATTTCTTGCTTTTTATAATTTAAATATCTTTTTATTCGCGTGCAATAAATAGTACTATATTCTCTTCAATAGTGCATAATAATAAGTACTACATTACAATAAAGCTTTTTTAAGCATTTGTACGCAATTTAATCCGATCGGGAGCTGATTTGTATTTAGTTTGCAGCAGATTGTCCGCATATTAGACTCTTGACCTTGAGAATGATTTGACCTTTTGTTTTATCTTTATTAAGACTTGGGAACTTATATCATGTTTTAAAACCCGAGTTTTAAAATATCCATTAGTTTTTAATTTCATAAAAATAAAACGCGTCAAATGATATCATGAGGTTTTAAAATATATTATATTAGGTATTTAATTATTATGATACTTGATATTCATGCTTAGTGACTTCCATTAAATTCCTATTGTCTTCCACTTCCATCAATTTTAATTTATAAATTATACGATTATGTATATAAATGCTTAGATTCTATCGCAAATTTCAGAACTAATTTCCTGTAATGTTAGATTATTTTATTCCACATACATATGTCTTATATTAAATATGATATATTTTAAATTAACCCTTTGCCTATAATAACAATATAAGTTCATAATAATTAAGTCATGATGATTCATCAACTTGTTATTATAAATATCATCATTATATTAAACTTCTTTGATGATGTCATTGAACTTGCATCTTTACCATAACACGCACTTCACAGTGTGCACTAAAAACAATTTATCGAAGATGTATACACCCAACAATTTTTAAACTTTTAAACACGATAAATACGTTCCTTAGAAAACTGTGCAAAAAAAAAATCGTATAAAAAATACATGTGACATATAGTAAATTTGGGGATATATACTACAACTTTAAAACATCGTGTAAGATGAAAAGACTCTCGCGTAAAAACAAAAAAAAATGTTATTTCAAAATAGTGTAAAAAAAGACCGTATAAAAAAGAGTTGGGTGTATATGATAAATATGTATAAAATTATCTGCAGTTTAGTAGTTTTAATAAACATTGTGTTGCTTGCCTTAGACCCTGATTCTACGCTGAAATAAAACCGCATATTACTTAATTATACAAAATTAAAATAAATTATTGTCAGTAAGCGCCGAGACAGGTTTAATGTACATTGTAATTAATTGATAAGTTTATTGTATGACGCAAATTAAATATATTTATGAAATAAAAAAAAAAAA</t>
  </si>
  <si>
    <t>MDKILIFTSALLLLSALTQSAPADQKPAELDNEDLATAEKDDLKTAASHWGGHYGGWGGHYGSHWGGYYPSYSYWGWPSYGYGYWPYGGYYGHHGYWW</t>
  </si>
  <si>
    <t>0.999074</t>
  </si>
  <si>
    <t>CS pos: 20-21. TQS-AP. Pr: 0.6413</t>
  </si>
  <si>
    <t>APADQKPAELDNEDLATAEKDDLKTAASHWGGHYGGWGGHYGSHWGGYYPSYSYWGWPSYGYGYWPYGGYYGHHGYWW</t>
  </si>
  <si>
    <t>Shematrin-like protein 2</t>
  </si>
  <si>
    <t>A0A7E5VM36</t>
  </si>
  <si>
    <t>Shematrin-like protein 1</t>
  </si>
  <si>
    <t>Pinctada maxima (Silver-lipped pearl oyster) (White-lipped pearl oyster)</t>
  </si>
  <si>
    <t>P86949</t>
  </si>
  <si>
    <t>TRINITY_DN988_c0_g1_i13.p3</t>
  </si>
  <si>
    <t>CAGGTACTTGCAGTCAGCTACAAATCAGGAACCAGTAACCATCAGCAATAATCATGAAGACAATAATTTGTTTTGCTCTTTTGATCGCTGCTGCTCTATGCATGCCCACTGACTTGAGTATCGTAATAAAGGATGCAGGTAGCACTGACGTGTCGTCTCTATCATCCCCAAAAGACTGCAGTAACGGTAGCACAGACGAATCAAGTGGCTCCTCCGCAGCCAGCAGCTTAAACAGTAGCACAAACGAATCAAGTGGCTCTTCCTCAGGCAGCAGCTCAAACGGTAGCACACACGGATCAAGTGGCTCTTCCTCAGGCAGCAGCTCAAACGAGTAGCACAAGACGGACGAATCAAGTGGCTCTTCCTCAGGCAGCAGCTCAAACAGTAGCACAGACGAATCAAGTGGCTCCTCCGCAGCCAGCAGCTTAAACAGTAGCACAAACGAATCAAGTGGCTCTTCCTCAGGCAGCAGCTCAAACGGTAGCACACACGGATCAAGTGGCTCTTCCTCAGGCAGCAGCTCAAACAC</t>
  </si>
  <si>
    <t>MKTIICFALLIAAALCMPTDLSIVIKDAGSTDVSSLSSPKDCSNGSTDESSGSSAASSLNSSTNESSGSSSGSSSNGSTHGSSGSSSGSSSNE</t>
  </si>
  <si>
    <t>0.995047</t>
  </si>
  <si>
    <t>CS pos: 16-17. ALC-MP. Pr: 0.6510</t>
  </si>
  <si>
    <t>MPTDLSIVIKDAGSTDVSSLSSPKDCSNGSTDESSGSSAASSLNSSTNESSGSSSGSSSNGSTHGSSGSSSGSSSNE</t>
  </si>
  <si>
    <t>Putative uncharacterized protein DDB_G0277255</t>
  </si>
  <si>
    <t>Dictyostelium discoideum (Social amoeba)</t>
  </si>
  <si>
    <t>Q86K40</t>
  </si>
  <si>
    <t>TRINITY_DN211_c0_g1_i1.p2</t>
  </si>
  <si>
    <t>AACAGAATCTGATGGTTCTGGCACAGAGTAAAAATTCTCAGTCGGTTTCGTGAAATATATACCGCTGACCGTTCTAATTATATTCCGCAAATGTTGTTTTGCCACCATCAATAGAGATTAGAAGAATATTATACCATAAATATTATATAAAAAAATATGTATTAAAATATACAACATGATTGGGATTCTTATCTGACATAAATAGCCCGGATGGCAAGTGTTGGTTGATAAACGGACTGTAGTCACTGATATTTTCTAGCATTGTAAAATGAATTCCATGCTAACGGGTTTTATTGTGTTCATTGTTTTGGCCTACTTGTCAGCTCACGCCGCTGCTTATTCGTCAAGTCAGTTTTTACTGGATATATTTGGTAATCCCGTGTCTGACCTCGAGAATACAATAACAAGTGTCAACAAACTGTCGCATCAGGAAAACAACATTAATGAAGGAAATTCATCGAATAAGGATGAAAAGATAAAAACTGTAACAATGATTGAAGTGCCACTCAACAGGGACAGCTGTGAGAGTGGAACAGTGAGGGATGTGAACGGAATATGCAGAGAGCCATGGAATTGATTGACACGTGGATGATATTTCGACGTAGTTTGTACAATGCATTACTTTAAAACGGACGTTCAAATTGTGCTATTTATAATCGCAATGGTACCCTGTGTGTGTTTAGAAGGTGAACCGCGTGTTATTTTCAACTTTTATGACAAACTACGGATGGCAACAACCACTACTGCTGAGAATCTGAGAAGTGGTCAAGTAATTAGAATTCCAGAACTAGAATGTCCGCTAGGTCAAAGACGCGATGCGCTAGGAAATTGTCGTGAAAGATTTTAAGATAGTGTTGAGTGACTTCGGAAGAAAATGCTGAATTAATTTTGTTGAGTACGTGATATCTTAGTTTTAATAATGTTTTTATATTATTCAAAGATTAATAATTTCTTGGAATATTTATGTTATGTATAATTGTTCTGATAAGTCTATTATTAGGGTCGAGAAGTTATCTTTATAATATATTCGTTCTTGAGAATTCAGTTACTAGAAAATTTTAGAGAAGACACACCGATCTTGTGCATCCAACATGATATTCAAAATTTACGTTTTGTTTGGTTTAATTTTAATATGTCAAAATTACTTTGTCGATTGTAGTTTTGGTAACCTTATGAATAATATTGATAATAATATTGACAAAGGGAGACAAGCTGTGAGAGACTTTCTAGGTTTGAATTCTGAAAAAAATCAAGAGTATTCAGAAGCTAGTAACAGTAAAGCTACTGAAGTTCATAAAAGTGTAATGACGGAAGAAATGGTACAAGAATCAAAGGATAATGCATCGATTACTACTTCTCAATCACTTCCAACGACTATGACTGCACCAAAGAATAATTCTTCGAAGAGTGACGAAAATGGCAGAGAAAATTTAGGTGCAGGTTGTTCCCCGGGGTACCTTCGAACTGCTGATGGAAGATGTAAACCAGTGTATTAGACACACAAAATGTTTATGTTTATTTTATGTTTTGTTTTTTACAAATTATTCAAGACCTTAAATTGGATTCATCCCCTTGTAATATGTAAAAATACTGTTGTTACTTTGTTTAAATTTAAAGGTTAAATAATAAACAGTATACTTTAGATATGAAGACTATGTAAAGAAATATACCGTTTAAAAAAGTCTAATGTATGTATTCCTATCATGTTAAATCCGATAAAGTCTCGGGTTCGATTCCCTGGCTGTTAATATTACTATAGCTTCTGCATGTTTCGGAAGGCACGCAAAATAGTGGCTCCCGGTTGCTTAGACGATATGTAATTTTCAAATGAAACAAGTTTTCGGACATTTATTTTATTCTAGATTATTTCGTTAATATAATATTAGTTAAACTAAATACATAATATTTAGCCATAAAGTCAATTACTAAATTTATTGCTTAGCCAAGACATAAAAGTGTCATAAAAAGACGATCCAATAAAAATGTTTAAGATGAAAAAAAAAACGAGGAAAATTAAGTTCCTAAGTGAACCCTAATTGTAAAAAGTACAAATTATATCATATTAAGGCCAGACAGCTTAAAGTTATTTAAGCCTTCGAATTCAGTATTTCTTATTACTAAATGAATTTTAAACTGACACATCTGGGGTAACTGCTATTGCTTGGAATATGGGAATAGTATGAGGTGATTTTGTAGTGGCTTTACTTTGATTAATTACATTTTTACTGTTCACAATATCATCAGCATCATTTGAAAAACGATATTGATTGGTAAGAACTTTTAGATTCCCAGCGTTATTATTATCACGTAATTTCTGGGGGTTTTCTGTTGTAATAACATTATTGTATTTTTCTTCATCATTTTTGTTGTTATTTGATGCTATGTCTGATAAGTTTTGAAAGCGTGGCGCTTCATTAACCTGCTGATCATTTTCATTTTTCAAAATTTCTTCATCATTTACAATATTTCTATTTGGGGCTCCTTTGTTGTTTGGTGGTCCTTGGTCTTTCAATGGTTCATTGTTAAATGTAGGCCCACTGTTATTCGGAGGGCCCTTGTTGTCTGGAGGCCCCCTGTTG</t>
  </si>
  <si>
    <t>TRINITY_DN988_c0_g1_i1.p2</t>
  </si>
  <si>
    <t>ACGAATCAAGTGGCTCTTCCTCAGGCAGCAGCTCAAACGATTAACAAAAATAAATCAAGTGGCTCCTCCTCAGCCAGCAGCTCAAACGGTAGCACAGACGGATCAAGTGGCTCTTCCTCAGGCAGCAGCTCAAACGGTAGCACAGACGGATCAAGTGGCTGTTCCTCAGGCAGCAGCTCAAACAGTAGCACAGACGGATCAAGTGGCTCTTCCTCAGGCAGCAGCTCAAACGTTAACAAAAATAAATCAAGTGGTTCCTCCTCAGCCAACAGCTCAAACGGTAGCACAGACGGATCAAGTGGCTCTTCCTCAGGCAGCAGCTCAAACGATTAACAAAAATAAATCAAGTGGCTCCTCCTCAGCCAGCAGCTCAAACGGTAGCACAGACGGATCAAGTGGCTCTTCCTCAGGCAGCAGCTCAAACACTGGCTCCGAATTTGAGTCCGCAGCGGCTGCCTCCTCAAAATCGTCTAGCTACCAAAGCTCCACATCTGACGCCGTAGCGACAAACTCCGAAGCGGCCAAATTTGAAGCGGCTAAATCCGCCGCATCTAACGCTGAAGCGGCTAAATTGGCATGGATCAATTCCATGGCAGATAAATACACAACGGCCTACAAATCAGCAGCTGGCTCCCAGTCTCAGTCCGCAGCGGGTAGCTCCGCACAGGATAGTAGCTCTCAATGGTCTAGCTCGCAGCGGGTAGCTCCGCACAGGATAGTAGCTCTCAACAGTCTAGCTACCGATCGGTTGGCTCCACATCTGACCCCAAACCGGCCTTTATATCCGTCTAAAATGGCGGCAGTTACGGACGTTGATACTTGTGTTGCCAAGAAACTACTACGACGGGTATAAATGAAACACGGCCTAAGGATATAGATTAAGAATTATTGTTTAATAAAGTGCATGCAATGATAAAAAAAAAA</t>
  </si>
  <si>
    <t>MKTIICFALLIAAALCMPTDLSIVIKDAGSTDVSSLSSPKDCSNGSTDESSGSSAASSLNSSTNESSGSSSGSSSNAAQTVAQTDESSGSSSGSSSNSSTDESSGSSAASSLNSSTNESSGSSSGSSSNAQT</t>
  </si>
  <si>
    <t>MPTDLSIVIKDAGSTDVSSLSSPKDCSNGSTDESSGSSAASSLNSSTNESSGSSSGSSSNAAQTVAQTDESSGSSSGSSSNSSTDESSGSSAASSLNSSTNESSGSSSGSSSNAQT</t>
  </si>
  <si>
    <t>REJ domain-containing protein</t>
  </si>
  <si>
    <t>Ajellomyces capsulatus (strain NAm1 / WU24) (Darling's disease fungus) (Histoplasma capsulatum)</t>
  </si>
  <si>
    <t>A6RDA9</t>
  </si>
  <si>
    <t>TRINITY_DN339_c0_g1_i2.p1</t>
  </si>
  <si>
    <t>CAGTTGCGATAAAAGGGCGCGAATATTGAACTTCGACTCAGTCTTGCCGCGGCGACGACGCGAAATTGTCAAAAAACCGAAAAGAACATTTTTTTATAATATTTTTTTTTCTAAAAGACGAGGCACTCGTAAGGTGTTGTCAATATGAAATACATAATTGCGTTCGCCGTTGTCGCTCTGGTTTTCGCTGCGGAGGAGGCCAAAGATGATGAAAGGCAGAAGACTTACAGACGGCTCATTCCTGCTGACGTATTGAGAGATTTCCCCGGAATGTGCTTCGCGTCTACTAGATGCGCAACTGTCGAGCCCGGCAACACATGGGAATTATCTCCGTTCTGCGGTCGCAGCACTTGCGTCGTCAGCGAGGACCAGCCCCCGAGGCTGTTGGAACTGGTCGAGGACTGCGGACCTCTGCCTTTGGCCAACCCCAAGTGCAAACTTGACTCGGAAAAAACCAACAAGACTGCACCATTCCCCGCTTGCTGCCCAATCTTCACTTGCGAGGATGGCGTGAAGCTGGAATACCCTGAGCTCCCTACGCCTCCCCCAGAAGGCGAAGAGAAAAAGGAAGAAGAGAAGAAAGTTTAAATAAAACAGTAATTTAAAGAGGCATTTTTCTAAGAAAAGTCGTGGTTGTTATTGACAATTCGTTCGTCATTGATCAAAGTGCCTTTATTAAAAATTAAACAAAAAAAGTTTAATGGTCTCAAAATATATACCAAAATTGTTTGTTAGTCACAAGCTTGATTTGGATTTCTTTTTGAGTACAATTTTGTTTGCTATTTATTTTTCAATGTCCAGTTTCTATCAATCGTTTCGGTATGTAAACATTGAGGACAATATACAATAAGCTTGTTTCGGTATGACAAAGTCACAAAGAGTTCATATTAGATTTCTATTTCCTGTTTTTTTATTGAATTTTCGAAACATCTAGATAACGCGTTTGCTATCGCGAAACAATGGAGTACATACAGAATGTGACACAATGAAATAAATACTTTATATTTTTTTTTTTATAATCTGTGCACTGTTGTAGAGTTTTGCAAAGGGAAAGTTGTATTTTCTTAAATTTTTACAACACATATGAAAAGGACAAAGAAAATACAATATACAAGTTTATTTCAAATGCCAAATAATTTTTAATCTGTACAGCAGCGTTTGAATGAAACTGTTTGTTTCATTCGATTCTTATTTTTGGAAAAATAATTGTACACCAGTGCACACTTGTTTAGAAGTTACCGGCTTTTTTAATTGAATACCTGCCTTAATATAATGTTTTGTGATATTGATAACATTAAAATAGAAAAGTTACTAAATAAAAAATACAAAATTTCTAAAAAAAAAAAAAA</t>
  </si>
  <si>
    <t>MKYIIAFAVVALVFAAEEAKDDERQKTYRRLIPADVLRDFPGMCFASTRCATVEPGNTWELSPFCGRSTCVVSEDQPPRLLELVEDCGPLPLANPKCKLDSEKTNKTAPFPACCPIFTCEDGVKLEYPELPTPPPEGEEKKEEEKKV</t>
  </si>
  <si>
    <t>0.996709</t>
  </si>
  <si>
    <t>CS pos: 15-16. VFA-AE. Pr: 0.6007</t>
  </si>
  <si>
    <t>AEEAKDDERQKTYRRLIPADVLRDFPGMCFASTRCATVEPGNTWELSPFCGRSTCVVSEDQPPRLLELVEDCGPLPLANPKCKLDSEKTNKTAPFPACCPIFTCEDGVKLEYPELPTPPPEGEEKKEEEKKV</t>
  </si>
  <si>
    <t>Single domain Von Willebrand factor type C domain</t>
  </si>
  <si>
    <t xml:space="preserve">Single domain containing protein </t>
  </si>
  <si>
    <t>A0A2A4JCY1</t>
  </si>
  <si>
    <t>TRINITY_DN352_c0_g1_i11.p4</t>
  </si>
  <si>
    <t>GTTTTTTTATTGTCGTGAATAATATAACATACAACAATGAACAAGCTAACGATCCTGTTGGTGTTGGTCGCTTTGGTCACCATCACCATGGCCAAACCTCAAGTAAACGTGGTAGACGGTGAAGAACCAGTAAAAGTCGTTGATGGTGAAAATCAAGTGAACGTTGTGGATGGCGAACACCAAGTGAACGTTGTGGACGGTGAACAAGAAGGTAATTTTTAAGACCCATTTAAGTGTTACCATATCAATTCATATATAAATTACCAGTAGAGTAGAGCAGACTTTACCGCTTAGCTAATGAGAAGTCGTAAGATATAACAGAAATAATTTATTAAAATTTAATGTTACGCATTATATAATTATATTATACAAATTACGCAATTTATAAATTATATCAGCAACAAATTGTGGCAGCTGTTACAGAGATCATTAAAGAAATATTTAATAATAGGCAATTACTTAAATTTCATTGTTATTTATTATATATTCCTTGTATATGAAATTTTTGTTGATTATGAAAAAATACCACAGAAGAAGTTTGAAATACCATAGAAGTTTGAAGGCTCAATGTAATACTGAACCAGTGGACAAATAAAAAAATAAATATTTTAATCAAATACTTACACTTATCAAATACTTATTTAACTACTTACACTTTATTGACATTTCAAAACCGAATTATTGATACTGTGCGGGACGGACGAACTCGTGACTGTGTCAGAGCCCGTTGACGCCCCGCTTGGTCGCTGGTTCAAGGTGTGAGATTCTTCAAAGTGGACTGTATGGTGTTCCGAAGATCTTCTGGATTGTAGAAGGTTACAATGAAAATAAACTTCAGTTTTCAGCCGATTACAAGTATCCGAGGCGTGGGAGGCCCAGAGCCCAGCTTGTGGTTACGTGTTGCTTCTTATCTTGACCGCTGAGCAAAAAGAACGATTGCCAGAAATGGCGGGTTTTTATACAGGAGTCTGGGCTCCGCCCCCTGCGCCTCGGCTATCTCAATGATTTATTTTTCATTATGAAGTTGATACATTTTCAACTATATCTACTGTTCTATAACTATGCTCATAGCGCCCCATATACGAACGGGTGCGCTATGAAAATCCCTTCCCAATGACGTATTCAACTATCCCGAATTGTAGTCCCTTCAGGCGCTATCCCGGAAAAACTATCAATTTTCTATGTAATGTGAGCCATCTGTACTATCTATTTAGGGATAACGCCTATACGCGGGAAGCTACCTCTATCGTTTTAGTGTCATTGGAAAGGGAATCTCGGGATCTATCTAATGGGAATAAATAAAAATACTCCCTAACTATGTTCTATCCTTAAACTATAAATAAGCAGGACGATCGTAATAAAATCGTAACTATCTATCCACCCTTTGAGTGATCTTATTTTTGTCCCTCTCTAACCTCTCGATTCCTATTGGTCATAGTACTCCTTAGAGCTACTACTATTTCCTATTTACTATTTAATCGAGGGACGAATTAACAATATAATGATTCCTATAACTAAATCTAATAATTAAATATTTAATTACACTATAAAGACACCAGAGGGTGACGTCACAGCGTGATAACTCGCGACAAAAGGTTAAATTTCAAACTATTGCAATACCGAACTATAAGTGAGTTATCAGGCTATGCCGGTCCATACTGATGCCCCTGCCTATGCCCTTTACGCACTGGCGTAAAGATATTCAATACAAATCATTAAAAGGAAAAATATAAATATAAATCTCACAATAATGTTCTGTGGCACCGCGGCTCTCGTTATGGTAAAGTCTCGAACACTATGCCTACGGTGCCGTGATTTAAACTATATACACATACTGTATGCACGATTTAGTCTGTCGTGAACAGATACCCCAAGTTGTAAAGTCTGTTACACCGAAATCTACTAACTCTTCAAAGGCGTTCTTCGCTGCCTCTTAGAAATTAAAAGATTAAACCAATCTGAGAAAAAAAACATAAAAGTTTGGGACAAATTCTGTTTGATGAAGCAGTCTCCAACTGTAACTTTACTTTGTTTTTTTTTTTATCAAACACAAAATACTGTTATGATAATACAGTTATTACATTTTTAAATAAATTATCTATAAAGCACCATGGTTAAGGTTCGCCAATTGAATTTGAGAACGAACTCTTGCGAAAGTGCAACTTTTAAATTATATTACATGAATATCATCATCATCCCCTGTCCGTATTCGTTCCTACTACAGGGGCACGGGTCTCCCCGAGGGGGATTAGGCCGTTGTCTACCACGCTGGCCTAGTGCGGTAAACTTTACACACCCATGCGGGCATGCAGG</t>
  </si>
  <si>
    <t>MNKLTILLVLVALVTITMAKPQVNVVDGEEPVKVVDGENQVNVVDGEHQVNVVDGEQEGNF</t>
  </si>
  <si>
    <t>0.998474</t>
  </si>
  <si>
    <t>CS pos: 19-20. TMA-KP. Pr: 0.8813</t>
  </si>
  <si>
    <t>KPQVNVVDGEEPVKVVDGENQVNVVDGEHQVNVVDGEQEGNF</t>
  </si>
  <si>
    <t> 4543,17</t>
  </si>
  <si>
    <t>A0A7E5VB90</t>
  </si>
  <si>
    <t>TRINITY_DN339_c0_g1_i1.p1</t>
  </si>
  <si>
    <t>GCGAGAATCAAACTTTTGATTTAGTCTTACCTTGGTGCCGAAGCGTACTGTCAAAAAGCGCGAGACGTTTTTTTATTTTTTTTTTTAATTTAAATCTCGGCACTCGTAAGGTGTTATCAAAATGAAATACATAATCGCGTTCGCTATTGTCGCGCTAGTTTTTGCCGCTGAGGACAAGAAAAATGAAGAAGCAGAGCGACTGAAGACTTACAAACGGCTTATCCCAGCTGATGTGTTGAGAGATTTCCCCGGAATGTGCTTCGCGTCTACTAGATGCGCAACTGTCGAGCCCGGCAACACATGGGAATTATCTCCGTTCTGCGGTCGCAGCACTTGCGTCGTCAGCGAGGACCAGCCCCCGAGGCTGTTGGAACTGGTCGAGGACTGCGGACCTCTGCCTTTGGCCAACCCCAAGTGCAAACTTGACTCGGAAAAAACCAACAAGACTGCACCATTCCCCGCTTGCTGCCCAATCTTCACTTGCGAGGATGGCGTGAAGCTGGAATACCCTGAGCTCCCTACGCCTCCCCCAGAAGGCGAAGAGAAAAAGGAAGAAGAGAAGAAAGTTTAAATAAAACAGTAATTTAAAGAGGCATTTTTCTAAGAAAAGTCGTGGTTGTTATTGACAATTCGTTCGTCATTGATCAAAGTGCCTTTATTAAAAATTAAACAAAAAAAGTTTAATGGTCTCAAAATATATACCAAAATTGTTTGTTAGTCACAAGCTTGATTTGGATTTCTTTTTGAGTACAATTTTGTTTGCTATTTATTTTTCAATGTCCAGTTTCTATCAATCGTTTCGGTATGTAAACATTGAGGACAATATACAATAAGCTTGTTTCGGTATGACAAAGTCACAAAGAGTTCATATTAGATTTCATTTCCTGTTTTTTTATTGAATTTTCGAAACATCTAGATAACGCGTTTGCTATCGCGAAACAATGGAGTACATACAGAATGTGACACAATGAAATAAATACTTTATATTTTTTTTTTTATAATCTGTGCACTGTTGTAGAGTTTTGCAAAGGGAAAGTTGTATTTTCTTAAATTTTTACAACACATATGAAAAGGACAAAGAAAATACAATATACAAGTTTATTTCAAATGCCAAATAATTTTTAATCTGTACAGCAGCGTTTGAATGAAACTGTTTGTTTCATTCGATTCTTATTTTTGGAAAAATAATTGTACACCAGTGCACACTTGTTTAGAAGTTACCGGCTTTTTTAATTGAATACCTGCCTTAATATAATGTTTTGTGATATTGATAACATTAAAATAGAAAAGTTACTAAATAAAAAATACAAAATTTCTAAAAAAAAAAAAAA</t>
  </si>
  <si>
    <t>MKYIIAFAIVALVFAAEDKKNEEAERLKTYKRLIPADVLRDFPGMCFASTRCATVEPGNTWELSPFCGRSTCVVSEDQPPRLLELVEDCGPLPLANPKCKLDSEKTNKTAPFPACCPIFTCEDGVKLEYPELPTPPPEGEEKKEEEKKV</t>
  </si>
  <si>
    <t>0.996307</t>
  </si>
  <si>
    <t>CS pos: 15-16. VFA-AE. Pr: 0.7570</t>
  </si>
  <si>
    <t>AEDKKNEEAERLKTYKRLIPADVLRDFPGMCFASTRCATVEPGNTWELSPFCGRSTCVVSEDQPPRLLELVEDCGPLPLANPKCKLDSEKTNKTAPFPACCPIFTCEDGVKLEYPELPTPPPEGEEKKEEEKKV</t>
  </si>
  <si>
    <t>TRINITY_DN17627_c0_g1_i1.p1</t>
  </si>
  <si>
    <t>GCAGTCAACTCGGGACGTCGTGCAAACCTAACTAACTATACAAGATGAACAAGCTCTTGATTCTACTTCTGGCTATTTGCCTTGTAAACGTTCACGCCTTCGTGAGACGTGATGCTCCTACTAGTGAAAATATCTTGGAAAAAGCAAAAAAAGACTTAACAGAGATGGGTGAAAAGATAAAAGAAAGTTTTAAACCCGAAGAAATTAAGAAGAATTTCAACGAGTTCGTTGATAATGTTCAAAAAACTTTCGGCGGGGATACAAACGCACCGAAACAATGAGACAACACCCAAAAATGAATTTATGTCATAATCATTCACTGTAATAACATTTTAC</t>
  </si>
  <si>
    <t>MNKLLILLLAICLVNVHAFVRRDAPTSENILEKAKKDLTEMGEKIKESFKPEEIKKNFNEFVDNVQKTFGGDTNAPKQ</t>
  </si>
  <si>
    <t>0.997119</t>
  </si>
  <si>
    <t>CS pos: 18-19. VHA-FV. Pr: 0.9489</t>
  </si>
  <si>
    <t>FVRRDAPTSENILEKAKKDLTEMGEKIKESFKPEEIKKNFNEFVDNVQKTFGGDTNAPKQ</t>
  </si>
  <si>
    <t>Anionic antimicrobial peptide 2-like</t>
  </si>
  <si>
    <t>A0A9J7IV52</t>
  </si>
  <si>
    <t>TRINITY_DN211_c0_g1_i2.p2</t>
  </si>
  <si>
    <t>CATGCTTAAACTTGCTTTATCTGATAACATACAAAACGAGTATATTCGTAAAAGTATCACGGTCATCAACATAAATTATATCAAGTTTGGTGAGCCTCAAGAATTGTGGATGCAGAGTGGGGGCCCTGAGCATATATGTAGAGCCTCTCGGGGAAAAAGATAATATGAGAAGCATATATCGCAGTGAGCAGTGATGAGGGAGTGACTTTAACCACGGGGGTTATTCAAGAAGACGGGGCACTGAGGTACCGGGAAAGCTTAAGTGGGATCCCGAAGTGCCTTTTTTGTCTCGATGCTGACCAGCGCAGAGATTTTATTTCGTTACCGAAGGTTTCAATAATAGTGTTGAGTGACTTCGGAAGAAAATGCTGAATTAATTTTGTTGAGTACGTGATATCTTAGTTTTAATAATGTTTTTATATTATTCAAAGATTAATAATTTCTTGGAATATTTATGTTATGTATAATTGTTCTGATAAGTCTATTATTAGGGTCGAGAAGTTATCTTTATAATATATTCGTTCTTGAGAATTCAGTTACTAGAAAATTTTAGAGAAGACACACCGATCTTGTGCATCCAACATGATATTCAAAATTTACGTTTTGTTTGGTTTAATTTTAATATGTCAAAATTACTTTGTCGATTGTAGTTTTGGTAACCTTATGAATAATATTGATAATAATATTGACAAAGGGAGACAAGCTGTGAGAGACTTTCTAGGTTTGAATTCTGAAAAAAATCAAGAGTATTCAGAAGCTAGTAACAGTAAAGCTACTGAAGTTCATAAAAGTGTAATGACGGAAGAAATGGTACAAGAATCAAAGGATAATGCATCGATTACTACTTCTCAATCACTTCCAACGACTATGACTGCACCAAAGAATAATTCTTCGAAGAGTGACGAAAATGGCAGAGAAAATTTAGGTGCAGGTTGTTCCCCGGGGTACCTTCGAACTGCTGATGGAAGATGTAAACCAGTGTATTAGACACACAAAATGTTTATGTTTATTTTATGTTTTGTTTTTTACAAATTATTCAAGACCTTAAATTGGATTCATCCCCTTGTAATATGTAAAAATACTGTTGTTACTTTGTTTAAATTTAAAGGTTAAATAATAAACAGTATACTTTAGATATGAAGACTATGTAAAGAAATATACCGTTTAAAAAAGTCTAATGTATGTATTCCTATCATGTTAAATCCGATAAAGTCTCGGGTTCGATTCCCTGGCTGTTAATATTACTATAGCTTCTGCATGTTTCGGAAGGCACGCAAAATAGTGGCTCCCGGTTGCTTAGACGATATGTAATTTTCAAATGAAACAAGTTTTCGGACATTTATTTTATTCTAGATTATTTCGTTAATATAATATTAGTTAAACTAAATACATAATATTTAGCCATAAAGTCAATTACTAAATTTATTGCTTAGCCAAGACATAAAAGTGTCATAAAAAGACGATCCAATAAAAATGTTTAAGATGAAAAAAAAAACGAGGAAAATTAAGTTCCTAAGTGAACCCTAATTGTAAAAAGTACAAATTATATCATATTAAGGCCAGACAGCTTAAAGTTATTTAAGCCTTCGAATTCAGTATTTCTTATTACTAAATGAATTTTAAACTGACACATCTGGGGTAACTGCTATTGCTTGGAATATGGGAATAGTATGAGGTGATTTTGTAGTGGCTTTACTTTGATTAATTACATTTTTACTGTTCACAATATCATCAGCATCATTTGAAAAACGATATTGATTGGTAAGAACTTTTAGATTCCCAGCGTTATTATTATCACGTAATTTCTGGGGGTTTTCTGTTGTAATAACATTATTGTATTTTTCTTCATCATTTTTGTTGTTATTTGATGCTATGTCTGATAAGTTTTGAAAGCGTGGCGCTTCATTAACCTGCTGATCATTTTCATTTTTCAAAATTTCTTCATCATTTACAATATTTCTATTTGGGGCTCCTTTGTTGTTTGGTGGTCCTTGGTCTTTCAATGGTTCATTGTTAAATGTAGGCCCACTGTTATTCGGAGGGCCCTTGTTGTCTGGAGGCCCCCTGTTG</t>
  </si>
  <si>
    <t>TRINITY_DN15617_c0_g1_i3.p1</t>
  </si>
  <si>
    <t>CCTGATTCTGGCTGGGCTTATTGCCCTCGCATTGGGCGGAACTGTCCCAAGCAAGGTTACCTACAAGACGAAACCAGATGATTCAATTATGGCAAAAGAAACAGATAAAGATCTTAAAAGTGCTCAAGATTATATACGTCGACTGAACATCGTTTCTACTAAAGGACATCAAACAAATGGCACTACTGAGTTTGTGGAGGAGAAGGGTGATCCCCAGGAATACTGGAGCAACCAAAAATTAGTATTGTGTGAGGCGTTGCTGAG</t>
  </si>
  <si>
    <t>LILAGLIALALGGTVPSKVTYKTKPDDSIMAKETDKDLKSAQDYIRRLNIVSTKGHQTNGTTEFVEEKGDPQEYWSNQKLVLCEALL</t>
  </si>
  <si>
    <t>0.732534</t>
  </si>
  <si>
    <t>CS pos: 16-17. TVP-SK. Pr: 0.2458</t>
  </si>
  <si>
    <t>SKVTYKTKPDDSIMAKETDKDLKSAQDYIRRLNIVSTKGHQTNGTTEFVEEKGDPQEYWSNQKLVLCEALL</t>
  </si>
  <si>
    <t>THO complex subunit 2</t>
  </si>
  <si>
    <t>A0A8S0ZSC9</t>
  </si>
  <si>
    <t>TRINITY_DN352_c0_g1_i10.p2</t>
  </si>
  <si>
    <t>GTTTTTTTATTGTCGTGAATAATATAACATACAACAATGAACAAGCTAACGATCCTGTTGGTGTTGGTCGCTTTGGTCACCATCACCATGGCCAAACCTCAAGTAAACGTGGTAGACGGTGAAGAACCAGTAAAAGTCGTTGATGGTGAAAATCAAGTGAACGTTGTGGATGGCGAACACCAAGTGAACGTTGTGGACGGTGAACAAGAAGGACCAACACCGCGACAGAGAAGACGTTAAAATTTTTGAGTGATTCAACGACAGAGCATGCCTAACAGAAGTTGTATATAATTTTATATATGTAATATATTTTCTTATAAATAAATTTATATTAAAAACATAAAAAAAAAAAAAAAAAAAA</t>
  </si>
  <si>
    <t>MNKLTILLVLVALVTITMAKPQVNVVDGEEPVKVVDGENQVNVVDGEHQVNVVDGEQEGPTPRQRRR</t>
  </si>
  <si>
    <t>0.998220</t>
  </si>
  <si>
    <t>CS pos: 19-20. TMA-KP. Pr: 0.8826</t>
  </si>
  <si>
    <t>KPQVNVVDGEEPVKVVDGENQVNVVDGEHQVNVVDGEQEGPTPRQRRR</t>
  </si>
  <si>
    <t> 5329,68</t>
  </si>
  <si>
    <t xml:space="preserve">Unknown </t>
  </si>
  <si>
    <t>TRINITY_DN1489_c0_g4_i1.p1</t>
  </si>
  <si>
    <t>TTATCACTACGGAGTATATAAGATTCTGCGGTAAAAAACAAACATTCATATATTTTAAGATATTCTAGTTTGATATTGGCTCTCTAAGGAATACAATATGAAGACATTTTTGGTCCTAGTGCTGACACTTTGTGCCATGGCTTCCGCTCGTCCACAGGAGAAAGTTGTCATCCAGAATCCTGATCCTGGTTTCTACCAGGCTAGCGGTAACCCTGGCTATGTGCACGTGGTAGACAATAACCCTGGACAAACTGTCATCGAGAACCCTGATCCTGGCTTCTACCAGCCTAGCGCTGGACAGCAGTATGAGCCAATAAGTAACGGGCCCACTTTTGTGGACAACGGTGGAAGTAGTTTCCGTCCAGGCAAACCATATAACAACCCCTACGCTCGCAATGGCAAATGAAAACTGATGTAAAGGGAAATCGAAAAACTACCTTAATATTATATACTTCATACAAATATATATAGGTCTATAAATTTCGTATTTACTTGAAAATGTGATTTCAAATATAGTTAAATATATATTCTTCTGAATAAAAGTTTACCTACTTATTATTTAAAAAAAAAAAA</t>
  </si>
  <si>
    <t>MKTFLVLVLTLCAMASARPQEKVVIQNPDPGFYQASGNPGYVHVVDNNPGQTVIENPDPGFYQPSAGQQYEPISNGPTFVDNGGSSFRPGKPYNNPYARNGK</t>
  </si>
  <si>
    <t>CS pos: 17-18. ASA-RP. Pr: 0.8594</t>
  </si>
  <si>
    <t>RPQEKVVIQNPDPGFYQASGNPGYVHVVDNNPGQTVIENPDPGFYQPSAGQQYEPISNGPTFVDNGGSSFRPGKPYNNPYARNGK</t>
  </si>
  <si>
    <t> 9230,41</t>
  </si>
  <si>
    <t>A0A6J1X239</t>
  </si>
  <si>
    <t>TRINITY_DN68_c76_g1_i1.p1</t>
  </si>
  <si>
    <t>AAATAACATCCCGTTTAACAGCCGGCAGAGAATCAGTTGCAATAACAACGCCAGCGTATTCGGTCGAAGCGACAATTTGTTATTGAAAAAATTAAAATTAAAAGATGGAAAAAATCTTGATTTTATTAGGGTTAGCGACGGCGGTGTTCGGTATTGAGTATAATGGTCTTCGAGTCAAATACGGCTGGTCCCAAGAGCTCACGGACAAGGAATTCTTTTTTAAAATCCCGCGCACCATCAAAGATGTGGAAAGTGAAGGCTGGAAACTAACAGAACGGCCACCCGGCGCACTGCCCCAGCTGAAGATGTACTGTCCCCCAGGAAGGGGGGTATGTCCCCTTTATCATCCATCTGGTTTTGTCGCCGGACTTATGATTGCTTTCCCAGCGGACGAGTTTGAGTCTCCAAAGATTAAACCGGAAACAAAGTTTGTCAAATGGAATGCCCCAGCCAGTAATGGAGAACCAGCTAGGCAGTATTGGACATCCACTCAGTATTACATCTCTGATGCCGGCTCGGAACCTAATGCAAACAATGGTGCAACACTTCAATATGGTGGTGTTTGGGTGCAAGGTCCTGACGGTAAACTTTTGCGTATCCCTACAAAGGAGTCCGAAATAAAGAACACCTTGTTTAAACAACAAAACTGCGTACCCAATATGGGCACTCACTACTATTACAAAATGACAAAGGAGTTGAGTTGTGAGGAGATATTTCCCTGGTTCGGGCTCACAAATCAGAATGAGCTCGTGGGCACCGGTTTCCAGATGGTAGGCAAACTCACTCGCCCCCAGCCCAGAGAATGGTTTGACAACTTCAGCGCTGATCCAGTTCAAAGGAGCTTACGATCAGTGGCTCCGTTATCACCACAATGTTACACGGACTGGGTGGGTGAAGATGGCCTGTTGTCCATGCACATCTACTACGTGAATGACCCCTGGAACATCAAGTGCAACAGCGGTGACTCAATTAGCGAGTAACTTTTCGCGTGTCCTTGGCGCCAACGTTGCCAAGAACCAGAATTTTATTACATTTAAAATTTTTGTACAACCCTAGTCGTAAGTGTCGTCACTTGACTGTTCTTAATAAAATTTATAAAAACGAAAAAAAAAAAAAAAAATAAGAAGAGAAAGGAAAGAAAAAAAGAAGGGAGGAAGAAAAAAGAAAAACCAAAAGGAAAAAACCAAAGAAAAGAG</t>
  </si>
  <si>
    <t>MEKILILLGLATAVFGIEYNGLRVKYGWSQELTDKEFFFKIPRTIKDVESEGWKLTERPPGALPQLKMYCPPGRGVCPLYHPSGFVAGLMIAFPADEFESPKIKPETKFVKWNAPASNGEPARQYWTSTQYYISDAGSEPNANNGATLQYGGVWVQGPDGKLLRIPTKESEIKNTLFKQQNCVPNMGTHYYYKMTKELSCEEIFPWFGLTNQNELVGTGFQMVGKLTRPQPREWFDNFSADPVQRSLRSVAPLSPQCYTDWVGEDGLLSMHIYYVNDPWNIKCNSGDSISE</t>
  </si>
  <si>
    <t>0.943440</t>
  </si>
  <si>
    <t>CS pos: 16-17. VFG-IE. Pr: 0.8459</t>
  </si>
  <si>
    <t>IEYNGLRVKYGWSQELTDKEFFFKIPRTIKDVESEGWKLTERPPGALPQLKMYCPPGRGVCPLYHPSGFVAGLMIAFPADEFESPKIKPETKFVKWNAPASNGEPARQYWTSTQYYISDAGSEPNANNGATLQYGGVWVQGPDGKLLRIPTKESEIKNTLFKQQNCVPNMGTHYYYKMTKELSCEEIFPWFGLTNQNELVGTGFQMVGKLTRPQPREWFDNFSADPVQRSLRSVAPLSPQCYTDWVGEDGLLSMHIYYVNDPWNIKCNSGDSISE</t>
  </si>
  <si>
    <t>Uncharacterized protein LOC113498978 isoform X2</t>
  </si>
  <si>
    <t>A0A7E5W492</t>
  </si>
  <si>
    <t>TRINITY_DN2323_c0_g1_i3.p2</t>
  </si>
  <si>
    <t>GTGTAAGACATGCGTCGGTCGTAGACTGAACTTTGTACGATTGTAGCTGTGAATAAATTTATTTTATAGGACAAAGTAAAGCCTTCAACATGCGACGTATAATAATCTTAGCCGCGATTTCGGTGTTAGCCATGGCCAGACCGGAATTGTACAAGGAAAAAGAAGATTTTAAATATTCAAGAAGTTCAACTGATGAAGGATCCAAATCTGGGTTCTATGGTGCTCAAAGGGGCAACATGGGAGGAAATTACGAACGTGCACATAACATGGATGGGCTAGCTCAGCATCAAATGAGTGGTCTGGTAAACCAAGTGGAAGGGGAACTTGGAGATGGAGCAAATACTAGAAGTGGAAGCGTATACAGTGCTGCTAATTCTAGGGGTATTTACGGTTCAGGTCACTATGATGTTAGCAACCTAAAAGGCCGTAACTTCCAGGAAAGCGAAATTAATAGCGGTTCGCATTCTAAATCGTCTTCATCGCAATACAACAATGCCGCATATACTAACAGCCGATCTTTGAGTTCAGGTTACGGTGGATATCATGGATCGGGACGTTCGGGCGAGTATTTGCAATCTAGCGATTTACAGAACCTAGATCAGGGCGCTGGTTCATACGATTACGGACACCAAACTAGTTCAGGACATCATTCACAAACGGGCTACCACTCGCACAGTTCGTATGGTGTTAGCGATGATAACTCACATGCTGGAGAATATGGATCAAACGTACAAACCAGGTTGGTGAGTGCAGTACCAGTAAGAATAGTTGTTAGACCCGGTACAAGAGTAGCCATACCGATTGGTGCTCAAACTACCCTTAATCAGGATTCTTCAATATATGATACAAATCAGAGGTCTTCTACTTACGATGTCAGCCATAGATCATCAAGTTATGATGCTAATGACCGATCTTCATCGTATGATCAAAGCTTAAGAAACAGTGAAGCTGAAGTATTAAGTGGTAATGATCACCATAATGCTTACACACCTATAAATAACCCTAAACATTATGAATCATCTTACAGTTATCGTAAAGAATGGGAGAAACGCAACACAATTCCTGCTACTATACAAGCCCCGACCGAAAATCTGTTTCCTCAAAATAGCGAAAACGGGGACTTATATGAGAACCGTCAAGGGCATACATCAAGCTTATCTTCCGATTCACAAAGAGCGCATTCCTCTAATGCCTATAGTGGTTACCACACAAATGTCAAGTCTTCACAGGTTAGACACCAATCAGATTTAAATTCACAACAATATGGTTCATTATCAGCATCGAACTTAAAAGAACATACACAAACCAATGGATACAACGCAGACTCTAATACAGATTTAAACAGTCAAGTTGAGGATATCAATACTAAGCCTAAAAGTTATCATTCTTCATACGCGTATCACAAATCCTGGGAACGCCAGGGAGATCCCTATGTAATAGAACCAGCATCTAATGGGTATGTTAGCCAGTCATCACAACGATATTCTGCTGGAACTAAAAGTGGGTCATATCGATCTGGGTCTCAACACCAGAATCAAATAGATTGTGACGAATTATGTGGTCATATTCGAGTAGCTCGTTCTTACGACACAAGCCAATATCAAGAAGACTTAGGGCAAAAAAGTCAGAATTTAGAAGACTTTGGTCAGCAACAAAGTCAAAATATGGAAGATTTTGGTCAGCAACAAAGTCAAAATTTGGAAGATTTTGGTCAGCAACAAAGTCAAAATTTGGAAGATTTTGGCCAGCAACAAAGCCAAGATCTGGATGATTTTGGTCAGCAACAGAGTCAAAAATTGGAAGATTTTGGTCAACAAACGCAGAGCAAGTGGGAAAATTTAGAAAACTTGGGACAAGTCGGAATCGATAGGTGGGATCAACAAACACAACGTAAGTTGTAATAAACAAAATCTGTAAGAATTTAATAACGCATTATTGAGGCTTGATATAAACTTCGATTAAAGCTTTAATACTTGCTTAAGTTTAATCTATATCACATAAAACAAATAATAATCTAGATATTTAATGGATACTTAAAATATTAATATTTTATACTTAAAATAAACAGATTTTTATTATATAAATAAAAGGTTCATGATATTCGGCAGCAGTCTGGTTTCATAATACTGAATTGTATAATGTTAACTGCACATAATATTATGCATTGTTAGAAGAGATTCATGTTAATCTCATTTATATTTATCTAATCTATATCTATCTAATATAAATAAATAATAATTTTATGAATTTATCACTTAGAATTTTTTAATTTTATGAATTTCATACAAACTAAAGAAAGTTTAGGATTTTCGACAGGATTGAACTAGGTTGGTGTTGGAATAATTAACTTTCTTAAATTAGAATATTTTGTGACATTTAATAAGTATCTGATATAATTCCTTGTACATACAACTTCATTACACATCGAACTCATACACTAAACTAAAAGAAACAAAATTAATGAAATCATCTTCATTTAGATAATGTGGGACAAAACGCTCAAATAACACGAGTTAAACCAAAAGTTCTGCCTTCGAACATTGAACAACAAACCCAAAATAAGTGGTACTTAAGCAAAGTAAAAGACGAAGATGCACAACATCAAGATATTCAAAATAGACAGATACCACTTGAGAACAAATCAAATCAACAAGCGCACACAGAAGTGAATTCGAGTGAAGGTTTTTCAGGACCATTCAAAAATAATGATGACGATAGTCAAAAATATTCATATTGGACACAATTCCAAAGTAATGAACAAACAAACATGAAAGATAAACAATTTTATGCTGATGTCAATAACGAACAGTCCTCATTTGGTAACAGTTTTATGGATGAGAACTCTTATCTTAATCATAAGGACATACAAACGATTAATGAGCAAAGAAAACTGGATTCAGACACTAATGGCCATTTAGAAAATAATTTGCATGCACTATATATACATAATAATTCATATTTACATAATACTGAAAAGAACTTACAAGATAATACAATGTTTAATTTTTGGAACAAACTTGATAATATTGAAAATCAACTACAAACGTCTTCAAATAAATCTTATAATAATAATTCATCGAGCGACTATCAGCAGTATGATTTAGCACCTCTATTTGGATATCATTCATTGCCCAATATGAACGTTATTAACGAAAATAATATTACACATGTACCTTTAGAGAACCATGATAAAGACGTGCTTCAAGATATAGGACGTGGTGACATTGCGGCTGAAGAAGAAATAGCAGAAGAAAGGTTATACCCTTCTGATTCTTATAATCTCATGATTCCAGTTGTGATTGGAAGTTTAAATTCTACTCAACAAATTACTAACAAAAACAGTTCAGACTCTCAAATATCGGATAACCATGAATTTATGTTCCCCACTTCTACACCTACCTACCAGTATCTTGAAAAATATGCACATGACACATCATTGCATCATAAAGAAGAAACATCGGGAGCAAATGGAGAACCTAAAATTTTTAACCAGCATAATGTAGACATTTTAGGTCCAAAAATGGAGGGTACAGAGTATCCAAAATATTATAAAGAAATAGGTTTGCATACCTTGAATCAAAACAAGGACCAGCAAAATTTACAAGATTTGAGTAACATAACAAGTGCAAACATTCACAATTCAAACTTGGATTCTTCTGCTAAGAGTAATAATACTCGGGATAGACAAAATATACAACAATTTGGACAACATGATAACATGGCAAATCAAAACTTGCATAATTATGCACAAGAAACTGAAAACTTAGAGAGAAAAAATGTACATGAGTTCAAACAACAAAGTGAGAACTTAGAGCAACAAAATTCGCAGGACTTTAAATATATGAATTTACACAATTTTGGGCAACAACATGAAAATATTGACCTACAAAACCAACAGAGTTTTGAGCAAACTCAGGACTTAGAACAAAATTCACAAAATTTTGGTCAGCAAAACTTAGTGAACTTTGGACAACAAGATGAAAACTTTGATCAACAAAATGTACAGGATTTTGAGCAGCAAAATTTACAAGACTTTGGGCAACAAGAGGACTTATCACAACAAAGTTTACAAAATTTTGCGCAACAAACTGAAGACCTACAGCAACAAAATATACAGGACTTTGGACAGCAAAATGATAACTTAGAGCAACAGAATATACAAGATTTTGAACAACAACATTGGAACTATGAAAATCAGAATTTACAAACATTTAGACATTCTGAGCAACATAATACACACAACTATGAACAACAATATCAAGAAAAATTTGCTCAGCAAAATTATGGTCCACAACAGCAAAACATGGGGCAAAGTAGAGAGAATTTTAAAGAACAAAATCTACATGAGGATTCAGATATTGAACAACAAAGTTATAATATTATGCACAATTTAGAAAAGTTTACGCCTGTAGATCGCTTTGGCAAAGAGACAAAACCAAAAACAGAAAAGATGGAAGTACTACCATTTGACACACAAAGCAACAGCAACTTACAATCAACACTACCTAAAATTTCAAATGTTGAAATGCCACAAGAACCCGTGACTGAAAAGCCAGGGTTTTGGAAATCAGTTGGTAACAAATTTGTTAATGCCAAAGATAAGGTTTGGTCATGGTTTGGAAGTTAGAATATAGAAAATAAAATGTCTTAGATGATGCTATTTATTGAACTAGTCATAAGCAATTTATTAATATTTATAGTTTAAAATTATAATGATATTTCGTATTTTGATAAATTACAGTGGATGTTTTTAACAATTTAATTTATGTAACTCGCATACCTCTGACAGAGAATTAAAATATTTGACAAACGCCTGCTGCTGAACAGAATCTGAAAAGCATACATATACAAGTTAATATCAAATATAAAAATGAATTAAGATTCTAATAAAATACTTGCACAAATTAGTTTATTGGTTTTATTTCTTATATCAGTGGAAATTTGGATAGATGATTATCTAGAAAATCCTATCATGATAAAATAAATAACTAATTTCAATAAGATCAAAAATGTCCAGTGAAATATTTATGAATGTAGATGATGTGAATAAGATATTTCAGTCATAGCACAAAGAAATTATAGTCCCTGCCTATACCGTTAAGAAACAGTGGGTTTATGAATACTTTTGCACATAAGTAATCGATATAAATTCATTATAAATTTGACTTTTTCTCTTAAAACTCATAATAATTGTAAGTTGTTATGTAAATCAAATATATTTTAGTGTGCTCCAGGAGGGGAAGCAAAAAGGTTGCGAAAAGTTTATACAAGCTAAGATTTTTCATTTTTAGAATTTATTTGATTTGTCTAGAATTTCTCTGTGAAGATATCCAGTAAAAGCTGCATGCAGGGTGCTACGAGGGTGGATTTAAAAGTAGTCGGCCTAATCAAGAAAATAAACACATACTAAATCAGTTATATTTTTATTTTTATACATAATCACCATCAAGTGCCCAATGCACTTTTGCCACCTCCCCTTCAAAGCCGTTCTAAATCGG</t>
  </si>
  <si>
    <t>MRRIIILAAISVLAMARPELYKEKEDFKYSRSSTDEGSKSGFYGAQRGNMGGNYERAHNMDGLAQHQMSGLVNQVEGELGDGANTRSGSVYSAANSRGIYGSGHYDVSNLKGRNFQESEINSGSHSKSSSSQYNNAAYTNSRSLSSGYGGYHGSGRSGEYLQSSDLQNLDQGAGSYDYGHQTSSGHHSQTGYHSHSSYGVSDDNSHAGEYGSNVQTRLVSAVPVRIVVRPGTRVAIPIGAQTTLNQDSSIYDTNQRSSTYDVSHRSSSYDANDRSSSYDQSLRNSEAEVLSGNDHHNAYTPINNPKHYESSYSYRKEWEKRNTIPATIQAPTENLFPQNSENGDLYENRQGHTSSLSSDSQRAHSSNAYSGYHTNVKSSQVRHQSDLNSQQYGSLSASNLKEHTQTNGYNADSNTDLNSQVEDINTKPKSYHSSYAYHKSWERQGDPYVIEPASNGYVSQSSQRYSAGTKSGSYRSGSQHQNQIDCDELCGHIRVARSYDTSQYQEDLGQKSQNLEDFGQQQSQNMEDFGQQQSQNLEDFGQQQSQNLEDFGQQQSQDLDDFGQQQSQKLEDFGQQTQSKWENLENLGQVGIDRWDQQTQRKL</t>
  </si>
  <si>
    <t>0.990987</t>
  </si>
  <si>
    <t>CS pos: 16-17. AMA-RP. Pr: 0.7624</t>
  </si>
  <si>
    <t>RPELYKEKEDFKYSRSSTDEGSKSGFYGAQRGNMGGNYERAHNMDGLAQHQMSGLVNQVEGELGDGANTRSGSVYSAANSRGIYGSGHYDVSNLKGRNFQESEINSGSHSKSSSSQYNNAAYTNSRSLSSGYGGYHGSGRSGEYLQSSDLQNLDQGAGSYDYGHQTSSGHHSQTGYHSHSSYGVSDDNSHAGEYGSNVQTRLVSAVPVRIVVRPGTRVAIPIGAQTTLNQDSSIYDTNQRSSTYDVSHRSSSYDANDRSSSYDQSLRNSEAEVLSGNDHHNAYTPINNPKHYESSYSYRKEWEKRNTIPATIQAPTENLFPQNSENGDLYENRQGHTSSLSSDSQRAHSSNAYSGYHTNVKSSQVRHQSDLNSQQYGSLSASNLKEHTQTNGYNADSNTDLNSQVEDINTKPKSYHSSYAYHKSWERQGDPYVIEPASNGYVSQSSQRYSAGTKSGSYRSGSQHQNQIDCDELCGHIRVARSYDTSQYQEDLGQKSQNLEDFGQQQSQNMEDFGQQQSQNLEDFGQQQSQNLEDFGQQQSQDLDDFGQQQSQKLEDFGQQTQSKWENLENLGQVGIDRWDQQTQRKL</t>
  </si>
  <si>
    <t>Apolipoprotein, disorder prediction</t>
  </si>
  <si>
    <t>A0A835LAS1</t>
  </si>
  <si>
    <t>TRINITY_DN44929_c0_g1_i1.p1</t>
  </si>
  <si>
    <t>ATCATATTATCCTCGTAGAAACATGTTTGGAATACGGTGCCTGTTAATAATATTTTCGATTGTACTACTACTTCAGCACAGTGTATGTAAAGACATGGCCGTATATCAAGCCTCGGGGATCCAGCTGGTTGATCTAATACGTGGATATACGCCCAAAGAGGGCCTTATGTTAACCAAAGTGAAAGGAGATCGTACCGCCTTGCCTGATGGGATATATTTTGAACCTGAAGATGAGGCCTTAAATGATCCAAATGGGAGCAAGTTTTTGCATCTAAATGGATTCAAAAAGAAATCTGCCGGCAATACAGACTTGACTGCGATCGAGAATTAGAATATAGAAACATAATATAAATTTTAAAAAAAAAAAAAAAAAA</t>
  </si>
  <si>
    <t>SYYPRRNMFGIRCLLIIFSIVLLLQHSVCKDMAVYQASGIQLVDLIRGYTPKEGLMLTKVKGDRTALPDGIYFEPEDEALNDPNGSKFLHLNGFKKKSAGNTDLTAIEN</t>
  </si>
  <si>
    <t>0.856457</t>
  </si>
  <si>
    <t>CS pos: 29-30. SVC-KD. Pr: 0.7114</t>
  </si>
  <si>
    <t>KDMAVYQASGIQLVDLIRGYTPKEGLMLTKVKGDRTALPDGIYFEPEDEALNDPNGSKFLHLNGFKKKSAGNTDLTAIEN</t>
  </si>
  <si>
    <t>A0A8S0ZXY5</t>
  </si>
  <si>
    <t>TRINITY_DN2323_c0_g1_i1.p1</t>
  </si>
  <si>
    <t>GTGTAAGACATGCGTCGGTCGTAGACTGAACTTTGTACGATTGTAGCTGTGAATAAATTTATTTTATAGGACAAAGTAAAGCCTTCAACATGCGACGTATAATAATCTTAGCCGCGATTTCGGTGTTAGCCATGGCCAGACCGGAATTGTACAAGGAAAAAGAAGATTTTAAATATTCAAGAAGTTCAACTGATGAAGGATCCAAATCTGGGTTCTATGGTGCTCAAAGGGGCAACATGGGAGGAAATTACGAACGTGCACATAACATGGATGGGCTAGCTCAGCATCAAATGAGTGGTCTGGTAAACCAAGTGGAAGGGGAACTTGGAGATGGAGCAAATACTAGAAGTGGAAGCGTATACAGTGCTGCTAATTCTAGGGGTATTTACGGTTCAGGTCACTATGATGTTAGCAACCTAAAAGGCCGTAACTTCCAGGAAAGCGAAATTAATAGCGGTTCGCATTCTAAATCGTCTTCATCGCAATACAACAATGCCGCATATACTAACAGCCGATCTTTGAGTTCAGGTTACGGTGGATATCATGGATCGGGACGTTCGGGCGAGTATTTGCAATCTAGCGATTTACAGAACCTAGATCAGGGCGCTGGTTCATACGATTACGGACACCAAACTAGTTCAGGACATCATTCACAAACGGGCTACCACTCGCACAGTTCGTATGGTGTTAGCGATGATAACTCACATGCTGGAGAATATGGATCAAACGTACAAACCAGGTTGGTGAGTGCAGTACCAGTAAGAATAGTTGTTAGACCCGGTACAAGAGTAGCCATACCGATTGGTGCTCAAACTACCCTTAATCAGGATTCTTCAATATATGATACAAATCAGAGGTCTTCTACTTACGATGTCAGCCATAGATCATCAAGTTATGATGCTAATGACCGATCTTCATCGTATGATCAAAGCTTAAGAAACAGTGAAGCTGAAGTATTAAGTGGTAATGATCACCATAATGCTTACACACCTATAAATAACCCTAAACATTATGAATCATCTTACAGTTATCGTAAAGAATGGGAGAAACGCAACACAATTCCTGCTACTATACAAGCCCCGACCGAAAATCTGTTTCCTCAAAATAGCGAAAACGGGGACTTATATGAGAACCGTCAAGGGCATACATCAAGCTTATCTTCCGATTCACAAAGAGCGCATTCCTCTAATGCCTATAGTGGTTACCACACAAATGTCAAGTCTTCACAGGTTAGACACCAATCAGATTTAAATTCACAACAATATGGTTCATTATCAGCATCGAACTTAAAAGAACATACACAAACCAATGGATACAACGCAGACTCTAATACAGATTTAAACAGTCAAGTTGAGGATATCAATACTAAGCCTAAAAGTTATCATTCTTCATACGCGTATCACAAATCCTGGGAACGCCAGGGAGATCCCTATGTAATAGAACCAGCATCTAATGGGTATGTTAGCCAGTCATCACAACGATATTCTGCTGGAACTAAAAGTGGGTCATATCGATCTGGGTCTCAACACCAGAATCAAATAGATTGTGACGAATTATGTGGTCATATTCGAGTAGCTCGTTCTTACGACACAAGCCAATATCAAGAAGACTTAGGGCAAAAAAGTCAGAATTTAGAAGACTTTGGTCAGCAACAAAGTCAAAATATGGAAGATTTTGGTCAGCAACAAAGTCAAAATTTGGAAGATTTTGGTCAGCAACAAAGTCAAAATTTGGAAGATTTTGGCCAGCAACAAAGCCAAGATCTGGATGATTTTGGTCAGCAACAGAGTCAAAAATTGGAAGATTTTGGTCAACAAACGCAGAGCAAGTGGGAAAATTTAGAAAACTTGGGACAAGTCGGAATCGATAGGTGGGATCAACAAACACAACATAATGTGGGACAAAACGCTCAAATAACACGAGTTAAACCAAAAGTTCTGCCTTCGAACATTGAACAACAAACCCAAAATAAGTGGTACTTAAGCAAAGTAAAAGACGAAGATGCACAACATCAAGATATTCAAAATAGACAGATACCACTTGAGAACAAATCAAATCAACAAGCGCACACAGAAGTGAATTCGAGTGAAGGTTTTTCAGGACCATTCAAAAATAATGATGACGATAGTCAAAAATATTCATATTGGACACAATTCCAAAGTAATGAACAAACAAACATGAAAGATAAACAATTTTATGCTGATGTCAATAACGAACAGTCCTCATTTGGTAACAGTTTTATGGATGAGAACTCTTATCTTAATCATAAGGACATACAAACGATTAATGAGCAAAGAAAACTGGATTCAGACACTAATGGCCATTTAGAAAATAATTTGCATGCACTATATATACATAATAATTCATATTTACATAATACTGAAAAGAACTTACAAGATAATACAATGTTTAATTTTTGGAACAAACTTGATAATATTGAAAATCAACTACAAACGTCTTCAAATAAATCTTATAATAATAATTCATCGAGCGACTATCAGCAGTATGATTTAGCACCTCTATTTGGATATCATTCATTGCCCAATATGAACGTTATTAACGAAAATAATATTACACATGTACCTTTAGAGAACCATGATAAAGACGTGCTTCAAGATATAGGACGTGGTGACATTGCGGCTGAAGAAGAAATAGCAGAAGAAAGGTTATACCCTTCTGATTCTTATAATCTCATGATTCCAGTTGTGATTGGAAGTTTAAATTCTACTCAACAAATTACTAACAAAAACAGTTCAGACTCTCAAATATCGGATAACCATGAATTTATGTTCCCCACTTCTACACCTACCTACCAGTATCTTGAAAAATATGCACATGACACATCATTGCATCATAAAGAAGAAACATCGGGAGCAAATGGAGAACCTAAAATTTTTAACCAGCATAATGTAGACATTTTAGGTCCAAAAATGGAGGGTACAGAGTATCCAAAATATTATAAAGAAATAGGTTTGCATACCTTGAATCAAAACAAGGACCAGCAAAATTTACAAGATTTGAGTAACATAACAAGTGCAAACATTCACAATTCAAACTTGGATTCTTCTGCTAAGAGTAATAATACTCGGGATAGACAAAATATACAACAATTTGGACAACATGATAACATGGCAAATCAAAACTTGCATAATTATGCACAAGAAACTGAAAACTTAGAGAGAAAAAATGTACATGAGTTCAAACAACAAAGTGAGAACTTAGAGCAACAAAATTCGCAGGACTTTAAATATATGAATTTACACAATTTTGGGCAACAACATGAAAATATTGACCTACAAAACCAACAGAGTTTTGAGCAAACTCAGGACTTAGAACAAAATTCACAAAATTTTGGTCAGCAAAACTTAGTGAACTTTGGACAACAAGATGAAAACTTTGATCAACAAAATGTACAGGATTTTGAGCAGCAAAATTTACAAGACTTTGGGCAACAAGAGGACTTATCACAACAAAGTTTACAAAATTTTGCGCAACAAACTGAAGACCTACAGCAACAAAATATACAGGACTTTGGACAGCAAAATGATAACTTAGAGCAACAGAATATACAAGATTTTGAACAACAACATTGGAACTATGAAAATCAGAATTTACAAACATTTAGACATTCTGAGCAACATAATACACACAACTATGAACAACAATATCAAGAAAAATTTGCTCAGCAAAATTATGGTCCACAACAGCAAAACATGGGGCAAAGTAGAGAGAATTTTAAAGAACAAAATCTACATGAGGATTCAGATATTGAACAACAAAGTTATAATATTATGCACAATTTAGAAAAGTTTACGCCTGTAGATCGCTTTGGCAAAGAGACAAAACCAAAAACAGAAAAGATGGAAGTACTACCATTTGACACACAAAGCAACAGCAACTTACAATCAACACTACCTAAAATTTCAAATGTTGAAATGCCACAAGAACCCGTGACTGAAAAGCCAGGGTTTTGGAAATCAGTTGGTAACAAATTTGTTAATGCCAAAGATAAGGTTTGGTCATGGTTTGGAAGTTAGAATATAGAAAATAAAATGTCTTAGATGATGCTATTTATTGAACTAGTCATAAGCAATTTATTAATATTTATAGTTTAAAATTATAATGATATTTCGTATTTTGATAAATTACAGTGGATGTTTTTAACAATTTAATTTATGTAACTCGCATACCTCTGACAGAGAATTAAAATATTTGACAAACGCCTGCTGCTGAACAGAATCTGAAAAGCATACATATACAAGTTAATATCAAATATAAAAATGAATTAAGATTCTAATAAAATACTTGCACAAATTAGTTTATTGGTTTTATTTCTTATATCAGTGGAAATTTGGATAGATGATTATCTAGAAAATCCTATCATGATAAAATAAATAACTAATTTCAATAAGATCAAAAATGTCCAGTGAAATATTTATGAATGTAGATGATGTGAATAAGATATTTCAGTCATAGCACAAAGAAATTATAGTCCCTGCCTATACCGTTAAGAAACAGTGGGTTTATGAATACTTTTGCACATAAGTAATCGATATAAATTCATTATAAATTTGACTTTTTCTCTTAAAACTCATAATAATTGTAAGTTGTTATGTAAATCAAATATATTTTAGTGTGCTCCAGGAGGGGAAGCAAAAAGGTTGCGAAAAGTTTATACAAGCTAAGATTTTTCATTTTTAGAATTTATTTGATTTGTCTAGAATTTCTCTGTGAAGATATCCAGTAAAAGCTGCATGCAGGGTGCTACGAGGGTGGATTTAAAAGTAGTCGGCCTAATCAAGAAAATAAACACATACTAAATCAGTTATATTTTTATTTTTATACATAATCACCATCAAGTGCCCAATGCACTTTTGCCACCTCCCCTTCAAAGCCGTTCTAAATCGG</t>
  </si>
  <si>
    <t>MRRIIILAAISVLAMARPELYKEKEDFKYSRSSTDEGSKSGFYGAQRGNMGGNYERAHNMDGLAQHQMSGLVNQVEGELGDGANTRSGSVYSAANSRGIYGSGHYDVSNLKGRNFQESEINSGSHSKSSSSQYNNAAYTNSRSLSSGYGGYHGSGRSGEYLQSSDLQNLDQGAGSYDYGHQTSSGHHSQTGYHSHSSYGVSDDNSHAGEYGSNVQTRLVSAVPVRIVVRPGTRVAIPIGAQTTLNQDSSIYDTNQRSSTYDVSHRSSSYDANDRSSSYDQSLRNSEAEVLSGNDHHNAYTPINNPKHYESSYSYRKEWEKRNTIPATIQAPTENLFPQNSENGDLYENRQGHTSSLSSDSQRAHSSNAYSGYHTNVKSSQVRHQSDLNSQQYGSLSASNLKEHTQTNGYNADSNTDLNSQVEDINTKPKSYHSSYAYHKSWERQGDPYVIEPASNGYVSQSSQRYSAGTKSGSYRSGSQHQNQIDCDELCGHIRVARSYDTSQYQEDLGQKSQNLEDFGQQQSQNMEDFGQQQSQNLEDFGQQQSQNLEDFGQQQSQDLDDFGQQQSQKLEDFGQQTQSKWENLENLGQVGIDRWDQQTQHNVGQNAQITRVKPKVLPSNIEQQTQNKWYLSKVKDEDAQHQDIQNRQIPLENKSNQQAHTEVNSSEGFSGPFKNNDDDSQKYSYWTQFQSNEQTNMKDKQFYADVNNEQSSFGNSFMDENSYLNHKDIQTINEQRKLDSDTNGHLENNLHALYIHNNSYLHNTEKNLQDNTMFNFWNKLDNIENQLQTSSNKSYNNNSSSDYQQYDLAPLFGYHSLPNMNVINENNITHVPLENHDKDVLQDIGRGDIAAEEEIAEERLYPSDSYNLMIPVVIGSLNSTQQITNKNSSDSQISDNHEFMFPTSTPTYQYLEKYAHDTSLHHKEETSGANGEPKIFNQHNVDILGPKMEGTEYPKYYKEIGLHTLNQNKDQQNLQDLSNITSANIHNSNLDSSAKSNNTRDRQNIQQFGQHDNMANQNLHNYAQETENLERKNVHEFKQQSENLEQQNSQDFKYMNLHNFGQQHENIDLQNQQSFEQTQDLEQNSQNFGQQNLVNFGQQDENFDQQNVQDFEQQNLQDFGQQEDLSQQSLQNFAQQTEDLQQQNIQDFGQQNDNLEQQNIQDFEQQHWNYENQNLQTFRHSEQHNTHNYEQQYQEKFAQQNYGPQQQNMGQSRENFKEQNLHEDSDIEQQSYNIMHNLEKFTPVDRFGKETKPKTEKMEVLPFDTQSNSNLQSTLPKISNVEMPQEPVTEKPGFWKSVGNKFVNAKDKVWSWFGS</t>
  </si>
  <si>
    <t>RPELYKEKEDFKYSRSSTDEGSKSGFYGAQRGNMGGNYERAHNMDGLAQHQMSGLVNQVEGELGDGANTRSGSVYSAANSRGIYGSGHYDVSNLKGRNFQESEINSGSHSKSSSSQYNNAAYTNSRSLSSGYGGYHGSGRSGEYLQSSDLQNLDQGAGSYDYGHQTSSGHHSQTGYHSHSSYGVSDDNSHAGEYGSNVQTRLVSAVPVRIVVRPGTRVAIPIGAQTTLNQDSSIYDTNQRSSTYDVSHRSSSYDANDRSSSYDQSLRNSEAEVLSGNDHHNAYTPINNPKHYESSYSYRKEWEKRNTIPATIQAPTENLFPQNSENGDLYENRQGHTSSLSSDSQRAHSSNAYSGYHTNVKSSQVRHQSDLNSQQYGSLSASNLKEHTQTNGYNADSNTDLNSQVEDINTKPKSYHSSYAYHKSWERQGDPYVIEPASNGYVSQSSQRYSAGTKSGSYRSGSQHQNQIDCDELCGHIRVARSYDTSQYQEDLGQKSQNLEDFGQQQSQNMEDFGQQQSQNLEDFGQQQSQNLEDFGQQQSQDLDDFGQQQSQKLEDFGQQTQSKWENLENLGQVGIDRWDQQTQHNVGQNAQITRVKPKVLPSNIEQQTQNKWYLSKVKDEDAQHQDIQNRQIPLENKSNQQAHTEVNSSEGFSGPFKNNDDDSQKYSYWTQFQSNEQTNMKDKQFYADVNNEQSSFGNSFMDENSYLNHKDIQTINEQRKLDSDTNGHLENNLHALYIHNNSYLHNTEKNLQDNTMFNFWNKLDNIENQLQTSSNKSYNNNSSSDYQQYDLAPLFGYHSLPNMNVINENNITHVPLENHDKDVLQDIGRGDIAAEEEIAEERLYPSDSYNLMIPVVIGSLNSTQQITNKNSSDSQISDNHEFMFPTSTPTYQYLEKYAHDTSLHHKEETSGANGEPKIFNQHNVDILGPKMEGTEYPKYYKEIGLHTLNQNKDQQNLQDLSNITSANIHNSNLDSSAKSNNTRDRQNIQQFGQHDNMANQNLHNYAQETENLERKNVHEFKQQSENLEQQNSQDFKYMNLHNFGQQHENIDLQNQQSFEQTQDLEQNSQNFGQQNLVNFGQQDENFDQQNVQDFEQQNLQDFGQQEDLSQQSLQNFAQQTEDLQQQNIQDFGQQNDNLEQQNIQDFEQQHWNYENQNLQTFRHSEQHNTHNYEQQYQEKFAQQNYGPQQQNMGQSRENFKEQNLHEDSDIEQQSYNIMHNLEKFTPVDRFGKETKPKTEKMEVLPFDTQSNSNLQSTLPKISNVEMPQEPVTEKPGFWKSVGNKFVNAKDKVWSWFGS</t>
  </si>
  <si>
    <t>TRINITY_DN1463_c0_g2_i5.p1</t>
  </si>
  <si>
    <t>GTTCGATGTTATTGTATTCAAACAAACTCGAGTATCCGGTTTATGGGTATAACCAACATACTACGTGCACGGAATCTGCAAATCGGCGGGCGCGCTTCATCACGTTTTTCTTGTCGATCCACAAACCTAACATCCTGTTGTTATCCCCATCAGTTTTAATATTCAAGATCGTTAATCATAACGTCATATAGAAATTAATTGCAGTCCCCGTCAACGTCACTATGGGAAATTATATTTCTGCGATTCGCTTCTGCCAACTGATCACAATTGTAGAGCGTCCGTGACGTCGTGAGACAAAAAACAACTCGTATAAATAGGTCGACTACGTGAATCCTGCAACAGTGATCGCGATGGAACTCTGTAGTGTGGTGGTGATCGCCCTGACGCTGACGGCTTTGACCTCGGCACTGCCGTCTATAGGCGATAATTCTCTAGACGGCGAGGAACGAGTGGTTCTTGTTGCACCGGTTCTGGCGCCTCCGAGAGATTCCAGGACGCACGCCACTGACCGGTCAAGGCAATTCCCTATACTAATCTTGTTGGCGCAACCAAACCCGCAAGAATATGTACGCTCGGAATCAGAAGCTAAGTCTTTGAAAGGAAACCCTGAACCCATTTATGTTAAGAAACTTGAAGACCAACATACGCCAAGTACTGGACAGCTGAACAGACAGAAGCGTACGTTGTTAAAGAGCCTTCTATTTGGAGGCGGAGGTGGGGGTCTCTCGATCGGCGGAGGCTTCGGAATTGGCGGTGGCGGAGGTGGAGGCGGGGGCGGAGGT</t>
  </si>
  <si>
    <t>MELCSVVVIALTLTALTSALPSIGDNSLDGEERVVLVAPVLAPPRDSRTHATDRSRQFPILILLAQPNPQEYVRSESEAKSLKGNPEPIYVKKLEDQHTPSTGQLNRQKRTLLKSLLFGGGGGGLSIGGGFGIGGGGGGGGGGG</t>
  </si>
  <si>
    <t>LPSIGDNSLDGEERVVLVAPVLAPPRDSRTHATDRSRQFPILILLAQPNPQEYVRSESEAKSLKGNPEPIYVKKLEDQHTPSTGQLNRQKRTLLKSLLFGGGGGGLSIGGGFGIGGGGGGGGGGG</t>
  </si>
  <si>
    <t>A0A921YXF0</t>
  </si>
  <si>
    <t>TRINITY_DN180_c0_g1_i2.p1</t>
  </si>
  <si>
    <t>CTTACATCGTTTGTGTCAACGCGCCTCCTCAACTCACTATAAAAACTCGAGCGTTAACCAACATCCACCAATACATTGCCAGCCGTCACAGCGATAGCACATTAAAAAAAAACAATAATTTTTATATTAAAATAAAGTTGTGTTAGTGGTTGCATCGTCCCTTCTTCACAACCTTCATTTTAAAGGACCTAAATTTCATGATGAAGGTCTTATTATTATGCCTGGCCTTTGCGGCTGTCAGTCTGGCGATGCCGGTAGCCGAGGAGAAACCCGATATTGGTGCACCACCACCGCCCATCTCGAAAACTGAAGAACCGATCCCCCAAGCAGATGCGCCTGCTGAAAATAAACCTGACTTGCCAGAGCTCGAAGAAGCCAAAAAACAATCTGAAGAAAAAATCGAACCTGAAAAACAACTTGAAACTAAAGAATCTGAAGCACCTAAACCAGGTGAATCAATAGAGAGTAAGAGCGACAAAGCAATTCTGGAACCTAAATCTGTTGAAACTGAACCCGCAGTAAAGGCGGAGGAACCAAAGCCTATAAATCCACCATCAGAGATTGAGTCTGAGGGAAAATCAGCTGGTATTGAAGAGAAGATCGTTGAGCAACAAAAAGAAACAGAAATTCCTGCAACCATTAATGAGGTACCTAAAGACTCGTCCGCAAAGTCTGTTATCTCTGAAGAAGCTATTGATATAGTTAATGCTGTTAAAGTTGACGCTGCCATTGCTGATGACGGTGTTCAGCCTGAAATTTTGAAGCCTACACCGGAAAAGAAAACAGATTTGCCCGTCGTACCTGGAGCTGACGCCACAGGTTCTGAATTAAAAAATGTTGACGCTGCTGTCATGCAAGGACCAGTTAAAGCCGAAGAAAAGAAACCCGATGAGAGCAAAGCCGCAGAGTCTGCTGCTGACGTTGCGCCTGAAGCCGCTAAACCAGAAGAGCCTGCCGATACCTCAGACAGTCTCCGTGTAGTCCGCGATACCGTAGATGACAAAGCCAAGTCTGACGAAGCACTTAAAGAGGATGCCAAGCCAACTGAAGTTACCAAAGAACAAGAAATCTCGATATTACCCGAGGAAAAGAAGGAACAACAAAAAAATATTGAAATTGAGTCAAGCAAAACAGAGAAAGATGCTCCAGCGCCGGAACCAGCTAAAACCGAGGAGAGCGTTCCCAAAGAGGTCGATACCGCACAATCGCCAGTCAACACTGACGCTACCGCAGCTGCAACTGATCTCAAAAGCAAACCTGATGAGAAACCCTTAAACGACCTTCCAGCTGCACCCAACAGCTCTGAAGAAAGCGACGAGAGCTCTTAGAAAAAATACATTTCAGGCAAAAACAATTCGTCCGAAGAGAACGAATCCAAATCTTAGATAAGTTTTAAGTAGGAAGCGCTTGGCGGTGGACGTGTGTCGACCCACCACCCTCGACACGCGCCCCCCGCGCGCGGCCTCGCCCCCTGAGCACCATGTCGTGATGCATGCCCTGTGAGTGTGTGAGTGGCTACTGCCGCTACAGCGTGGATATTCACTAGATTTAGAGACTATTTAAATAGCTGAACCGATTAAAATTACCTACGTTGTAATTATTATTTGTCAAAGTAAATTATCGAATTTCCGGTATTATAAGTAATAAAATATGTTTTTATAAAAAAAAAAAAAAAAAAAAAAA</t>
  </si>
  <si>
    <t>MMKVLLLCLAFAAVSLAMPVAEEKPDIGAPPPPISKTEEPIPQADAPAENKPDLPELEEAKKQSEEKIEPEKQLETKESEAPKPGESIESKSDKAILEPKSVETEPAVKAEEPKPINPPSEIESEGKSAGIEEKIVEQQKETEIPATINEVPKDSSAKSVISEEAIDIVNAVKVDAAIADDGVQPEILKPTPEKKTDLPVVPGADATGSELKNVDAAVMQGPVKAEEKKPDESKAAESAADVAPEAAKPEEPADTSDSLRVVRDTVDDKAKSDEALKEDAKPTEVTKEQEISILPEEKKEQQKNIEIESSKTEKDAPAPEPAKTEESVPKEVDTAQSPVNTDATAAATDLKSKPDEKPLNDLPAAPNSSEESDESS</t>
  </si>
  <si>
    <t>0.997337</t>
  </si>
  <si>
    <t>CS pos: 17-18. SLA-MP. Pr: 0.7422</t>
  </si>
  <si>
    <t>MPVAEEKPDIGAPPPPISKTEEPIPQADAPAENKPDLPELEEAKKQSEEKIEPEKQLETKESEAPKPGESIESKSDKAILEPKSVETEPAVKAEEPKPINPPSEIESEGKSAGIEEKIVEQQKETEIPATINEVPKDSSAKSVISEEAIDIVNAVKVDAAIADDGVQPEILKPTPEKKTDLPVVPGADATGSELKNVDAAVMQGPVKAEEKKPDESKAAESAADVAPEAAKPEEPADTSDSLRVVRDTVDDKAKSDEALKEDAKPTEVTKEQEISILPEEKKEQQKNIEIESSKTEKDAPAPEPAKTEESVPKEVDTAQSPVNTDATAAATDLKSKPDEKPLNDLPAAPNSSEESDESS</t>
  </si>
  <si>
    <t> 38280,25</t>
  </si>
  <si>
    <t>A0A2A4IWZ5</t>
  </si>
  <si>
    <t>TRINITY_DN5173_c1_g1_i2.p1</t>
  </si>
  <si>
    <t>CGACGAGAGGTCTCATGCACACACACAACTAATGAGAGAGGAACTTATCGAGTCATACCGCTCGAGGCAGCTGAGCCAACTTGACCCTGTCAAACCATTTATCGACCAATCCGAGACATTAGAAGCGTCCAATTTATGTATATACTTAATTTGACGTCTCGGGCAACTTTGTGATAGTTCACATCAACAGAGCAACCGGTTCCGTACGCCGTTCTTATAGTTGTGTAACCATGAAGTCAGCCGTTTTGATTTTGTTTTTAGTTTTTCTTGCAGTCGAATGTCGAAAAGTCGTGCAAATAAACAAAAATGCCAATATCGATTTCATCAATATGGAAACCGGTGGGGTGAGGCAGCCTCCTGTCCAACCTCAGCCGAAGACACCAGCAGCCCCTACCCCTGCATCTATCAATAAACCACCAACTCCAGTTCCAGTTGCCAAACCGGCTCCAACATCAACTCCTATCACAGTCAAGCCTCCTCAACCATCCCAGACTCCAAACCAAATCAAACCAGTGCCCGTGAACCCGAAACCAGTGGCCAGCCCGGCAACGACTCCCGGACCAGGCAGTGTAAAATCACTAATTAATTACTATGATAGCCAAGGAAAAGCTAGCCCGATTAGACCGTACAGCTACAGCCAAGCAGTAAAACAGGGTTAATCCGACTTAATCTATACCTAAGTACTACGAAAGATTTTAATAAAATTTGCTGAAAAAGTAATAATTTTTCACTGTTTTCGTTAGTAAATGGAGGTCTATTCCAAATTTGAAGTCACATATGACACTATAAAATAACTTCTTCTTCTTCTTTTTCATAGTGGCAATCGGCTGCGAATTCGCGCCATTTCTGCCAATGTCGAG</t>
  </si>
  <si>
    <t>MKSAVLILFLVFLAVECRKVVQINKNANIDFINMETGGVRQPPVQPQPKTPAAPTPASINKPPTPVPVAKPAPTSTPITVKPPQPSQTPNQIKPVPVNPKPVASPATTPGPGSVKSLINYYDSQGKASPIRPYSYSQAVKQG</t>
  </si>
  <si>
    <t>0.994523</t>
  </si>
  <si>
    <t>CS pos: 17-18. VEC-RK. Pr: 0.9238</t>
  </si>
  <si>
    <t>RKVVQINKNANIDFINMETGGVRQPPVQPQPKTPAAPTPASINKPPTPVPVAKPAPTSTPITVKPPQPSQTPNQIKPVPVNPKPVASPATTPGPGSVKSLINYYDSQGKASPIRPYSYSQAVKQG</t>
  </si>
  <si>
    <t>A0A2A4JTM7</t>
  </si>
  <si>
    <t>TRINITY_DN2323_c0_g1_i4.p2</t>
  </si>
  <si>
    <t>GTGTAAGACATGCGTCGGTCGTAGACTGAACTTTGTACGATTGTAGCTGTGAATAAATTTATTTTATAGGACAAAGTAAAGCCTTCAACATGCGACGTATAATAATCTTAGCCGCGATTTCGGTGTTAGCCATGGCCAGACCGGAATTGTACAAGGAAAAAGAAGATTTTAAATATTCAAGAAGTTCAACTGATGAAGGATCCAAATCTGGGTTCTATGGTGCTCAAAGGGGCAACATGGGAGGAAATTACGAACGTGCACATAACATGGATGGGCTAGCTCAGCATCAAATGAGTGGTCTGGTAAACCAAGTGGAAGGGGAACTTGGAGATGGAGCAAATACTAGAAGTGGAAGCGTATACAGTGCTGCTAATTCTAGGGGTATTTACGGTTCAGGTCACTATGATGTTAGCAACCTAAAAGGCCGTAACTTCCAGGAAAGCGAAATTAATAGCGGTTCGCATTCTAAATCGTCTTCATCGCAATACAACAATGCCGCATATACTAACAGCCGATCTTTGAGTTCAGGTTACGGTGGATATCATGGATCGGGACGTTCGGGCGAGTATTTGCAATCTAGCGATTTACAGAACCTAGATCAGGGCGCTGGTTCATACGATTACGGACACCAAACTAGTTCAGGACATCATTCACAAACGGGCTACCACTCGCACAGTTCGTATGGTGTTAGCGATGATAACTCACATGCTGGAGAATATGGATCAAACGTACAAACCAGGTTGGTGAGTGCAGTACCAGTAAGAATAGTTGTTAGACCCGGTACAAGAGTAGCCATACCGATTGGTGCTCAAACTACCCTTAATCAGGATTCTTCAATATATGATACAAATCAGAGGTCTTCTACTTACGATGTCAGCCATAGATCATCAAGTTATGATGCTAATGACCGATCTTCATCGTATGATCAAAGCTTAAGAAACAGTGAAGCTGAAGTATTAAGTGGTAATGATCACCATAATGCTTACACACCTATAAATAACCCTAAACATTATGAATCATCTTACAGTTATCGTAAAGAATGGGAGAAACGCAACACAATTCCTGCTACTATACAAGCCCCGACCGAAAATCTGTTTCCTCAAAATAGCGAAAACGGGGACTTATATGAGAACCGTCAAGGGCATACATCAAGCTTATCTTCCGATTCACAAAGAGCGCATTCCTCTAATGCCTATAGTGGTTACCACACAAATGTCAAGTCTTCACAGGTTAGACACCAATCAGATTTAAATTCACAACAATATGGTTCATTATCAGCATCGAACTTAAAAGAACATACACAAACCAATGGATACAACGCAGACTCTAATACAGATTTAAACAGTCAAGTTGAGGATATCAATACTAAGCCTAAAAGTTATCATTCTTCATACGCGTATCACAAATCCTGGGAACGCCAGGGAGATCCCTATGTAATAGAACCAGCATCTAATGGGTATGTTAGCCAGTCATCACAACGATATTCTGCTGGAACTAAAAGTGGGTCATATCGATCTGGGTCTCAACACCAGAATCAAATAGATTGTGACGAATTATGTGGTCATATTCGAGTAGCTCGTTCTTACGACACAAGCCAATATCAAGAAGACTTAGGGCAAAAAAAGTCAGAATTTAGAAGACTTTGGTCAGCAACAAAGTCAAAATATGGAAGATTTTGGTCAGCAACAAAGTCAAAATTTGGAAGATTTTGGCCAGCAACAAAGCCAAGATCTGGATGATTTTGGTCAGCAACAGAGTCAAAAATTGGAAGATTTTGGTCAACAAACGCAGAGCAAGTGGGAAAATTTAGAAAACTTGGGACAAGTCGGAATCGATAGGTGGGATCAACAAACACAACATAATGTGGGACAAAACGCTCAAATAACACGAGTTAAACCAAAAGTTCTGCCTTCGAACATTGAACAACAAACCCAAAATAAGTGGTACTTAAGCAAAGTAAAAGACGAAGATGCACAACATCAAGATATTCAAAATAGACAGATACCACTTGAGAACAAATCAAATCAACAAGCGCACACAGAAGTGAATTCGAGTGAAGGTTTTTCAGGACCATTCAAAAATAATGATGACGATAGTCAAAAATATTCATATTGGACACAATTCCAAAGTAATGAACAAACAAACATGAAAGATAAACAATTTTATGCTGATGTCAATAACGAACAGTCCTCATTTGGTAACAGTTTTATGGATGAGAACTCTTATCTTAATCATAAGGACATACAAACGATTAATGAGCAAAGAAAACTGGATTCAGACACTAATGGCCATTTAGAAAATAATTTGCATGCACTATATATACATAATAATTCATATTTACATAATACTGAAAAGAACTTACAAGATAATACAATGTTTAATTTTTGGAACAAACTTGATAATATTGAAAATCAACTACAAACGTCTTCAAATAAATCTTATAATAATAATTCATCGAGCGACTATCAGCAGTATGATTTAGCACCTCTATTTGGATATCATTCATTGCCCAATATGAACGTTATTAACGAAAATAATATTACACATGTACCTTTAGAGAACCATGATAAAGACGTGCTTCAAGATATAGGACGTGGTGACATTGCGGCTGAAGAAGAAATAGCAGAAGAAAGGTTATACCCTTCTGATTCTTATAATCTCATGATTCCAGTTGTGATTGGAAGTTTAAATTCTACTCAACAAATTACTAACAAAAACAGTTCAGACTCTCAAATATCGGATAACCATGAATTTATGTTCCCCACTTCTACACCTACCTACCAGTATCTTGAAAAATATGCACATGACACATCATTGCATCATAAAGAAGAAACATCGGGAGCAAATGGAGAACCTAAAATTTTTAACCAGCATAATGTAGACATTTTAGGTCCAAAAATGGAGGGTACAGAGTATCCAAAATATTATAAAGAAATAGGTTTGCATACCTTGAATCAAAACAAGGACCAGCAAAATTTACAAGATTTGAGTAACATAACAAGTGCAAACATTCACAATTCAAACTTGGATTCTTCTGCTAAGAGTAATAATACTCGGGATAGACAAAATATACAACAATTTGGACAACATGATAACATGGCAAATCAAAACTTGCATAATTATGCACAAGAAACTGAAAACTTAGAGAGAAAAAATGTACATGAGTTCAAACAACAAAGTGAGAACTTAGAGCAACAAAATTCGCAGGACTTTAAATATATGAATTTACACAATTTTGGGCAACAACATGAAAATATTGACCTACAAAACCAACAGAGTTTTGAGCAAACTCAGGACTTAGAACAAAATTCACAAAATTTTGGTCAGCAAAACTTAGTGAACTTTGGACAACAAGATGAAAACTTTGATCAACAAAATGTACAGGATTTTGAGCAGCAAAATTTACAAGACTTTGGGCAACAAGAGGACTTATCACAACAAAGTTTACAAAATTTTGCGCAACAAACTGAAGACCTACAGCAACAAAATATACAGGACTTTGGACAGCAAAATGATAACTTAGAGCAACAGAATATACAAGATTTTGAACAACAACATTGGAACTATGAAAATCAGAATTTACAAACATTTAGACATTCTGAGCAACATAATACACACAACTATGAACAACAATATCAAGAAAAATTTGCTCAGCAAAATTATGGTCCACAACAGCAAAACATGGGGCAAAGTAGAGAGAATTTTAAAGAACAAAATCTACATGAGGATTCAGATATTGAACAACAAAGTTATAATATTATGCACAATTTAGAAAAGTTTACGCCTGTAGATCGCTTTGGCAAAGAGACAAAACCAAAAACAGAAAAGATGGAAGTACTACCATTTGACACACAAAGCAACAGCAACTTACAATCAACACTACCTAAAATTTCAAATGTTGAAATGCCACAAGAACCCGTGACTGAAAAGCCAGGGTTTTGGAAATCAGTTGGTAACAAATTTGTTAATGCCAAAGATAAGGTTTGGTCATGGTTTGGAAGTTAGAATATAGAAAATAAAATGTCTTAGATGATGCTATTTATTGAACTAGTCATAAGCAATTTATTAATATTTATAGTTTAAAATTATAATGATATTTCGTATTTTGATAAATTACAGTGGATGTTTTTAACAATTTAATTTATGTAACTCGCATACCTCTGACAGAGAATTAAAATATTTGACAAACGCCTGCTGCTGAACAGAATCTGAAAAGCATACATATACAAGTTAATATCAAATATAAAAATGAATTAAGATTCTAATAAAATACTTGCACAAATTAGTTTATTGGTTTTATTTCTTATATCAGTGGAAATTTGGATAGATGATTATCTAGAAAATCCTATCATGATAAAATAAATAACTAATTTCAATAAGATCAAAAATGTCCAGTGAAATATTTATGAATGTAGATGATGTGAATAAGATATTTCAGTCATAGCACAAAGAAATTATAGTCCCTGCCTATACCGTTAAGAAACAGTGGGTTTATGAATACTTTTGCACATAAGTAATCGATATAAATTCATTATAAATTTGACTTTTTCTCTTAAAACTCATAATAATTGTAAGTTGTTATGTAAATCAAATATATTTTAGTGTGCTCCAGGAGGGGAAGCAAAAAGGTTGCGAAAAGTTTATACAAGCTAAGATTTTTCATTTTTAGAATTTATTTGATTTGTCTAGAATTTCTCTGTGAAGATATCCAGTAAAAGCTGCATGCAGGGTGCTACGAGGGTGGATTTAAAAGTAGTCGGCCTAATCAAGAAAATAAACACATACTAAATCAGTTATATTTTTATTTTTATACATAATCACCATCAAGTGCCCAATGCACTTTTGCCACCTCCCCTTCAAAGCCGTTCTAAATCGG</t>
  </si>
  <si>
    <t>MRRIIILAAISVLAMARPELYKEKEDFKYSRSSTDEGSKSGFYGAQRGNMGGNYERAHNMDGLAQHQMSGLVNQVEGELGDGANTRSGSVYSAANSRGIYGSGHYDVSNLKGRNFQESEINSGSHSKSSSSQYNNAAYTNSRSLSSGYGGYHGSGRSGEYLQSSDLQNLDQGAGSYDYGHQTSSGHHSQTGYHSHSSYGVSDDNSHAGEYGSNVQTRLVSAVPVRIVVRPGTRVAIPIGAQTTLNQDSSIYDTNQRSSTYDVSHRSSSYDANDRSSSYDQSLRNSEAEVLSGNDHHNAYTPINNPKHYESSYSYRKEWEKRNTIPATIQAPTENLFPQNSENGDLYENRQGHTSSLSSDSQRAHSSNAYSGYHTNVKSSQVRHQSDLNSQQYGSLSASNLKEHTQTNGYNADSNTDLNSQVEDINTKPKSYHSSYAYHKSWERQGDPYVIEPASNGYVSQSSQRYSAGTKSGSYRSGSQHQNQIDCDELCGHIRVARSYDTSQYQEDLGQKKSEFRRLWSATKSKYGRFWSATKSKFGRFWPATKPRSG</t>
  </si>
  <si>
    <t>RPELYKEKEDFKYSRSSTDEGSKSGFYGAQRGNMGGNYERAHNMDGLAQHQMSGLVNQVEGELGDGANTRSGSVYSAANSRGIYGSGHYDVSNLKGRNFQESEINSGSHSKSSSSQYNNAAYTNSRSLSSGYGGYHGSGRSGEYLQSSDLQNLDQGAGSYDYGHQTSSGHHSQTGYHSHSSYGVSDDNSHAGEYGSNVQTRLVSAVPVRIVVRPGTRVAIPIGAQTTLNQDSSIYDTNQRSSTYDVSHRSSSYDANDRSSSYDQSLRNSEAEVLSGNDHHNAYTPINNPKHYESSYSYRKEWEKRNTIPATIQAPTENLFPQNSENGDLYENRQGHTSSLSSDSQRAHSSNAYSGYHTNVKSSQVRHQSDLNSQQYGSLSASNLKEHTQTNGYNADSNTDLNSQVEDINTKPKSYHSSYAYHKSWERQGDPYVIEPASNGYVSQSSQRYSAGTKSGSYRSGSQHQNQIDCDELCGHIRVARSYDTSQYQEDLGQKKSEFRRLWSATKSKYGRFWSATKSKFGRFWPATKPRSG</t>
  </si>
  <si>
    <t>A0A2W1BMN8</t>
  </si>
  <si>
    <t>TRINITY_DN43199_c0_g1_i1.p1</t>
  </si>
  <si>
    <t>TGGGCACGCGCGCACCACTCTTCAGCCCAACAGTTTAGTACCGGTGTACTCCCATCTTCACACCATGAAATCCTCCGTGTTCTGCCTTCTGGTCGCACTGGCGGCGGCTGCAGCGGCCCCCCAACGCGAAGGAGCTTCGTACACTAAAGAGGCTATCAAGCAGGCACAAAACACACACCTCATACCCAAGGACGCCGAGATTCAGAAGGTACAAGAAGGTATCGAGCTAGCGGCATACGAGTCCATCCCAGCGAATCAGAGGATCAACCTTTTCGAAATCCTCGGTGATCAAGTACCCTCAGAGGTGATCAACAACTTGCAGGGTCAGATCGACCAGATCGGCCGTCAATAACCAAATCATTATAATTAAGGAAAGAAGCGCAACGGGAGACTTTAGCGTTTGCGATAAATAGCATTATTATTAGAATACTGTACCAGGCCGTTGCGAAATAGAAATAATAATGCATCTCGATATGGTAGAAAGTACTGCCAAATCTGGCATCTGTCGTTGTGTGAGGTCAGCCATTGCGCAGGCTGTCGCAACCGCTACTGACTCCCAGTCTGTTGAAGATACCGTCGAGTTTACACTTAATTTATTGGTGACGCAAGTTCAGTACAAGATAGTGGATGTGATATTTTATCACAAGGTTTTATAAGTTTTGTATATATAAAGATAATGATAATAAAGTCGTGATGCCCGAAAAAAA</t>
  </si>
  <si>
    <t>GHARTTLQPNSLVPVYSHLHTMKSSVFCLLVALAAAAAAPQREGASYTKEAIKQAQNTHLIPKDAEIQKVQEGIELAAYESIPANQRINLFEILGDQVPSEVINNLQGQIDQIGRQ</t>
  </si>
  <si>
    <t>0.686541</t>
  </si>
  <si>
    <t>CS pos: 38-39. AAA-AP. Pr: 0.3777</t>
  </si>
  <si>
    <t>APQREGASYTKEAIKQAQNTHLIPKDAEIQKVQEGIELAAYESIPANQRINLFEILGDQVPSEVINNLQGQIDQIGRQ</t>
  </si>
  <si>
    <t>A0A9J7E1X0</t>
  </si>
  <si>
    <t>TRINITY_DN180_c0_g1_i6.p1</t>
  </si>
  <si>
    <t>TTGTTCTAGAACAAGATCGCCCACGTTCGTGCAAATTTGCCCGATGACGCAAAACTGTTTACGTGAAATTTCTCCTTGAATAACATGATTTCAGTACAAAAAATAATTTGGGAACACTTGCTAGTGTTCAAAGAAAATTTGTGTCAGTGTGAAATATGTGCTTAGTGACTATTTAAAGGATGAAGGTCTTATTATTATGCCTGGCCTTTGCGGCTGTCAGTCTGGCGATGCCGGTAGCCGAGGAGAAACCCGATATTGGTGCACCACCACCGCCCATCTCGAAAACTGAAGAACCGATCCCCCAAGCAGATGCGCCTGCTGAAAATAAACCTGACTTGCCAGAGCTCGAAGAAGCCAAAAAACAATCTGAAGAAAAAATCGAACCTGAAAAACAACTTGAAACTAAAGAATCTGAAGCACCTAAACCAGGTGAATCAATAGAGAGTAAGAGCGACAAAGCAATTCTGGAACCTAAATCTGTTGAAACTGAACCCGCAGTAAAGGCGGAGGAACCAAAGCCTATAAATCCACCATCAGAGATTGAGTCTGAGGGAAAATCAGCTGGTATTGAAGAGAAGATCGTTGAGCAACAAAAAGAAACAGAAATTCCTGCAACCATTAATGAGGTACCTAAAGACTCGTCCGCAAAGTCTGTTATCTCTGAAGAAGCTATTGATATAGTTAATGCTGTTAAAGTTGACGCTGCCATTGCTGATGACGGTGTTCAGCCTGAAATTTTGAAGCCTACACCGGAAAAGAAAACAGATTTGCCCGTCGTACCTGGAGCTGACGCCACAGGTTCTGAATTAAAAAATGTTGACGCTGCTGTCATGCAAGGACCAGTTAAAGCCGAAGAAAAGAAACCCGATGAGAGCAAAGCCGCAGAGTCTGCTGCTGACGTTGCGCCTGAAGCCGCTAAACCAGAAGAGCCTGCCGATACCTCAGACAGTCTCCGTGTAGTCCGCGATACCGTAGATGACAAAGCCAAGTCTGACGAAGCACTTAAAGAGGATGCCAAGCCAACTGAAGTTACCAAAGAACAAGAAATCTCGATATTACCCGAGGAAAAGAAGGAACAACAAAAAAATATTGAAATTGAGTCAAGCAAAACAGAGAAAGATGCTCCAGCGCCGGAACCAGCTAAAACCGAGGAGAGCGTTCCCAAAGAGGTCGATACCGCACAATCGCCAGTCAACACTGACGCTACCGCAGCTGCAACTGATCTCAAAAGCAAACCTGATGAGAAACCCTTAAACGACCTTCCAGCTGCACCCAACAGCTCTGAAGAAAGCGACGAGAGCTCTTAGAAAAAATACATTTCAGGCAAAAACAATTCGTCCGAAGAGAACGAATCCAAATCTTAGATAAGTTTTAAGTAGGAAGCGCTTGGCGGTGGACGTGTGTCGACCCACCACCCTCGACACGCGCCCCCCGCGCGCGGCCTCGCCCCCTGAGCACCATGTCGTGATGCATGCCCTGTGAGTGTGTGAGTGGCTACTGCCGCTACAGCGTGGATATTCACTAGATTTAGAGACTATTTAAATAGCTGAACCGATTAAAATTACCTACGTTGTAATTATTATTTGTCAAAGTAAATTATCGAATTTCCGGTATTATAAGTAATAAAATATGTTTTTATAAAAAAAAAAAAAAAAAAAAAAA</t>
  </si>
  <si>
    <t>MKVLLLCLAFAAVSLAMPVAEEKPDIGAPPPPISKTEEPIPQADAPAENKPDLPELEEAKKQSEEKIEPEKQLETKESEAPKPGESIESKSDKAILEPKSVETEPAVKAEEPKPINPPSEIESEGKSAGIEEKIVEQQKETEIPATINEVPKDSSAKSVISEEAIDIVNAVKVDAAIADDGVQPEILKPTPEKKTDLPVVPGADATGSELKNVDAAVMQGPVKAEEKKPDESKAAESAADVAPEAAKPEEPADTSDSLRVVRDTVDDKAKSDEALKEDAKPTEVTKEQEISILPEEKKEQQKNIEIESSKTEKDAPAPEPAKTEESVPKEVDTAQSPVNTDATAAATDLKSKPDEKPLNDLPAAPNSSEESDESS</t>
  </si>
  <si>
    <t>CS pos: 16-17. SLA-MP. Pr: 0.7413</t>
  </si>
  <si>
    <t>A0A2A4IWZ25</t>
  </si>
  <si>
    <t>TRINITY_DN40974_c0_g1_i1.p1</t>
  </si>
  <si>
    <t>GACGGTTTCGGTGGCCTGACGTTCCGTCGTGCTCACCATGAATAATTTTTCGTTGATCACTGTGGCGGTGTGCTTGATTGCGGCCGTCTGTCATCGCACCAATGGTGAATGTGAAGGTGGATGTATAGAAGACAATGCTGCTGCCTGCTGTGGCGGTGTCGATGGCGCAGAACAGACAAGTAGATTTAAACGCTCTGGTGTATTTCGCAACAGTCGAGCCGGTTCCAAGATCCTTAAGAGCGCTTACGACGGATACAAAGAGGGTAAACTGAGCGCCGAACAAATGAATAAAGATGCCGCACGGGCACGCCAAAACGCAGCCACCGTCCCAACGTCATCTACGCCAAGTCTCGTACAAAGTGCCTCCGCGAAGTACGGCAAACGTTGGTAACGCAGACAATAATGTAATGTTTTAAAAAAAATAAAATTATATGGTAATGGGTCTATTTTTCTTACTAACGAGTTCGATAAGGGACACTTAAGTCAATTATTACAACGGGTGATGACAATACAGACGATCACTGTTAATTGTAATAGAAAAATAACTGATAAAAGGTTTTGTTGATAATAACCTTGTTTGACGTTTTGTGTACCATAGCAATGTTGTAACCTAGTTATCACGCGAAGTATCGGTTTTCAAAAAGGAGTTTAAATGTAGAATATTTTAAGACGAGGGTATTTAATTGTCTCATAGCTGCTTGGTGTGGTGACTTTTATGATGATGACGATGAAATTATTTTATTTTTTAGTTATTTAATATCGTTGTAATAAACAATAATTATATAAAAA</t>
  </si>
  <si>
    <t>MNNFSLITVAVCLIAAVCHRTNGECEGGCIEDNAAACCGGVDGAEQTSRFKRSGVFRNSRAGSKILKSAYDGYKEGKLSAEQMNKDAARARQNAATVPTSSTPSLVQSASAKYGKRW</t>
  </si>
  <si>
    <t>0.994379</t>
  </si>
  <si>
    <t>CS pos: 23-24. TNG-EC. Pr: 0.7046</t>
  </si>
  <si>
    <t>ECEGGCIEDNAAACCGGVDGAEQTSRFKRSGVFRNSRAGSKILKSAYDGYKEGKLSAEQMNKDAARARQNAATVPTSSTPSLVQSASAKYGKRW</t>
  </si>
  <si>
    <t>Uncharacterized</t>
  </si>
  <si>
    <t>A0A8S0ZWX5</t>
  </si>
  <si>
    <t>TRINITY_DN352_c0_g1_i8.p7</t>
  </si>
  <si>
    <t>GTTTTTTTATTGTCGTGAATAATATAACATACAACAATGAACAAGCTAACGATCCTGTTGGTGTTGGTCGCTTTGGTCACCATCACCATGGCCAAACCTCAAGTAAACGTGGTAGACGGTGAAGAACCAGTAAAAGTCGTTGATGGTGAAAATCAAGTGAACGTTGTGGATGGCGAACACCAAGTGAACGTTGTGGACGGTGAACAAGAAGGTAATTTTTAAGACCCATTTAAGTGTTACCATATCAATTCATATATAAATTACCAGTAGAGTAGAGCAGACTTTACCGCTTAGCTAATGAGAAGTCGTAAGATATAACAGAAATAATTTATTAAAATTTAATGTTACGCATTATATAATTATATTATACAAATTACGCAATTTATAAATTATATCAGCAACAAATTGTGGCAGCTGTTACAGAGATCATTAAAGAAATATTTAATAATAGGCAATTACTTAAATTTCATTGTTATTTATTATATATTCCTTGTATATGAAATTTTTGTTGATTATGAAAAAATACCACAGAAGAAGTTTGAAATACCATAGAAGTTTGAAGGCTCAATGTAATACTGAACCAGTGGACAAATAAAAAAATAAATATTTTAATCAAATACTTACACTTATCAAATACTTATTTAACTACTTACACTTTATTGACATTTCAAAACCGAATTATTGATACTGTGCGGGACGGACGAACTCGTGACTGTGTCAGAGCCCGTTGACGTCCTGATGTCGCTGATCCTTTTCCGTTTTAGTGAACTGTATATACTATGAAGAAGGTTTCAAATGAAAGGACTTCAGTCTTCAGATGATACAAAGCTTCCGAGGCGTGGGAAGTTCGAGTCCAGCTACTTGTTACTTGTTGTTTCTGTGATTCAATAAATAAGAAGTATGCGTTGAAGCGGAAGAAATTTAATAAACGTGTCACACAAGTAGCAGTAGAAAGTTTAAGTGACTCTTCCTCACAGAGACTTTCAAAAGCTTTCAATTTAGTAAATAAACAAGAACTACTTAAAAAATTTAATTTCTTGTATAAACAAGCTCATATATTTTTGCTAATGCAGCTGAAACAAACTCAGAAAAGTAAAAGGGGCAGAAGATTTACTCTGGATGAAAAATTAATGGCTCTATTATTGATAAAACAGAGTCTAAAAGGATATAGATTATTAGAAAAAATGTTTGCTTTGCCAAACAAGTGAACATTGATGCGGCTATCTGAGAAGATATCAATTGAATCAGGACTGAATCCTCAAATTTTTGGCAATATTTCTCATAATTGTAAACATTGGAATATTAAACAAAATCTTTGCACCATTGTTTTCGACGAAATAGGCTTGACACCACACTTAACATTAATGAAAAAACAGAAAATATTCTTGGGTTTGTTGATGTTGGTGGAGAAAGGAAATAAATATTGTGATCATGCTTTGGTGTTCATGCTTCGAGGAATATGTTCTCCATGGCGATAGAGTGTAGCATATTACTTCTGTGAAGGTACAGTGCCCGTAGCAGAGTTTGAAAAGATTTAGAAACAATTCGTGTCTCAAGAGCTCGAACTGGGCTAGTTCCATTAAGCCTCGTTTGTGATCAAGGGTCTGCATTTCGGACAGCCATAAGAAAATTAAGGGAAGAATCCATTAAAACAAGGAATCTTCAAGGTGTTCAAGATGATGGATCAGTTCATATTGCTGGACAAGACCTAAATATATTCCATGACACTTCTCATCTTTTAAAAGGTCTACGTAACAATTTTTTAACCAAAAATATACTTTGGGATAAAAAACTGCGCCGTGGAAATATATGGAGTTTATTTATGATACACAACAGTACCGCAGAAATTAACAGCCCTCATGTAGATCCAAAAAAAATTAAAAAATGAGTGTGTGCGTAGTAGCTTGGGTACTAAATAATTTACATTGTACAGAAGCCAATGAAGAAGAAAAAATATTTATTCGTAGACACGCTACGAACAACGCTCTGTCTCCACGTTCACGTAAATACTTTTCGAGACAAAACACAACATTGTAATTGAAGATTTTACTTGCCGAAATCTGTTCATTCTCAGTATCCTCAATCATAATCTATTTAAATATGCCCATTGAGACCGTTTTTATCAGCCCAAACACGCTATATCTGCTGTAAGTTGTTGGGTATCCCGCAGACTTCTTGATGTTGCATCATCAGCTGAAGATTGCCATGTCTTGGAAATGCCACCGAAGTAACAGTACACCAAAATTTCTATCAATTAGACAAGTGAAAGTTGGTAAGAACCTTTTATCAAGTAGGACATGAGCTGATGGTCTCCAAACTACTGGGTTGATCTTCATAAATTATACCTAAGAACCATCTCGATTTTGATGGGGTTTTTTGTTTGATAGCTGATTTGCAGCTATCAAAAAGAAAACGTCAAAATTGGACCATTCGCTTGGGAGCTACGAGGCCACAGACACACATTATAACACCCTCTTTTTGCGTCGGGGTTTAAAAATGACAAGCAACAGGGAAAAACAAGCTGCGATAAAAGCACATACCTACTATATAATGTATATAAATTAGGAAATACATTCATCCACATTAAATTTAAGCGGCGATAGCTCCGTGGCTAATGTATTGGACTTGCGATCGAGAGGTCGTGGGTTCAAACCCGACGCATTGCACTACCAACATGATCCCATTTCTAGTAGTGTAAACTCGTCTAATTCTGTGACATTAGGGAATATGAAGAAAAAAACAAATTACGTAATTGTTACAGTCTTATTAGCATGATTTTAACAAAAAAAAAATGCACACAAAAAGAAGCCTTATTGCCTACTACAAGGTAGCTTTTAAATTACTACATTTTATTCATGAAAGCTCTGGAGACGTCTAAACGTCTTATCACTGAAATAAGTGAGTCACATAATTATGCGAGTTCACCCTACAAGCATTTAGCTGAGATTGAGGGATTAACAAGAATACTAGTAACTTGTAACTATAATATCCTTTTTTAATAAAATACTATTTACCTATTTAAAGGAATCAAGGCTGCTCTTTAGCACTTTATGTGCTTGACCGTATTAATATGTTAAAGGTGATAGTACGTTTGTCTGTCTGTTAACTCTTCAGGGTTCAACCTCTGGACTGATTGTTTTGAAATTTGACAGAAAGGAGATATGATACCAGGGATGCTTTTAGGCTATAAACCAATATCATTACATACAGTTACTGTAAACAGAGTTGCAGGTACTGCTGCTAAAAAATCCAAGTTAAACTGTTAAATTTATTAGTTTTACTCGCTCGCACTATATATGTATTATGAAGACACGCTAGGTATATTTAGTAGTCTTGGTGGCACATGATTTAAATGAACACAACTTATTAATTTTACTGGAGGGGCATTTGAAAATTTACAAAGTTTTTCTGTTATGAATTGTGAATGAATATGTATTATGTAATTTTTCGAATATTACCAATGATGTGGTTGATACTCTGTCGTATTAAATATAAGGGATTCCGTGTAAAGCTCGTTAACCTTCAGAAGTAGACTGTTGAAGAAATATGGAGTTTTATATTCGTCAATTACATATTAATATTTCATGGCACCAGCTCGCCATTTTTGGTGATTTGAATTTTACAGGCAGTAAAATATGGACTGTTGTATATGTCTCTGCTTTAACTAAAAATTTGAATATTGTGTTGCTATTCATGCAAAACAGTTAATTTATTAATAGTAGTCTGATGGTACATTTAATTGTAACTTATTTACAAGGTGAGCAGTTTATATCATCAGACAAAATATAAAAAAATGCCTGCAACCTTTCGTTTGATACTAGTGGTAAAAGATAAAATTGTATACATAAAATTAGTGAATGAACTATAAGGGATTTTACATATCGCTCATCTAAAAGAACAATGACGTAACTAAAAGCTCAAAATTTTATTGTCAAAAGTTCCCCTATCGAATATTCTTTTTATGGTTAAAACGACAGAATTTTCCTTCCCGTAGTTTTTAATAGAGAACGTGTATTTCTTTTTTTTTGGAACATTACCCTAAAATACGAAATTCTAACAATAATTCGATGTTTTAGTCTACAAGTAATTGTTGGTGATAGCCTTTACGTATGTTACTTTATTACCAACAGTAACTTGTAGACATGTATAGTAACTCCCTAAAATATCTTACAAAAGACATATTTTCGATGTCGAAATTTGAAATGCTTTCCCTGTAAAATAAGGAAAACGTAATTGCATCATTGTTCTTTCAGATGAGCGATATGTTTATCTGACATGATTATGGTAGAGGTGCTGAAAGTTGTGCAGGGCGTGATAGCTAGTCTGATGTACCACCTTTTAACCTTAGCTGGGGAGTGACAACGTACCAGAAGACTACTGCTGGGTCGTTATCGTATTGTTTTACAAAGGAAAAGGGTGGCAAGACAAACTTTATACAAAGTTATTCATTAAAAGAGTGATGATTGAAACTGATGAGAAGATATCTAAGCGGACTTAGGAGAGATAGTGATGTATGTTCCTTGCGAAATACAACCGATTTCAGAATGAATGTTTTTTGTCGTCAAAATTAAACTACACTACACGGACAATAAGGTTATATTAGCATCATCCGAGGAGAAGTTGCAGACGCTGGTCAATATAGTGCCTTAAAATTCAGGAGTGAATGTGAAAGTCAAGAGGGCAAAAGTTATTGTAACAAAATATGAGGTTCTGGTTGAAAGAGAATAAGTGGCAAAGTTGTACATGTTGAGAATTTGTATACTTGGGGTCAAAACTTACGTGGGACAGAAATTATGACTGTTATATTGAGCGAAAGATGTTAACAGAAATAAGTTATTAGAGCTCTGCATTACACGAGCAGCCAGAAAGTGTCAAAAAATAGGCACCACGGCGTGTGAATACTGGGCTACACTTATGTATGGTGGTGAATGTTAAGGTTTGGCAGAAACACGAAAGCAAGTTAAATGCTGTGGAGTTGTGTAGCATAGTTGGAGTGACCGATGGATAAAATGAGAAATAGTGTAGTAGAGAAGATGTTGTGACAAAGATAGAGAAGGGGGTGCTAAGATGGTTCGGACATGTAGAGAAGTGGATGAAAAAAAGGTTTCGTTATAACAGATTTGTAAGAATAAGTAAGCCGGTAAATGTCGATCGAAAAACATACGAACTCAATCAGATGGACCAAAGATGTTTTGAAGACCAGGTCGTGTACTCTCAACCGATGAGCATGTATGAAAGCAGAAGGACGTCAAAGACGTATGTCAGGGTCTTAGCAAGTAAAAATAAGTTTTCTTTACGCCAACTAAAAATTTCTTGATTTTACAGTTTTTAGCCTATATTTACGTCTATTCTTATCGATTCTCATAGGTTAGGTGGTAGATATGAATTAAGTTCGTTTCTGTGCGTGATTTGTTTGAATGTCACAACTGTATTAAAATTTTGTACAAATAAATAATAAGGCCCTAGAACCGTATCGATAAAATAGTACATCACTAGTTCTCGATATCGATATAAATGCTGCCATCACTAATGCTGGCTACATATTTGTAGTCTGGCAACACATGTCAAAAAAGGGTG</t>
  </si>
  <si>
    <t>TRINITY_DN180_c0_g1_i5.p1</t>
  </si>
  <si>
    <t>TTGTTCTAGAACAAGATCGCCCACGTTCGTGCAAATTTGCCCGATGACGCAAAACTGTTTACGTGAAATTTCTCCTTGAATAACATGATTTCAGTACAAAAAATAATTTGGGAACACTTGCTAGTGTTCAAAGAAAATTTGTGTCAGTGTGAAATATGTGCTTAGTGACTATTTAAAGGCATCTGTAATAGATACAAAAAAGTGGTGGAGTGCAGTCCGCAAGTCGTGTCAGTCGCATTGAACTGGCTTGAGCAGCGCAGTCGCGGAGAAAGGATGAAGGTCTTATTATTATGCCTGGCCTTTGCGGCTGTCAGTCTGGCGATGCCGGTAGCCGAGGAGAAACCCGATATTGGTGCACCACCACCGCCCATCTCGAAAACTGAAGAACCGATCCCCCAAGCAGATGCGCCTGCTGAAAATAAACCTGACTTGCCAGAGCTCGAAGAAGCCAAAAAACAATCTGAAGAAAAAATCGAACCTGAAAAACAACTTGAAACTAAAGAATCTGAAGCACCTAAACCAGGTGAATCAATAGAGAGTAAGAGCGACAAAGCAATTCTGGAACCTAAATCTGTTGAAACTGAACCCGCAGTAAAGGCGGAGGAACCAAAGCCTATAAATCCACCATCAGAGATTGAGTCTGAGGGAAAATCAGCTGGTATTGAAGAGAAGATCGTTGAGCAACAAAAAGAAACAGAAATTCCTGCAACCATTAATGAGGTACCTAAAGACTCGTCCGCAAAGTCTGTTATCTCTGAAGAAGCTATTGATATAGTTAATGCTGTTAAAGTTGACGCTGCCATTGCTGATGACGGTGTTCAGCCTGAAATTTTGAAGCCTACACCGGAAAAGAAAACAGATTTGCCCGTCGTACCTGGAGCTGACGCCACAGGTTCTGAATTAAAAAATGTTGACGCTGCTGTCATGCAAGGACCAGTTAAAGCCGAAGAAAAGAAACCCGATGAGAGCAAAGCCGCAGAGTCTGCTGCTGACGTTGCGCCTGAAGCCGCTAAACCAGAAGAGCCTGCCGATACCTCAGACAGTCTCCGTGTAGTCCGCGATACCGTAGATGACAAAGCCAAGTCTGACGAAGCACTTAAAGAGGATGCCAAGCCAACTGAAGTTACCAAAGAACAAGAAATCTCGATATTACCCGAGGAAAAGAAGGAACAACAAAAAAATATTGAAATTGAGTCAAGCAAAACAGAGAAAGATGCTCCAGCGCCGGAACCAGCTAAAACCGAGGAGAGCGTTCCCAAAGAGGTCGATACCGCACAATCGCCAGTCAACACTGACGCTACCGCAGCTGCAACTGATCTCAAAAGCAAACCTGATGAGAAACCCTTAAACGACCTTCCAGCTGCACCCAACAGCTCTGAAGAAAGCGACGAGAGCTCTTAGAAAAAATACATTTCAGGCAAAAACAATTCGTCCGAAGAGAACGAATCCAAATCTTAGATAAGTTTTAAGTAGGAAGCGCTTGGCGGTGGACGTGTGTCGACCCACCACCCTCGACACGCGCCCCCCGCGCGCGGCCTCGCCCCCTGAGCACCATGTCGTGATGCATGCCCTGTGAGTGTGTGAGTGGCTACTGCCGCTACAGCGTGGATATTCACTAGATTTAGAGACTATTTAAATAGCTGAACCGATTAAAATTACCTACGTTGTAATTATTATTTGTCAAAGTAAATTATCGAATTTCCGGTATTATAAGTAATAAAATATGTTTTTATAAAAAAAAAAAAAAAAAAAAAAA</t>
  </si>
  <si>
    <t>TRINITY_DN180_c0_g1_i4.p1</t>
  </si>
  <si>
    <t>TTGTTCTAGAACAAGATCGCCCACGTTCGTGCAAATTTGCCCGATGACGCAAAACTGTTTACGTGAAATTTCTCCTTGAATAACATGATTTCAGTACAAAAAATAATTTGGGAACACTTGCTAGTGTTCAAAGAAAATTTGTGTCAGTGTGAAATATGTGCTTAGTGACTATTTAAAGTAAACCCGCCACGGTCTCAGAGCTCGTGTCCTTGACAGTCACTTGATGATGCACCGTCGCACAGCGTGAATAATATTTTTTTATCAACAGCAGGATGAAGGTCTTATTATTATGCCTGGCCTTTGCGGCTGTCAGTCTGGCGATGCCGGTAGCCGAGGAGAAACCCGATATTGGTGCACCACCACCGCCCATCTCGAAAACTGAAGAACCGATCCCCCAAGCAGATGCGCCTGCTGAAAATAAACCTGACTTGCCAGAGCTCGAAGAAGCCAAAAAACAATCTGAAGAAAAAATCGAACCTGAAAAACAACTTGAAACTAAAGAATCTGAAGCACCTAAACCAGGTGAATCAATAGAGAGTAAGAGCGACAAAGCAATTCTGGAACCTAAATCTGTTGAAACTGAACCCGCAGTAAAGGCGGAGGAACCAAAGCCTATAAATCCACCATCAGAGATTGAGTCTGAGGGAAAATCAGCTGGTATTGAAGAGAAGATCGTTGAGCAACAAAAAGAAACAGAAATTCCTGCAACCATTAATGAGGTACCTAAAGACTCGTCCGCAAAGTCTGTTATCTCTGAAGAAGCTATTGATATAGTTAATGCTGTTAAAGTTGACGCTGCCATTGCTGATGACGGTGTTCAGCCTGAAATTTTGAAGCCTACACCGGAAAAGAAAACAGATTTGCCCGTCGTACCTGGAGCTGACGCCACAGGTTCTGAATTAAAAAATGTTGACGCTGCTGTCATGCAAGGACCAGTTAAAGCCGAAGAAAAGAAACCCGATGAGAGCAAAGCCGCAGAGTCTGCTGCTGACGTTGCGCCTGAAGCCGCTAAACCAGAAGAGCCTGCCGATACCTCAGACAGTCTCCGTGTAGTCCGCGATACCGTAGATGACAAAGCCAAGTCTGACGAAGCACTTAAAGAGGATGCCAAGCCAACTGAAGTTACCAAAGAACAAGAAATCTCGATATTACCCGAGGAAAAGAAGGAACAACAAAAAAATATTGAAATTGAGTCAAGCAAAACAGAGAAAGATGCTCCAGCGCCGGAACCAGCTAAAACCGAGGAGAGCGTTCCCAAAGAGGTCGATACCGCACAATCGCCAGTCAACACTGACGCTACCGCAGCTGCAACTGATCTCAAAAGCAAACCTGATGAGAAACCCTTAAACGACCTTCCAGCTGCACCCAACAGCTCTGAAGAAAGCGACGAGAGCTCTTAGAAAAAATACATTTCAGGCAAAAACAATTCGTCCGAAGAGAACGAATCCAAATCTTAGATAAGTTTTAAGTAGGAAGCGCTTGGCGGTGGACGTGTGTCGACCCACCACCCTCGACACGCGCCCCCCGCGCGCGGCCTCGCCCCCTGAGCACCATGTCGTGATGCATGCCCTGTGAGTGTGTGAGTGGCTACTGCCGCTACAGCGTGGATATTCACTAGATTTAGAGACTATTTAAATAGCTGAACCGATTAAAATTACCTACGTTGTAATTATTATTTGTCAAAGTAAATTATCGAATTTCCGGTATTATAAGTAATAAAATATGTTTTTATAAAAAAAAAAAAAAAAAAAAAAA</t>
  </si>
  <si>
    <t xml:space="preserve">-10lgP score </t>
  </si>
  <si>
    <t>p-value</t>
  </si>
  <si>
    <t>Native Peaks N</t>
  </si>
  <si>
    <t>Native Peaks Unique</t>
  </si>
  <si>
    <t>Native Peaks coverage (95% conf)</t>
  </si>
  <si>
    <t>Average mass (Da)</t>
  </si>
  <si>
    <t>U-TPTX1-Tp5</t>
  </si>
  <si>
    <t>Cysteine Proteases inhibitors</t>
  </si>
  <si>
    <t xml:space="preserve">Cysteine Proteases inhibitors </t>
  </si>
  <si>
    <t>U-TPTX9-Tp2</t>
  </si>
  <si>
    <t>U-TPTX9-Tp1</t>
  </si>
  <si>
    <t>50,+E7301</t>
  </si>
  <si>
    <t>minus Signal P</t>
  </si>
  <si>
    <t>Secapin-like peptides</t>
  </si>
  <si>
    <t>The potassium channel toxin-like peptides</t>
  </si>
  <si>
    <t>U-TPTX2-Tp1a</t>
  </si>
  <si>
    <t>U-TPTX2-Tp1b</t>
  </si>
  <si>
    <t>U-TPTX2-Tp1c</t>
  </si>
  <si>
    <t>U-TPTX9-Tp3</t>
  </si>
  <si>
    <t>U-TPTX9-Tp4</t>
  </si>
  <si>
    <t>U-TPTX3-Tp5</t>
  </si>
  <si>
    <t>U-TPTX5-Tp10</t>
  </si>
  <si>
    <t>U-TPTX5-Tp11</t>
  </si>
  <si>
    <t>U-TPTX5-Tp12</t>
  </si>
  <si>
    <t>U-TPTX5-Tp13</t>
  </si>
  <si>
    <t>U-TPTX5-Tp14</t>
  </si>
  <si>
    <t>U-TPTX5-Tp15</t>
  </si>
  <si>
    <t>U-TPTX5-Tp16</t>
  </si>
  <si>
    <t>U-TPTX5-Tp17</t>
  </si>
  <si>
    <t>U-TPTX5-Tp18</t>
  </si>
  <si>
    <t>U-TPTX5-Tp2</t>
  </si>
  <si>
    <t>U-TPTX5-Tp3</t>
  </si>
  <si>
    <t>U-TPTX5-Tp4</t>
  </si>
  <si>
    <t>U-TPTX5-Tp5</t>
  </si>
  <si>
    <t>U-TPTX5-Tp6</t>
  </si>
  <si>
    <t>U-TPTX5-Tp7</t>
  </si>
  <si>
    <t>U-TPTX5-Tp8</t>
  </si>
  <si>
    <t>U-TPTX5-Tp9</t>
  </si>
  <si>
    <t>U-TPTX8-Tp3</t>
  </si>
  <si>
    <t>U-TPTX8-Tp4</t>
  </si>
  <si>
    <t>U-TPTX9-Tp5</t>
  </si>
  <si>
    <t>U-TPTX13-Tp5</t>
  </si>
  <si>
    <t>U-TPTX13-Tp6</t>
  </si>
  <si>
    <t>U-TPTX13-Tp7</t>
  </si>
  <si>
    <t>U-TPTX13-Tp8</t>
  </si>
  <si>
    <t>U-TPTX14-Tp3</t>
  </si>
  <si>
    <t>U-TPTX14-Tp4</t>
  </si>
  <si>
    <t>U-TPTX14-Tp5</t>
  </si>
  <si>
    <t>U-TPTX14-Tp6</t>
  </si>
  <si>
    <t>U-TPTX14-Tp7</t>
  </si>
  <si>
    <t>U-TPTX14-Tp8</t>
  </si>
  <si>
    <t>U-TPTX14-Tp2</t>
  </si>
  <si>
    <t>U-TPTX15-Tp1</t>
  </si>
  <si>
    <t>U-TPTX15-Tp2</t>
  </si>
  <si>
    <t>U-TPTX15-Tp3</t>
  </si>
  <si>
    <t>U-TPTX16-Tp1</t>
  </si>
  <si>
    <t>U-TPTX17-Tp1</t>
  </si>
  <si>
    <t>U-TPTX17-Tp2</t>
  </si>
  <si>
    <t>U-TPTX18-Tp1</t>
  </si>
  <si>
    <t>U-TPTX18-Tp2</t>
  </si>
  <si>
    <t>U-TPTX18-Tp3</t>
  </si>
  <si>
    <t>U-TPTX18-Tp4</t>
  </si>
  <si>
    <t>U-TPTX18-Tp5</t>
  </si>
  <si>
    <t>U-TPTX18-Tp6</t>
  </si>
  <si>
    <t>U-TPTX18-Tp7</t>
  </si>
  <si>
    <t>U-TPTX18-Tp8</t>
  </si>
  <si>
    <t>U-TPTX19-Tp1</t>
  </si>
  <si>
    <t>U-TPTX20-Tp1</t>
  </si>
  <si>
    <t>U-TPTX21-Tp1</t>
  </si>
  <si>
    <t>U-TPTX21-Tp2</t>
  </si>
  <si>
    <t>U-TPTX23-Tp1</t>
  </si>
  <si>
    <t>U-TPTX22-Tp1</t>
  </si>
  <si>
    <t>U-TPTX22-Tp2</t>
  </si>
  <si>
    <t>U-TPTX23-Tp2</t>
  </si>
  <si>
    <t>Isomerases (PDI)</t>
  </si>
  <si>
    <t>PDI</t>
  </si>
  <si>
    <t>U-TPTX1-TP1</t>
  </si>
  <si>
    <t xml:space="preserve">category </t>
  </si>
  <si>
    <t>Other</t>
  </si>
  <si>
    <t xml:space="preserve">Enzyme inhibitor </t>
  </si>
  <si>
    <t xml:space="preserve">Rebers and Riddiford </t>
  </si>
  <si>
    <t>family</t>
  </si>
  <si>
    <t>chitin-binding type-2 domain</t>
  </si>
  <si>
    <t>family 18 glycosyl hydrolases</t>
  </si>
  <si>
    <t xml:space="preserve">chitin deacetylases </t>
  </si>
  <si>
    <t xml:space="preserve">other cuticle proteins </t>
  </si>
  <si>
    <t>cecropin</t>
  </si>
  <si>
    <t>lysozyme</t>
  </si>
  <si>
    <t>Diedel</t>
  </si>
  <si>
    <t>Astacin-like Metalloprotease</t>
  </si>
  <si>
    <t>carboxypeptidase</t>
  </si>
  <si>
    <t>Alanine aminopeptidase</t>
  </si>
  <si>
    <t>Tha p 1</t>
  </si>
  <si>
    <t xml:space="preserve">Enzyme  </t>
  </si>
  <si>
    <t xml:space="preserve">serine protease: trypsin-like S1A </t>
  </si>
  <si>
    <t xml:space="preserve">Serine protease: PPAF-2-like CLIP </t>
  </si>
  <si>
    <t>Enzyme</t>
  </si>
  <si>
    <t>Carboxypeptidase inhibitor-like peptide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</si>
</sst>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9" fontId="5" fillId="0" borderId="0" xfId="0" applyNumberFormat="1" applyFont="1" applyFill="1" applyAlignment="1">
      <alignment horizontal="center"/>
    </xf>
    <xf numFmtId="11" fontId="5" fillId="0" borderId="0" xfId="0" applyNumberFormat="1" applyFont="1" applyFill="1" applyAlignment="1">
      <alignment horizontal="center"/>
    </xf>
    <xf numFmtId="11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5" fillId="0" borderId="0" xfId="3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0" fontId="5" fillId="0" borderId="0" xfId="0" quotePrefix="1" applyFont="1" applyFill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vertical="center" readingOrder="1"/>
    </xf>
    <xf numFmtId="0" fontId="6" fillId="0" borderId="0" xfId="1" applyFont="1" applyFill="1" applyAlignment="1">
      <alignment horizontal="left"/>
    </xf>
    <xf numFmtId="0" fontId="6" fillId="0" borderId="0" xfId="1" applyFont="1" applyFill="1" applyAlignment="1">
      <alignment horizontal="left" vertical="center" wrapText="1"/>
    </xf>
    <xf numFmtId="0" fontId="3" fillId="0" borderId="0" xfId="0" applyFont="1"/>
    <xf numFmtId="0" fontId="6" fillId="0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1" applyFont="1" applyFill="1" applyAlignment="1">
      <alignment horizontal="center" wrapText="1"/>
    </xf>
    <xf numFmtId="0" fontId="6" fillId="0" borderId="0" xfId="1" applyFont="1" applyFill="1" applyAlignment="1">
      <alignment horizontal="center" vertical="center" wrapText="1"/>
    </xf>
    <xf numFmtId="0" fontId="7" fillId="0" borderId="0" xfId="0" applyFont="1"/>
    <xf numFmtId="0" fontId="5" fillId="0" borderId="0" xfId="2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justify" vertical="center"/>
    </xf>
  </cellXfs>
  <cellStyles count="4">
    <cellStyle name="Bad" xfId="2" builtinId="27"/>
    <cellStyle name="Good" xfId="1" builtinId="26"/>
    <cellStyle name="Hyperlink" xfId="3" builtinId="8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../AppData/Roaming/230502_Undheim_Seldeslachts_PEAKS_52/pro101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5F548-2ABB-4626-8846-28829556A272}">
  <dimension ref="A1:BZ172"/>
  <sheetViews>
    <sheetView tabSelected="1" zoomScale="90" zoomScaleNormal="90" workbookViewId="0">
      <selection activeCell="AD26" sqref="AD26"/>
    </sheetView>
  </sheetViews>
  <sheetFormatPr defaultRowHeight="14.4" x14ac:dyDescent="0.3"/>
  <cols>
    <col min="1" max="2" width="26.6640625" style="20" customWidth="1"/>
    <col min="3" max="3" width="10.33203125" style="17" customWidth="1"/>
    <col min="4" max="4" width="18.5546875" style="20" customWidth="1"/>
    <col min="5" max="5" width="21.6640625" style="17" customWidth="1"/>
    <col min="6" max="6" width="10.33203125" style="17" customWidth="1"/>
    <col min="7" max="7" width="13.33203125" style="17" bestFit="1" customWidth="1"/>
    <col min="8" max="17" width="9" style="17" bestFit="1" customWidth="1"/>
    <col min="18" max="18" width="9" style="22" bestFit="1" customWidth="1"/>
    <col min="20" max="20" width="12.77734375" customWidth="1"/>
    <col min="21" max="21" width="16.21875" customWidth="1"/>
    <col min="24" max="24" width="11.5546875" bestFit="1" customWidth="1"/>
    <col min="25" max="28" width="9" style="17" bestFit="1" customWidth="1"/>
    <col min="33" max="33" width="10" style="17" bestFit="1" customWidth="1"/>
    <col min="34" max="34" width="9" style="17" bestFit="1" customWidth="1"/>
    <col min="35" max="35" width="9.33203125" style="17" bestFit="1" customWidth="1"/>
    <col min="36" max="36" width="12.21875" style="17" customWidth="1"/>
    <col min="39" max="39" width="11" bestFit="1" customWidth="1"/>
    <col min="40" max="40" width="9" bestFit="1" customWidth="1"/>
    <col min="41" max="41" width="9.33203125" bestFit="1" customWidth="1"/>
    <col min="44" max="44" width="9" bestFit="1" customWidth="1"/>
    <col min="45" max="45" width="10" bestFit="1" customWidth="1"/>
    <col min="46" max="47" width="9" bestFit="1" customWidth="1"/>
    <col min="51" max="51" width="11" bestFit="1" customWidth="1"/>
    <col min="52" max="53" width="9" bestFit="1" customWidth="1"/>
    <col min="57" max="57" width="10" bestFit="1" customWidth="1"/>
    <col min="58" max="59" width="9" bestFit="1" customWidth="1"/>
    <col min="63" max="63" width="10" bestFit="1" customWidth="1"/>
    <col min="64" max="65" width="9" bestFit="1" customWidth="1"/>
    <col min="69" max="71" width="9" bestFit="1" customWidth="1"/>
    <col min="75" max="77" width="9" bestFit="1" customWidth="1"/>
  </cols>
  <sheetData>
    <row r="1" spans="1:78" s="15" customFormat="1" ht="78" x14ac:dyDescent="0.3">
      <c r="A1" s="16" t="s">
        <v>1604</v>
      </c>
      <c r="B1" s="16" t="s">
        <v>1608</v>
      </c>
      <c r="C1" s="16" t="s">
        <v>0</v>
      </c>
      <c r="D1" s="13" t="s">
        <v>10</v>
      </c>
      <c r="E1" s="18" t="s">
        <v>1</v>
      </c>
      <c r="F1" s="23" t="s">
        <v>1527</v>
      </c>
      <c r="G1" s="23" t="s">
        <v>1528</v>
      </c>
      <c r="H1" s="18" t="s">
        <v>1529</v>
      </c>
      <c r="I1" s="18" t="s">
        <v>1530</v>
      </c>
      <c r="J1" s="18" t="s">
        <v>1531</v>
      </c>
      <c r="K1" s="18" t="s">
        <v>2</v>
      </c>
      <c r="L1" s="18" t="s">
        <v>3</v>
      </c>
      <c r="M1" s="18" t="s">
        <v>4</v>
      </c>
      <c r="N1" s="18" t="s">
        <v>5</v>
      </c>
      <c r="O1" s="18" t="s">
        <v>6</v>
      </c>
      <c r="P1" s="18" t="s">
        <v>7</v>
      </c>
      <c r="Q1" s="18" t="s">
        <v>1532</v>
      </c>
      <c r="R1" s="16" t="s">
        <v>8</v>
      </c>
      <c r="S1" s="16" t="s">
        <v>9</v>
      </c>
      <c r="T1" s="13" t="s">
        <v>10</v>
      </c>
      <c r="U1" s="16" t="s">
        <v>11</v>
      </c>
      <c r="V1" s="19" t="s">
        <v>12</v>
      </c>
      <c r="W1" s="19" t="s">
        <v>13</v>
      </c>
      <c r="X1" s="14" t="s">
        <v>1539</v>
      </c>
      <c r="Y1" s="19" t="s">
        <v>14</v>
      </c>
      <c r="Z1" s="19" t="s">
        <v>15</v>
      </c>
      <c r="AA1" s="19" t="s">
        <v>16</v>
      </c>
      <c r="AB1" s="19" t="s">
        <v>17</v>
      </c>
      <c r="AC1" s="14" t="s">
        <v>18</v>
      </c>
      <c r="AD1" s="14" t="s">
        <v>18</v>
      </c>
      <c r="AE1" s="14" t="s">
        <v>19</v>
      </c>
      <c r="AF1" s="14" t="s">
        <v>20</v>
      </c>
      <c r="AG1" s="19" t="s">
        <v>21</v>
      </c>
      <c r="AH1" s="19" t="s">
        <v>22</v>
      </c>
      <c r="AI1" s="16" t="s">
        <v>23</v>
      </c>
      <c r="AJ1" s="16" t="s">
        <v>24</v>
      </c>
      <c r="AK1" s="14" t="s">
        <v>19</v>
      </c>
      <c r="AL1" s="14" t="s">
        <v>20</v>
      </c>
      <c r="AM1" s="14" t="s">
        <v>21</v>
      </c>
      <c r="AN1" s="14" t="s">
        <v>22</v>
      </c>
      <c r="AO1" s="13" t="s">
        <v>23</v>
      </c>
      <c r="AP1" s="13" t="s">
        <v>24</v>
      </c>
      <c r="AQ1" s="14" t="s">
        <v>19</v>
      </c>
      <c r="AR1" s="14" t="s">
        <v>20</v>
      </c>
      <c r="AS1" s="14" t="s">
        <v>21</v>
      </c>
      <c r="AT1" s="14" t="s">
        <v>22</v>
      </c>
      <c r="AU1" s="13" t="s">
        <v>23</v>
      </c>
      <c r="AV1" s="13"/>
      <c r="AW1" s="13"/>
      <c r="AX1" s="13"/>
      <c r="AY1" s="13"/>
      <c r="AZ1" s="13"/>
      <c r="BA1" s="13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</row>
    <row r="2" spans="1:78" ht="15.6" x14ac:dyDescent="0.3">
      <c r="A2" s="1" t="s">
        <v>45</v>
      </c>
      <c r="B2" s="1" t="s">
        <v>45</v>
      </c>
      <c r="C2" s="2" t="s">
        <v>25</v>
      </c>
      <c r="D2" s="1" t="s">
        <v>38</v>
      </c>
      <c r="E2" s="12" t="s">
        <v>726</v>
      </c>
      <c r="F2" s="2">
        <v>351.3</v>
      </c>
      <c r="G2" s="2">
        <f t="shared" ref="G2:G33" si="0">(10)^(-F2/10)</f>
        <v>7.4131024130090291E-36</v>
      </c>
      <c r="H2" s="2">
        <v>23</v>
      </c>
      <c r="I2" s="2">
        <v>23</v>
      </c>
      <c r="J2" s="3">
        <v>0.19</v>
      </c>
      <c r="K2" s="2">
        <v>29</v>
      </c>
      <c r="L2" s="2">
        <v>29</v>
      </c>
      <c r="M2" s="3">
        <v>0.85</v>
      </c>
      <c r="N2" s="2">
        <v>6</v>
      </c>
      <c r="O2" s="2">
        <v>6</v>
      </c>
      <c r="P2" s="3">
        <v>0.78</v>
      </c>
      <c r="Q2" s="2">
        <v>12694</v>
      </c>
      <c r="R2" s="2">
        <v>10.71</v>
      </c>
      <c r="S2" s="1" t="s">
        <v>39</v>
      </c>
      <c r="T2" s="1" t="s">
        <v>38</v>
      </c>
      <c r="U2" s="1" t="s">
        <v>40</v>
      </c>
      <c r="V2" s="1" t="s">
        <v>41</v>
      </c>
      <c r="W2" s="1" t="s">
        <v>42</v>
      </c>
      <c r="X2" s="1" t="s">
        <v>43</v>
      </c>
      <c r="Y2" s="2">
        <v>100</v>
      </c>
      <c r="Z2" s="2">
        <v>10</v>
      </c>
      <c r="AA2" s="2">
        <f>11096.8-10</f>
        <v>11086.8</v>
      </c>
      <c r="AB2" s="2">
        <f>11104.22-10</f>
        <v>11094.22</v>
      </c>
      <c r="AC2" s="1" t="s">
        <v>44</v>
      </c>
      <c r="AD2" s="1"/>
      <c r="AE2" s="1" t="s">
        <v>45</v>
      </c>
      <c r="AF2" s="1" t="s">
        <v>35</v>
      </c>
      <c r="AG2" s="4">
        <v>2.4999999999999999E-67</v>
      </c>
      <c r="AH2" s="2">
        <v>523</v>
      </c>
      <c r="AI2" s="2">
        <v>84</v>
      </c>
      <c r="AJ2" s="2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 ht="15.6" x14ac:dyDescent="0.3">
      <c r="A3" s="1" t="s">
        <v>144</v>
      </c>
      <c r="B3" s="24" t="s">
        <v>1609</v>
      </c>
      <c r="C3" s="2" t="s">
        <v>137</v>
      </c>
      <c r="D3" s="1" t="s">
        <v>184</v>
      </c>
      <c r="E3" s="12" t="s">
        <v>1579</v>
      </c>
      <c r="F3" s="2">
        <v>241.95</v>
      </c>
      <c r="G3" s="2">
        <f t="shared" si="0"/>
        <v>6.3826348619054647E-25</v>
      </c>
      <c r="H3" s="2" t="s">
        <v>27</v>
      </c>
      <c r="I3" s="2" t="s">
        <v>27</v>
      </c>
      <c r="J3" s="2" t="s">
        <v>27</v>
      </c>
      <c r="K3" s="2" t="s">
        <v>27</v>
      </c>
      <c r="L3" s="2" t="s">
        <v>27</v>
      </c>
      <c r="M3" s="2" t="s">
        <v>27</v>
      </c>
      <c r="N3" s="2">
        <v>3</v>
      </c>
      <c r="O3" s="2">
        <v>3</v>
      </c>
      <c r="P3" s="3">
        <v>0.36</v>
      </c>
      <c r="Q3" s="2">
        <v>13240</v>
      </c>
      <c r="R3" s="2">
        <v>0.62</v>
      </c>
      <c r="S3" s="1" t="s">
        <v>185</v>
      </c>
      <c r="T3" s="1" t="s">
        <v>184</v>
      </c>
      <c r="U3" s="1" t="s">
        <v>186</v>
      </c>
      <c r="V3" s="1" t="s">
        <v>187</v>
      </c>
      <c r="W3" s="1" t="s">
        <v>188</v>
      </c>
      <c r="X3" s="1" t="s">
        <v>189</v>
      </c>
      <c r="Y3" s="2">
        <v>101</v>
      </c>
      <c r="Z3" s="2">
        <v>9</v>
      </c>
      <c r="AA3" s="2">
        <f>11530.07-9</f>
        <v>11521.07</v>
      </c>
      <c r="AB3" s="2">
        <f>11537.63-9</f>
        <v>11528.63</v>
      </c>
      <c r="AC3" s="1" t="s">
        <v>100</v>
      </c>
      <c r="AD3" s="1" t="s">
        <v>134</v>
      </c>
      <c r="AE3" s="1" t="s">
        <v>136</v>
      </c>
      <c r="AF3" s="1" t="s">
        <v>190</v>
      </c>
      <c r="AG3" s="4">
        <v>4.2999999999999999E-72</v>
      </c>
      <c r="AH3" s="2">
        <v>565</v>
      </c>
      <c r="AI3" s="2">
        <v>93.1</v>
      </c>
      <c r="AJ3" s="2" t="s">
        <v>191</v>
      </c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 ht="15.6" x14ac:dyDescent="0.3">
      <c r="A4" s="1" t="s">
        <v>144</v>
      </c>
      <c r="B4" s="24" t="s">
        <v>1609</v>
      </c>
      <c r="C4" s="2" t="s">
        <v>137</v>
      </c>
      <c r="D4" s="1" t="s">
        <v>138</v>
      </c>
      <c r="E4" s="12" t="s">
        <v>1580</v>
      </c>
      <c r="F4" s="2">
        <v>423.43</v>
      </c>
      <c r="G4" s="2">
        <f t="shared" si="0"/>
        <v>4.5394161665019716E-43</v>
      </c>
      <c r="H4" s="2" t="s">
        <v>27</v>
      </c>
      <c r="I4" s="2" t="s">
        <v>27</v>
      </c>
      <c r="J4" s="2" t="s">
        <v>27</v>
      </c>
      <c r="K4" s="2">
        <v>1</v>
      </c>
      <c r="L4" s="2">
        <v>1</v>
      </c>
      <c r="M4" s="3">
        <v>0.05</v>
      </c>
      <c r="N4" s="2">
        <v>7</v>
      </c>
      <c r="O4" s="2">
        <v>7</v>
      </c>
      <c r="P4" s="3">
        <v>0.43</v>
      </c>
      <c r="Q4" s="2">
        <v>26385</v>
      </c>
      <c r="R4" s="2">
        <v>22.32</v>
      </c>
      <c r="S4" s="1" t="s">
        <v>139</v>
      </c>
      <c r="T4" s="1" t="s">
        <v>138</v>
      </c>
      <c r="U4" s="1" t="s">
        <v>140</v>
      </c>
      <c r="V4" s="1" t="s">
        <v>141</v>
      </c>
      <c r="W4" s="1" t="s">
        <v>142</v>
      </c>
      <c r="X4" s="1" t="s">
        <v>143</v>
      </c>
      <c r="Y4" s="2">
        <v>221</v>
      </c>
      <c r="Z4" s="2">
        <v>18</v>
      </c>
      <c r="AA4" s="2">
        <f>24752.33-18</f>
        <v>24734.33</v>
      </c>
      <c r="AB4" s="2">
        <f>24768.46-18</f>
        <v>24750.46</v>
      </c>
      <c r="AC4" s="1" t="s">
        <v>100</v>
      </c>
      <c r="AD4" s="1" t="s">
        <v>134</v>
      </c>
      <c r="AE4" s="1" t="s">
        <v>135</v>
      </c>
      <c r="AF4" s="1" t="s">
        <v>145</v>
      </c>
      <c r="AG4" s="4">
        <v>1.9999999999999999E-164</v>
      </c>
      <c r="AH4" s="2">
        <v>1186</v>
      </c>
      <c r="AI4" s="2">
        <v>93.2</v>
      </c>
      <c r="AJ4" s="2" t="s">
        <v>146</v>
      </c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ht="15.6" x14ac:dyDescent="0.3">
      <c r="A5" s="1" t="s">
        <v>144</v>
      </c>
      <c r="B5" s="24" t="s">
        <v>1609</v>
      </c>
      <c r="C5" s="2" t="s">
        <v>137</v>
      </c>
      <c r="D5" s="1" t="s">
        <v>147</v>
      </c>
      <c r="E5" s="12" t="s">
        <v>1581</v>
      </c>
      <c r="F5" s="2">
        <v>367.52</v>
      </c>
      <c r="G5" s="2">
        <f t="shared" si="0"/>
        <v>1.7701089583174239E-37</v>
      </c>
      <c r="H5" s="2" t="s">
        <v>27</v>
      </c>
      <c r="I5" s="2" t="s">
        <v>27</v>
      </c>
      <c r="J5" s="2" t="s">
        <v>27</v>
      </c>
      <c r="K5" s="2" t="s">
        <v>27</v>
      </c>
      <c r="L5" s="2" t="s">
        <v>27</v>
      </c>
      <c r="M5" s="2" t="s">
        <v>27</v>
      </c>
      <c r="N5" s="2">
        <v>7</v>
      </c>
      <c r="O5" s="2">
        <v>7</v>
      </c>
      <c r="P5" s="3">
        <v>0.32</v>
      </c>
      <c r="Q5" s="2">
        <v>29187</v>
      </c>
      <c r="R5" s="2">
        <v>9.6199999999999992</v>
      </c>
      <c r="S5" s="1" t="s">
        <v>148</v>
      </c>
      <c r="T5" s="1" t="s">
        <v>147</v>
      </c>
      <c r="U5" s="1" t="s">
        <v>149</v>
      </c>
      <c r="V5" s="1" t="s">
        <v>150</v>
      </c>
      <c r="W5" s="1" t="s">
        <v>151</v>
      </c>
      <c r="X5" s="1" t="s">
        <v>152</v>
      </c>
      <c r="Y5" s="2">
        <v>244</v>
      </c>
      <c r="Z5" s="2">
        <v>18</v>
      </c>
      <c r="AA5" s="2">
        <f>27414.49-18</f>
        <v>27396.49</v>
      </c>
      <c r="AB5" s="2">
        <f>27432.36-18</f>
        <v>27414.36</v>
      </c>
      <c r="AC5" s="1" t="s">
        <v>100</v>
      </c>
      <c r="AD5" s="1" t="s">
        <v>134</v>
      </c>
      <c r="AE5" s="1" t="s">
        <v>153</v>
      </c>
      <c r="AF5" s="1" t="s">
        <v>98</v>
      </c>
      <c r="AG5" s="4">
        <v>0</v>
      </c>
      <c r="AH5" s="2">
        <v>1319</v>
      </c>
      <c r="AI5" s="2">
        <v>93</v>
      </c>
      <c r="AJ5" s="2" t="s">
        <v>154</v>
      </c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ht="15.6" x14ac:dyDescent="0.3">
      <c r="A6" s="1" t="s">
        <v>144</v>
      </c>
      <c r="B6" s="24" t="s">
        <v>1610</v>
      </c>
      <c r="C6" s="2" t="s">
        <v>137</v>
      </c>
      <c r="D6" s="1" t="s">
        <v>155</v>
      </c>
      <c r="E6" s="12" t="s">
        <v>1582</v>
      </c>
      <c r="F6" s="2">
        <v>195.92</v>
      </c>
      <c r="G6" s="2">
        <f t="shared" si="0"/>
        <v>2.5585858869056484E-20</v>
      </c>
      <c r="H6" s="2">
        <v>11</v>
      </c>
      <c r="I6" s="2">
        <v>11</v>
      </c>
      <c r="J6" s="3">
        <v>0.2</v>
      </c>
      <c r="K6" s="2" t="s">
        <v>27</v>
      </c>
      <c r="L6" s="2" t="s">
        <v>27</v>
      </c>
      <c r="M6" s="2" t="s">
        <v>27</v>
      </c>
      <c r="N6" s="2">
        <v>4</v>
      </c>
      <c r="O6" s="2">
        <v>4</v>
      </c>
      <c r="P6" s="3">
        <v>0.11</v>
      </c>
      <c r="Q6" s="2">
        <v>48080</v>
      </c>
      <c r="R6" s="21">
        <v>1352.82</v>
      </c>
      <c r="S6" s="1" t="s">
        <v>156</v>
      </c>
      <c r="T6" s="1" t="s">
        <v>155</v>
      </c>
      <c r="U6" s="1" t="s">
        <v>157</v>
      </c>
      <c r="V6" s="1" t="s">
        <v>158</v>
      </c>
      <c r="W6" s="1" t="s">
        <v>159</v>
      </c>
      <c r="X6" s="1" t="s">
        <v>160</v>
      </c>
      <c r="Y6" s="2">
        <v>413</v>
      </c>
      <c r="Z6" s="2">
        <v>4</v>
      </c>
      <c r="AA6" s="2">
        <f>46091.55-4</f>
        <v>46087.55</v>
      </c>
      <c r="AB6" s="2">
        <f>46120.3-4</f>
        <v>46116.3</v>
      </c>
      <c r="AC6" s="1" t="s">
        <v>161</v>
      </c>
      <c r="AD6" s="1" t="s">
        <v>162</v>
      </c>
      <c r="AE6" s="1" t="s">
        <v>163</v>
      </c>
      <c r="AF6" s="1" t="s">
        <v>82</v>
      </c>
      <c r="AG6" s="2">
        <v>0</v>
      </c>
      <c r="AH6" s="2">
        <v>1791</v>
      </c>
      <c r="AI6" s="2">
        <v>75.900000000000006</v>
      </c>
      <c r="AJ6" s="2" t="s">
        <v>164</v>
      </c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ht="15.6" x14ac:dyDescent="0.3">
      <c r="A7" s="1" t="s">
        <v>144</v>
      </c>
      <c r="B7" s="24" t="s">
        <v>1611</v>
      </c>
      <c r="C7" s="2" t="s">
        <v>137</v>
      </c>
      <c r="D7" s="1" t="s">
        <v>165</v>
      </c>
      <c r="E7" s="12" t="s">
        <v>1583</v>
      </c>
      <c r="F7" s="2">
        <v>148.22</v>
      </c>
      <c r="G7" s="2">
        <f t="shared" si="0"/>
        <v>1.5066070661867391E-15</v>
      </c>
      <c r="H7" s="2">
        <v>10</v>
      </c>
      <c r="I7" s="2">
        <v>5</v>
      </c>
      <c r="J7" s="3">
        <v>0.17</v>
      </c>
      <c r="K7" s="2">
        <v>1</v>
      </c>
      <c r="L7" s="2">
        <v>1</v>
      </c>
      <c r="M7" s="3">
        <v>0.03</v>
      </c>
      <c r="N7" s="2">
        <v>4</v>
      </c>
      <c r="O7" s="2">
        <v>3</v>
      </c>
      <c r="P7" s="3">
        <v>0.1</v>
      </c>
      <c r="Q7" s="2">
        <v>45712</v>
      </c>
      <c r="R7" s="2">
        <v>4.3099999999999996</v>
      </c>
      <c r="S7" s="1" t="s">
        <v>166</v>
      </c>
      <c r="T7" s="1"/>
      <c r="U7" s="1" t="s">
        <v>167</v>
      </c>
      <c r="V7" s="1" t="s">
        <v>168</v>
      </c>
      <c r="W7" s="1" t="s">
        <v>169</v>
      </c>
      <c r="X7" s="1" t="s">
        <v>170</v>
      </c>
      <c r="Y7" s="2">
        <v>363</v>
      </c>
      <c r="Z7" s="2">
        <v>16</v>
      </c>
      <c r="AA7" s="2">
        <f>41606.65-16</f>
        <v>41590.65</v>
      </c>
      <c r="AB7" s="2">
        <f>41633.79-16</f>
        <v>41617.79</v>
      </c>
      <c r="AC7" s="1" t="s">
        <v>100</v>
      </c>
      <c r="AD7" s="1" t="s">
        <v>171</v>
      </c>
      <c r="AE7" s="1" t="s">
        <v>172</v>
      </c>
      <c r="AF7" s="1" t="s">
        <v>82</v>
      </c>
      <c r="AG7" s="4">
        <v>0</v>
      </c>
      <c r="AH7" s="2">
        <v>1470</v>
      </c>
      <c r="AI7" s="2">
        <v>69.8</v>
      </c>
      <c r="AJ7" s="2" t="s">
        <v>173</v>
      </c>
      <c r="AK7" s="1" t="s">
        <v>174</v>
      </c>
      <c r="AL7" s="1" t="s">
        <v>69</v>
      </c>
      <c r="AM7" s="1">
        <v>0</v>
      </c>
      <c r="AN7" s="1">
        <v>1535</v>
      </c>
      <c r="AO7" s="1">
        <v>72.8</v>
      </c>
      <c r="AP7" s="1" t="s">
        <v>175</v>
      </c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ht="15.6" x14ac:dyDescent="0.3">
      <c r="A8" s="1" t="s">
        <v>144</v>
      </c>
      <c r="B8" s="24" t="s">
        <v>1611</v>
      </c>
      <c r="C8" s="2" t="s">
        <v>137</v>
      </c>
      <c r="D8" s="1" t="s">
        <v>176</v>
      </c>
      <c r="E8" s="12" t="s">
        <v>1584</v>
      </c>
      <c r="F8" s="2">
        <v>197.96</v>
      </c>
      <c r="G8" s="2">
        <f t="shared" si="0"/>
        <v>1.599558028614669E-20</v>
      </c>
      <c r="H8" s="2">
        <v>15</v>
      </c>
      <c r="I8" s="2">
        <v>10</v>
      </c>
      <c r="J8" s="3">
        <v>0.27</v>
      </c>
      <c r="K8" s="2">
        <v>1</v>
      </c>
      <c r="L8" s="2">
        <v>1</v>
      </c>
      <c r="M8" s="3">
        <v>0.03</v>
      </c>
      <c r="N8" s="2">
        <v>3</v>
      </c>
      <c r="O8" s="2">
        <v>3</v>
      </c>
      <c r="P8" s="3">
        <v>0.1</v>
      </c>
      <c r="Q8" s="2">
        <v>43824</v>
      </c>
      <c r="R8" s="21">
        <v>22.66</v>
      </c>
      <c r="S8" s="1" t="s">
        <v>177</v>
      </c>
      <c r="T8" s="1" t="s">
        <v>176</v>
      </c>
      <c r="U8" s="1" t="s">
        <v>178</v>
      </c>
      <c r="V8" s="1" t="s">
        <v>179</v>
      </c>
      <c r="W8" s="1" t="s">
        <v>180</v>
      </c>
      <c r="X8" s="1" t="s">
        <v>181</v>
      </c>
      <c r="Y8" s="2">
        <v>366</v>
      </c>
      <c r="Z8" s="2">
        <v>15</v>
      </c>
      <c r="AA8" s="2">
        <f>41794.83-15</f>
        <v>41779.83</v>
      </c>
      <c r="AB8" s="2">
        <f>41822.15-15</f>
        <v>41807.15</v>
      </c>
      <c r="AC8" s="1" t="s">
        <v>97</v>
      </c>
      <c r="AD8" s="1" t="s">
        <v>182</v>
      </c>
      <c r="AE8" s="1" t="s">
        <v>183</v>
      </c>
      <c r="AF8" s="1" t="s">
        <v>82</v>
      </c>
      <c r="AG8" s="2">
        <v>0</v>
      </c>
      <c r="AH8" s="2">
        <v>1511</v>
      </c>
      <c r="AI8" s="2">
        <v>70.599999999999994</v>
      </c>
      <c r="AJ8" s="2" t="s">
        <v>173</v>
      </c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ht="15.6" x14ac:dyDescent="0.3">
      <c r="A9" s="1" t="s">
        <v>201</v>
      </c>
      <c r="B9" s="24" t="s">
        <v>1607</v>
      </c>
      <c r="C9" s="2" t="s">
        <v>137</v>
      </c>
      <c r="D9" s="1" t="s">
        <v>192</v>
      </c>
      <c r="E9" s="12" t="s">
        <v>547</v>
      </c>
      <c r="F9" s="2">
        <v>210.86</v>
      </c>
      <c r="G9" s="2">
        <f t="shared" si="0"/>
        <v>8.2035154432981101E-22</v>
      </c>
      <c r="H9" s="2" t="s">
        <v>27</v>
      </c>
      <c r="I9" s="2" t="s">
        <v>27</v>
      </c>
      <c r="J9" s="2" t="s">
        <v>27</v>
      </c>
      <c r="K9" s="2" t="s">
        <v>27</v>
      </c>
      <c r="L9" s="2" t="s">
        <v>27</v>
      </c>
      <c r="M9" s="2" t="s">
        <v>27</v>
      </c>
      <c r="N9" s="2">
        <v>2</v>
      </c>
      <c r="O9" s="2">
        <v>2</v>
      </c>
      <c r="P9" s="3">
        <v>0.32</v>
      </c>
      <c r="Q9" s="2">
        <v>10938</v>
      </c>
      <c r="R9" s="2">
        <v>29.87</v>
      </c>
      <c r="S9" s="1" t="s">
        <v>194</v>
      </c>
      <c r="T9" s="1" t="s">
        <v>192</v>
      </c>
      <c r="U9" s="1" t="s">
        <v>195</v>
      </c>
      <c r="V9" s="1" t="s">
        <v>196</v>
      </c>
      <c r="W9" s="1" t="s">
        <v>197</v>
      </c>
      <c r="X9" s="1" t="s">
        <v>198</v>
      </c>
      <c r="Y9" s="2">
        <v>88</v>
      </c>
      <c r="Z9" s="2">
        <v>0</v>
      </c>
      <c r="AA9" s="2" t="s">
        <v>199</v>
      </c>
      <c r="AB9" s="2">
        <v>9289.07</v>
      </c>
      <c r="AC9" s="1" t="s">
        <v>200</v>
      </c>
      <c r="AD9" s="1" t="s">
        <v>202</v>
      </c>
      <c r="AE9" s="1" t="s">
        <v>203</v>
      </c>
      <c r="AF9" s="1" t="s">
        <v>204</v>
      </c>
      <c r="AG9" s="4">
        <v>2.2000000000000001E-33</v>
      </c>
      <c r="AH9" s="2">
        <v>298</v>
      </c>
      <c r="AI9" s="2">
        <v>68.3</v>
      </c>
      <c r="AJ9" s="2" t="s">
        <v>205</v>
      </c>
      <c r="AK9" s="1" t="s">
        <v>206</v>
      </c>
      <c r="AL9" s="1" t="s">
        <v>59</v>
      </c>
      <c r="AM9" s="5">
        <v>5.3999999999999996E-32</v>
      </c>
      <c r="AN9" s="1">
        <v>289</v>
      </c>
      <c r="AO9" s="1">
        <v>67.099999999999994</v>
      </c>
      <c r="AP9" s="1" t="s">
        <v>207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ht="15.6" x14ac:dyDescent="0.3">
      <c r="A10" s="1" t="s">
        <v>201</v>
      </c>
      <c r="B10" s="24" t="s">
        <v>1607</v>
      </c>
      <c r="C10" s="2" t="s">
        <v>137</v>
      </c>
      <c r="D10" s="1" t="s">
        <v>261</v>
      </c>
      <c r="E10" s="12" t="s">
        <v>1578</v>
      </c>
      <c r="F10" s="2">
        <v>104.19</v>
      </c>
      <c r="G10" s="2">
        <f t="shared" si="0"/>
        <v>3.8106582339377196E-11</v>
      </c>
      <c r="H10" s="2">
        <v>4</v>
      </c>
      <c r="I10" s="2">
        <v>4</v>
      </c>
      <c r="J10" s="3">
        <v>0.33</v>
      </c>
      <c r="K10" s="2" t="s">
        <v>27</v>
      </c>
      <c r="L10" s="2" t="s">
        <v>27</v>
      </c>
      <c r="M10" s="2" t="s">
        <v>27</v>
      </c>
      <c r="N10" s="2">
        <v>1</v>
      </c>
      <c r="O10" s="2">
        <v>1</v>
      </c>
      <c r="P10" s="3">
        <v>0.1</v>
      </c>
      <c r="Q10" s="2">
        <v>13254</v>
      </c>
      <c r="R10" s="2">
        <v>287.13</v>
      </c>
      <c r="S10" s="1" t="s">
        <v>263</v>
      </c>
      <c r="T10" s="1" t="s">
        <v>261</v>
      </c>
      <c r="U10" s="1" t="s">
        <v>264</v>
      </c>
      <c r="V10" s="1" t="s">
        <v>265</v>
      </c>
      <c r="W10" s="1" t="s">
        <v>266</v>
      </c>
      <c r="X10" s="1" t="s">
        <v>267</v>
      </c>
      <c r="Y10" s="2">
        <v>90</v>
      </c>
      <c r="Z10" s="2">
        <v>0</v>
      </c>
      <c r="AA10" s="2" t="s">
        <v>268</v>
      </c>
      <c r="AB10" s="2">
        <v>9595.36</v>
      </c>
      <c r="AC10" s="1" t="s">
        <v>200</v>
      </c>
      <c r="AD10" s="1" t="s">
        <v>202</v>
      </c>
      <c r="AE10" s="1" t="s">
        <v>219</v>
      </c>
      <c r="AF10" s="1" t="s">
        <v>69</v>
      </c>
      <c r="AG10" s="4">
        <v>2.9000000000000003E-48</v>
      </c>
      <c r="AH10" s="2">
        <v>396</v>
      </c>
      <c r="AI10" s="2">
        <v>82.2</v>
      </c>
      <c r="AJ10" s="2" t="s">
        <v>269</v>
      </c>
      <c r="AK10" s="1" t="s">
        <v>203</v>
      </c>
      <c r="AL10" s="1" t="s">
        <v>204</v>
      </c>
      <c r="AM10" s="5">
        <v>3.4999999999999999E-33</v>
      </c>
      <c r="AN10" s="1">
        <v>297</v>
      </c>
      <c r="AO10" s="1">
        <v>61.4</v>
      </c>
      <c r="AP10" s="1" t="s">
        <v>205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ht="15.6" x14ac:dyDescent="0.3">
      <c r="A11" s="1" t="s">
        <v>201</v>
      </c>
      <c r="B11" s="24" t="s">
        <v>1607</v>
      </c>
      <c r="C11" s="2" t="s">
        <v>137</v>
      </c>
      <c r="D11" s="1" t="s">
        <v>291</v>
      </c>
      <c r="E11" s="12" t="s">
        <v>1572</v>
      </c>
      <c r="F11" s="2">
        <v>210.43</v>
      </c>
      <c r="G11" s="2">
        <f t="shared" si="0"/>
        <v>9.0573260089819682E-22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>
        <v>2</v>
      </c>
      <c r="O11" s="2">
        <v>2</v>
      </c>
      <c r="P11" s="3">
        <v>0.21</v>
      </c>
      <c r="Q11" s="2">
        <v>13087</v>
      </c>
      <c r="R11" s="2">
        <v>927.48</v>
      </c>
      <c r="S11" s="1" t="s">
        <v>292</v>
      </c>
      <c r="T11" s="1" t="s">
        <v>291</v>
      </c>
      <c r="U11" s="1" t="s">
        <v>293</v>
      </c>
      <c r="V11" s="1" t="s">
        <v>294</v>
      </c>
      <c r="W11" s="1" t="s">
        <v>295</v>
      </c>
      <c r="X11" s="1" t="s">
        <v>296</v>
      </c>
      <c r="Y11" s="2">
        <v>107</v>
      </c>
      <c r="Z11" s="2">
        <v>0</v>
      </c>
      <c r="AA11" s="2">
        <v>11556.49</v>
      </c>
      <c r="AB11" s="2">
        <v>11563.46</v>
      </c>
      <c r="AC11" s="1" t="s">
        <v>200</v>
      </c>
      <c r="AD11" s="1" t="s">
        <v>202</v>
      </c>
      <c r="AE11" s="1" t="s">
        <v>297</v>
      </c>
      <c r="AF11" s="1" t="s">
        <v>98</v>
      </c>
      <c r="AG11" s="4">
        <v>4.4999999999999996E-50</v>
      </c>
      <c r="AH11" s="2">
        <v>411</v>
      </c>
      <c r="AI11" s="2">
        <v>72.400000000000006</v>
      </c>
      <c r="AJ11" s="2" t="s">
        <v>298</v>
      </c>
      <c r="AK11" s="1" t="s">
        <v>203</v>
      </c>
      <c r="AL11" s="1" t="s">
        <v>204</v>
      </c>
      <c r="AM11" s="5">
        <v>2.8000000000000003E-20</v>
      </c>
      <c r="AN11" s="1">
        <v>214</v>
      </c>
      <c r="AO11" s="1">
        <v>45.9</v>
      </c>
      <c r="AP11" s="1" t="s">
        <v>205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ht="15.6" x14ac:dyDescent="0.3">
      <c r="A12" s="1" t="s">
        <v>201</v>
      </c>
      <c r="B12" s="24" t="s">
        <v>1607</v>
      </c>
      <c r="C12" s="2" t="s">
        <v>137</v>
      </c>
      <c r="D12" s="1" t="s">
        <v>299</v>
      </c>
      <c r="E12" s="12" t="s">
        <v>1573</v>
      </c>
      <c r="F12" s="2">
        <v>200</v>
      </c>
      <c r="G12" s="2">
        <f t="shared" si="0"/>
        <v>9.9999999999999995E-21</v>
      </c>
      <c r="H12" s="2">
        <v>2</v>
      </c>
      <c r="I12" s="2">
        <v>2</v>
      </c>
      <c r="J12" s="3">
        <v>0.21</v>
      </c>
      <c r="K12" s="2" t="s">
        <v>27</v>
      </c>
      <c r="L12" s="2" t="s">
        <v>27</v>
      </c>
      <c r="M12" s="2" t="s">
        <v>27</v>
      </c>
      <c r="N12" s="2">
        <v>1</v>
      </c>
      <c r="O12" s="2">
        <v>1</v>
      </c>
      <c r="P12" s="3">
        <v>0.11</v>
      </c>
      <c r="Q12" s="2">
        <v>13719</v>
      </c>
      <c r="R12" s="2">
        <v>51.49</v>
      </c>
      <c r="S12" s="1" t="s">
        <v>300</v>
      </c>
      <c r="T12" s="1" t="s">
        <v>299</v>
      </c>
      <c r="U12" s="1" t="s">
        <v>301</v>
      </c>
      <c r="V12" s="1" t="s">
        <v>302</v>
      </c>
      <c r="W12" s="1" t="s">
        <v>303</v>
      </c>
      <c r="X12" s="1" t="s">
        <v>304</v>
      </c>
      <c r="Y12" s="2">
        <v>110</v>
      </c>
      <c r="Z12" s="2">
        <v>2</v>
      </c>
      <c r="AA12" s="2">
        <f>12150.95-2</f>
        <v>12148.95</v>
      </c>
      <c r="AB12" s="2">
        <f>12158.35-2</f>
        <v>12156.35</v>
      </c>
      <c r="AC12" s="1" t="s">
        <v>200</v>
      </c>
      <c r="AD12" s="1" t="s">
        <v>202</v>
      </c>
      <c r="AE12" s="1" t="s">
        <v>305</v>
      </c>
      <c r="AF12" s="1" t="s">
        <v>59</v>
      </c>
      <c r="AG12" s="4">
        <v>6.9999999999999999E-23</v>
      </c>
      <c r="AH12" s="2">
        <v>233</v>
      </c>
      <c r="AI12" s="2">
        <v>53.2</v>
      </c>
      <c r="AJ12" s="2" t="s">
        <v>306</v>
      </c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ht="15.6" x14ac:dyDescent="0.3">
      <c r="A13" s="1" t="s">
        <v>201</v>
      </c>
      <c r="B13" s="24" t="s">
        <v>1607</v>
      </c>
      <c r="C13" s="2" t="s">
        <v>137</v>
      </c>
      <c r="D13" s="1" t="s">
        <v>307</v>
      </c>
      <c r="E13" s="12" t="s">
        <v>1574</v>
      </c>
      <c r="F13" s="2">
        <v>200</v>
      </c>
      <c r="G13" s="2">
        <f t="shared" si="0"/>
        <v>9.9999999999999995E-21</v>
      </c>
      <c r="H13" s="2">
        <v>1</v>
      </c>
      <c r="I13" s="2">
        <v>1</v>
      </c>
      <c r="J13" s="3">
        <v>0.08</v>
      </c>
      <c r="K13" s="2" t="s">
        <v>27</v>
      </c>
      <c r="L13" s="2" t="s">
        <v>27</v>
      </c>
      <c r="M13" s="2" t="s">
        <v>27</v>
      </c>
      <c r="N13" s="2">
        <v>1</v>
      </c>
      <c r="O13" s="2">
        <v>1</v>
      </c>
      <c r="P13" s="3">
        <v>0.11</v>
      </c>
      <c r="Q13" s="2">
        <v>14097</v>
      </c>
      <c r="R13" s="2">
        <v>585.92999999999995</v>
      </c>
      <c r="S13" s="1" t="s">
        <v>308</v>
      </c>
      <c r="T13" s="1" t="s">
        <v>307</v>
      </c>
      <c r="U13" s="1" t="s">
        <v>309</v>
      </c>
      <c r="V13" s="1" t="s">
        <v>302</v>
      </c>
      <c r="W13" s="1" t="s">
        <v>303</v>
      </c>
      <c r="X13" s="1" t="s">
        <v>310</v>
      </c>
      <c r="Y13" s="2">
        <v>114</v>
      </c>
      <c r="Z13" s="2">
        <v>0</v>
      </c>
      <c r="AA13" s="2" t="s">
        <v>311</v>
      </c>
      <c r="AB13" s="2">
        <v>12535.79</v>
      </c>
      <c r="AC13" s="1" t="s">
        <v>200</v>
      </c>
      <c r="AD13" s="1" t="s">
        <v>202</v>
      </c>
      <c r="AE13" s="1" t="s">
        <v>305</v>
      </c>
      <c r="AF13" s="1" t="s">
        <v>59</v>
      </c>
      <c r="AG13" s="4">
        <v>3.8999999999999997E-33</v>
      </c>
      <c r="AH13" s="2">
        <v>301</v>
      </c>
      <c r="AI13" s="2">
        <v>51.9</v>
      </c>
      <c r="AJ13" s="2" t="s">
        <v>306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ht="15.6" x14ac:dyDescent="0.3">
      <c r="A14" s="1" t="s">
        <v>201</v>
      </c>
      <c r="B14" s="24" t="s">
        <v>1607</v>
      </c>
      <c r="C14" s="2" t="s">
        <v>137</v>
      </c>
      <c r="D14" s="1" t="s">
        <v>312</v>
      </c>
      <c r="E14" s="12" t="s">
        <v>1575</v>
      </c>
      <c r="F14" s="2">
        <v>128.54</v>
      </c>
      <c r="G14" s="2">
        <f t="shared" si="0"/>
        <v>1.399587322572617E-13</v>
      </c>
      <c r="H14" s="2" t="s">
        <v>27</v>
      </c>
      <c r="I14" s="2" t="s">
        <v>27</v>
      </c>
      <c r="J14" s="2" t="s">
        <v>27</v>
      </c>
      <c r="K14" s="2" t="s">
        <v>27</v>
      </c>
      <c r="L14" s="2" t="s">
        <v>27</v>
      </c>
      <c r="M14" s="2" t="s">
        <v>27</v>
      </c>
      <c r="N14" s="2">
        <v>1</v>
      </c>
      <c r="O14" s="2">
        <v>1</v>
      </c>
      <c r="P14" s="3">
        <v>0.08</v>
      </c>
      <c r="Q14" s="2">
        <v>15317</v>
      </c>
      <c r="R14" s="2">
        <v>20.47</v>
      </c>
      <c r="S14" s="1" t="s">
        <v>313</v>
      </c>
      <c r="T14" s="1" t="s">
        <v>312</v>
      </c>
      <c r="U14" s="1" t="s">
        <v>314</v>
      </c>
      <c r="V14" s="1"/>
      <c r="W14" s="1" t="s">
        <v>315</v>
      </c>
      <c r="X14" s="1" t="s">
        <v>316</v>
      </c>
      <c r="Y14" s="2">
        <v>128</v>
      </c>
      <c r="Z14" s="2">
        <v>0</v>
      </c>
      <c r="AA14" s="2">
        <v>13643.73</v>
      </c>
      <c r="AB14" s="2">
        <f>13652.11</f>
        <v>13652.11</v>
      </c>
      <c r="AC14" s="1" t="s">
        <v>200</v>
      </c>
      <c r="AD14" s="1" t="s">
        <v>27</v>
      </c>
      <c r="AE14" s="1" t="s">
        <v>317</v>
      </c>
      <c r="AF14" s="1" t="s">
        <v>82</v>
      </c>
      <c r="AG14" s="4">
        <v>1.7E-53</v>
      </c>
      <c r="AH14" s="2">
        <v>438</v>
      </c>
      <c r="AI14" s="2">
        <v>70.3</v>
      </c>
      <c r="AJ14" s="2" t="s">
        <v>318</v>
      </c>
      <c r="AK14" s="1" t="s">
        <v>319</v>
      </c>
      <c r="AL14" s="5" t="s">
        <v>230</v>
      </c>
      <c r="AM14" s="5">
        <v>4.1999999999999998E-31</v>
      </c>
      <c r="AN14" s="1">
        <v>290</v>
      </c>
      <c r="AO14" s="1">
        <v>48.6</v>
      </c>
      <c r="AP14" s="1" t="s">
        <v>320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ht="15.6" x14ac:dyDescent="0.3">
      <c r="A15" s="1" t="s">
        <v>201</v>
      </c>
      <c r="B15" s="24" t="s">
        <v>1607</v>
      </c>
      <c r="C15" s="2" t="s">
        <v>137</v>
      </c>
      <c r="D15" s="1" t="s">
        <v>321</v>
      </c>
      <c r="E15" s="12" t="s">
        <v>1576</v>
      </c>
      <c r="F15" s="2">
        <v>126.25</v>
      </c>
      <c r="G15" s="2">
        <f t="shared" si="0"/>
        <v>2.3713737056616463E-13</v>
      </c>
      <c r="H15" s="2">
        <v>4</v>
      </c>
      <c r="I15" s="2">
        <v>4</v>
      </c>
      <c r="J15" s="3">
        <v>0.38</v>
      </c>
      <c r="K15" s="2" t="s">
        <v>27</v>
      </c>
      <c r="L15" s="2" t="s">
        <v>27</v>
      </c>
      <c r="M15" s="2" t="s">
        <v>27</v>
      </c>
      <c r="N15" s="2" t="s">
        <v>27</v>
      </c>
      <c r="O15" s="2" t="s">
        <v>27</v>
      </c>
      <c r="P15" s="2" t="s">
        <v>27</v>
      </c>
      <c r="Q15" s="2">
        <v>13674</v>
      </c>
      <c r="R15" s="2">
        <v>5074.63</v>
      </c>
      <c r="S15" s="1" t="s">
        <v>322</v>
      </c>
      <c r="T15" s="1" t="s">
        <v>321</v>
      </c>
      <c r="U15" s="1" t="s">
        <v>323</v>
      </c>
      <c r="V15" s="1" t="s">
        <v>324</v>
      </c>
      <c r="W15" s="1" t="s">
        <v>325</v>
      </c>
      <c r="X15" s="1" t="s">
        <v>326</v>
      </c>
      <c r="Y15" s="2">
        <v>95</v>
      </c>
      <c r="Z15" s="2">
        <v>0</v>
      </c>
      <c r="AA15" s="2">
        <v>10566.15</v>
      </c>
      <c r="AB15" s="2">
        <v>10572.53</v>
      </c>
      <c r="AC15" s="1" t="s">
        <v>227</v>
      </c>
      <c r="AD15" s="1" t="s">
        <v>202</v>
      </c>
      <c r="AE15" s="1" t="s">
        <v>327</v>
      </c>
      <c r="AF15" s="1" t="s">
        <v>328</v>
      </c>
      <c r="AG15" s="4">
        <v>1.2E-42</v>
      </c>
      <c r="AH15" s="2">
        <v>360</v>
      </c>
      <c r="AI15" s="2">
        <v>68.400000000000006</v>
      </c>
      <c r="AJ15" s="2" t="s">
        <v>329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ht="15.6" x14ac:dyDescent="0.3">
      <c r="A16" s="1" t="s">
        <v>201</v>
      </c>
      <c r="B16" s="24" t="s">
        <v>1607</v>
      </c>
      <c r="C16" s="2" t="s">
        <v>137</v>
      </c>
      <c r="D16" s="1" t="s">
        <v>330</v>
      </c>
      <c r="E16" s="12" t="s">
        <v>1577</v>
      </c>
      <c r="F16" s="2">
        <v>77.33</v>
      </c>
      <c r="G16" s="2">
        <f t="shared" si="0"/>
        <v>1.8492686189780794E-8</v>
      </c>
      <c r="H16" s="2">
        <v>3</v>
      </c>
      <c r="I16" s="2">
        <v>3</v>
      </c>
      <c r="J16" s="3">
        <v>0.11</v>
      </c>
      <c r="K16" s="2">
        <v>1</v>
      </c>
      <c r="L16" s="2">
        <v>1</v>
      </c>
      <c r="M16" s="3">
        <v>0.06</v>
      </c>
      <c r="N16" s="2" t="s">
        <v>27</v>
      </c>
      <c r="O16" s="2" t="s">
        <v>27</v>
      </c>
      <c r="P16" s="2" t="s">
        <v>27</v>
      </c>
      <c r="Q16" s="2">
        <v>20612</v>
      </c>
      <c r="R16" s="2">
        <v>52.97</v>
      </c>
      <c r="S16" s="1" t="s">
        <v>331</v>
      </c>
      <c r="T16" s="1" t="s">
        <v>330</v>
      </c>
      <c r="U16" s="1" t="s">
        <v>332</v>
      </c>
      <c r="V16" s="1" t="s">
        <v>333</v>
      </c>
      <c r="W16" s="1" t="s">
        <v>334</v>
      </c>
      <c r="X16" s="1" t="s">
        <v>335</v>
      </c>
      <c r="Y16" s="2">
        <v>162</v>
      </c>
      <c r="Z16" s="2">
        <v>0</v>
      </c>
      <c r="AA16" s="2">
        <v>17621.88</v>
      </c>
      <c r="AB16" s="2">
        <v>17632.669999999998</v>
      </c>
      <c r="AC16" s="1" t="s">
        <v>227</v>
      </c>
      <c r="AD16" s="1" t="s">
        <v>202</v>
      </c>
      <c r="AE16" s="1" t="s">
        <v>317</v>
      </c>
      <c r="AF16" s="1" t="s">
        <v>82</v>
      </c>
      <c r="AG16" s="4">
        <v>2.0000000000000001E-58</v>
      </c>
      <c r="AH16" s="2">
        <v>477</v>
      </c>
      <c r="AI16" s="2">
        <v>58.4</v>
      </c>
      <c r="AJ16" s="2" t="s">
        <v>336</v>
      </c>
      <c r="AK16" s="1" t="s">
        <v>319</v>
      </c>
      <c r="AL16" s="1" t="s">
        <v>230</v>
      </c>
      <c r="AM16" s="5">
        <v>2.2999999999999999E-29</v>
      </c>
      <c r="AN16" s="1">
        <v>282</v>
      </c>
      <c r="AO16" s="1">
        <v>54.5</v>
      </c>
      <c r="AP16" s="1" t="s">
        <v>320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1:78" ht="15.6" x14ac:dyDescent="0.3">
      <c r="A17" s="1" t="s">
        <v>201</v>
      </c>
      <c r="B17" s="24" t="s">
        <v>1612</v>
      </c>
      <c r="C17" s="2" t="s">
        <v>137</v>
      </c>
      <c r="D17" s="1" t="s">
        <v>208</v>
      </c>
      <c r="E17" s="12" t="s">
        <v>1585</v>
      </c>
      <c r="F17" s="2">
        <v>164.86</v>
      </c>
      <c r="G17" s="2">
        <f t="shared" si="0"/>
        <v>3.2658783217233482E-17</v>
      </c>
      <c r="H17" s="2" t="s">
        <v>27</v>
      </c>
      <c r="I17" s="2" t="s">
        <v>27</v>
      </c>
      <c r="J17" s="2" t="s">
        <v>27</v>
      </c>
      <c r="K17" s="2" t="s">
        <v>27</v>
      </c>
      <c r="L17" s="2" t="s">
        <v>27</v>
      </c>
      <c r="M17" s="2" t="s">
        <v>27</v>
      </c>
      <c r="N17" s="2">
        <v>1</v>
      </c>
      <c r="O17" s="2">
        <v>1</v>
      </c>
      <c r="P17" s="3">
        <v>0.1</v>
      </c>
      <c r="Q17" s="2">
        <v>18156</v>
      </c>
      <c r="R17" s="2">
        <v>1.53</v>
      </c>
      <c r="S17" s="1" t="s">
        <v>209</v>
      </c>
      <c r="T17" s="1" t="s">
        <v>208</v>
      </c>
      <c r="U17" s="1" t="s">
        <v>210</v>
      </c>
      <c r="V17" s="1" t="s">
        <v>211</v>
      </c>
      <c r="W17" s="1" t="s">
        <v>212</v>
      </c>
      <c r="X17" s="1" t="s">
        <v>213</v>
      </c>
      <c r="Y17" s="2">
        <v>152</v>
      </c>
      <c r="Z17" s="2">
        <v>0</v>
      </c>
      <c r="AA17" s="2" t="s">
        <v>214</v>
      </c>
      <c r="AB17" s="2">
        <f>16563.69</f>
        <v>16563.689999999999</v>
      </c>
      <c r="AC17" s="1" t="s">
        <v>200</v>
      </c>
      <c r="AD17" s="1"/>
      <c r="AE17" s="1" t="s">
        <v>215</v>
      </c>
      <c r="AF17" s="1" t="s">
        <v>99</v>
      </c>
      <c r="AG17" s="4">
        <v>7.2000000000000003E-48</v>
      </c>
      <c r="AH17" s="2">
        <v>407</v>
      </c>
      <c r="AI17" s="2">
        <v>51.3</v>
      </c>
      <c r="AJ17" s="2" t="s">
        <v>216</v>
      </c>
      <c r="AK17" s="1" t="s">
        <v>217</v>
      </c>
      <c r="AL17" s="1" t="s">
        <v>59</v>
      </c>
      <c r="AM17" s="5">
        <v>3.3000000000000002E-42</v>
      </c>
      <c r="AN17" s="1">
        <v>382</v>
      </c>
      <c r="AO17" s="1">
        <v>51.7</v>
      </c>
      <c r="AP17" s="1" t="s">
        <v>218</v>
      </c>
      <c r="AQ17" s="1" t="s">
        <v>219</v>
      </c>
      <c r="AR17" s="1" t="s">
        <v>69</v>
      </c>
      <c r="AS17" s="5">
        <v>2.6999999999999997E-91</v>
      </c>
      <c r="AT17" s="1">
        <v>692</v>
      </c>
      <c r="AU17" s="1">
        <v>85</v>
      </c>
      <c r="AV17" s="1" t="s">
        <v>220</v>
      </c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ht="15.6" x14ac:dyDescent="0.3">
      <c r="A18" s="1" t="s">
        <v>201</v>
      </c>
      <c r="B18" s="24" t="s">
        <v>1612</v>
      </c>
      <c r="C18" s="2" t="s">
        <v>137</v>
      </c>
      <c r="D18" s="1" t="s">
        <v>221</v>
      </c>
      <c r="E18" s="12" t="s">
        <v>1586</v>
      </c>
      <c r="F18" s="2">
        <v>165.24</v>
      </c>
      <c r="G18" s="2">
        <f t="shared" si="0"/>
        <v>2.9922646366081639E-17</v>
      </c>
      <c r="H18" s="2">
        <v>2</v>
      </c>
      <c r="I18" s="2">
        <v>2</v>
      </c>
      <c r="J18" s="3">
        <v>0.08</v>
      </c>
      <c r="K18" s="2" t="s">
        <v>27</v>
      </c>
      <c r="L18" s="2" t="s">
        <v>27</v>
      </c>
      <c r="M18" s="2" t="s">
        <v>27</v>
      </c>
      <c r="N18" s="2">
        <v>2</v>
      </c>
      <c r="O18" s="2">
        <v>2</v>
      </c>
      <c r="P18" s="3">
        <v>0.1</v>
      </c>
      <c r="Q18" s="2">
        <v>34766</v>
      </c>
      <c r="R18" s="2">
        <v>20.48</v>
      </c>
      <c r="S18" s="1" t="s">
        <v>222</v>
      </c>
      <c r="T18" s="1" t="s">
        <v>221</v>
      </c>
      <c r="U18" s="1" t="s">
        <v>223</v>
      </c>
      <c r="V18" s="1" t="s">
        <v>224</v>
      </c>
      <c r="W18" s="1" t="s">
        <v>225</v>
      </c>
      <c r="X18" s="1" t="s">
        <v>226</v>
      </c>
      <c r="Y18" s="2">
        <v>278</v>
      </c>
      <c r="Z18" s="2">
        <v>0</v>
      </c>
      <c r="AA18" s="2">
        <v>31808.36</v>
      </c>
      <c r="AB18" s="2">
        <f>31828.07</f>
        <v>31828.07</v>
      </c>
      <c r="AC18" s="1" t="s">
        <v>227</v>
      </c>
      <c r="AD18" s="1" t="s">
        <v>27</v>
      </c>
      <c r="AE18" s="1" t="s">
        <v>219</v>
      </c>
      <c r="AF18" s="1" t="s">
        <v>69</v>
      </c>
      <c r="AG18" s="4">
        <v>1.0999999999999999E-101</v>
      </c>
      <c r="AH18" s="2">
        <v>787</v>
      </c>
      <c r="AI18" s="2">
        <v>56.6</v>
      </c>
      <c r="AJ18" s="2" t="s">
        <v>228</v>
      </c>
      <c r="AK18" s="1" t="s">
        <v>229</v>
      </c>
      <c r="AL18" s="1" t="s">
        <v>230</v>
      </c>
      <c r="AM18" s="5">
        <v>2E-16</v>
      </c>
      <c r="AN18" s="1">
        <v>204</v>
      </c>
      <c r="AO18" s="1">
        <v>40.200000000000003</v>
      </c>
      <c r="AP18" s="1" t="s">
        <v>231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ht="15.6" x14ac:dyDescent="0.3">
      <c r="A19" s="1" t="s">
        <v>201</v>
      </c>
      <c r="B19" s="24" t="s">
        <v>1612</v>
      </c>
      <c r="C19" s="2" t="s">
        <v>137</v>
      </c>
      <c r="D19" s="1" t="s">
        <v>232</v>
      </c>
      <c r="E19" s="12" t="s">
        <v>1587</v>
      </c>
      <c r="F19" s="2">
        <v>107.66</v>
      </c>
      <c r="G19" s="2">
        <f t="shared" si="0"/>
        <v>1.7139573075084238E-11</v>
      </c>
      <c r="H19" s="2">
        <v>3</v>
      </c>
      <c r="I19" s="2">
        <v>3</v>
      </c>
      <c r="J19" s="3">
        <v>0.27</v>
      </c>
      <c r="K19" s="2" t="s">
        <v>27</v>
      </c>
      <c r="L19" s="2" t="s">
        <v>27</v>
      </c>
      <c r="M19" s="2" t="s">
        <v>27</v>
      </c>
      <c r="N19" s="2" t="s">
        <v>27</v>
      </c>
      <c r="O19" s="2" t="s">
        <v>27</v>
      </c>
      <c r="P19" s="2" t="s">
        <v>27</v>
      </c>
      <c r="Q19" s="2">
        <v>8118</v>
      </c>
      <c r="R19" s="2">
        <v>152.25</v>
      </c>
      <c r="S19" s="1" t="s">
        <v>233</v>
      </c>
      <c r="T19" s="1" t="s">
        <v>232</v>
      </c>
      <c r="U19" s="1" t="s">
        <v>234</v>
      </c>
      <c r="V19" s="1" t="s">
        <v>235</v>
      </c>
      <c r="W19" s="1" t="s">
        <v>236</v>
      </c>
      <c r="X19" s="1" t="s">
        <v>237</v>
      </c>
      <c r="Y19" s="2">
        <v>48</v>
      </c>
      <c r="Z19" s="2">
        <v>0</v>
      </c>
      <c r="AA19" s="2">
        <v>5214.54</v>
      </c>
      <c r="AB19" s="2">
        <v>5217.83</v>
      </c>
      <c r="AC19" s="1" t="s">
        <v>100</v>
      </c>
      <c r="AD19" s="1" t="s">
        <v>238</v>
      </c>
      <c r="AE19" s="1" t="s">
        <v>239</v>
      </c>
      <c r="AF19" s="1" t="s">
        <v>240</v>
      </c>
      <c r="AG19" s="4">
        <v>2.5999999999999999E-3</v>
      </c>
      <c r="AH19" s="2">
        <v>99</v>
      </c>
      <c r="AI19" s="2">
        <v>47.1</v>
      </c>
      <c r="AJ19" s="2" t="s">
        <v>241</v>
      </c>
      <c r="AK19" s="1" t="s">
        <v>242</v>
      </c>
      <c r="AL19" s="1" t="s">
        <v>243</v>
      </c>
      <c r="AM19" s="5">
        <v>1.3E-24</v>
      </c>
      <c r="AN19" s="1">
        <v>233</v>
      </c>
      <c r="AO19" s="1">
        <v>76.099999999999994</v>
      </c>
      <c r="AP19" s="1" t="s">
        <v>244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ht="15.6" x14ac:dyDescent="0.3">
      <c r="A20" s="1" t="s">
        <v>201</v>
      </c>
      <c r="B20" s="24" t="s">
        <v>1612</v>
      </c>
      <c r="C20" s="2" t="s">
        <v>137</v>
      </c>
      <c r="D20" s="1" t="s">
        <v>245</v>
      </c>
      <c r="E20" s="12" t="s">
        <v>1588</v>
      </c>
      <c r="F20" s="2">
        <v>66.73</v>
      </c>
      <c r="G20" s="2">
        <f t="shared" si="0"/>
        <v>2.1232444620002145E-7</v>
      </c>
      <c r="H20" s="2">
        <v>1</v>
      </c>
      <c r="I20" s="2">
        <v>1</v>
      </c>
      <c r="J20" s="3">
        <v>0.27</v>
      </c>
      <c r="K20" s="2" t="s">
        <v>27</v>
      </c>
      <c r="L20" s="2" t="s">
        <v>27</v>
      </c>
      <c r="M20" s="2" t="s">
        <v>27</v>
      </c>
      <c r="N20" s="2" t="s">
        <v>27</v>
      </c>
      <c r="O20" s="2" t="s">
        <v>27</v>
      </c>
      <c r="P20" s="2" t="s">
        <v>27</v>
      </c>
      <c r="Q20" s="2">
        <v>7742</v>
      </c>
      <c r="R20" s="2">
        <v>9.0399999999999991</v>
      </c>
      <c r="S20" s="1" t="s">
        <v>246</v>
      </c>
      <c r="T20" s="1" t="s">
        <v>245</v>
      </c>
      <c r="U20" s="1" t="s">
        <v>247</v>
      </c>
      <c r="V20" s="1" t="s">
        <v>248</v>
      </c>
      <c r="W20" s="1" t="s">
        <v>249</v>
      </c>
      <c r="X20" s="1" t="s">
        <v>250</v>
      </c>
      <c r="Y20" s="2">
        <v>53</v>
      </c>
      <c r="Z20" s="2">
        <v>0</v>
      </c>
      <c r="AA20" s="2">
        <v>5617.86</v>
      </c>
      <c r="AB20" s="2">
        <v>5621.35</v>
      </c>
      <c r="AC20" s="1" t="s">
        <v>100</v>
      </c>
      <c r="AD20" s="1" t="s">
        <v>27</v>
      </c>
      <c r="AE20" s="1" t="s">
        <v>219</v>
      </c>
      <c r="AF20" s="1" t="s">
        <v>59</v>
      </c>
      <c r="AG20" s="4">
        <v>6.1000000000000003E-20</v>
      </c>
      <c r="AH20" s="2">
        <v>191</v>
      </c>
      <c r="AI20" s="2">
        <v>72.900000000000006</v>
      </c>
      <c r="AJ20" s="2" t="s">
        <v>251</v>
      </c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</row>
    <row r="21" spans="1:78" ht="15.6" x14ac:dyDescent="0.3">
      <c r="A21" s="1" t="s">
        <v>201</v>
      </c>
      <c r="B21" s="24" t="s">
        <v>1612</v>
      </c>
      <c r="C21" s="2" t="s">
        <v>137</v>
      </c>
      <c r="D21" s="1" t="s">
        <v>252</v>
      </c>
      <c r="E21" s="12" t="s">
        <v>1589</v>
      </c>
      <c r="F21" s="2">
        <v>131.65</v>
      </c>
      <c r="G21" s="2">
        <f t="shared" si="0"/>
        <v>6.8391164728142538E-14</v>
      </c>
      <c r="H21" s="2">
        <v>5</v>
      </c>
      <c r="I21" s="2">
        <v>5</v>
      </c>
      <c r="J21" s="3">
        <v>0.32</v>
      </c>
      <c r="K21" s="2">
        <v>4</v>
      </c>
      <c r="L21" s="2">
        <v>4</v>
      </c>
      <c r="M21" s="3">
        <v>0.12</v>
      </c>
      <c r="N21" s="2">
        <v>1</v>
      </c>
      <c r="O21" s="2">
        <v>1</v>
      </c>
      <c r="P21" s="3">
        <v>0.06</v>
      </c>
      <c r="Q21" s="2">
        <v>19232</v>
      </c>
      <c r="R21" s="2">
        <v>57.9</v>
      </c>
      <c r="S21" s="1" t="s">
        <v>253</v>
      </c>
      <c r="T21" s="1" t="s">
        <v>252</v>
      </c>
      <c r="U21" s="1" t="s">
        <v>254</v>
      </c>
      <c r="V21" s="1" t="s">
        <v>255</v>
      </c>
      <c r="W21" s="1" t="s">
        <v>256</v>
      </c>
      <c r="X21" s="1" t="s">
        <v>257</v>
      </c>
      <c r="Y21" s="2">
        <v>176</v>
      </c>
      <c r="Z21" s="2">
        <v>0</v>
      </c>
      <c r="AA21" s="2">
        <v>17304.169999999998</v>
      </c>
      <c r="AB21" s="2">
        <v>17314.439999999999</v>
      </c>
      <c r="AC21" s="1" t="s">
        <v>100</v>
      </c>
      <c r="AD21" s="1" t="s">
        <v>258</v>
      </c>
      <c r="AE21" s="1" t="s">
        <v>259</v>
      </c>
      <c r="AF21" s="1" t="s">
        <v>82</v>
      </c>
      <c r="AG21" s="4">
        <v>1.6999999999999999E-81</v>
      </c>
      <c r="AH21" s="2">
        <v>635</v>
      </c>
      <c r="AI21" s="2">
        <v>72.400000000000006</v>
      </c>
      <c r="AJ21" s="2" t="s">
        <v>260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ht="15.6" x14ac:dyDescent="0.3">
      <c r="A22" s="1" t="s">
        <v>201</v>
      </c>
      <c r="B22" s="24" t="s">
        <v>1612</v>
      </c>
      <c r="C22" s="2" t="s">
        <v>137</v>
      </c>
      <c r="D22" s="1" t="s">
        <v>270</v>
      </c>
      <c r="E22" s="12" t="s">
        <v>1590</v>
      </c>
      <c r="F22" s="2">
        <v>131.65</v>
      </c>
      <c r="G22" s="2">
        <f t="shared" si="0"/>
        <v>6.8391164728142538E-14</v>
      </c>
      <c r="H22" s="2">
        <v>5</v>
      </c>
      <c r="I22" s="2">
        <v>5</v>
      </c>
      <c r="J22" s="3">
        <v>0.3</v>
      </c>
      <c r="K22" s="2">
        <v>4</v>
      </c>
      <c r="L22" s="2">
        <v>4</v>
      </c>
      <c r="M22" s="3">
        <v>0.12</v>
      </c>
      <c r="N22" s="2">
        <v>1</v>
      </c>
      <c r="O22" s="2">
        <v>1</v>
      </c>
      <c r="P22" s="3">
        <v>0.06</v>
      </c>
      <c r="Q22" s="2">
        <v>20376</v>
      </c>
      <c r="R22" s="2">
        <v>21.9</v>
      </c>
      <c r="S22" s="1" t="s">
        <v>271</v>
      </c>
      <c r="T22" s="1" t="s">
        <v>270</v>
      </c>
      <c r="U22" s="1" t="s">
        <v>272</v>
      </c>
      <c r="V22" s="1" t="s">
        <v>255</v>
      </c>
      <c r="W22" s="1" t="s">
        <v>256</v>
      </c>
      <c r="X22" s="1" t="s">
        <v>273</v>
      </c>
      <c r="Y22" s="2">
        <v>188</v>
      </c>
      <c r="Z22" s="2">
        <v>0</v>
      </c>
      <c r="AA22" s="2">
        <v>18447.830000000002</v>
      </c>
      <c r="AB22" s="2">
        <v>18458.82</v>
      </c>
      <c r="AC22" s="1" t="s">
        <v>100</v>
      </c>
      <c r="AD22" s="1" t="s">
        <v>258</v>
      </c>
      <c r="AE22" s="1" t="s">
        <v>259</v>
      </c>
      <c r="AF22" s="1" t="s">
        <v>82</v>
      </c>
      <c r="AG22" s="4">
        <v>2.7999999999999999E-81</v>
      </c>
      <c r="AH22" s="2">
        <v>635</v>
      </c>
      <c r="AI22" s="2">
        <v>68.7</v>
      </c>
      <c r="AJ22" s="2" t="s">
        <v>260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ht="15.6" x14ac:dyDescent="0.3">
      <c r="A23" s="1" t="s">
        <v>201</v>
      </c>
      <c r="B23" s="24" t="s">
        <v>1612</v>
      </c>
      <c r="C23" s="2" t="s">
        <v>137</v>
      </c>
      <c r="D23" s="1" t="s">
        <v>274</v>
      </c>
      <c r="E23" s="12" t="s">
        <v>1591</v>
      </c>
      <c r="F23" s="2">
        <v>95.5</v>
      </c>
      <c r="G23" s="2">
        <f t="shared" si="0"/>
        <v>2.8183829312644407E-10</v>
      </c>
      <c r="H23" s="2">
        <v>2</v>
      </c>
      <c r="I23" s="2">
        <v>2</v>
      </c>
      <c r="J23" s="3">
        <v>0.1</v>
      </c>
      <c r="K23" s="2" t="s">
        <v>27</v>
      </c>
      <c r="L23" s="2" t="s">
        <v>27</v>
      </c>
      <c r="M23" s="2" t="s">
        <v>27</v>
      </c>
      <c r="N23" s="2">
        <v>3</v>
      </c>
      <c r="O23" s="2">
        <v>2</v>
      </c>
      <c r="P23" s="3">
        <v>0.08</v>
      </c>
      <c r="Q23" s="2">
        <v>26685</v>
      </c>
      <c r="R23" s="2">
        <v>1.49</v>
      </c>
      <c r="S23" s="1" t="s">
        <v>275</v>
      </c>
      <c r="T23" s="1"/>
      <c r="U23" s="1" t="s">
        <v>276</v>
      </c>
      <c r="V23" s="1" t="s">
        <v>277</v>
      </c>
      <c r="W23" s="1" t="s">
        <v>278</v>
      </c>
      <c r="X23" s="1" t="s">
        <v>279</v>
      </c>
      <c r="Y23" s="2">
        <v>233</v>
      </c>
      <c r="Z23" s="2">
        <v>0</v>
      </c>
      <c r="AA23" s="2">
        <v>24040.9</v>
      </c>
      <c r="AB23" s="2">
        <v>24055.78</v>
      </c>
      <c r="AC23" s="1" t="s">
        <v>100</v>
      </c>
      <c r="AD23" s="1" t="s">
        <v>27</v>
      </c>
      <c r="AE23" s="1" t="s">
        <v>280</v>
      </c>
      <c r="AF23" s="1" t="s">
        <v>281</v>
      </c>
      <c r="AG23" s="4">
        <v>3.0000000000000001E-86</v>
      </c>
      <c r="AH23" s="2">
        <v>675</v>
      </c>
      <c r="AI23" s="2">
        <v>62.6</v>
      </c>
      <c r="AJ23" s="2" t="s">
        <v>282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</row>
    <row r="24" spans="1:78" ht="15.6" x14ac:dyDescent="0.3">
      <c r="A24" s="1" t="s">
        <v>201</v>
      </c>
      <c r="B24" s="24" t="s">
        <v>1612</v>
      </c>
      <c r="C24" s="2" t="s">
        <v>137</v>
      </c>
      <c r="D24" s="1" t="s">
        <v>283</v>
      </c>
      <c r="E24" s="12" t="s">
        <v>1592</v>
      </c>
      <c r="F24" s="2">
        <v>84.21</v>
      </c>
      <c r="G24" s="2">
        <f t="shared" si="0"/>
        <v>3.7931498497368112E-9</v>
      </c>
      <c r="H24" s="2">
        <v>4</v>
      </c>
      <c r="I24" s="2">
        <v>4</v>
      </c>
      <c r="J24" s="3">
        <v>0.18</v>
      </c>
      <c r="K24" s="2" t="s">
        <v>27</v>
      </c>
      <c r="L24" s="2" t="s">
        <v>27</v>
      </c>
      <c r="M24" s="2" t="s">
        <v>27</v>
      </c>
      <c r="N24" s="2" t="s">
        <v>27</v>
      </c>
      <c r="O24" s="2" t="s">
        <v>27</v>
      </c>
      <c r="P24" s="2" t="s">
        <v>27</v>
      </c>
      <c r="Q24" s="2">
        <v>334909</v>
      </c>
      <c r="R24" s="2">
        <v>28.97</v>
      </c>
      <c r="S24" s="1" t="s">
        <v>284</v>
      </c>
      <c r="T24" s="1" t="s">
        <v>283</v>
      </c>
      <c r="U24" s="1" t="s">
        <v>285</v>
      </c>
      <c r="V24" s="1" t="s">
        <v>286</v>
      </c>
      <c r="W24" s="1" t="s">
        <v>287</v>
      </c>
      <c r="X24" s="1" t="s">
        <v>288</v>
      </c>
      <c r="Y24" s="2">
        <v>301</v>
      </c>
      <c r="Z24" s="2">
        <v>0</v>
      </c>
      <c r="AA24" s="2" t="s">
        <v>289</v>
      </c>
      <c r="AB24" s="2">
        <v>31718.35</v>
      </c>
      <c r="AC24" s="1" t="s">
        <v>100</v>
      </c>
      <c r="AD24" s="1" t="s">
        <v>27</v>
      </c>
      <c r="AE24" s="1" t="s">
        <v>219</v>
      </c>
      <c r="AF24" s="1" t="s">
        <v>82</v>
      </c>
      <c r="AG24" s="4">
        <v>2.0000000000000001E-61</v>
      </c>
      <c r="AH24" s="2">
        <v>521</v>
      </c>
      <c r="AI24" s="2">
        <v>43.5</v>
      </c>
      <c r="AJ24" s="2" t="s">
        <v>290</v>
      </c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ht="15.6" x14ac:dyDescent="0.3">
      <c r="A25" s="1" t="s">
        <v>1623</v>
      </c>
      <c r="B25" s="24" t="s">
        <v>1621</v>
      </c>
      <c r="C25" s="2" t="s">
        <v>137</v>
      </c>
      <c r="D25" s="1" t="s">
        <v>725</v>
      </c>
      <c r="E25" s="12" t="s">
        <v>684</v>
      </c>
      <c r="F25" s="2">
        <v>252.51</v>
      </c>
      <c r="G25" s="2">
        <f t="shared" si="0"/>
        <v>5.6104797603247188E-26</v>
      </c>
      <c r="H25" s="2">
        <v>16</v>
      </c>
      <c r="I25" s="2">
        <v>16</v>
      </c>
      <c r="J25" s="3">
        <v>0.33</v>
      </c>
      <c r="K25" s="2">
        <v>1</v>
      </c>
      <c r="L25" s="2">
        <v>1</v>
      </c>
      <c r="M25" s="3">
        <v>7.0000000000000007E-2</v>
      </c>
      <c r="N25" s="2">
        <v>1</v>
      </c>
      <c r="O25" s="2">
        <v>1</v>
      </c>
      <c r="P25" s="3">
        <v>0.04</v>
      </c>
      <c r="Q25" s="2">
        <v>25736</v>
      </c>
      <c r="R25" s="2">
        <v>5.05</v>
      </c>
      <c r="S25" s="1" t="s">
        <v>727</v>
      </c>
      <c r="T25" s="1" t="s">
        <v>725</v>
      </c>
      <c r="U25" s="1" t="s">
        <v>728</v>
      </c>
      <c r="V25" s="1" t="s">
        <v>729</v>
      </c>
      <c r="W25" s="1" t="s">
        <v>730</v>
      </c>
      <c r="X25" s="1" t="s">
        <v>731</v>
      </c>
      <c r="Y25" s="2">
        <v>224</v>
      </c>
      <c r="Z25" s="2">
        <v>4</v>
      </c>
      <c r="AA25" s="2">
        <f>23621.97-4</f>
        <v>23617.97</v>
      </c>
      <c r="AB25" s="2">
        <f>23636.62-4</f>
        <v>23632.62</v>
      </c>
      <c r="AC25" s="1" t="s">
        <v>27</v>
      </c>
      <c r="AD25" s="1" t="s">
        <v>732</v>
      </c>
      <c r="AE25" s="1" t="s">
        <v>733</v>
      </c>
      <c r="AF25" s="1" t="s">
        <v>734</v>
      </c>
      <c r="AG25" s="4">
        <v>4.3999999999999999E-5</v>
      </c>
      <c r="AH25" s="2">
        <v>126</v>
      </c>
      <c r="AI25" s="2">
        <v>24.6</v>
      </c>
      <c r="AJ25" s="2" t="s">
        <v>735</v>
      </c>
      <c r="AK25" s="1" t="s">
        <v>736</v>
      </c>
      <c r="AL25" s="1" t="s">
        <v>737</v>
      </c>
      <c r="AM25" s="5">
        <v>5.3E-71</v>
      </c>
      <c r="AN25" s="1">
        <v>572</v>
      </c>
      <c r="AO25" s="1">
        <v>54.9</v>
      </c>
      <c r="AP25" s="1" t="s">
        <v>738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ht="15.6" x14ac:dyDescent="0.3">
      <c r="A26" s="1" t="s">
        <v>1623</v>
      </c>
      <c r="B26" s="24" t="s">
        <v>1621</v>
      </c>
      <c r="C26" s="2" t="s">
        <v>137</v>
      </c>
      <c r="D26" s="1" t="s">
        <v>739</v>
      </c>
      <c r="E26" s="12" t="s">
        <v>1548</v>
      </c>
      <c r="F26" s="2">
        <v>154.44999999999999</v>
      </c>
      <c r="G26" s="2">
        <f t="shared" si="0"/>
        <v>3.5892193464500462E-16</v>
      </c>
      <c r="H26" s="2">
        <v>12</v>
      </c>
      <c r="I26" s="2">
        <v>12</v>
      </c>
      <c r="J26" s="3">
        <v>0.21</v>
      </c>
      <c r="K26" s="2" t="s">
        <v>27</v>
      </c>
      <c r="L26" s="2" t="s">
        <v>27</v>
      </c>
      <c r="M26" s="3" t="s">
        <v>27</v>
      </c>
      <c r="N26" s="2">
        <v>1</v>
      </c>
      <c r="O26" s="2">
        <v>1</v>
      </c>
      <c r="P26" s="3">
        <v>0.04</v>
      </c>
      <c r="Q26" s="2">
        <v>29636</v>
      </c>
      <c r="R26" s="2">
        <v>7.21</v>
      </c>
      <c r="S26" s="1" t="s">
        <v>740</v>
      </c>
      <c r="T26" s="1" t="s">
        <v>739</v>
      </c>
      <c r="U26" s="1" t="s">
        <v>741</v>
      </c>
      <c r="V26" s="1" t="s">
        <v>742</v>
      </c>
      <c r="W26" s="1" t="s">
        <v>743</v>
      </c>
      <c r="X26" s="1" t="s">
        <v>744</v>
      </c>
      <c r="Y26" s="2">
        <v>261</v>
      </c>
      <c r="Z26" s="2">
        <v>6</v>
      </c>
      <c r="AA26" s="2">
        <f>27744.95-6</f>
        <v>27738.95</v>
      </c>
      <c r="AB26" s="2">
        <f>27762.38-6</f>
        <v>27756.38</v>
      </c>
      <c r="AC26" s="1" t="s">
        <v>745</v>
      </c>
      <c r="AD26" s="1" t="s">
        <v>27</v>
      </c>
      <c r="AE26" s="1" t="s">
        <v>746</v>
      </c>
      <c r="AF26" s="1" t="s">
        <v>556</v>
      </c>
      <c r="AG26" s="4">
        <v>1.7000000000000001E-144</v>
      </c>
      <c r="AH26" s="2">
        <v>1064</v>
      </c>
      <c r="AI26" s="2">
        <v>76.599999999999994</v>
      </c>
      <c r="AJ26" s="2" t="s">
        <v>747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pans="1:78" ht="15.6" x14ac:dyDescent="0.3">
      <c r="A27" s="1" t="s">
        <v>1623</v>
      </c>
      <c r="B27" s="24" t="s">
        <v>1621</v>
      </c>
      <c r="C27" s="2" t="s">
        <v>137</v>
      </c>
      <c r="D27" s="1" t="s">
        <v>748</v>
      </c>
      <c r="E27" s="12" t="s">
        <v>1549</v>
      </c>
      <c r="F27" s="2">
        <v>80.67</v>
      </c>
      <c r="G27" s="2">
        <f t="shared" si="0"/>
        <v>8.5703784523036739E-9</v>
      </c>
      <c r="H27" s="2">
        <v>2</v>
      </c>
      <c r="I27" s="2">
        <v>2</v>
      </c>
      <c r="J27" s="3">
        <v>0.08</v>
      </c>
      <c r="K27" s="2" t="s">
        <v>27</v>
      </c>
      <c r="L27" s="2" t="s">
        <v>27</v>
      </c>
      <c r="M27" s="2" t="s">
        <v>27</v>
      </c>
      <c r="N27" s="2" t="s">
        <v>27</v>
      </c>
      <c r="O27" s="2" t="s">
        <v>27</v>
      </c>
      <c r="P27" s="2" t="s">
        <v>27</v>
      </c>
      <c r="Q27" s="2">
        <v>31125</v>
      </c>
      <c r="R27" s="2">
        <v>3.67</v>
      </c>
      <c r="S27" s="1" t="s">
        <v>749</v>
      </c>
      <c r="T27" s="1" t="s">
        <v>748</v>
      </c>
      <c r="U27" s="1" t="s">
        <v>750</v>
      </c>
      <c r="V27" s="1" t="s">
        <v>751</v>
      </c>
      <c r="W27" s="1" t="s">
        <v>752</v>
      </c>
      <c r="X27" s="1" t="s">
        <v>753</v>
      </c>
      <c r="Y27" s="2">
        <v>275</v>
      </c>
      <c r="Z27" s="2">
        <v>6</v>
      </c>
      <c r="AA27" s="2">
        <f>28770.55-6</f>
        <v>28764.55</v>
      </c>
      <c r="AB27" s="2">
        <f>28788.57-6</f>
        <v>28782.57</v>
      </c>
      <c r="AC27" s="1" t="s">
        <v>745</v>
      </c>
      <c r="AD27" s="1" t="s">
        <v>27</v>
      </c>
      <c r="AE27" s="1" t="s">
        <v>754</v>
      </c>
      <c r="AF27" s="1" t="s">
        <v>755</v>
      </c>
      <c r="AG27" s="4">
        <v>2.2000000000000001E-136</v>
      </c>
      <c r="AH27" s="2">
        <v>1014</v>
      </c>
      <c r="AI27" s="2">
        <v>70.7</v>
      </c>
      <c r="AJ27" s="2" t="s">
        <v>756</v>
      </c>
      <c r="AK27" s="1" t="s">
        <v>757</v>
      </c>
      <c r="AL27" s="1" t="s">
        <v>69</v>
      </c>
      <c r="AM27" s="5">
        <v>8.8000000000000004E-128</v>
      </c>
      <c r="AN27" s="1">
        <v>957</v>
      </c>
      <c r="AO27" s="1">
        <v>67.400000000000006</v>
      </c>
      <c r="AP27" s="1" t="s">
        <v>758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ht="15.6" x14ac:dyDescent="0.3">
      <c r="A28" s="1" t="s">
        <v>1623</v>
      </c>
      <c r="B28" s="24" t="s">
        <v>1621</v>
      </c>
      <c r="C28" s="2" t="s">
        <v>137</v>
      </c>
      <c r="D28" s="1" t="s">
        <v>759</v>
      </c>
      <c r="E28" s="12" t="s">
        <v>1550</v>
      </c>
      <c r="F28" s="2">
        <v>232.88</v>
      </c>
      <c r="G28" s="2">
        <f t="shared" si="0"/>
        <v>5.1522864458175464E-24</v>
      </c>
      <c r="H28" s="2">
        <v>16</v>
      </c>
      <c r="I28" s="2">
        <v>16</v>
      </c>
      <c r="J28" s="3">
        <v>0.38</v>
      </c>
      <c r="K28" s="2" t="s">
        <v>27</v>
      </c>
      <c r="L28" s="2" t="s">
        <v>27</v>
      </c>
      <c r="M28" s="2" t="s">
        <v>27</v>
      </c>
      <c r="N28" s="2">
        <v>1</v>
      </c>
      <c r="O28" s="2">
        <v>1</v>
      </c>
      <c r="P28" s="3">
        <v>0.04</v>
      </c>
      <c r="Q28" s="2">
        <v>30713</v>
      </c>
      <c r="R28" s="2">
        <v>11.72</v>
      </c>
      <c r="S28" s="1" t="s">
        <v>760</v>
      </c>
      <c r="T28" s="1" t="s">
        <v>759</v>
      </c>
      <c r="U28" s="1" t="s">
        <v>761</v>
      </c>
      <c r="V28" s="1" t="s">
        <v>762</v>
      </c>
      <c r="W28" s="1" t="s">
        <v>763</v>
      </c>
      <c r="X28" s="1" t="s">
        <v>764</v>
      </c>
      <c r="Y28" s="2">
        <v>276</v>
      </c>
      <c r="Z28" s="2">
        <v>6</v>
      </c>
      <c r="AA28" s="2">
        <f>28648.35-6</f>
        <v>28642.35</v>
      </c>
      <c r="AB28" s="2">
        <f>28666.47-6</f>
        <v>28660.47</v>
      </c>
      <c r="AC28" s="1" t="s">
        <v>745</v>
      </c>
      <c r="AD28" s="1" t="s">
        <v>27</v>
      </c>
      <c r="AE28" s="1" t="s">
        <v>746</v>
      </c>
      <c r="AF28" s="1" t="s">
        <v>69</v>
      </c>
      <c r="AG28" s="4">
        <v>1.0000000000000001E-138</v>
      </c>
      <c r="AH28" s="2">
        <v>1029</v>
      </c>
      <c r="AI28" s="2">
        <v>69.8</v>
      </c>
      <c r="AJ28" s="2" t="s">
        <v>758</v>
      </c>
      <c r="AK28" s="1" t="s">
        <v>754</v>
      </c>
      <c r="AL28" s="1" t="s">
        <v>765</v>
      </c>
      <c r="AM28" s="5">
        <v>6.9999999999999997E-138</v>
      </c>
      <c r="AN28" s="1">
        <v>1024</v>
      </c>
      <c r="AO28" s="1">
        <v>70.5</v>
      </c>
      <c r="AP28" s="1" t="s">
        <v>756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</row>
    <row r="29" spans="1:78" ht="15.6" x14ac:dyDescent="0.3">
      <c r="A29" s="1" t="s">
        <v>1623</v>
      </c>
      <c r="B29" s="24" t="s">
        <v>1621</v>
      </c>
      <c r="C29" s="2" t="s">
        <v>137</v>
      </c>
      <c r="D29" s="1" t="s">
        <v>766</v>
      </c>
      <c r="E29" s="12" t="s">
        <v>1551</v>
      </c>
      <c r="F29" s="2">
        <v>180.86</v>
      </c>
      <c r="G29" s="2">
        <f t="shared" si="0"/>
        <v>8.203515443298108E-19</v>
      </c>
      <c r="H29" s="2">
        <v>8</v>
      </c>
      <c r="I29" s="2">
        <v>8</v>
      </c>
      <c r="J29" s="3">
        <v>0.23</v>
      </c>
      <c r="K29" s="2" t="s">
        <v>27</v>
      </c>
      <c r="L29" s="2" t="s">
        <v>27</v>
      </c>
      <c r="M29" s="2" t="s">
        <v>27</v>
      </c>
      <c r="N29" s="2" t="s">
        <v>27</v>
      </c>
      <c r="O29" s="2" t="s">
        <v>27</v>
      </c>
      <c r="P29" s="2" t="s">
        <v>27</v>
      </c>
      <c r="Q29" s="2">
        <v>30974</v>
      </c>
      <c r="R29" s="2">
        <v>5.88</v>
      </c>
      <c r="S29" s="1" t="s">
        <v>767</v>
      </c>
      <c r="T29" s="1" t="s">
        <v>766</v>
      </c>
      <c r="U29" s="1" t="s">
        <v>768</v>
      </c>
      <c r="V29" s="1" t="s">
        <v>769</v>
      </c>
      <c r="W29" s="1" t="s">
        <v>770</v>
      </c>
      <c r="X29" s="1" t="s">
        <v>771</v>
      </c>
      <c r="Y29" s="2">
        <v>278</v>
      </c>
      <c r="Z29" s="2">
        <v>6</v>
      </c>
      <c r="AA29" s="2">
        <f>29321.94-10</f>
        <v>29311.94</v>
      </c>
      <c r="AB29" s="2">
        <f>29340.27-10</f>
        <v>29330.27</v>
      </c>
      <c r="AC29" s="1" t="s">
        <v>745</v>
      </c>
      <c r="AD29" s="1"/>
      <c r="AE29" s="1" t="s">
        <v>746</v>
      </c>
      <c r="AF29" s="1" t="s">
        <v>69</v>
      </c>
      <c r="AG29" s="4">
        <v>1.2999999999999999E-139</v>
      </c>
      <c r="AH29" s="2">
        <v>1035</v>
      </c>
      <c r="AI29" s="2">
        <v>74.099999999999994</v>
      </c>
      <c r="AJ29" s="2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</row>
    <row r="30" spans="1:78" ht="15.6" x14ac:dyDescent="0.3">
      <c r="A30" s="1" t="s">
        <v>1623</v>
      </c>
      <c r="B30" s="24" t="s">
        <v>1621</v>
      </c>
      <c r="C30" s="2" t="s">
        <v>137</v>
      </c>
      <c r="D30" s="1" t="s">
        <v>772</v>
      </c>
      <c r="E30" s="12" t="s">
        <v>1552</v>
      </c>
      <c r="F30" s="2">
        <v>132.6</v>
      </c>
      <c r="G30" s="2">
        <f t="shared" si="0"/>
        <v>5.495408738576239E-14</v>
      </c>
      <c r="H30" s="2">
        <v>8</v>
      </c>
      <c r="I30" s="2">
        <v>8</v>
      </c>
      <c r="J30" s="3">
        <v>0.14000000000000001</v>
      </c>
      <c r="K30" s="2" t="s">
        <v>27</v>
      </c>
      <c r="L30" s="2" t="s">
        <v>27</v>
      </c>
      <c r="M30" s="2" t="s">
        <v>27</v>
      </c>
      <c r="N30" s="2" t="s">
        <v>27</v>
      </c>
      <c r="O30" s="2" t="s">
        <v>27</v>
      </c>
      <c r="P30" s="2" t="s">
        <v>27</v>
      </c>
      <c r="Q30" s="2">
        <v>34896</v>
      </c>
      <c r="R30" s="2">
        <v>4.05</v>
      </c>
      <c r="S30" s="1" t="s">
        <v>773</v>
      </c>
      <c r="T30" s="1" t="s">
        <v>772</v>
      </c>
      <c r="U30" s="1" t="s">
        <v>774</v>
      </c>
      <c r="V30" s="1" t="s">
        <v>775</v>
      </c>
      <c r="W30" s="1" t="s">
        <v>776</v>
      </c>
      <c r="X30" s="1" t="s">
        <v>777</v>
      </c>
      <c r="Y30" s="2">
        <v>296</v>
      </c>
      <c r="Z30" s="2">
        <v>7</v>
      </c>
      <c r="AA30" s="2">
        <f>32796.78-7</f>
        <v>32789.78</v>
      </c>
      <c r="AB30" s="2">
        <f>32817.42-7</f>
        <v>32810.42</v>
      </c>
      <c r="AC30" s="1" t="s">
        <v>745</v>
      </c>
      <c r="AD30" s="1" t="s">
        <v>27</v>
      </c>
      <c r="AE30" s="1" t="s">
        <v>778</v>
      </c>
      <c r="AF30" s="1" t="s">
        <v>779</v>
      </c>
      <c r="AG30" s="4">
        <v>7.5999999999999994E-36</v>
      </c>
      <c r="AH30" s="2">
        <v>347</v>
      </c>
      <c r="AI30" s="2">
        <v>35.799999999999997</v>
      </c>
      <c r="AJ30" s="2" t="s">
        <v>780</v>
      </c>
      <c r="AK30" s="1" t="s">
        <v>781</v>
      </c>
      <c r="AL30" s="1" t="s">
        <v>101</v>
      </c>
      <c r="AM30" s="5">
        <v>1.0000000000000001E-33</v>
      </c>
      <c r="AN30" s="1">
        <v>333</v>
      </c>
      <c r="AO30" s="1">
        <v>35</v>
      </c>
      <c r="AP30" s="1" t="s">
        <v>782</v>
      </c>
      <c r="AQ30" s="1" t="s">
        <v>746</v>
      </c>
      <c r="AR30" s="1" t="s">
        <v>69</v>
      </c>
      <c r="AS30" s="5">
        <v>2.2999999999999999E-147</v>
      </c>
      <c r="AT30" s="1">
        <v>1095</v>
      </c>
      <c r="AU30" s="1">
        <v>70</v>
      </c>
      <c r="AV30" s="1" t="s">
        <v>783</v>
      </c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ht="15.6" x14ac:dyDescent="0.3">
      <c r="A31" s="1" t="s">
        <v>1623</v>
      </c>
      <c r="B31" s="24" t="s">
        <v>1621</v>
      </c>
      <c r="C31" s="2" t="s">
        <v>137</v>
      </c>
      <c r="D31" s="1" t="s">
        <v>784</v>
      </c>
      <c r="E31" s="12" t="s">
        <v>1553</v>
      </c>
      <c r="F31" s="2">
        <v>284</v>
      </c>
      <c r="G31" s="2">
        <f t="shared" si="0"/>
        <v>3.9810717055349778E-29</v>
      </c>
      <c r="H31" s="2">
        <v>22</v>
      </c>
      <c r="I31" s="2">
        <v>22</v>
      </c>
      <c r="J31" s="3">
        <v>0.4</v>
      </c>
      <c r="K31" s="2">
        <v>1</v>
      </c>
      <c r="L31" s="2">
        <v>1</v>
      </c>
      <c r="M31" s="3">
        <v>0.05</v>
      </c>
      <c r="N31" s="2">
        <v>2</v>
      </c>
      <c r="O31" s="2">
        <v>2</v>
      </c>
      <c r="P31" s="3">
        <v>0.09</v>
      </c>
      <c r="Q31" s="2">
        <v>26303</v>
      </c>
      <c r="R31" s="2">
        <v>1.22</v>
      </c>
      <c r="S31" s="1" t="s">
        <v>785</v>
      </c>
      <c r="T31" s="1" t="s">
        <v>784</v>
      </c>
      <c r="U31" s="1" t="s">
        <v>786</v>
      </c>
      <c r="V31" s="1" t="s">
        <v>787</v>
      </c>
      <c r="W31" s="1" t="s">
        <v>788</v>
      </c>
      <c r="X31" s="1" t="s">
        <v>789</v>
      </c>
      <c r="Y31" s="2">
        <v>230</v>
      </c>
      <c r="Z31" s="2">
        <v>6</v>
      </c>
      <c r="AA31" s="2">
        <f>24668.34-6</f>
        <v>24662.34</v>
      </c>
      <c r="AB31" s="2">
        <f>24683.8-6</f>
        <v>24677.8</v>
      </c>
      <c r="AC31" s="1" t="s">
        <v>790</v>
      </c>
      <c r="AD31" s="1" t="s">
        <v>27</v>
      </c>
      <c r="AE31" s="1" t="s">
        <v>791</v>
      </c>
      <c r="AF31" s="1" t="s">
        <v>59</v>
      </c>
      <c r="AG31" s="4">
        <v>1.5E-51</v>
      </c>
      <c r="AH31" s="2">
        <v>446</v>
      </c>
      <c r="AI31" s="2">
        <v>40.5</v>
      </c>
      <c r="AJ31" s="2" t="s">
        <v>792</v>
      </c>
      <c r="AK31" s="1" t="s">
        <v>793</v>
      </c>
      <c r="AL31" s="1" t="s">
        <v>59</v>
      </c>
      <c r="AM31" s="5">
        <v>2.1E-51</v>
      </c>
      <c r="AN31" s="1">
        <v>445</v>
      </c>
      <c r="AO31" s="1">
        <v>41</v>
      </c>
      <c r="AP31" s="1" t="s">
        <v>794</v>
      </c>
      <c r="AQ31" s="1" t="s">
        <v>795</v>
      </c>
      <c r="AR31" s="1" t="s">
        <v>59</v>
      </c>
      <c r="AS31" s="5">
        <v>5.7999999999999995E-51</v>
      </c>
      <c r="AT31" s="1">
        <v>442</v>
      </c>
      <c r="AU31" s="1">
        <v>40.5</v>
      </c>
      <c r="AV31" s="1" t="s">
        <v>796</v>
      </c>
      <c r="AW31" s="1" t="s">
        <v>797</v>
      </c>
      <c r="AX31" s="1" t="s">
        <v>59</v>
      </c>
      <c r="AY31" s="5">
        <v>2.3000000000000002E-50</v>
      </c>
      <c r="AZ31" s="1">
        <v>438</v>
      </c>
      <c r="BA31" s="1">
        <v>40.5</v>
      </c>
      <c r="BB31" s="1" t="s">
        <v>798</v>
      </c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</row>
    <row r="32" spans="1:78" ht="15.6" x14ac:dyDescent="0.3">
      <c r="A32" s="1" t="s">
        <v>1623</v>
      </c>
      <c r="B32" s="24" t="s">
        <v>1621</v>
      </c>
      <c r="C32" s="2" t="s">
        <v>137</v>
      </c>
      <c r="D32" s="1" t="s">
        <v>799</v>
      </c>
      <c r="E32" s="12" t="s">
        <v>1554</v>
      </c>
      <c r="F32" s="2">
        <v>278.79000000000002</v>
      </c>
      <c r="G32" s="2">
        <f t="shared" si="0"/>
        <v>1.3212956341865666E-28</v>
      </c>
      <c r="H32" s="2">
        <v>30</v>
      </c>
      <c r="I32" s="2">
        <v>30</v>
      </c>
      <c r="J32" s="3">
        <v>0.5</v>
      </c>
      <c r="K32" s="2">
        <v>2</v>
      </c>
      <c r="L32" s="2">
        <v>2</v>
      </c>
      <c r="M32" s="3">
        <v>0.11</v>
      </c>
      <c r="N32" s="2">
        <v>1</v>
      </c>
      <c r="O32" s="2">
        <v>1</v>
      </c>
      <c r="P32" s="3">
        <v>0.06</v>
      </c>
      <c r="Q32" s="2">
        <v>29305</v>
      </c>
      <c r="R32" s="2">
        <v>3.1</v>
      </c>
      <c r="S32" s="1" t="s">
        <v>800</v>
      </c>
      <c r="T32" s="1" t="s">
        <v>799</v>
      </c>
      <c r="U32" s="1" t="s">
        <v>801</v>
      </c>
      <c r="V32" s="1" t="s">
        <v>802</v>
      </c>
      <c r="W32" s="1" t="s">
        <v>803</v>
      </c>
      <c r="X32" s="1" t="s">
        <v>804</v>
      </c>
      <c r="Y32" s="2">
        <v>255</v>
      </c>
      <c r="Z32" s="2">
        <v>6</v>
      </c>
      <c r="AA32" s="2">
        <f>27113.6-6</f>
        <v>27107.599999999999</v>
      </c>
      <c r="AB32" s="2">
        <f>27130.84-6</f>
        <v>27124.84</v>
      </c>
      <c r="AC32" s="1" t="s">
        <v>790</v>
      </c>
      <c r="AD32" s="1" t="s">
        <v>27</v>
      </c>
      <c r="AE32" s="1" t="s">
        <v>795</v>
      </c>
      <c r="AF32" s="1" t="s">
        <v>59</v>
      </c>
      <c r="AG32" s="4">
        <v>1.8E-34</v>
      </c>
      <c r="AH32" s="2">
        <v>334</v>
      </c>
      <c r="AI32" s="2">
        <v>32.299999999999997</v>
      </c>
      <c r="AJ32" s="2" t="s">
        <v>796</v>
      </c>
      <c r="AK32" s="1" t="s">
        <v>791</v>
      </c>
      <c r="AL32" s="1" t="s">
        <v>59</v>
      </c>
      <c r="AM32" s="5">
        <v>7.1000000000000004E-34</v>
      </c>
      <c r="AN32" s="1">
        <v>330</v>
      </c>
      <c r="AO32" s="1">
        <v>31.9</v>
      </c>
      <c r="AP32" s="1" t="s">
        <v>792</v>
      </c>
      <c r="AQ32" s="1" t="s">
        <v>793</v>
      </c>
      <c r="AR32" s="1" t="s">
        <v>59</v>
      </c>
      <c r="AS32" s="5">
        <v>5.5E-33</v>
      </c>
      <c r="AT32" s="1">
        <v>324</v>
      </c>
      <c r="AU32" s="1">
        <v>31.6</v>
      </c>
      <c r="AV32" s="1" t="s">
        <v>794</v>
      </c>
      <c r="AW32" s="1" t="s">
        <v>805</v>
      </c>
      <c r="AX32" s="1" t="s">
        <v>71</v>
      </c>
      <c r="AY32" s="5">
        <v>1.2000000000000001E-32</v>
      </c>
      <c r="AZ32" s="1">
        <v>323</v>
      </c>
      <c r="BA32" s="1">
        <v>31.9</v>
      </c>
      <c r="BB32" s="1" t="s">
        <v>806</v>
      </c>
      <c r="BC32" s="1" t="s">
        <v>807</v>
      </c>
      <c r="BD32" s="1" t="s">
        <v>71</v>
      </c>
      <c r="BE32" s="5">
        <v>1.1E-31</v>
      </c>
      <c r="BF32" s="1">
        <v>316</v>
      </c>
      <c r="BG32" s="1">
        <v>31.2</v>
      </c>
      <c r="BH32" s="1" t="s">
        <v>808</v>
      </c>
      <c r="BI32" s="1" t="s">
        <v>757</v>
      </c>
      <c r="BJ32" s="1" t="s">
        <v>69</v>
      </c>
      <c r="BK32" s="5">
        <v>1E-125</v>
      </c>
      <c r="BL32" s="1">
        <v>939</v>
      </c>
      <c r="BM32" s="1">
        <v>67.900000000000006</v>
      </c>
      <c r="BN32" s="1" t="s">
        <v>809</v>
      </c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</row>
    <row r="33" spans="1:78" ht="15.6" x14ac:dyDescent="0.3">
      <c r="A33" s="1" t="s">
        <v>1623</v>
      </c>
      <c r="B33" s="24" t="s">
        <v>1621</v>
      </c>
      <c r="C33" s="2" t="s">
        <v>137</v>
      </c>
      <c r="D33" s="1" t="s">
        <v>810</v>
      </c>
      <c r="E33" s="12" t="s">
        <v>1555</v>
      </c>
      <c r="F33" s="2">
        <v>147.69</v>
      </c>
      <c r="G33" s="2">
        <f t="shared" si="0"/>
        <v>1.7021585083949439E-15</v>
      </c>
      <c r="H33" s="2">
        <v>6</v>
      </c>
      <c r="I33" s="2">
        <v>6</v>
      </c>
      <c r="J33" s="3">
        <v>0.17</v>
      </c>
      <c r="K33" s="2" t="s">
        <v>27</v>
      </c>
      <c r="L33" s="2" t="s">
        <v>27</v>
      </c>
      <c r="M33" s="2" t="s">
        <v>27</v>
      </c>
      <c r="N33" s="2">
        <v>1</v>
      </c>
      <c r="O33" s="2">
        <v>1</v>
      </c>
      <c r="P33" s="3">
        <v>0.06</v>
      </c>
      <c r="Q33" s="2">
        <v>30378</v>
      </c>
      <c r="R33" s="2">
        <v>8.86</v>
      </c>
      <c r="S33" s="1" t="s">
        <v>811</v>
      </c>
      <c r="T33" s="1" t="s">
        <v>810</v>
      </c>
      <c r="U33" s="1" t="s">
        <v>812</v>
      </c>
      <c r="V33" s="1" t="s">
        <v>813</v>
      </c>
      <c r="W33" s="1" t="s">
        <v>814</v>
      </c>
      <c r="X33" s="1" t="s">
        <v>815</v>
      </c>
      <c r="Y33" s="2">
        <v>276</v>
      </c>
      <c r="Z33" s="2">
        <v>6</v>
      </c>
      <c r="AA33" s="2">
        <f>28477.19-6</f>
        <v>28471.19</v>
      </c>
      <c r="AB33" s="2">
        <f>28494.94-6</f>
        <v>28488.94</v>
      </c>
      <c r="AC33" s="1" t="s">
        <v>790</v>
      </c>
      <c r="AD33" s="1" t="s">
        <v>27</v>
      </c>
      <c r="AE33" s="1" t="s">
        <v>746</v>
      </c>
      <c r="AF33" s="1" t="s">
        <v>69</v>
      </c>
      <c r="AG33" s="4">
        <v>2.3E-133</v>
      </c>
      <c r="AH33" s="2">
        <v>994</v>
      </c>
      <c r="AI33" s="2">
        <v>74.5</v>
      </c>
      <c r="AJ33" s="2" t="s">
        <v>816</v>
      </c>
      <c r="AK33" s="1" t="s">
        <v>754</v>
      </c>
      <c r="AL33" s="1" t="s">
        <v>420</v>
      </c>
      <c r="AM33" s="5">
        <v>6.1000000000000004E-133</v>
      </c>
      <c r="AN33" s="1">
        <v>991</v>
      </c>
      <c r="AO33" s="1">
        <v>70.3</v>
      </c>
      <c r="AP33" s="1" t="s">
        <v>817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ht="15.6" x14ac:dyDescent="0.3">
      <c r="A34" s="1" t="s">
        <v>1623</v>
      </c>
      <c r="B34" s="24" t="s">
        <v>1621</v>
      </c>
      <c r="C34" s="2" t="s">
        <v>137</v>
      </c>
      <c r="D34" s="1" t="s">
        <v>818</v>
      </c>
      <c r="E34" s="12" t="s">
        <v>1556</v>
      </c>
      <c r="F34" s="2">
        <v>152.91</v>
      </c>
      <c r="G34" s="2">
        <f t="shared" ref="G34:G65" si="1">(10)^(-F34/10)</f>
        <v>5.1168183554030398E-16</v>
      </c>
      <c r="H34" s="2">
        <v>8</v>
      </c>
      <c r="I34" s="2">
        <v>8</v>
      </c>
      <c r="J34" s="3">
        <v>0.16</v>
      </c>
      <c r="K34" s="2" t="s">
        <v>27</v>
      </c>
      <c r="L34" s="2" t="s">
        <v>27</v>
      </c>
      <c r="M34" s="2" t="s">
        <v>27</v>
      </c>
      <c r="N34" s="2">
        <v>1</v>
      </c>
      <c r="O34" s="2">
        <v>1</v>
      </c>
      <c r="P34" s="3">
        <v>0.05</v>
      </c>
      <c r="Q34" s="2">
        <v>30846</v>
      </c>
      <c r="R34" s="2">
        <v>17.510000000000002</v>
      </c>
      <c r="S34" s="1" t="s">
        <v>819</v>
      </c>
      <c r="T34" s="1" t="s">
        <v>818</v>
      </c>
      <c r="U34" s="1" t="s">
        <v>820</v>
      </c>
      <c r="V34" s="1" t="s">
        <v>821</v>
      </c>
      <c r="W34" s="1" t="s">
        <v>822</v>
      </c>
      <c r="X34" s="1" t="s">
        <v>823</v>
      </c>
      <c r="Y34" s="2">
        <v>277</v>
      </c>
      <c r="Z34" s="2">
        <v>6</v>
      </c>
      <c r="AA34" s="2">
        <f>29122.67-6</f>
        <v>29116.67</v>
      </c>
      <c r="AB34" s="2">
        <f>29140.94-6</f>
        <v>29134.94</v>
      </c>
      <c r="AC34" s="1" t="s">
        <v>790</v>
      </c>
      <c r="AD34" s="1" t="s">
        <v>27</v>
      </c>
      <c r="AE34" s="1" t="s">
        <v>754</v>
      </c>
      <c r="AF34" s="1" t="s">
        <v>824</v>
      </c>
      <c r="AG34" s="4">
        <v>2.1000000000000001E-139</v>
      </c>
      <c r="AH34" s="2">
        <v>1034</v>
      </c>
      <c r="AI34" s="2">
        <v>71.2</v>
      </c>
      <c r="AJ34" s="2" t="s">
        <v>825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</row>
    <row r="35" spans="1:78" ht="15.6" x14ac:dyDescent="0.3">
      <c r="A35" s="1" t="s">
        <v>1623</v>
      </c>
      <c r="B35" s="24" t="s">
        <v>1621</v>
      </c>
      <c r="C35" s="2" t="s">
        <v>137</v>
      </c>
      <c r="D35" s="1" t="s">
        <v>839</v>
      </c>
      <c r="E35" s="12" t="s">
        <v>1557</v>
      </c>
      <c r="F35" s="2">
        <v>145.82</v>
      </c>
      <c r="G35" s="2">
        <f t="shared" si="1"/>
        <v>2.6181830082189743E-15</v>
      </c>
      <c r="H35" s="2">
        <v>7</v>
      </c>
      <c r="I35" s="2">
        <v>7</v>
      </c>
      <c r="J35" s="3">
        <v>0.22</v>
      </c>
      <c r="K35" s="2" t="s">
        <v>27</v>
      </c>
      <c r="L35" s="2" t="s">
        <v>27</v>
      </c>
      <c r="M35" s="2" t="s">
        <v>27</v>
      </c>
      <c r="N35" s="2">
        <v>1</v>
      </c>
      <c r="O35" s="2">
        <v>1</v>
      </c>
      <c r="P35" s="3">
        <v>0.14000000000000001</v>
      </c>
      <c r="Q35" s="2">
        <v>8493</v>
      </c>
      <c r="R35" s="2">
        <v>0</v>
      </c>
      <c r="S35" s="1" t="s">
        <v>840</v>
      </c>
      <c r="T35" s="1" t="s">
        <v>839</v>
      </c>
      <c r="U35" s="1" t="s">
        <v>841</v>
      </c>
      <c r="V35" s="1" t="s">
        <v>842</v>
      </c>
      <c r="W35" s="1" t="s">
        <v>843</v>
      </c>
      <c r="X35" s="1" t="s">
        <v>844</v>
      </c>
      <c r="Y35" s="2">
        <v>47</v>
      </c>
      <c r="Z35" s="2">
        <v>1</v>
      </c>
      <c r="AA35" s="2">
        <f>5281.87-1</f>
        <v>5280.87</v>
      </c>
      <c r="AB35" s="2">
        <f>5285.14-1</f>
        <v>5284.14</v>
      </c>
      <c r="AC35" s="1" t="s">
        <v>100</v>
      </c>
      <c r="AD35" s="1" t="s">
        <v>845</v>
      </c>
      <c r="AE35" s="1" t="s">
        <v>846</v>
      </c>
      <c r="AF35" s="1" t="s">
        <v>847</v>
      </c>
      <c r="AG35" s="4">
        <v>0.14000000000000001</v>
      </c>
      <c r="AH35" s="2">
        <v>87</v>
      </c>
      <c r="AI35" s="2">
        <v>51.4</v>
      </c>
      <c r="AJ35" s="2" t="s">
        <v>848</v>
      </c>
      <c r="AK35" s="1" t="s">
        <v>849</v>
      </c>
      <c r="AL35" s="1" t="s">
        <v>850</v>
      </c>
      <c r="AM35" s="5">
        <v>7.4999999999999997E-2</v>
      </c>
      <c r="AN35" s="1">
        <v>89</v>
      </c>
      <c r="AO35" s="1">
        <v>45.2</v>
      </c>
      <c r="AP35" s="1" t="s">
        <v>851</v>
      </c>
      <c r="AQ35" s="1" t="s">
        <v>852</v>
      </c>
      <c r="AR35" s="1" t="s">
        <v>850</v>
      </c>
      <c r="AS35" s="5">
        <v>5.3999999999999999E-2</v>
      </c>
      <c r="AT35" s="1">
        <v>90</v>
      </c>
      <c r="AU35" s="1">
        <v>48.6</v>
      </c>
      <c r="AV35" s="1" t="s">
        <v>853</v>
      </c>
      <c r="AW35" s="1" t="s">
        <v>757</v>
      </c>
      <c r="AX35" s="1" t="s">
        <v>854</v>
      </c>
      <c r="AY35" s="1">
        <v>1.4E-5</v>
      </c>
      <c r="AZ35" s="1">
        <v>115</v>
      </c>
      <c r="BA35" s="1">
        <v>53.3</v>
      </c>
      <c r="BB35" s="1" t="s">
        <v>855</v>
      </c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</row>
    <row r="36" spans="1:78" ht="15.6" x14ac:dyDescent="0.3">
      <c r="A36" s="1" t="s">
        <v>1623</v>
      </c>
      <c r="B36" s="24" t="s">
        <v>1621</v>
      </c>
      <c r="C36" s="2" t="s">
        <v>137</v>
      </c>
      <c r="D36" s="1" t="s">
        <v>864</v>
      </c>
      <c r="E36" s="12" t="s">
        <v>1558</v>
      </c>
      <c r="F36" s="2">
        <v>71.5</v>
      </c>
      <c r="G36" s="2">
        <f t="shared" si="1"/>
        <v>7.0794578438413597E-8</v>
      </c>
      <c r="H36" s="2">
        <v>1</v>
      </c>
      <c r="I36" s="2">
        <v>1</v>
      </c>
      <c r="J36" s="3">
        <v>0.13</v>
      </c>
      <c r="K36" s="2">
        <v>1</v>
      </c>
      <c r="L36" s="2">
        <v>1</v>
      </c>
      <c r="M36" s="3">
        <v>0.13</v>
      </c>
      <c r="N36" s="2">
        <v>1</v>
      </c>
      <c r="O36" s="2">
        <v>1</v>
      </c>
      <c r="P36" s="3">
        <v>0.13</v>
      </c>
      <c r="Q36" s="2">
        <v>8553</v>
      </c>
      <c r="R36" s="2">
        <v>0</v>
      </c>
      <c r="S36" s="1" t="s">
        <v>865</v>
      </c>
      <c r="T36" s="1" t="s">
        <v>864</v>
      </c>
      <c r="U36" s="1" t="s">
        <v>866</v>
      </c>
      <c r="V36" s="1" t="s">
        <v>867</v>
      </c>
      <c r="W36" s="1" t="s">
        <v>868</v>
      </c>
      <c r="X36" s="1" t="s">
        <v>869</v>
      </c>
      <c r="Y36" s="2">
        <v>47</v>
      </c>
      <c r="Z36" s="2">
        <v>1</v>
      </c>
      <c r="AA36" s="2">
        <f>5341.83-1</f>
        <v>5340.83</v>
      </c>
      <c r="AB36" s="2">
        <f>5345.11-1</f>
        <v>5344.11</v>
      </c>
      <c r="AC36" s="1" t="s">
        <v>100</v>
      </c>
      <c r="AD36" s="1" t="s">
        <v>845</v>
      </c>
      <c r="AE36" s="1" t="s">
        <v>852</v>
      </c>
      <c r="AF36" s="1" t="s">
        <v>850</v>
      </c>
      <c r="AG36" s="4">
        <v>0.02</v>
      </c>
      <c r="AH36" s="2">
        <v>93</v>
      </c>
      <c r="AI36" s="2">
        <v>51.4</v>
      </c>
      <c r="AJ36" s="2" t="s">
        <v>870</v>
      </c>
      <c r="AK36" s="1" t="s">
        <v>849</v>
      </c>
      <c r="AL36" s="1" t="s">
        <v>850</v>
      </c>
      <c r="AM36" s="5">
        <v>7.4999999999999997E-2</v>
      </c>
      <c r="AN36" s="1">
        <v>89</v>
      </c>
      <c r="AO36" s="1">
        <v>42.9</v>
      </c>
      <c r="AP36" s="1" t="s">
        <v>851</v>
      </c>
      <c r="AQ36" s="1" t="s">
        <v>852</v>
      </c>
      <c r="AR36" s="1" t="s">
        <v>850</v>
      </c>
      <c r="AS36" s="5">
        <v>0.14000000000000001</v>
      </c>
      <c r="AT36" s="1">
        <v>87</v>
      </c>
      <c r="AU36" s="1">
        <v>48.6</v>
      </c>
      <c r="AV36" s="1" t="s">
        <v>853</v>
      </c>
      <c r="AW36" s="1" t="s">
        <v>757</v>
      </c>
      <c r="AX36" s="1" t="s">
        <v>854</v>
      </c>
      <c r="AY36" s="1">
        <v>2.0000000000000001E-4</v>
      </c>
      <c r="AZ36" s="1">
        <v>107</v>
      </c>
      <c r="BA36" s="1">
        <v>50</v>
      </c>
      <c r="BB36" s="1" t="s">
        <v>855</v>
      </c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37" spans="1:78" ht="15.6" x14ac:dyDescent="0.3">
      <c r="A37" s="1" t="s">
        <v>1623</v>
      </c>
      <c r="B37" s="24" t="s">
        <v>1621</v>
      </c>
      <c r="C37" s="2" t="s">
        <v>137</v>
      </c>
      <c r="D37" s="1" t="s">
        <v>871</v>
      </c>
      <c r="E37" s="12" t="s">
        <v>1559</v>
      </c>
      <c r="F37" s="2">
        <v>79.84</v>
      </c>
      <c r="G37" s="2">
        <f t="shared" si="1"/>
        <v>1.0375284158180114E-8</v>
      </c>
      <c r="H37" s="2">
        <v>1</v>
      </c>
      <c r="I37" s="2">
        <v>1</v>
      </c>
      <c r="J37" s="3">
        <v>0.16</v>
      </c>
      <c r="K37" s="2" t="s">
        <v>27</v>
      </c>
      <c r="L37" s="2" t="s">
        <v>27</v>
      </c>
      <c r="M37" s="2" t="s">
        <v>27</v>
      </c>
      <c r="N37" s="2" t="s">
        <v>27</v>
      </c>
      <c r="O37" s="2" t="s">
        <v>27</v>
      </c>
      <c r="P37" s="2" t="s">
        <v>27</v>
      </c>
      <c r="Q37" s="2">
        <v>9255</v>
      </c>
      <c r="R37" s="2">
        <v>5.43</v>
      </c>
      <c r="S37" s="1" t="s">
        <v>872</v>
      </c>
      <c r="T37" s="1" t="s">
        <v>871</v>
      </c>
      <c r="U37" s="1" t="s">
        <v>873</v>
      </c>
      <c r="V37" s="1" t="s">
        <v>874</v>
      </c>
      <c r="W37" s="1" t="s">
        <v>875</v>
      </c>
      <c r="X37" s="1" t="s">
        <v>876</v>
      </c>
      <c r="Y37" s="2">
        <v>73</v>
      </c>
      <c r="Z37" s="2">
        <v>1</v>
      </c>
      <c r="AA37" s="2">
        <f>7582.88-1</f>
        <v>7581.88</v>
      </c>
      <c r="AB37" s="2">
        <f>7587.6-1</f>
        <v>7586.6</v>
      </c>
      <c r="AC37" s="1" t="s">
        <v>100</v>
      </c>
      <c r="AD37" s="1" t="s">
        <v>877</v>
      </c>
      <c r="AE37" s="1" t="s">
        <v>778</v>
      </c>
      <c r="AF37" s="1" t="s">
        <v>878</v>
      </c>
      <c r="AG37" s="4">
        <v>3.4000000000000001E-31</v>
      </c>
      <c r="AH37" s="2">
        <v>282</v>
      </c>
      <c r="AI37" s="2">
        <v>72.900000000000006</v>
      </c>
      <c r="AJ37" s="2" t="s">
        <v>879</v>
      </c>
      <c r="AK37" s="1" t="s">
        <v>880</v>
      </c>
      <c r="AL37" s="1" t="s">
        <v>588</v>
      </c>
      <c r="AM37" s="5">
        <v>3.6E-31</v>
      </c>
      <c r="AN37" s="1">
        <v>282</v>
      </c>
      <c r="AO37" s="1">
        <v>72.5</v>
      </c>
      <c r="AP37" s="1" t="s">
        <v>881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</row>
    <row r="38" spans="1:78" ht="15.6" x14ac:dyDescent="0.3">
      <c r="A38" s="1" t="s">
        <v>1623</v>
      </c>
      <c r="B38" s="24" t="s">
        <v>1621</v>
      </c>
      <c r="C38" s="2" t="s">
        <v>137</v>
      </c>
      <c r="D38" s="1" t="s">
        <v>882</v>
      </c>
      <c r="E38" s="12" t="s">
        <v>1560</v>
      </c>
      <c r="F38" s="2">
        <v>160.06</v>
      </c>
      <c r="G38" s="2">
        <f t="shared" si="1"/>
        <v>9.8627948563120996E-17</v>
      </c>
      <c r="H38" s="2">
        <v>8</v>
      </c>
      <c r="I38" s="2">
        <v>8</v>
      </c>
      <c r="J38" s="3">
        <v>0.33</v>
      </c>
      <c r="K38" s="2" t="s">
        <v>27</v>
      </c>
      <c r="L38" s="2" t="s">
        <v>27</v>
      </c>
      <c r="M38" s="2" t="s">
        <v>27</v>
      </c>
      <c r="N38" s="2" t="s">
        <v>27</v>
      </c>
      <c r="O38" s="2" t="s">
        <v>27</v>
      </c>
      <c r="P38" s="2" t="s">
        <v>27</v>
      </c>
      <c r="Q38" s="2">
        <v>10926</v>
      </c>
      <c r="R38" s="2">
        <v>10.18</v>
      </c>
      <c r="S38" s="1" t="s">
        <v>883</v>
      </c>
      <c r="T38" s="1" t="s">
        <v>882</v>
      </c>
      <c r="U38" s="1" t="s">
        <v>884</v>
      </c>
      <c r="V38" s="1" t="s">
        <v>885</v>
      </c>
      <c r="W38" s="1" t="s">
        <v>886</v>
      </c>
      <c r="X38" s="1" t="s">
        <v>887</v>
      </c>
      <c r="Y38" s="2">
        <v>83</v>
      </c>
      <c r="Z38" s="2">
        <v>2</v>
      </c>
      <c r="AA38" s="2">
        <f>9041.34-2</f>
        <v>9039.34</v>
      </c>
      <c r="AB38" s="2">
        <f>9047.14-2</f>
        <v>9045.14</v>
      </c>
      <c r="AC38" s="1" t="s">
        <v>100</v>
      </c>
      <c r="AD38" s="1" t="s">
        <v>888</v>
      </c>
      <c r="AE38" s="1" t="s">
        <v>797</v>
      </c>
      <c r="AF38" s="1" t="s">
        <v>889</v>
      </c>
      <c r="AG38" s="4">
        <v>6.2000000000000001E-24</v>
      </c>
      <c r="AH38" s="2">
        <v>236</v>
      </c>
      <c r="AI38" s="2">
        <v>51.9</v>
      </c>
      <c r="AJ38" s="2" t="s">
        <v>798</v>
      </c>
      <c r="AK38" s="1" t="s">
        <v>791</v>
      </c>
      <c r="AL38" s="1" t="s">
        <v>59</v>
      </c>
      <c r="AM38" s="5">
        <v>9.4999999999999995E-19</v>
      </c>
      <c r="AN38" s="1">
        <v>202</v>
      </c>
      <c r="AO38" s="1">
        <v>49.4</v>
      </c>
      <c r="AP38" s="1" t="s">
        <v>792</v>
      </c>
      <c r="AQ38" s="1" t="s">
        <v>795</v>
      </c>
      <c r="AR38" s="1" t="s">
        <v>59</v>
      </c>
      <c r="AS38" s="5">
        <v>1.8999999999999999E-18</v>
      </c>
      <c r="AT38" s="1">
        <v>200</v>
      </c>
      <c r="AU38" s="1">
        <v>50.6</v>
      </c>
      <c r="AV38" s="1" t="s">
        <v>796</v>
      </c>
      <c r="AW38" s="1" t="s">
        <v>890</v>
      </c>
      <c r="AX38" s="1" t="s">
        <v>891</v>
      </c>
      <c r="AY38" s="5">
        <v>8.1E-18</v>
      </c>
      <c r="AZ38" s="1">
        <v>195</v>
      </c>
      <c r="BA38" s="1">
        <v>51.4</v>
      </c>
      <c r="BB38" s="1" t="s">
        <v>892</v>
      </c>
      <c r="BC38" s="1" t="s">
        <v>793</v>
      </c>
      <c r="BD38" s="1" t="s">
        <v>59</v>
      </c>
      <c r="BE38" s="5">
        <v>2.2E-17</v>
      </c>
      <c r="BF38" s="1">
        <v>193</v>
      </c>
      <c r="BG38" s="1">
        <v>48.1</v>
      </c>
      <c r="BH38" s="1" t="s">
        <v>794</v>
      </c>
      <c r="BI38" s="1" t="s">
        <v>893</v>
      </c>
      <c r="BJ38" s="1" t="s">
        <v>891</v>
      </c>
      <c r="BK38" s="5">
        <v>1.4000000000000001E-16</v>
      </c>
      <c r="BL38" s="1">
        <v>187</v>
      </c>
      <c r="BM38" s="1">
        <v>51.4</v>
      </c>
      <c r="BN38" s="1" t="s">
        <v>894</v>
      </c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</row>
    <row r="39" spans="1:78" ht="15.6" x14ac:dyDescent="0.3">
      <c r="A39" s="1" t="s">
        <v>1623</v>
      </c>
      <c r="B39" s="24" t="s">
        <v>1621</v>
      </c>
      <c r="C39" s="2" t="s">
        <v>137</v>
      </c>
      <c r="D39" s="1" t="s">
        <v>895</v>
      </c>
      <c r="E39" s="12" t="s">
        <v>1561</v>
      </c>
      <c r="F39" s="2">
        <v>67.91</v>
      </c>
      <c r="G39" s="2">
        <f t="shared" si="1"/>
        <v>1.618080037643066E-7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>
        <v>1</v>
      </c>
      <c r="O39" s="2">
        <v>1</v>
      </c>
      <c r="P39" s="3">
        <v>7.0000000000000007E-2</v>
      </c>
      <c r="Q39" s="2">
        <v>13178</v>
      </c>
      <c r="R39" s="2">
        <v>0.42</v>
      </c>
      <c r="S39" s="1" t="s">
        <v>896</v>
      </c>
      <c r="T39" s="1" t="s">
        <v>895</v>
      </c>
      <c r="U39" s="1" t="s">
        <v>897</v>
      </c>
      <c r="V39" s="1" t="s">
        <v>802</v>
      </c>
      <c r="W39" s="1" t="s">
        <v>803</v>
      </c>
      <c r="X39" s="1" t="s">
        <v>898</v>
      </c>
      <c r="Y39" s="2">
        <v>102</v>
      </c>
      <c r="Z39" s="2">
        <v>2</v>
      </c>
      <c r="AA39" s="2">
        <f>10997.6-2</f>
        <v>10995.6</v>
      </c>
      <c r="AB39" s="2">
        <f>11004.55-2</f>
        <v>11002.55</v>
      </c>
      <c r="AC39" s="1" t="s">
        <v>100</v>
      </c>
      <c r="AD39" s="1" t="s">
        <v>732</v>
      </c>
      <c r="AE39" s="1" t="s">
        <v>805</v>
      </c>
      <c r="AF39" s="1" t="s">
        <v>71</v>
      </c>
      <c r="AG39" s="4">
        <v>5.4000000000000004E-9</v>
      </c>
      <c r="AH39" s="2">
        <v>146</v>
      </c>
      <c r="AI39" s="2">
        <v>37.6</v>
      </c>
      <c r="AJ39" s="2" t="s">
        <v>806</v>
      </c>
      <c r="AK39" s="1" t="s">
        <v>899</v>
      </c>
      <c r="AL39" s="1" t="s">
        <v>380</v>
      </c>
      <c r="AM39" s="5">
        <v>4.6000000000000001E-48</v>
      </c>
      <c r="AN39" s="1">
        <v>410</v>
      </c>
      <c r="AO39" s="1">
        <v>75.2</v>
      </c>
      <c r="AP39" s="1" t="s">
        <v>900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</row>
    <row r="40" spans="1:78" ht="15.6" x14ac:dyDescent="0.3">
      <c r="A40" s="1" t="s">
        <v>1623</v>
      </c>
      <c r="B40" s="24" t="s">
        <v>1621</v>
      </c>
      <c r="C40" s="2" t="s">
        <v>137</v>
      </c>
      <c r="D40" s="1" t="s">
        <v>901</v>
      </c>
      <c r="E40" s="12" t="s">
        <v>1562</v>
      </c>
      <c r="F40" s="2">
        <v>294.2</v>
      </c>
      <c r="G40" s="2">
        <f t="shared" si="1"/>
        <v>3.8018939632055999E-30</v>
      </c>
      <c r="H40" s="2">
        <v>44</v>
      </c>
      <c r="I40" s="2">
        <v>44</v>
      </c>
      <c r="J40" s="3">
        <v>0.44</v>
      </c>
      <c r="K40" s="2" t="s">
        <v>27</v>
      </c>
      <c r="L40" s="2" t="s">
        <v>27</v>
      </c>
      <c r="M40" s="2" t="s">
        <v>27</v>
      </c>
      <c r="N40" s="2" t="s">
        <v>27</v>
      </c>
      <c r="O40" s="2" t="s">
        <v>27</v>
      </c>
      <c r="P40" s="2" t="s">
        <v>27</v>
      </c>
      <c r="Q40" s="2">
        <v>29131</v>
      </c>
      <c r="R40" s="2">
        <v>6.31</v>
      </c>
      <c r="S40" s="1" t="s">
        <v>902</v>
      </c>
      <c r="T40" s="1" t="s">
        <v>901</v>
      </c>
      <c r="U40" s="1" t="s">
        <v>903</v>
      </c>
      <c r="V40" s="1" t="s">
        <v>904</v>
      </c>
      <c r="W40" s="1" t="s">
        <v>905</v>
      </c>
      <c r="X40" s="1" t="s">
        <v>906</v>
      </c>
      <c r="Y40" s="2">
        <v>241</v>
      </c>
      <c r="Z40" s="2">
        <v>4</v>
      </c>
      <c r="AA40" s="2">
        <f>26080.01-4</f>
        <v>26076.01</v>
      </c>
      <c r="AB40" s="2">
        <f>26096.27-4</f>
        <v>26092.27</v>
      </c>
      <c r="AC40" s="1" t="s">
        <v>100</v>
      </c>
      <c r="AD40" s="1" t="s">
        <v>907</v>
      </c>
      <c r="AE40" s="1" t="s">
        <v>791</v>
      </c>
      <c r="AF40" s="1" t="s">
        <v>59</v>
      </c>
      <c r="AG40" s="4">
        <v>8.5000000000000001E-35</v>
      </c>
      <c r="AH40" s="2">
        <v>335</v>
      </c>
      <c r="AI40" s="2">
        <v>35</v>
      </c>
      <c r="AJ40" s="2" t="s">
        <v>792</v>
      </c>
      <c r="AK40" s="1" t="s">
        <v>793</v>
      </c>
      <c r="AL40" s="1" t="s">
        <v>59</v>
      </c>
      <c r="AM40" s="5">
        <v>6.3E-122</v>
      </c>
      <c r="AN40" s="1">
        <v>911</v>
      </c>
      <c r="AO40" s="1">
        <v>70.2</v>
      </c>
      <c r="AP40" s="1" t="s">
        <v>794</v>
      </c>
      <c r="AQ40" s="1" t="s">
        <v>795</v>
      </c>
      <c r="AR40" s="1" t="s">
        <v>59</v>
      </c>
      <c r="AS40" s="5">
        <v>5.1999999999999999E-33</v>
      </c>
      <c r="AT40" s="1">
        <v>323</v>
      </c>
      <c r="AU40" s="1">
        <v>34.1</v>
      </c>
      <c r="AV40" s="1" t="s">
        <v>796</v>
      </c>
      <c r="AW40" s="1" t="s">
        <v>797</v>
      </c>
      <c r="AX40" s="1" t="s">
        <v>908</v>
      </c>
      <c r="AY40" s="5">
        <v>6.5999999999999997E-34</v>
      </c>
      <c r="AZ40" s="1">
        <v>329</v>
      </c>
      <c r="BA40" s="1">
        <v>36.700000000000003</v>
      </c>
      <c r="BB40" s="1" t="s">
        <v>798</v>
      </c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</row>
    <row r="41" spans="1:78" ht="15.6" x14ac:dyDescent="0.3">
      <c r="A41" s="1" t="s">
        <v>1623</v>
      </c>
      <c r="B41" s="24" t="s">
        <v>1621</v>
      </c>
      <c r="C41" s="2" t="s">
        <v>137</v>
      </c>
      <c r="D41" s="1" t="s">
        <v>909</v>
      </c>
      <c r="E41" s="12" t="s">
        <v>1563</v>
      </c>
      <c r="F41" s="2">
        <v>156.06</v>
      </c>
      <c r="G41" s="2">
        <f t="shared" si="1"/>
        <v>2.4774220576332746E-16</v>
      </c>
      <c r="H41" s="2">
        <v>8</v>
      </c>
      <c r="I41" s="2">
        <v>8</v>
      </c>
      <c r="J41" s="3">
        <v>0.28000000000000003</v>
      </c>
      <c r="K41" s="2" t="s">
        <v>27</v>
      </c>
      <c r="L41" s="2" t="s">
        <v>27</v>
      </c>
      <c r="M41" s="2" t="s">
        <v>27</v>
      </c>
      <c r="N41" s="2" t="s">
        <v>27</v>
      </c>
      <c r="O41" s="2" t="s">
        <v>27</v>
      </c>
      <c r="P41" s="2" t="s">
        <v>27</v>
      </c>
      <c r="Q41" s="2">
        <v>47122</v>
      </c>
      <c r="R41" s="2">
        <v>3.63</v>
      </c>
      <c r="S41" s="1" t="s">
        <v>910</v>
      </c>
      <c r="T41" s="1" t="s">
        <v>909</v>
      </c>
      <c r="U41" s="1" t="s">
        <v>911</v>
      </c>
      <c r="V41" s="1" t="s">
        <v>912</v>
      </c>
      <c r="W41" s="1" t="s">
        <v>913</v>
      </c>
      <c r="X41" s="1" t="s">
        <v>914</v>
      </c>
      <c r="Y41" s="2">
        <v>238</v>
      </c>
      <c r="Z41" s="2">
        <v>6</v>
      </c>
      <c r="AA41" s="2">
        <f>25076.7-6</f>
        <v>25070.7</v>
      </c>
      <c r="AB41" s="2">
        <f>25092.32-6</f>
        <v>25086.32</v>
      </c>
      <c r="AC41" s="1" t="s">
        <v>745</v>
      </c>
      <c r="AD41" s="1" t="s">
        <v>27</v>
      </c>
      <c r="AE41" s="1" t="s">
        <v>746</v>
      </c>
      <c r="AF41" s="1" t="s">
        <v>69</v>
      </c>
      <c r="AG41" s="4">
        <v>3.1E-129</v>
      </c>
      <c r="AH41" s="2">
        <v>959</v>
      </c>
      <c r="AI41" s="2">
        <v>74.3</v>
      </c>
      <c r="AJ41" s="2" t="s">
        <v>915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</row>
    <row r="42" spans="1:78" ht="15.6" x14ac:dyDescent="0.3">
      <c r="A42" s="1" t="s">
        <v>1623</v>
      </c>
      <c r="B42" s="24" t="s">
        <v>1621</v>
      </c>
      <c r="C42" s="2" t="s">
        <v>137</v>
      </c>
      <c r="D42" s="1" t="s">
        <v>916</v>
      </c>
      <c r="E42" s="12" t="s">
        <v>1564</v>
      </c>
      <c r="F42" s="2">
        <v>259</v>
      </c>
      <c r="G42" s="2">
        <f t="shared" si="1"/>
        <v>1.2589254117941657E-26</v>
      </c>
      <c r="H42" s="2">
        <v>24</v>
      </c>
      <c r="I42" s="2">
        <v>24</v>
      </c>
      <c r="J42" s="3">
        <v>0.27</v>
      </c>
      <c r="K42" s="2">
        <v>2</v>
      </c>
      <c r="L42" s="2">
        <v>2</v>
      </c>
      <c r="M42" s="3">
        <v>0.12</v>
      </c>
      <c r="N42" s="2">
        <v>2</v>
      </c>
      <c r="O42" s="2">
        <v>2</v>
      </c>
      <c r="P42" s="3">
        <v>0.08</v>
      </c>
      <c r="Q42" s="2">
        <v>28228</v>
      </c>
      <c r="R42" s="2">
        <v>40.409999999999997</v>
      </c>
      <c r="S42" s="1" t="s">
        <v>917</v>
      </c>
      <c r="T42" s="1" t="s">
        <v>916</v>
      </c>
      <c r="U42" s="1" t="s">
        <v>918</v>
      </c>
      <c r="V42" s="1" t="s">
        <v>919</v>
      </c>
      <c r="W42" s="1" t="s">
        <v>920</v>
      </c>
      <c r="X42" s="1" t="s">
        <v>921</v>
      </c>
      <c r="Y42" s="2">
        <v>239</v>
      </c>
      <c r="Z42" s="2">
        <v>8</v>
      </c>
      <c r="AA42" s="2">
        <f>25898.78-8</f>
        <v>25890.78</v>
      </c>
      <c r="AB42" s="2">
        <f>25915.02-8</f>
        <v>25907.02</v>
      </c>
      <c r="AC42" s="1" t="s">
        <v>745</v>
      </c>
      <c r="AD42" s="1" t="s">
        <v>27</v>
      </c>
      <c r="AE42" s="1" t="s">
        <v>791</v>
      </c>
      <c r="AF42" s="1" t="s">
        <v>59</v>
      </c>
      <c r="AG42" s="4">
        <v>7E-126</v>
      </c>
      <c r="AH42" s="2">
        <v>937</v>
      </c>
      <c r="AI42" s="2">
        <v>72</v>
      </c>
      <c r="AJ42" s="2" t="s">
        <v>792</v>
      </c>
      <c r="AK42" s="1" t="s">
        <v>793</v>
      </c>
      <c r="AL42" s="1" t="s">
        <v>59</v>
      </c>
      <c r="AM42" s="5">
        <v>6.3E-122</v>
      </c>
      <c r="AN42" s="1">
        <v>911</v>
      </c>
      <c r="AO42" s="1">
        <v>70.2</v>
      </c>
      <c r="AP42" s="1" t="s">
        <v>794</v>
      </c>
      <c r="AQ42" s="1" t="s">
        <v>795</v>
      </c>
      <c r="AR42" s="1" t="s">
        <v>59</v>
      </c>
      <c r="AS42" s="5">
        <v>8.9999999999999996E-122</v>
      </c>
      <c r="AT42" s="1">
        <v>910</v>
      </c>
      <c r="AU42" s="1">
        <v>69.900000000000006</v>
      </c>
      <c r="AV42" s="1" t="s">
        <v>796</v>
      </c>
      <c r="AW42" s="1" t="s">
        <v>890</v>
      </c>
      <c r="AX42" s="1" t="s">
        <v>891</v>
      </c>
      <c r="AY42" s="5">
        <v>8.8999999999999999E-103</v>
      </c>
      <c r="AZ42" s="1">
        <v>781</v>
      </c>
      <c r="BA42" s="1">
        <v>66.2</v>
      </c>
      <c r="BB42" s="1" t="s">
        <v>892</v>
      </c>
      <c r="BC42" s="1" t="s">
        <v>922</v>
      </c>
      <c r="BD42" s="1" t="s">
        <v>922</v>
      </c>
      <c r="BE42" s="5">
        <v>9.9999999999999998E-121</v>
      </c>
      <c r="BF42" s="1">
        <v>903</v>
      </c>
      <c r="BG42" s="1">
        <v>70.099999999999994</v>
      </c>
      <c r="BH42" s="1" t="s">
        <v>798</v>
      </c>
      <c r="BI42" s="1" t="s">
        <v>893</v>
      </c>
      <c r="BJ42" s="1" t="s">
        <v>891</v>
      </c>
      <c r="BK42" s="5">
        <v>6.0000000000000003E-96</v>
      </c>
      <c r="BL42" s="1">
        <v>736</v>
      </c>
      <c r="BM42" s="1">
        <v>61.4</v>
      </c>
      <c r="BN42" s="1" t="s">
        <v>894</v>
      </c>
      <c r="BO42" s="1"/>
      <c r="BP42" s="1"/>
      <c r="BQ42" s="5"/>
      <c r="BR42" s="1"/>
      <c r="BS42" s="1"/>
      <c r="BT42" s="1"/>
      <c r="BU42" s="1"/>
      <c r="BV42" s="1"/>
      <c r="BW42" s="1"/>
      <c r="BX42" s="1"/>
      <c r="BY42" s="1"/>
      <c r="BZ42" s="1"/>
    </row>
    <row r="43" spans="1:78" ht="15.6" x14ac:dyDescent="0.3">
      <c r="A43" s="1" t="s">
        <v>1623</v>
      </c>
      <c r="B43" s="1" t="s">
        <v>1622</v>
      </c>
      <c r="C43" s="2" t="s">
        <v>137</v>
      </c>
      <c r="D43" s="1" t="s">
        <v>826</v>
      </c>
      <c r="E43" s="12" t="s">
        <v>103</v>
      </c>
      <c r="F43" s="2">
        <v>229.48</v>
      </c>
      <c r="G43" s="2">
        <f t="shared" si="1"/>
        <v>1.127197456175503E-23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>
        <v>3</v>
      </c>
      <c r="O43" s="2">
        <v>3</v>
      </c>
      <c r="P43" s="3">
        <v>0.3</v>
      </c>
      <c r="Q43" s="2">
        <v>15986</v>
      </c>
      <c r="R43" s="2">
        <v>368.76</v>
      </c>
      <c r="S43" s="1" t="s">
        <v>827</v>
      </c>
      <c r="T43" s="1" t="s">
        <v>826</v>
      </c>
      <c r="U43" s="1" t="s">
        <v>828</v>
      </c>
      <c r="V43" s="1" t="s">
        <v>829</v>
      </c>
      <c r="W43" s="1" t="s">
        <v>830</v>
      </c>
      <c r="X43" s="1" t="s">
        <v>831</v>
      </c>
      <c r="Y43" s="2">
        <v>125</v>
      </c>
      <c r="Z43" s="2">
        <v>6</v>
      </c>
      <c r="AA43" s="2">
        <f>13747.46-6</f>
        <v>13741.46</v>
      </c>
      <c r="AB43" s="2">
        <f>13756.04-6</f>
        <v>13750.04</v>
      </c>
      <c r="AC43" s="1" t="s">
        <v>100</v>
      </c>
      <c r="AD43" s="1" t="s">
        <v>832</v>
      </c>
      <c r="AE43" s="1" t="s">
        <v>833</v>
      </c>
      <c r="AF43" s="1" t="s">
        <v>834</v>
      </c>
      <c r="AG43" s="4">
        <v>7.7999999999999997E-8</v>
      </c>
      <c r="AH43" s="2">
        <v>141</v>
      </c>
      <c r="AI43" s="2">
        <v>29.6</v>
      </c>
      <c r="AJ43" s="2" t="s">
        <v>835</v>
      </c>
      <c r="AK43" s="1" t="s">
        <v>836</v>
      </c>
      <c r="AL43" s="1" t="s">
        <v>837</v>
      </c>
      <c r="AM43" s="5">
        <v>9.9999999999999995E-8</v>
      </c>
      <c r="AN43" s="1">
        <v>137</v>
      </c>
      <c r="AO43" s="1">
        <v>31.2</v>
      </c>
      <c r="AP43" s="1" t="s">
        <v>838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</row>
    <row r="44" spans="1:78" ht="15.6" x14ac:dyDescent="0.3">
      <c r="A44" s="1" t="s">
        <v>1623</v>
      </c>
      <c r="B44" s="1" t="s">
        <v>1622</v>
      </c>
      <c r="C44" s="2" t="s">
        <v>137</v>
      </c>
      <c r="D44" s="1" t="s">
        <v>856</v>
      </c>
      <c r="E44" s="12" t="s">
        <v>115</v>
      </c>
      <c r="F44" s="2">
        <v>229.48</v>
      </c>
      <c r="G44" s="2">
        <f t="shared" si="1"/>
        <v>1.127197456175503E-23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>
        <v>3</v>
      </c>
      <c r="O44" s="2">
        <v>3</v>
      </c>
      <c r="P44" s="3">
        <v>0.3</v>
      </c>
      <c r="Q44" s="2">
        <v>16070</v>
      </c>
      <c r="R44" s="2">
        <v>37.1</v>
      </c>
      <c r="S44" s="1" t="s">
        <v>857</v>
      </c>
      <c r="T44" s="1" t="s">
        <v>856</v>
      </c>
      <c r="U44" s="1" t="s">
        <v>858</v>
      </c>
      <c r="V44" s="1" t="s">
        <v>859</v>
      </c>
      <c r="W44" s="1" t="s">
        <v>860</v>
      </c>
      <c r="X44" s="1" t="s">
        <v>861</v>
      </c>
      <c r="Y44" s="2">
        <v>125</v>
      </c>
      <c r="Z44" s="2">
        <v>6</v>
      </c>
      <c r="AA44" s="2">
        <f>13831.54-6</f>
        <v>13825.54</v>
      </c>
      <c r="AB44" s="2">
        <f>13840.17-6</f>
        <v>13834.17</v>
      </c>
      <c r="AC44" s="1" t="s">
        <v>100</v>
      </c>
      <c r="AD44" s="1" t="s">
        <v>832</v>
      </c>
      <c r="AE44" s="1" t="s">
        <v>746</v>
      </c>
      <c r="AF44" s="1" t="s">
        <v>862</v>
      </c>
      <c r="AG44" s="4">
        <v>1.8E-9</v>
      </c>
      <c r="AH44" s="2">
        <v>153</v>
      </c>
      <c r="AI44" s="2">
        <v>30</v>
      </c>
      <c r="AJ44" s="2" t="s">
        <v>863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</row>
    <row r="45" spans="1:78" ht="15.6" x14ac:dyDescent="0.3">
      <c r="A45" s="1" t="s">
        <v>1620</v>
      </c>
      <c r="B45" s="1" t="s">
        <v>1616</v>
      </c>
      <c r="C45" s="2" t="s">
        <v>137</v>
      </c>
      <c r="D45" s="1" t="s">
        <v>683</v>
      </c>
      <c r="E45" s="12" t="s">
        <v>47</v>
      </c>
      <c r="F45" s="2">
        <v>174.76</v>
      </c>
      <c r="G45" s="2">
        <f t="shared" si="1"/>
        <v>3.3419504002611402E-18</v>
      </c>
      <c r="H45" s="2">
        <v>10</v>
      </c>
      <c r="I45" s="2">
        <v>10</v>
      </c>
      <c r="J45" s="3">
        <v>0.28000000000000003</v>
      </c>
      <c r="K45" s="2" t="s">
        <v>27</v>
      </c>
      <c r="L45" s="2" t="s">
        <v>27</v>
      </c>
      <c r="M45" s="2" t="s">
        <v>27</v>
      </c>
      <c r="N45" s="2">
        <v>1</v>
      </c>
      <c r="O45" s="2">
        <v>1</v>
      </c>
      <c r="P45" s="3">
        <v>0.05</v>
      </c>
      <c r="Q45" s="2">
        <v>30516</v>
      </c>
      <c r="R45" s="21">
        <v>4.8600000000000003</v>
      </c>
      <c r="S45" s="1" t="s">
        <v>685</v>
      </c>
      <c r="T45" s="1" t="s">
        <v>683</v>
      </c>
      <c r="U45" s="1" t="s">
        <v>686</v>
      </c>
      <c r="V45" s="1" t="s">
        <v>687</v>
      </c>
      <c r="W45" s="1" t="s">
        <v>688</v>
      </c>
      <c r="X45" s="1" t="s">
        <v>689</v>
      </c>
      <c r="Y45" s="2">
        <v>246</v>
      </c>
      <c r="Z45" s="2">
        <v>4</v>
      </c>
      <c r="AA45" s="2">
        <f>28395.45-4</f>
        <v>28391.45</v>
      </c>
      <c r="AB45" s="2">
        <f>28413.4-4</f>
        <v>28409.4</v>
      </c>
      <c r="AC45" s="1" t="s">
        <v>100</v>
      </c>
      <c r="AD45" s="1" t="s">
        <v>690</v>
      </c>
      <c r="AE45" s="1" t="s">
        <v>691</v>
      </c>
      <c r="AF45" s="1" t="s">
        <v>59</v>
      </c>
      <c r="AG45" s="4">
        <v>5.4000000000000005E-119</v>
      </c>
      <c r="AH45" s="2">
        <v>894</v>
      </c>
      <c r="AI45" s="2">
        <v>71.8</v>
      </c>
      <c r="AJ45" s="2" t="s">
        <v>692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</row>
    <row r="46" spans="1:78" ht="15.6" x14ac:dyDescent="0.3">
      <c r="A46" s="1" t="s">
        <v>1620</v>
      </c>
      <c r="B46" s="24" t="s">
        <v>1617</v>
      </c>
      <c r="C46" s="2" t="s">
        <v>25</v>
      </c>
      <c r="D46" s="1" t="s">
        <v>102</v>
      </c>
      <c r="E46" s="12" t="s">
        <v>558</v>
      </c>
      <c r="F46" s="2">
        <v>117.9</v>
      </c>
      <c r="G46" s="2">
        <f t="shared" si="1"/>
        <v>1.6218100973589226E-12</v>
      </c>
      <c r="H46" s="2">
        <v>4</v>
      </c>
      <c r="I46" s="2">
        <v>4</v>
      </c>
      <c r="J46" s="3">
        <v>0.14000000000000001</v>
      </c>
      <c r="K46" s="2" t="s">
        <v>27</v>
      </c>
      <c r="L46" s="2" t="s">
        <v>27</v>
      </c>
      <c r="M46" s="2" t="s">
        <v>27</v>
      </c>
      <c r="N46" s="2" t="s">
        <v>27</v>
      </c>
      <c r="O46" s="2" t="s">
        <v>27</v>
      </c>
      <c r="P46" s="2" t="s">
        <v>27</v>
      </c>
      <c r="Q46" s="2">
        <v>43806</v>
      </c>
      <c r="R46" s="2">
        <v>2.95</v>
      </c>
      <c r="S46" s="1" t="s">
        <v>104</v>
      </c>
      <c r="T46" s="1" t="s">
        <v>102</v>
      </c>
      <c r="U46" s="1" t="s">
        <v>105</v>
      </c>
      <c r="V46" s="1" t="s">
        <v>106</v>
      </c>
      <c r="W46" s="1" t="s">
        <v>107</v>
      </c>
      <c r="X46" s="1" t="s">
        <v>108</v>
      </c>
      <c r="Y46" s="2">
        <v>376</v>
      </c>
      <c r="Z46" s="2">
        <v>2</v>
      </c>
      <c r="AA46" s="2">
        <f>42262.88-2</f>
        <v>42260.88</v>
      </c>
      <c r="AB46" s="2">
        <f>42289.33-2</f>
        <v>42287.33</v>
      </c>
      <c r="AC46" s="1" t="s">
        <v>100</v>
      </c>
      <c r="AD46" s="1" t="s">
        <v>109</v>
      </c>
      <c r="AE46" s="1" t="s">
        <v>110</v>
      </c>
      <c r="AF46" s="1" t="s">
        <v>111</v>
      </c>
      <c r="AG46" s="2">
        <v>0</v>
      </c>
      <c r="AH46" s="2">
        <v>1390</v>
      </c>
      <c r="AI46" s="2">
        <v>67</v>
      </c>
      <c r="AJ46" s="2"/>
      <c r="AK46" s="1" t="s">
        <v>112</v>
      </c>
      <c r="AL46" s="1" t="s">
        <v>113</v>
      </c>
      <c r="AM46" s="5">
        <v>1.3E-177</v>
      </c>
      <c r="AN46" s="1">
        <v>1310</v>
      </c>
      <c r="AO46" s="1">
        <v>62.5</v>
      </c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</row>
    <row r="47" spans="1:78" ht="15.6" x14ac:dyDescent="0.3">
      <c r="A47" s="1" t="s">
        <v>1620</v>
      </c>
      <c r="B47" s="24" t="s">
        <v>1617</v>
      </c>
      <c r="C47" s="2" t="s">
        <v>25</v>
      </c>
      <c r="D47" s="1" t="s">
        <v>114</v>
      </c>
      <c r="E47" s="12" t="s">
        <v>569</v>
      </c>
      <c r="F47" s="2">
        <v>244.93</v>
      </c>
      <c r="G47" s="2">
        <f t="shared" si="1"/>
        <v>3.2136605386402749E-25</v>
      </c>
      <c r="H47" s="2">
        <v>23</v>
      </c>
      <c r="I47" s="2">
        <v>23</v>
      </c>
      <c r="J47" s="3">
        <v>0.32</v>
      </c>
      <c r="K47" s="2" t="s">
        <v>27</v>
      </c>
      <c r="L47" s="2" t="s">
        <v>27</v>
      </c>
      <c r="M47" s="2" t="s">
        <v>27</v>
      </c>
      <c r="N47" s="2">
        <v>3</v>
      </c>
      <c r="O47" s="2">
        <v>3</v>
      </c>
      <c r="P47" s="3">
        <v>7.0000000000000007E-2</v>
      </c>
      <c r="Q47" s="2">
        <v>47499</v>
      </c>
      <c r="R47" s="2">
        <v>3.94</v>
      </c>
      <c r="S47" s="1" t="s">
        <v>116</v>
      </c>
      <c r="T47" s="1" t="s">
        <v>114</v>
      </c>
      <c r="U47" s="1" t="s">
        <v>117</v>
      </c>
      <c r="V47" s="1" t="s">
        <v>118</v>
      </c>
      <c r="W47" s="1" t="s">
        <v>119</v>
      </c>
      <c r="X47" s="1" t="s">
        <v>120</v>
      </c>
      <c r="Y47" s="2">
        <v>403</v>
      </c>
      <c r="Z47" s="2">
        <v>2</v>
      </c>
      <c r="AA47" s="2">
        <f>45525.04-2</f>
        <v>45523.040000000001</v>
      </c>
      <c r="AB47" s="2">
        <f>45553.34-2</f>
        <v>45551.34</v>
      </c>
      <c r="AC47" s="1" t="s">
        <v>100</v>
      </c>
      <c r="AD47" s="1" t="s">
        <v>109</v>
      </c>
      <c r="AE47" s="1" t="s">
        <v>110</v>
      </c>
      <c r="AF47" s="1" t="s">
        <v>111</v>
      </c>
      <c r="AG47" s="4">
        <v>6.7000000000000005E-117</v>
      </c>
      <c r="AH47" s="2">
        <v>912</v>
      </c>
      <c r="AI47" s="2">
        <v>44.9</v>
      </c>
      <c r="AJ47" s="2"/>
      <c r="AK47" s="1" t="s">
        <v>110</v>
      </c>
      <c r="AL47" s="1" t="s">
        <v>101</v>
      </c>
      <c r="AM47" s="5">
        <v>3.4999999999999999E-81</v>
      </c>
      <c r="AN47" s="1">
        <v>673</v>
      </c>
      <c r="AO47" s="1">
        <v>39.200000000000003</v>
      </c>
      <c r="AP47" s="1" t="s">
        <v>112</v>
      </c>
      <c r="AQ47" s="1" t="s">
        <v>121</v>
      </c>
      <c r="AR47" s="1">
        <v>0</v>
      </c>
      <c r="AS47" s="1">
        <v>1716</v>
      </c>
      <c r="AT47" s="1">
        <v>77.099999999999994</v>
      </c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</row>
    <row r="48" spans="1:78" ht="15.6" x14ac:dyDescent="0.3">
      <c r="A48" s="1" t="s">
        <v>1620</v>
      </c>
      <c r="B48" s="24" t="s">
        <v>1617</v>
      </c>
      <c r="C48" s="2" t="s">
        <v>25</v>
      </c>
      <c r="D48" s="1" t="s">
        <v>122</v>
      </c>
      <c r="E48" s="12" t="s">
        <v>1565</v>
      </c>
      <c r="F48" s="2">
        <v>123.16</v>
      </c>
      <c r="G48" s="2">
        <f t="shared" si="1"/>
        <v>4.8305880203977254E-13</v>
      </c>
      <c r="H48" s="2">
        <v>9</v>
      </c>
      <c r="I48" s="2">
        <v>9</v>
      </c>
      <c r="J48" s="3">
        <v>0.17</v>
      </c>
      <c r="K48" s="2" t="s">
        <v>27</v>
      </c>
      <c r="L48" s="2" t="s">
        <v>27</v>
      </c>
      <c r="M48" s="2" t="s">
        <v>27</v>
      </c>
      <c r="N48" s="2" t="s">
        <v>27</v>
      </c>
      <c r="O48" s="2" t="s">
        <v>27</v>
      </c>
      <c r="P48" s="2" t="s">
        <v>27</v>
      </c>
      <c r="Q48" s="2">
        <v>48846</v>
      </c>
      <c r="R48" s="2">
        <v>1.38</v>
      </c>
      <c r="S48" s="1" t="s">
        <v>123</v>
      </c>
      <c r="T48" s="1" t="s">
        <v>122</v>
      </c>
      <c r="U48" s="1" t="s">
        <v>124</v>
      </c>
      <c r="V48" s="1" t="s">
        <v>125</v>
      </c>
      <c r="W48" s="1" t="s">
        <v>126</v>
      </c>
      <c r="X48" s="1" t="s">
        <v>127</v>
      </c>
      <c r="Y48" s="2">
        <v>415</v>
      </c>
      <c r="Z48" s="2">
        <v>2</v>
      </c>
      <c r="AA48" s="2">
        <f>47036.64-2</f>
        <v>47034.64</v>
      </c>
      <c r="AB48" s="2">
        <f>47066.38-2</f>
        <v>47064.38</v>
      </c>
      <c r="AC48" s="1" t="s">
        <v>100</v>
      </c>
      <c r="AD48" s="1" t="s">
        <v>109</v>
      </c>
      <c r="AE48" s="1" t="s">
        <v>110</v>
      </c>
      <c r="AF48" s="1" t="s">
        <v>111</v>
      </c>
      <c r="AG48" s="4">
        <v>8.1999999999999998E-116</v>
      </c>
      <c r="AH48" s="2">
        <v>906</v>
      </c>
      <c r="AI48" s="2">
        <v>45.8</v>
      </c>
      <c r="AJ48" s="2"/>
      <c r="AK48" s="1" t="s">
        <v>110</v>
      </c>
      <c r="AL48" s="1" t="s">
        <v>101</v>
      </c>
      <c r="AM48" s="5">
        <v>1.7000000000000001E-64</v>
      </c>
      <c r="AN48" s="1">
        <v>562</v>
      </c>
      <c r="AO48" s="1">
        <v>35.299999999999997</v>
      </c>
      <c r="AP48" s="1" t="s">
        <v>112</v>
      </c>
      <c r="AQ48" s="1" t="s">
        <v>121</v>
      </c>
      <c r="AR48" s="1">
        <v>0</v>
      </c>
      <c r="AS48" s="1">
        <v>1569</v>
      </c>
      <c r="AT48" s="1">
        <v>71</v>
      </c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</row>
    <row r="49" spans="1:78" ht="15.6" x14ac:dyDescent="0.3">
      <c r="A49" s="1" t="s">
        <v>1620</v>
      </c>
      <c r="B49" s="24" t="s">
        <v>1617</v>
      </c>
      <c r="C49" s="2" t="s">
        <v>25</v>
      </c>
      <c r="D49" s="1" t="s">
        <v>128</v>
      </c>
      <c r="E49" s="12" t="s">
        <v>1566</v>
      </c>
      <c r="F49" s="2">
        <v>244.93</v>
      </c>
      <c r="G49" s="2">
        <f t="shared" si="1"/>
        <v>3.2136605386402749E-25</v>
      </c>
      <c r="H49" s="2">
        <v>23</v>
      </c>
      <c r="I49" s="2">
        <v>23</v>
      </c>
      <c r="J49" s="3">
        <v>0.28999999999999998</v>
      </c>
      <c r="K49" s="2" t="s">
        <v>27</v>
      </c>
      <c r="L49" s="2" t="s">
        <v>27</v>
      </c>
      <c r="M49" s="2" t="s">
        <v>27</v>
      </c>
      <c r="N49" s="2">
        <v>3</v>
      </c>
      <c r="O49" s="2">
        <v>3</v>
      </c>
      <c r="P49" s="3">
        <v>0.06</v>
      </c>
      <c r="Q49" s="2">
        <v>52079</v>
      </c>
      <c r="R49" s="2">
        <v>0.09</v>
      </c>
      <c r="S49" s="1" t="s">
        <v>129</v>
      </c>
      <c r="T49" s="1" t="s">
        <v>128</v>
      </c>
      <c r="U49" s="1" t="s">
        <v>130</v>
      </c>
      <c r="V49" s="1" t="s">
        <v>131</v>
      </c>
      <c r="W49" s="1" t="s">
        <v>132</v>
      </c>
      <c r="X49" s="1" t="s">
        <v>133</v>
      </c>
      <c r="Y49" s="2">
        <v>440</v>
      </c>
      <c r="Z49" s="2">
        <v>5</v>
      </c>
      <c r="AA49" s="2">
        <f>49512.75-5</f>
        <v>49507.75</v>
      </c>
      <c r="AB49" s="2">
        <f>49543.58-5</f>
        <v>49538.58</v>
      </c>
      <c r="AC49" s="1" t="s">
        <v>100</v>
      </c>
      <c r="AD49" s="1" t="s">
        <v>109</v>
      </c>
      <c r="AE49" s="1" t="s">
        <v>110</v>
      </c>
      <c r="AF49" s="1" t="s">
        <v>111</v>
      </c>
      <c r="AG49" s="4">
        <v>1.1000000000000001E-114</v>
      </c>
      <c r="AH49" s="2">
        <v>901</v>
      </c>
      <c r="AI49" s="2">
        <v>46.3</v>
      </c>
      <c r="AJ49" s="2"/>
      <c r="AK49" s="1" t="s">
        <v>110</v>
      </c>
      <c r="AL49" s="1" t="s">
        <v>101</v>
      </c>
      <c r="AM49" s="5">
        <v>2.2000000000000001E-80</v>
      </c>
      <c r="AN49" s="1">
        <v>671</v>
      </c>
      <c r="AO49" s="1">
        <v>41.7</v>
      </c>
      <c r="AP49" s="1" t="s">
        <v>112</v>
      </c>
      <c r="AQ49" s="1" t="s">
        <v>121</v>
      </c>
      <c r="AR49" s="1">
        <v>0</v>
      </c>
      <c r="AS49" s="1">
        <v>1674</v>
      </c>
      <c r="AT49" s="1">
        <v>76.7</v>
      </c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</row>
    <row r="50" spans="1:78" ht="15.6" x14ac:dyDescent="0.3">
      <c r="A50" s="1" t="s">
        <v>1620</v>
      </c>
      <c r="B50" s="1" t="s">
        <v>1618</v>
      </c>
      <c r="C50" s="2" t="s">
        <v>25</v>
      </c>
      <c r="D50" s="1" t="s">
        <v>46</v>
      </c>
      <c r="E50" s="12" t="s">
        <v>1537</v>
      </c>
      <c r="F50" s="2">
        <v>154.93</v>
      </c>
      <c r="G50" s="2">
        <f t="shared" si="1"/>
        <v>3.2136605386402955E-16</v>
      </c>
      <c r="H50" s="2">
        <v>8</v>
      </c>
      <c r="I50" s="2">
        <v>8</v>
      </c>
      <c r="J50" s="3">
        <v>0.11</v>
      </c>
      <c r="K50" s="2" t="s">
        <v>27</v>
      </c>
      <c r="L50" s="2" t="s">
        <v>27</v>
      </c>
      <c r="M50" s="2" t="s">
        <v>27</v>
      </c>
      <c r="N50" s="2">
        <v>1</v>
      </c>
      <c r="O50" s="2">
        <v>1</v>
      </c>
      <c r="P50" s="3">
        <v>0.01</v>
      </c>
      <c r="Q50" s="2">
        <v>10693</v>
      </c>
      <c r="R50" s="2">
        <v>1.21</v>
      </c>
      <c r="S50" s="1" t="s">
        <v>48</v>
      </c>
      <c r="T50" s="1" t="s">
        <v>46</v>
      </c>
      <c r="U50" s="1" t="s">
        <v>49</v>
      </c>
      <c r="V50" s="1" t="s">
        <v>50</v>
      </c>
      <c r="W50" s="1" t="s">
        <v>51</v>
      </c>
      <c r="X50" s="1" t="s">
        <v>52</v>
      </c>
      <c r="Y50" s="2">
        <v>925</v>
      </c>
      <c r="Z50" s="2">
        <v>6</v>
      </c>
      <c r="AA50" s="2">
        <f>105349.07-6</f>
        <v>105343.07</v>
      </c>
      <c r="AB50" s="2">
        <f>105415.3-6</f>
        <v>105409.3</v>
      </c>
      <c r="AC50" s="1" t="s">
        <v>53</v>
      </c>
      <c r="AD50" s="1" t="s">
        <v>27</v>
      </c>
      <c r="AE50" s="1" t="s">
        <v>55</v>
      </c>
      <c r="AF50" s="1" t="s">
        <v>56</v>
      </c>
      <c r="AG50" s="4">
        <v>0</v>
      </c>
      <c r="AH50" s="2">
        <v>3439</v>
      </c>
      <c r="AI50" s="2">
        <v>68.8</v>
      </c>
      <c r="AJ50" s="2" t="s">
        <v>57</v>
      </c>
      <c r="AK50" s="1" t="s">
        <v>58</v>
      </c>
      <c r="AL50" s="1" t="s">
        <v>59</v>
      </c>
      <c r="AM50" s="1">
        <v>0</v>
      </c>
      <c r="AN50" s="1">
        <v>3432</v>
      </c>
      <c r="AO50" s="1">
        <v>69.2</v>
      </c>
      <c r="AP50" s="1" t="s">
        <v>60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</row>
    <row r="51" spans="1:78" ht="15.6" x14ac:dyDescent="0.3">
      <c r="A51" s="1" t="s">
        <v>1620</v>
      </c>
      <c r="B51" s="1" t="s">
        <v>1618</v>
      </c>
      <c r="C51" s="2" t="s">
        <v>25</v>
      </c>
      <c r="D51" s="1" t="s">
        <v>61</v>
      </c>
      <c r="E51" s="12" t="s">
        <v>1536</v>
      </c>
      <c r="F51" s="2">
        <v>210.41</v>
      </c>
      <c r="G51" s="2">
        <f t="shared" si="1"/>
        <v>9.099132726322495E-22</v>
      </c>
      <c r="H51" s="2">
        <v>19</v>
      </c>
      <c r="I51" s="2">
        <v>19</v>
      </c>
      <c r="J51" s="3">
        <v>0.18</v>
      </c>
      <c r="K51" s="2" t="s">
        <v>27</v>
      </c>
      <c r="L51" s="2" t="s">
        <v>27</v>
      </c>
      <c r="M51" s="2" t="s">
        <v>27</v>
      </c>
      <c r="N51" s="2">
        <v>1</v>
      </c>
      <c r="O51" s="2">
        <v>1</v>
      </c>
      <c r="P51" s="3">
        <v>0.01</v>
      </c>
      <c r="Q51" s="2">
        <v>114488</v>
      </c>
      <c r="R51" s="2">
        <v>5.2</v>
      </c>
      <c r="S51" s="1" t="s">
        <v>62</v>
      </c>
      <c r="T51" s="1" t="s">
        <v>61</v>
      </c>
      <c r="U51" s="1" t="s">
        <v>63</v>
      </c>
      <c r="V51" s="1" t="s">
        <v>64</v>
      </c>
      <c r="W51" s="1" t="s">
        <v>65</v>
      </c>
      <c r="X51" s="1" t="s">
        <v>66</v>
      </c>
      <c r="Y51" s="2">
        <v>988</v>
      </c>
      <c r="Z51" s="2">
        <v>7</v>
      </c>
      <c r="AA51" s="2">
        <f>112776.31-7</f>
        <v>112769.31</v>
      </c>
      <c r="AB51" s="2">
        <f>112705.44-7</f>
        <v>112698.44</v>
      </c>
      <c r="AC51" s="1" t="s">
        <v>67</v>
      </c>
      <c r="AD51" s="1" t="s">
        <v>27</v>
      </c>
      <c r="AE51" s="1" t="s">
        <v>68</v>
      </c>
      <c r="AF51" s="1" t="s">
        <v>69</v>
      </c>
      <c r="AG51" s="2">
        <v>0</v>
      </c>
      <c r="AH51" s="2">
        <v>3208</v>
      </c>
      <c r="AI51" s="2">
        <v>62.5</v>
      </c>
      <c r="AJ51" s="2" t="s">
        <v>70</v>
      </c>
      <c r="AK51" s="1" t="s">
        <v>58</v>
      </c>
      <c r="AL51" s="1" t="s">
        <v>71</v>
      </c>
      <c r="AM51" s="5">
        <v>2.1000000000000001E-127</v>
      </c>
      <c r="AN51" s="1">
        <v>1080</v>
      </c>
      <c r="AO51" s="1">
        <v>30.8</v>
      </c>
      <c r="AP51" s="1" t="s">
        <v>72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</row>
    <row r="52" spans="1:78" ht="15.6" x14ac:dyDescent="0.3">
      <c r="A52" s="1" t="s">
        <v>1620</v>
      </c>
      <c r="B52" s="1" t="s">
        <v>1618</v>
      </c>
      <c r="C52" s="2" t="s">
        <v>25</v>
      </c>
      <c r="D52" s="1" t="s">
        <v>73</v>
      </c>
      <c r="E52" s="12" t="s">
        <v>1545</v>
      </c>
      <c r="F52" s="2">
        <v>169.27</v>
      </c>
      <c r="G52" s="2">
        <f t="shared" si="1"/>
        <v>1.1830415557251612E-17</v>
      </c>
      <c r="H52" s="2">
        <v>14</v>
      </c>
      <c r="I52" s="2">
        <v>14</v>
      </c>
      <c r="J52" s="3">
        <v>0.16</v>
      </c>
      <c r="K52" s="2" t="s">
        <v>27</v>
      </c>
      <c r="L52" s="2" t="s">
        <v>27</v>
      </c>
      <c r="M52" s="2" t="s">
        <v>27</v>
      </c>
      <c r="N52" s="2">
        <v>4</v>
      </c>
      <c r="O52" s="2">
        <v>4</v>
      </c>
      <c r="P52" s="3">
        <v>0.05</v>
      </c>
      <c r="Q52" s="2">
        <v>111600</v>
      </c>
      <c r="R52" s="2">
        <v>2.65</v>
      </c>
      <c r="S52" s="1" t="s">
        <v>74</v>
      </c>
      <c r="T52" s="1" t="s">
        <v>73</v>
      </c>
      <c r="U52" s="1" t="s">
        <v>75</v>
      </c>
      <c r="V52" s="1" t="s">
        <v>76</v>
      </c>
      <c r="W52" s="1" t="s">
        <v>77</v>
      </c>
      <c r="X52" s="1" t="s">
        <v>78</v>
      </c>
      <c r="Y52" s="2">
        <v>956</v>
      </c>
      <c r="Z52" s="2">
        <v>8</v>
      </c>
      <c r="AA52" s="2">
        <f>108804.52-8</f>
        <v>108796.52</v>
      </c>
      <c r="AB52" s="2">
        <f>108873.24-8</f>
        <v>108865.24</v>
      </c>
      <c r="AC52" s="1" t="s">
        <v>79</v>
      </c>
      <c r="AD52" s="1" t="s">
        <v>27</v>
      </c>
      <c r="AE52" s="1" t="s">
        <v>80</v>
      </c>
      <c r="AF52" s="1" t="s">
        <v>59</v>
      </c>
      <c r="AG52" s="4">
        <v>0</v>
      </c>
      <c r="AH52" s="2">
        <v>3477</v>
      </c>
      <c r="AI52" s="2">
        <v>66.900000000000006</v>
      </c>
      <c r="AJ52" s="2" t="s">
        <v>81</v>
      </c>
      <c r="AK52" s="1" t="s">
        <v>54</v>
      </c>
      <c r="AL52" s="1" t="s">
        <v>82</v>
      </c>
      <c r="AM52" s="5">
        <v>0</v>
      </c>
      <c r="AN52" s="1">
        <v>3509</v>
      </c>
      <c r="AO52" s="1">
        <v>68.2</v>
      </c>
      <c r="AP52" s="1" t="s">
        <v>83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</row>
    <row r="53" spans="1:78" ht="15.6" x14ac:dyDescent="0.3">
      <c r="A53" s="1" t="s">
        <v>1620</v>
      </c>
      <c r="B53" s="1" t="s">
        <v>1618</v>
      </c>
      <c r="C53" s="2" t="s">
        <v>25</v>
      </c>
      <c r="D53" s="1" t="s">
        <v>84</v>
      </c>
      <c r="E53" s="12" t="s">
        <v>1546</v>
      </c>
      <c r="F53" s="2">
        <v>164.69</v>
      </c>
      <c r="G53" s="2">
        <f t="shared" si="1"/>
        <v>3.396252725904054E-17</v>
      </c>
      <c r="H53" s="2">
        <v>8</v>
      </c>
      <c r="I53" s="2">
        <v>8</v>
      </c>
      <c r="J53" s="3">
        <v>0.09</v>
      </c>
      <c r="K53" s="2" t="s">
        <v>27</v>
      </c>
      <c r="L53" s="2" t="s">
        <v>27</v>
      </c>
      <c r="M53" s="2" t="s">
        <v>27</v>
      </c>
      <c r="N53" s="2">
        <v>3</v>
      </c>
      <c r="O53" s="2">
        <v>3</v>
      </c>
      <c r="P53" s="3">
        <v>0.04</v>
      </c>
      <c r="Q53" s="2">
        <v>110330</v>
      </c>
      <c r="R53" s="2">
        <v>2.52</v>
      </c>
      <c r="S53" s="1" t="s">
        <v>85</v>
      </c>
      <c r="T53" s="1" t="s">
        <v>84</v>
      </c>
      <c r="U53" s="1" t="s">
        <v>86</v>
      </c>
      <c r="V53" s="1" t="s">
        <v>87</v>
      </c>
      <c r="W53" s="1" t="s">
        <v>88</v>
      </c>
      <c r="X53" s="1" t="s">
        <v>89</v>
      </c>
      <c r="Y53" s="2">
        <v>932</v>
      </c>
      <c r="Z53" s="2">
        <v>7</v>
      </c>
      <c r="AA53" s="2">
        <f>106855.36-7</f>
        <v>106848.36</v>
      </c>
      <c r="AB53" s="2">
        <f>106923.11-7</f>
        <v>106916.11</v>
      </c>
      <c r="AC53" s="1" t="s">
        <v>79</v>
      </c>
      <c r="AD53" s="1" t="s">
        <v>27</v>
      </c>
      <c r="AE53" s="1" t="s">
        <v>80</v>
      </c>
      <c r="AF53" s="1" t="s">
        <v>59</v>
      </c>
      <c r="AG53" s="4">
        <v>0</v>
      </c>
      <c r="AH53" s="2">
        <v>1561</v>
      </c>
      <c r="AI53" s="2">
        <v>36.700000000000003</v>
      </c>
      <c r="AJ53" s="2" t="s">
        <v>81</v>
      </c>
      <c r="AK53" s="1" t="s">
        <v>54</v>
      </c>
      <c r="AL53" s="1" t="s">
        <v>69</v>
      </c>
      <c r="AM53" s="5">
        <v>0</v>
      </c>
      <c r="AN53" s="1">
        <v>3630</v>
      </c>
      <c r="AO53" s="1">
        <v>72.7</v>
      </c>
      <c r="AP53" s="1" t="s">
        <v>90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</row>
    <row r="54" spans="1:78" ht="15.6" x14ac:dyDescent="0.3">
      <c r="A54" s="1" t="s">
        <v>1620</v>
      </c>
      <c r="B54" s="1" t="s">
        <v>1618</v>
      </c>
      <c r="C54" s="2" t="s">
        <v>25</v>
      </c>
      <c r="D54" s="1" t="s">
        <v>91</v>
      </c>
      <c r="E54" s="12" t="s">
        <v>1567</v>
      </c>
      <c r="F54" s="2">
        <v>95.07</v>
      </c>
      <c r="G54" s="2">
        <f t="shared" si="1"/>
        <v>3.1117163371060086E-10</v>
      </c>
      <c r="H54" s="2">
        <v>3</v>
      </c>
      <c r="I54" s="2">
        <v>3</v>
      </c>
      <c r="J54" s="3">
        <v>0.04</v>
      </c>
      <c r="K54" s="2" t="s">
        <v>27</v>
      </c>
      <c r="L54" s="2" t="s">
        <v>27</v>
      </c>
      <c r="M54" s="2" t="s">
        <v>27</v>
      </c>
      <c r="N54" s="2" t="s">
        <v>27</v>
      </c>
      <c r="O54" s="2" t="s">
        <v>27</v>
      </c>
      <c r="P54" s="2" t="s">
        <v>27</v>
      </c>
      <c r="Q54" s="2">
        <v>109290</v>
      </c>
      <c r="R54" s="2">
        <v>1.29</v>
      </c>
      <c r="S54" s="1" t="s">
        <v>92</v>
      </c>
      <c r="T54" s="1" t="s">
        <v>91</v>
      </c>
      <c r="U54" s="1" t="s">
        <v>93</v>
      </c>
      <c r="V54" s="1" t="s">
        <v>94</v>
      </c>
      <c r="W54" s="1" t="s">
        <v>95</v>
      </c>
      <c r="X54" s="1" t="s">
        <v>96</v>
      </c>
      <c r="Y54" s="2">
        <v>927</v>
      </c>
      <c r="Z54" s="2">
        <v>5</v>
      </c>
      <c r="AA54" s="2">
        <f>106114.03-5</f>
        <v>106109.03</v>
      </c>
      <c r="AB54" s="2">
        <f>106181.05-5</f>
        <v>106176.05</v>
      </c>
      <c r="AC54" s="1" t="s">
        <v>79</v>
      </c>
      <c r="AD54" s="1" t="s">
        <v>27</v>
      </c>
      <c r="AE54" s="1" t="s">
        <v>80</v>
      </c>
      <c r="AF54" s="1" t="s">
        <v>59</v>
      </c>
      <c r="AG54" s="4">
        <v>5.4000000000000003E-180</v>
      </c>
      <c r="AH54" s="2">
        <v>1431</v>
      </c>
      <c r="AI54" s="2">
        <v>36</v>
      </c>
      <c r="AJ54" s="2" t="s">
        <v>81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5.6" x14ac:dyDescent="0.3">
      <c r="A55" s="24" t="s">
        <v>1606</v>
      </c>
      <c r="B55" s="24" t="s">
        <v>1624</v>
      </c>
      <c r="C55" s="2" t="s">
        <v>137</v>
      </c>
      <c r="D55" s="1" t="s">
        <v>1191</v>
      </c>
      <c r="E55" s="2" t="s">
        <v>339</v>
      </c>
      <c r="F55" s="2">
        <v>122.27</v>
      </c>
      <c r="G55" s="2">
        <f t="shared" si="1"/>
        <v>5.9292532457999865E-13</v>
      </c>
      <c r="H55" s="2" t="s">
        <v>27</v>
      </c>
      <c r="I55" s="2" t="s">
        <v>27</v>
      </c>
      <c r="J55" s="3" t="s">
        <v>27</v>
      </c>
      <c r="K55" s="2" t="s">
        <v>27</v>
      </c>
      <c r="L55" s="2" t="s">
        <v>27</v>
      </c>
      <c r="M55" s="3" t="s">
        <v>27</v>
      </c>
      <c r="N55" s="2">
        <v>1</v>
      </c>
      <c r="O55" s="2">
        <v>1</v>
      </c>
      <c r="P55" s="3">
        <v>0.09</v>
      </c>
      <c r="Q55" s="2">
        <v>12721</v>
      </c>
      <c r="R55" s="2">
        <v>940.65</v>
      </c>
      <c r="S55" s="1" t="s">
        <v>1192</v>
      </c>
      <c r="T55" s="1" t="s">
        <v>1191</v>
      </c>
      <c r="U55" s="1" t="s">
        <v>1193</v>
      </c>
      <c r="V55" s="1" t="s">
        <v>1194</v>
      </c>
      <c r="W55" s="1" t="s">
        <v>1195</v>
      </c>
      <c r="X55" s="1" t="s">
        <v>1196</v>
      </c>
      <c r="Y55" s="2">
        <v>100</v>
      </c>
      <c r="Z55" s="2">
        <v>12</v>
      </c>
      <c r="AA55" s="2">
        <f>10696.04-12</f>
        <v>10684.04</v>
      </c>
      <c r="AB55" s="2">
        <f>10703.32-12</f>
        <v>10691.32</v>
      </c>
      <c r="AC55" s="1" t="s">
        <v>1197</v>
      </c>
      <c r="AD55" s="1"/>
      <c r="AE55" s="1" t="s">
        <v>1198</v>
      </c>
      <c r="AF55" s="1" t="s">
        <v>1199</v>
      </c>
      <c r="AG55" s="4">
        <v>4.8E-9</v>
      </c>
      <c r="AH55" s="2">
        <v>139</v>
      </c>
      <c r="AI55" s="2">
        <v>34.799999999999997</v>
      </c>
      <c r="AJ55" s="2"/>
      <c r="AK55" s="1" t="s">
        <v>1200</v>
      </c>
      <c r="AL55" s="1" t="s">
        <v>1201</v>
      </c>
      <c r="AM55" s="1">
        <v>0.15</v>
      </c>
      <c r="AN55" s="1">
        <v>88</v>
      </c>
      <c r="AO55" s="1">
        <v>26.2</v>
      </c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</row>
    <row r="56" spans="1:78" ht="15.6" x14ac:dyDescent="0.3">
      <c r="A56" s="1" t="s">
        <v>1606</v>
      </c>
      <c r="B56" s="1" t="s">
        <v>1534</v>
      </c>
      <c r="C56" s="2" t="s">
        <v>137</v>
      </c>
      <c r="D56" s="1" t="s">
        <v>351</v>
      </c>
      <c r="E56" s="12" t="s">
        <v>520</v>
      </c>
      <c r="F56" s="2">
        <v>67.930000000000007</v>
      </c>
      <c r="G56" s="2">
        <f t="shared" si="1"/>
        <v>1.6106456351782628E-7</v>
      </c>
      <c r="H56" s="2">
        <v>1</v>
      </c>
      <c r="I56" s="2">
        <v>1</v>
      </c>
      <c r="J56" s="3">
        <v>0.15</v>
      </c>
      <c r="K56" s="2" t="s">
        <v>27</v>
      </c>
      <c r="L56" s="2" t="s">
        <v>27</v>
      </c>
      <c r="M56" s="2" t="s">
        <v>27</v>
      </c>
      <c r="N56" s="2">
        <v>1</v>
      </c>
      <c r="O56" s="2">
        <v>1</v>
      </c>
      <c r="P56" s="3">
        <v>0.15</v>
      </c>
      <c r="Q56" s="2">
        <v>15151</v>
      </c>
      <c r="R56" s="21">
        <v>178.45</v>
      </c>
      <c r="S56" s="1" t="s">
        <v>352</v>
      </c>
      <c r="T56" s="1" t="s">
        <v>351</v>
      </c>
      <c r="U56" s="1" t="s">
        <v>353</v>
      </c>
      <c r="V56" s="1" t="s">
        <v>354</v>
      </c>
      <c r="W56" s="1" t="s">
        <v>355</v>
      </c>
      <c r="X56" s="1" t="s">
        <v>356</v>
      </c>
      <c r="Y56" s="2">
        <v>110</v>
      </c>
      <c r="Z56" s="2">
        <v>0</v>
      </c>
      <c r="AA56" s="2">
        <v>12992.21</v>
      </c>
      <c r="AB56" s="2">
        <v>13000.95</v>
      </c>
      <c r="AC56" s="1" t="s">
        <v>100</v>
      </c>
      <c r="AD56" s="1" t="s">
        <v>345</v>
      </c>
      <c r="AE56" s="1" t="s">
        <v>346</v>
      </c>
      <c r="AF56" s="1" t="s">
        <v>357</v>
      </c>
      <c r="AG56" s="4">
        <v>9.9000000000000005E-7</v>
      </c>
      <c r="AH56" s="2">
        <v>131</v>
      </c>
      <c r="AI56" s="2">
        <v>42.4</v>
      </c>
      <c r="AJ56" s="2" t="s">
        <v>358</v>
      </c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</row>
    <row r="57" spans="1:78" ht="15.6" x14ac:dyDescent="0.3">
      <c r="A57" s="1" t="s">
        <v>1606</v>
      </c>
      <c r="B57" s="1" t="s">
        <v>1535</v>
      </c>
      <c r="C57" s="2" t="s">
        <v>137</v>
      </c>
      <c r="D57" s="1" t="s">
        <v>338</v>
      </c>
      <c r="E57" s="12" t="s">
        <v>495</v>
      </c>
      <c r="F57" s="2">
        <v>70.89</v>
      </c>
      <c r="G57" s="2">
        <f t="shared" si="1"/>
        <v>8.1470428402083739E-8</v>
      </c>
      <c r="H57" s="2">
        <v>3</v>
      </c>
      <c r="I57" s="2">
        <v>3</v>
      </c>
      <c r="J57" s="3">
        <v>0.34</v>
      </c>
      <c r="K57" s="2" t="s">
        <v>27</v>
      </c>
      <c r="L57" s="2" t="s">
        <v>27</v>
      </c>
      <c r="M57" s="2" t="s">
        <v>27</v>
      </c>
      <c r="N57" s="2">
        <v>3</v>
      </c>
      <c r="O57" s="2">
        <v>3</v>
      </c>
      <c r="P57" s="3">
        <v>0.35</v>
      </c>
      <c r="Q57" s="2">
        <v>11960</v>
      </c>
      <c r="R57" s="21">
        <v>688.55</v>
      </c>
      <c r="S57" s="1" t="s">
        <v>340</v>
      </c>
      <c r="T57" s="1" t="s">
        <v>338</v>
      </c>
      <c r="U57" s="1" t="s">
        <v>341</v>
      </c>
      <c r="V57" s="1" t="s">
        <v>342</v>
      </c>
      <c r="W57" s="1" t="s">
        <v>343</v>
      </c>
      <c r="X57" s="1" t="s">
        <v>344</v>
      </c>
      <c r="Y57" s="2">
        <v>82</v>
      </c>
      <c r="Z57" s="2">
        <v>0</v>
      </c>
      <c r="AA57" s="2">
        <v>9997.98</v>
      </c>
      <c r="AB57" s="2">
        <v>10004.200000000001</v>
      </c>
      <c r="AC57" s="1" t="s">
        <v>100</v>
      </c>
      <c r="AD57" s="1" t="s">
        <v>345</v>
      </c>
      <c r="AE57" s="1" t="s">
        <v>346</v>
      </c>
      <c r="AF57" s="1" t="s">
        <v>347</v>
      </c>
      <c r="AG57" s="4">
        <v>2.9999999999999999E-7</v>
      </c>
      <c r="AH57" s="2">
        <v>125</v>
      </c>
      <c r="AI57" s="2">
        <v>43.1</v>
      </c>
      <c r="AJ57" s="2" t="s">
        <v>348</v>
      </c>
      <c r="AK57" s="1" t="s">
        <v>349</v>
      </c>
      <c r="AL57" s="1" t="s">
        <v>98</v>
      </c>
      <c r="AM57" s="5">
        <v>5.1999999999999999E-33</v>
      </c>
      <c r="AN57" s="1">
        <v>280</v>
      </c>
      <c r="AO57" s="1">
        <v>66.2</v>
      </c>
      <c r="AP57" s="1" t="s">
        <v>350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</row>
    <row r="58" spans="1:78" ht="15.6" x14ac:dyDescent="0.3">
      <c r="A58" s="1" t="s">
        <v>1606</v>
      </c>
      <c r="B58" s="1" t="s">
        <v>565</v>
      </c>
      <c r="C58" s="2" t="s">
        <v>137</v>
      </c>
      <c r="D58" s="1" t="s">
        <v>557</v>
      </c>
      <c r="E58" s="12" t="s">
        <v>193</v>
      </c>
      <c r="F58" s="2">
        <v>113.09</v>
      </c>
      <c r="G58" s="2">
        <f t="shared" si="1"/>
        <v>4.9090787615260062E-12</v>
      </c>
      <c r="H58" s="2" t="s">
        <v>27</v>
      </c>
      <c r="I58" s="2" t="s">
        <v>27</v>
      </c>
      <c r="J58" s="2" t="s">
        <v>27</v>
      </c>
      <c r="K58" s="2" t="s">
        <v>27</v>
      </c>
      <c r="L58" s="2" t="s">
        <v>27</v>
      </c>
      <c r="M58" s="2" t="s">
        <v>27</v>
      </c>
      <c r="N58" s="2">
        <v>1</v>
      </c>
      <c r="O58" s="2">
        <v>1</v>
      </c>
      <c r="P58" s="3">
        <v>0.15</v>
      </c>
      <c r="Q58" s="2">
        <v>10618</v>
      </c>
      <c r="R58" s="21">
        <v>458.86</v>
      </c>
      <c r="S58" s="1" t="s">
        <v>559</v>
      </c>
      <c r="T58" s="1" t="s">
        <v>557</v>
      </c>
      <c r="U58" s="1" t="s">
        <v>560</v>
      </c>
      <c r="V58" s="1" t="s">
        <v>561</v>
      </c>
      <c r="W58" s="1" t="s">
        <v>562</v>
      </c>
      <c r="X58" s="1" t="s">
        <v>563</v>
      </c>
      <c r="Y58" s="2">
        <v>81</v>
      </c>
      <c r="Z58" s="2">
        <v>6</v>
      </c>
      <c r="AA58" s="2">
        <f>8625.12-6</f>
        <v>8619.1200000000008</v>
      </c>
      <c r="AB58" s="2">
        <f>8630.64-6</f>
        <v>8624.64</v>
      </c>
      <c r="AC58" s="1" t="s">
        <v>564</v>
      </c>
      <c r="AD58" s="1" t="s">
        <v>27</v>
      </c>
      <c r="AE58" s="1" t="s">
        <v>566</v>
      </c>
      <c r="AF58" s="1" t="s">
        <v>59</v>
      </c>
      <c r="AG58" s="4">
        <v>2.1000000000000001E-28</v>
      </c>
      <c r="AH58" s="2">
        <v>252</v>
      </c>
      <c r="AI58" s="2">
        <v>54.9</v>
      </c>
      <c r="AJ58" s="2" t="s">
        <v>567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</row>
    <row r="59" spans="1:78" ht="15.6" x14ac:dyDescent="0.3">
      <c r="A59" s="1" t="s">
        <v>1606</v>
      </c>
      <c r="B59" s="1" t="s">
        <v>565</v>
      </c>
      <c r="C59" s="2" t="s">
        <v>137</v>
      </c>
      <c r="D59" s="1" t="s">
        <v>568</v>
      </c>
      <c r="E59" s="12" t="s">
        <v>262</v>
      </c>
      <c r="F59" s="2">
        <v>391.48</v>
      </c>
      <c r="G59" s="2">
        <f t="shared" si="1"/>
        <v>7.1121351365331813E-40</v>
      </c>
      <c r="H59" s="2" t="s">
        <v>27</v>
      </c>
      <c r="I59" s="2" t="s">
        <v>27</v>
      </c>
      <c r="J59" s="2" t="s">
        <v>27</v>
      </c>
      <c r="K59" s="2" t="s">
        <v>27</v>
      </c>
      <c r="L59" s="2" t="s">
        <v>27</v>
      </c>
      <c r="M59" s="2" t="s">
        <v>27</v>
      </c>
      <c r="N59" s="2">
        <v>5</v>
      </c>
      <c r="O59" s="2">
        <v>5</v>
      </c>
      <c r="P59" s="3">
        <v>0.27</v>
      </c>
      <c r="Q59" s="2">
        <v>23983</v>
      </c>
      <c r="R59" s="21">
        <v>95.74</v>
      </c>
      <c r="S59" s="1" t="s">
        <v>570</v>
      </c>
      <c r="T59" s="1" t="s">
        <v>568</v>
      </c>
      <c r="U59" s="1" t="s">
        <v>571</v>
      </c>
      <c r="V59" s="1" t="s">
        <v>572</v>
      </c>
      <c r="W59" s="1" t="s">
        <v>573</v>
      </c>
      <c r="X59" s="1" t="s">
        <v>574</v>
      </c>
      <c r="Y59" s="2">
        <v>203</v>
      </c>
      <c r="Z59" s="2">
        <v>24</v>
      </c>
      <c r="AA59" s="2">
        <f>21883.09-24</f>
        <v>21859.09</v>
      </c>
      <c r="AB59" s="2">
        <f>21897.84-24</f>
        <v>21873.84</v>
      </c>
      <c r="AC59" s="1" t="s">
        <v>100</v>
      </c>
      <c r="AD59" s="1" t="s">
        <v>575</v>
      </c>
      <c r="AE59" s="1" t="s">
        <v>566</v>
      </c>
      <c r="AF59" s="1" t="s">
        <v>59</v>
      </c>
      <c r="AG59" s="4">
        <v>7.1000000000000002E-85</v>
      </c>
      <c r="AH59" s="2">
        <v>666</v>
      </c>
      <c r="AI59" s="2">
        <v>61.3</v>
      </c>
      <c r="AJ59" s="2" t="s">
        <v>576</v>
      </c>
      <c r="AK59" s="1" t="s">
        <v>577</v>
      </c>
      <c r="AL59" s="1" t="s">
        <v>578</v>
      </c>
      <c r="AM59" s="5">
        <v>1.4000000000000001E-54</v>
      </c>
      <c r="AN59" s="1">
        <v>471</v>
      </c>
      <c r="AO59" s="1">
        <v>43.3</v>
      </c>
      <c r="AP59" s="1" t="s">
        <v>579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</row>
    <row r="60" spans="1:78" ht="15.6" x14ac:dyDescent="0.3">
      <c r="A60" s="1" t="s">
        <v>1606</v>
      </c>
      <c r="B60" s="1" t="s">
        <v>929</v>
      </c>
      <c r="C60" s="2" t="s">
        <v>137</v>
      </c>
      <c r="D60" s="1" t="s">
        <v>923</v>
      </c>
      <c r="E60" s="12" t="s">
        <v>360</v>
      </c>
      <c r="F60" s="2">
        <v>155.53</v>
      </c>
      <c r="G60" s="2">
        <f t="shared" si="1"/>
        <v>2.7989813196343448E-16</v>
      </c>
      <c r="H60" s="2">
        <v>8</v>
      </c>
      <c r="I60" s="2">
        <v>8</v>
      </c>
      <c r="J60" s="3">
        <v>0.23</v>
      </c>
      <c r="K60" s="2" t="s">
        <v>27</v>
      </c>
      <c r="L60" s="2" t="s">
        <v>27</v>
      </c>
      <c r="M60" s="2" t="s">
        <v>27</v>
      </c>
      <c r="N60" s="2">
        <v>2</v>
      </c>
      <c r="O60" s="2">
        <v>2</v>
      </c>
      <c r="P60" s="3">
        <v>0.06</v>
      </c>
      <c r="Q60" s="2">
        <v>43912</v>
      </c>
      <c r="R60" s="2">
        <v>329.11</v>
      </c>
      <c r="S60" s="1" t="s">
        <v>924</v>
      </c>
      <c r="T60" s="1" t="s">
        <v>923</v>
      </c>
      <c r="U60" s="1" t="s">
        <v>925</v>
      </c>
      <c r="V60" s="1" t="s">
        <v>926</v>
      </c>
      <c r="W60" s="1" t="s">
        <v>927</v>
      </c>
      <c r="X60" s="1" t="s">
        <v>928</v>
      </c>
      <c r="Y60" s="2">
        <v>376</v>
      </c>
      <c r="Z60" s="2">
        <v>0</v>
      </c>
      <c r="AA60" s="2">
        <v>42063.63</v>
      </c>
      <c r="AB60" s="2">
        <v>42089.86</v>
      </c>
      <c r="AC60" s="1" t="s">
        <v>929</v>
      </c>
      <c r="AD60" s="1" t="s">
        <v>27</v>
      </c>
      <c r="AE60" s="1" t="s">
        <v>930</v>
      </c>
      <c r="AF60" s="1" t="s">
        <v>59</v>
      </c>
      <c r="AG60" s="4">
        <v>1.5000000000000001E-140</v>
      </c>
      <c r="AH60" s="2">
        <v>1062</v>
      </c>
      <c r="AI60" s="2">
        <v>56.6</v>
      </c>
      <c r="AJ60" s="2" t="s">
        <v>931</v>
      </c>
      <c r="AK60" s="1" t="s">
        <v>932</v>
      </c>
      <c r="AL60" s="1" t="s">
        <v>82</v>
      </c>
      <c r="AM60" s="5">
        <v>3.0999999999999998E-138</v>
      </c>
      <c r="AN60" s="1">
        <v>1045</v>
      </c>
      <c r="AO60" s="1">
        <v>54</v>
      </c>
      <c r="AP60" s="1" t="s">
        <v>933</v>
      </c>
      <c r="AQ60" s="1" t="s">
        <v>934</v>
      </c>
      <c r="AR60" s="1" t="s">
        <v>99</v>
      </c>
      <c r="AS60" s="5">
        <v>9E-130</v>
      </c>
      <c r="AT60" s="1">
        <v>990</v>
      </c>
      <c r="AU60" s="1">
        <v>55.6</v>
      </c>
      <c r="AV60" s="1" t="s">
        <v>935</v>
      </c>
      <c r="AW60" s="1" t="s">
        <v>936</v>
      </c>
      <c r="AX60" s="1" t="s">
        <v>82</v>
      </c>
      <c r="AY60" s="5">
        <v>6.9000000000000005E-129</v>
      </c>
      <c r="AZ60" s="1">
        <v>985</v>
      </c>
      <c r="BA60" s="1">
        <v>52.1</v>
      </c>
      <c r="BB60" s="1" t="s">
        <v>937</v>
      </c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</row>
    <row r="61" spans="1:78" ht="15.6" x14ac:dyDescent="0.3">
      <c r="A61" s="1" t="s">
        <v>1606</v>
      </c>
      <c r="B61" s="1" t="s">
        <v>929</v>
      </c>
      <c r="C61" s="2" t="s">
        <v>137</v>
      </c>
      <c r="D61" s="1" t="s">
        <v>938</v>
      </c>
      <c r="E61" s="12" t="s">
        <v>373</v>
      </c>
      <c r="F61" s="2">
        <v>78.811000000000007</v>
      </c>
      <c r="G61" s="2">
        <f t="shared" si="1"/>
        <v>1.3149220253462415E-8</v>
      </c>
      <c r="H61" s="2">
        <v>2</v>
      </c>
      <c r="I61" s="2">
        <v>2</v>
      </c>
      <c r="J61" s="3">
        <v>7.0000000000000007E-2</v>
      </c>
      <c r="K61" s="2" t="s">
        <v>27</v>
      </c>
      <c r="L61" s="2" t="s">
        <v>27</v>
      </c>
      <c r="M61" s="2" t="s">
        <v>27</v>
      </c>
      <c r="N61" s="2">
        <v>2</v>
      </c>
      <c r="O61" s="2">
        <v>2</v>
      </c>
      <c r="P61" s="3">
        <v>0.06</v>
      </c>
      <c r="Q61" s="2">
        <v>43815</v>
      </c>
      <c r="R61" s="2">
        <v>251.89</v>
      </c>
      <c r="S61" s="1" t="s">
        <v>939</v>
      </c>
      <c r="T61" s="1" t="s">
        <v>938</v>
      </c>
      <c r="U61" s="1" t="s">
        <v>940</v>
      </c>
      <c r="V61" s="1" t="s">
        <v>941</v>
      </c>
      <c r="W61" s="1" t="s">
        <v>942</v>
      </c>
      <c r="X61" s="1" t="s">
        <v>943</v>
      </c>
      <c r="Y61" s="2">
        <v>376</v>
      </c>
      <c r="Z61" s="6">
        <v>1</v>
      </c>
      <c r="AA61" s="6">
        <f>42098.76-1</f>
        <v>42097.760000000002</v>
      </c>
      <c r="AB61" s="6">
        <f>42125.03-1</f>
        <v>42124.03</v>
      </c>
      <c r="AC61" s="1" t="s">
        <v>929</v>
      </c>
      <c r="AD61" s="1" t="s">
        <v>27</v>
      </c>
      <c r="AE61" s="1" t="s">
        <v>930</v>
      </c>
      <c r="AF61" s="1" t="s">
        <v>59</v>
      </c>
      <c r="AG61" s="4">
        <v>1.4999999999999999E-130</v>
      </c>
      <c r="AH61" s="2">
        <v>996</v>
      </c>
      <c r="AI61" s="2">
        <v>54.4</v>
      </c>
      <c r="AJ61" s="2" t="s">
        <v>931</v>
      </c>
      <c r="AK61" s="1" t="s">
        <v>932</v>
      </c>
      <c r="AL61" s="1" t="s">
        <v>82</v>
      </c>
      <c r="AM61" s="5">
        <v>1.7E-130</v>
      </c>
      <c r="AN61" s="1">
        <v>994</v>
      </c>
      <c r="AO61" s="1">
        <v>54.6</v>
      </c>
      <c r="AP61" s="1" t="s">
        <v>933</v>
      </c>
      <c r="AQ61" s="1" t="s">
        <v>934</v>
      </c>
      <c r="AR61" s="1" t="s">
        <v>99</v>
      </c>
      <c r="AS61" s="5">
        <v>1.5999999999999999E-125</v>
      </c>
      <c r="AT61" s="1">
        <v>962</v>
      </c>
      <c r="AU61" s="1">
        <v>54.3</v>
      </c>
      <c r="AV61" s="1" t="s">
        <v>935</v>
      </c>
      <c r="AW61" s="1" t="s">
        <v>936</v>
      </c>
      <c r="AX61" s="1" t="s">
        <v>82</v>
      </c>
      <c r="AY61" s="5">
        <v>4.8999999999999997E-124</v>
      </c>
      <c r="AZ61" s="1">
        <v>953</v>
      </c>
      <c r="BA61" s="1">
        <v>53.1</v>
      </c>
      <c r="BB61" s="1" t="s">
        <v>937</v>
      </c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</row>
    <row r="62" spans="1:78" ht="15.6" x14ac:dyDescent="0.3">
      <c r="A62" s="1" t="s">
        <v>1606</v>
      </c>
      <c r="B62" s="1" t="s">
        <v>929</v>
      </c>
      <c r="C62" s="2" t="s">
        <v>137</v>
      </c>
      <c r="D62" s="1" t="s">
        <v>944</v>
      </c>
      <c r="E62" s="12" t="s">
        <v>383</v>
      </c>
      <c r="F62" s="2">
        <v>78.811000000000007</v>
      </c>
      <c r="G62" s="2">
        <f t="shared" si="1"/>
        <v>1.3149220253462415E-8</v>
      </c>
      <c r="H62" s="2">
        <v>2</v>
      </c>
      <c r="I62" s="2">
        <v>2</v>
      </c>
      <c r="J62" s="3">
        <v>7.0000000000000007E-2</v>
      </c>
      <c r="K62" s="2" t="s">
        <v>27</v>
      </c>
      <c r="L62" s="2" t="s">
        <v>27</v>
      </c>
      <c r="M62" s="2" t="s">
        <v>27</v>
      </c>
      <c r="N62" s="2">
        <v>2</v>
      </c>
      <c r="O62" s="2">
        <v>2</v>
      </c>
      <c r="P62" s="3">
        <v>0.06</v>
      </c>
      <c r="Q62" s="2">
        <v>43785</v>
      </c>
      <c r="R62" s="2">
        <v>889.33</v>
      </c>
      <c r="S62" s="1" t="s">
        <v>945</v>
      </c>
      <c r="T62" s="1" t="s">
        <v>944</v>
      </c>
      <c r="U62" s="1" t="s">
        <v>946</v>
      </c>
      <c r="V62" s="1" t="s">
        <v>941</v>
      </c>
      <c r="W62" s="1" t="s">
        <v>942</v>
      </c>
      <c r="X62" s="1" t="s">
        <v>947</v>
      </c>
      <c r="Y62" s="2">
        <v>376</v>
      </c>
      <c r="Z62" s="2">
        <v>1</v>
      </c>
      <c r="AA62" s="2">
        <f>42068.69-1</f>
        <v>42067.69</v>
      </c>
      <c r="AB62" s="2">
        <f>42094.92-1</f>
        <v>42093.919999999998</v>
      </c>
      <c r="AC62" s="1" t="s">
        <v>929</v>
      </c>
      <c r="AD62" s="1" t="s">
        <v>27</v>
      </c>
      <c r="AE62" s="1" t="s">
        <v>930</v>
      </c>
      <c r="AF62" s="1" t="s">
        <v>59</v>
      </c>
      <c r="AG62" s="4">
        <v>5.3000000000000002E-131</v>
      </c>
      <c r="AH62" s="2">
        <v>999</v>
      </c>
      <c r="AI62" s="2">
        <v>54.4</v>
      </c>
      <c r="AJ62" s="2" t="s">
        <v>931</v>
      </c>
      <c r="AK62" s="1" t="s">
        <v>932</v>
      </c>
      <c r="AL62" s="1" t="s">
        <v>82</v>
      </c>
      <c r="AM62" s="5">
        <v>2.7999999999999999E-129</v>
      </c>
      <c r="AN62" s="1">
        <v>986</v>
      </c>
      <c r="AO62" s="1">
        <v>54.3</v>
      </c>
      <c r="AP62" s="1" t="s">
        <v>933</v>
      </c>
      <c r="AQ62" s="1" t="s">
        <v>934</v>
      </c>
      <c r="AR62" s="1" t="s">
        <v>99</v>
      </c>
      <c r="AS62" s="5">
        <v>1.1999999999999999E-127</v>
      </c>
      <c r="AT62" s="1">
        <v>976</v>
      </c>
      <c r="AU62" s="1">
        <v>53.5</v>
      </c>
      <c r="AV62" s="1" t="s">
        <v>935</v>
      </c>
      <c r="AW62" s="1" t="s">
        <v>936</v>
      </c>
      <c r="AX62" s="1" t="s">
        <v>82</v>
      </c>
      <c r="AY62" s="5">
        <v>2.7999999999999999E-123</v>
      </c>
      <c r="AZ62" s="1">
        <v>948</v>
      </c>
      <c r="BA62" s="1">
        <v>52.8</v>
      </c>
      <c r="BB62" s="1" t="s">
        <v>937</v>
      </c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6" x14ac:dyDescent="0.3">
      <c r="A63" s="1" t="s">
        <v>1606</v>
      </c>
      <c r="B63" s="1" t="s">
        <v>929</v>
      </c>
      <c r="C63" s="2" t="s">
        <v>137</v>
      </c>
      <c r="D63" s="1" t="s">
        <v>948</v>
      </c>
      <c r="E63" s="12" t="s">
        <v>397</v>
      </c>
      <c r="F63" s="2">
        <v>78.811000000000007</v>
      </c>
      <c r="G63" s="2">
        <f t="shared" si="1"/>
        <v>1.3149220253462415E-8</v>
      </c>
      <c r="H63" s="2">
        <v>2</v>
      </c>
      <c r="I63" s="2">
        <v>2</v>
      </c>
      <c r="J63" s="3">
        <v>7.0000000000000007E-2</v>
      </c>
      <c r="K63" s="2" t="s">
        <v>27</v>
      </c>
      <c r="L63" s="2" t="s">
        <v>27</v>
      </c>
      <c r="M63" s="2" t="s">
        <v>27</v>
      </c>
      <c r="N63" s="2">
        <v>2</v>
      </c>
      <c r="O63" s="2">
        <v>2</v>
      </c>
      <c r="P63" s="3">
        <v>0.06</v>
      </c>
      <c r="Q63" s="2">
        <v>43781</v>
      </c>
      <c r="R63" s="2">
        <v>2.5</v>
      </c>
      <c r="S63" s="1" t="s">
        <v>949</v>
      </c>
      <c r="T63" s="1" t="s">
        <v>948</v>
      </c>
      <c r="U63" s="1" t="s">
        <v>950</v>
      </c>
      <c r="V63" s="1" t="s">
        <v>941</v>
      </c>
      <c r="W63" s="1" t="s">
        <v>942</v>
      </c>
      <c r="X63" s="1" t="s">
        <v>951</v>
      </c>
      <c r="Y63" s="2">
        <v>376</v>
      </c>
      <c r="Z63" s="2">
        <v>1</v>
      </c>
      <c r="AA63" s="2">
        <f>42064.78-1</f>
        <v>42063.78</v>
      </c>
      <c r="AB63" s="2">
        <f>42091.02-1</f>
        <v>42090.02</v>
      </c>
      <c r="AC63" s="1" t="s">
        <v>929</v>
      </c>
      <c r="AD63" s="1" t="s">
        <v>27</v>
      </c>
      <c r="AE63" s="1" t="s">
        <v>930</v>
      </c>
      <c r="AF63" s="1" t="s">
        <v>59</v>
      </c>
      <c r="AG63" s="4">
        <v>1.1999999999999999E-129</v>
      </c>
      <c r="AH63" s="2">
        <v>990</v>
      </c>
      <c r="AI63" s="2">
        <v>54.2</v>
      </c>
      <c r="AJ63" s="2" t="s">
        <v>931</v>
      </c>
      <c r="AK63" s="1" t="s">
        <v>932</v>
      </c>
      <c r="AL63" s="1" t="s">
        <v>82</v>
      </c>
      <c r="AM63" s="5">
        <v>1.4E-129</v>
      </c>
      <c r="AN63" s="1">
        <v>988</v>
      </c>
      <c r="AO63" s="1">
        <v>54.3</v>
      </c>
      <c r="AP63" s="1" t="s">
        <v>933</v>
      </c>
      <c r="AQ63" s="1" t="s">
        <v>934</v>
      </c>
      <c r="AR63" s="1" t="s">
        <v>99</v>
      </c>
      <c r="AS63" s="5">
        <v>1.5999999999999999E-125</v>
      </c>
      <c r="AT63" s="1">
        <v>962</v>
      </c>
      <c r="AU63" s="1">
        <v>54.3</v>
      </c>
      <c r="AV63" s="1" t="s">
        <v>935</v>
      </c>
      <c r="AW63" s="1" t="s">
        <v>936</v>
      </c>
      <c r="AX63" s="1" t="s">
        <v>82</v>
      </c>
      <c r="AY63" s="5">
        <v>3.8999999999999998E-123</v>
      </c>
      <c r="AZ63" s="1">
        <v>947</v>
      </c>
      <c r="BA63" s="1">
        <v>52.8</v>
      </c>
      <c r="BB63" s="1" t="s">
        <v>937</v>
      </c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6" x14ac:dyDescent="0.3">
      <c r="A64" s="1" t="s">
        <v>1606</v>
      </c>
      <c r="B64" s="1" t="s">
        <v>929</v>
      </c>
      <c r="C64" s="2" t="s">
        <v>137</v>
      </c>
      <c r="D64" s="1" t="s">
        <v>952</v>
      </c>
      <c r="E64" s="12" t="s">
        <v>1568</v>
      </c>
      <c r="F64" s="2">
        <v>155.33000000000001</v>
      </c>
      <c r="G64" s="2">
        <f t="shared" si="1"/>
        <v>2.9308932452503017E-16</v>
      </c>
      <c r="H64" s="2">
        <v>9</v>
      </c>
      <c r="I64" s="2">
        <v>9</v>
      </c>
      <c r="J64" s="3">
        <v>0.26</v>
      </c>
      <c r="K64" s="2" t="s">
        <v>27</v>
      </c>
      <c r="L64" s="2" t="s">
        <v>27</v>
      </c>
      <c r="M64" s="2" t="s">
        <v>27</v>
      </c>
      <c r="N64" s="2">
        <v>2</v>
      </c>
      <c r="O64" s="2">
        <v>2</v>
      </c>
      <c r="P64" s="3">
        <v>0.06</v>
      </c>
      <c r="Q64" s="2">
        <v>44131</v>
      </c>
      <c r="R64" s="2">
        <v>294.48</v>
      </c>
      <c r="S64" s="1" t="s">
        <v>953</v>
      </c>
      <c r="T64" s="1" t="s">
        <v>952</v>
      </c>
      <c r="U64" s="1" t="s">
        <v>954</v>
      </c>
      <c r="V64" s="1" t="s">
        <v>926</v>
      </c>
      <c r="W64" s="1" t="s">
        <v>927</v>
      </c>
      <c r="X64" s="1" t="s">
        <v>955</v>
      </c>
      <c r="Y64" s="2">
        <v>377</v>
      </c>
      <c r="Z64" s="2">
        <v>0</v>
      </c>
      <c r="AA64" s="2">
        <v>42281.68</v>
      </c>
      <c r="AB64" s="2">
        <v>42308.160000000003</v>
      </c>
      <c r="AC64" s="1" t="s">
        <v>929</v>
      </c>
      <c r="AD64" s="1" t="s">
        <v>27</v>
      </c>
      <c r="AE64" s="1" t="s">
        <v>930</v>
      </c>
      <c r="AF64" s="1" t="s">
        <v>59</v>
      </c>
      <c r="AG64" s="4">
        <v>3.4999999999999998E-144</v>
      </c>
      <c r="AH64" s="2">
        <v>1086</v>
      </c>
      <c r="AI64" s="2">
        <v>56.6</v>
      </c>
      <c r="AJ64" s="2" t="s">
        <v>931</v>
      </c>
      <c r="AK64" s="1" t="s">
        <v>932</v>
      </c>
      <c r="AL64" s="1" t="s">
        <v>82</v>
      </c>
      <c r="AM64" s="5">
        <v>9.9999999999999993E-125</v>
      </c>
      <c r="AN64" s="1">
        <v>956</v>
      </c>
      <c r="AO64" s="1">
        <v>51.2</v>
      </c>
      <c r="AP64" s="1" t="s">
        <v>933</v>
      </c>
      <c r="AQ64" s="1" t="s">
        <v>934</v>
      </c>
      <c r="AR64" s="1" t="s">
        <v>99</v>
      </c>
      <c r="AS64" s="5">
        <v>2.6000000000000001E-129</v>
      </c>
      <c r="AT64" s="1">
        <v>987</v>
      </c>
      <c r="AU64" s="1">
        <v>55.2</v>
      </c>
      <c r="AV64" s="1" t="s">
        <v>935</v>
      </c>
      <c r="AW64" s="1" t="s">
        <v>936</v>
      </c>
      <c r="AX64" s="1" t="s">
        <v>82</v>
      </c>
      <c r="AY64" s="5">
        <v>3.7999999999999999E-126</v>
      </c>
      <c r="AZ64" s="1">
        <v>967</v>
      </c>
      <c r="BA64" s="1">
        <v>51.1</v>
      </c>
      <c r="BB64" s="1" t="s">
        <v>937</v>
      </c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6" x14ac:dyDescent="0.3">
      <c r="A65" s="1" t="s">
        <v>1606</v>
      </c>
      <c r="B65" s="1" t="s">
        <v>929</v>
      </c>
      <c r="C65" s="2" t="s">
        <v>137</v>
      </c>
      <c r="D65" s="1" t="s">
        <v>956</v>
      </c>
      <c r="E65" s="12" t="s">
        <v>1569</v>
      </c>
      <c r="F65" s="2">
        <v>149.72</v>
      </c>
      <c r="G65" s="2">
        <f t="shared" si="1"/>
        <v>1.0665961212302573E-15</v>
      </c>
      <c r="H65" s="2">
        <v>10</v>
      </c>
      <c r="I65" s="2">
        <v>8</v>
      </c>
      <c r="J65" s="3">
        <v>0.2</v>
      </c>
      <c r="K65" s="2" t="s">
        <v>27</v>
      </c>
      <c r="L65" s="2" t="s">
        <v>27</v>
      </c>
      <c r="M65" s="2" t="s">
        <v>27</v>
      </c>
      <c r="N65" s="2">
        <v>3</v>
      </c>
      <c r="O65" s="2">
        <v>3</v>
      </c>
      <c r="P65" s="3">
        <v>0.08</v>
      </c>
      <c r="Q65" s="2">
        <v>45250</v>
      </c>
      <c r="R65" s="2">
        <v>93.49</v>
      </c>
      <c r="S65" s="1" t="s">
        <v>957</v>
      </c>
      <c r="T65" s="1" t="s">
        <v>956</v>
      </c>
      <c r="U65" s="1" t="s">
        <v>958</v>
      </c>
      <c r="V65" s="1" t="s">
        <v>959</v>
      </c>
      <c r="W65" s="1" t="s">
        <v>960</v>
      </c>
      <c r="X65" s="1" t="s">
        <v>961</v>
      </c>
      <c r="Y65" s="2">
        <v>381</v>
      </c>
      <c r="Z65" s="2">
        <v>0</v>
      </c>
      <c r="AA65" s="2">
        <v>42076.56</v>
      </c>
      <c r="AB65" s="2">
        <v>42076.56</v>
      </c>
      <c r="AC65" s="1" t="s">
        <v>929</v>
      </c>
      <c r="AD65" s="1" t="s">
        <v>27</v>
      </c>
      <c r="AE65" s="1" t="s">
        <v>962</v>
      </c>
      <c r="AF65" s="1" t="s">
        <v>82</v>
      </c>
      <c r="AG65" s="4">
        <v>2.4000000000000001E-169</v>
      </c>
      <c r="AH65" s="2">
        <v>1253</v>
      </c>
      <c r="AI65" s="2">
        <v>61.2</v>
      </c>
      <c r="AJ65" s="2" t="s">
        <v>963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6" x14ac:dyDescent="0.3">
      <c r="A66" s="1" t="s">
        <v>1606</v>
      </c>
      <c r="B66" s="1" t="s">
        <v>929</v>
      </c>
      <c r="C66" s="2" t="s">
        <v>137</v>
      </c>
      <c r="D66" s="1" t="s">
        <v>964</v>
      </c>
      <c r="E66" s="12" t="s">
        <v>1570</v>
      </c>
      <c r="F66" s="2">
        <v>149.72</v>
      </c>
      <c r="G66" s="2">
        <f t="shared" ref="G66:G97" si="2">(10)^(-F66/10)</f>
        <v>1.0665961212302573E-15</v>
      </c>
      <c r="H66" s="2">
        <v>10</v>
      </c>
      <c r="I66" s="2">
        <v>8</v>
      </c>
      <c r="J66" s="3">
        <v>0.2</v>
      </c>
      <c r="K66" s="2" t="s">
        <v>27</v>
      </c>
      <c r="L66" s="2" t="s">
        <v>27</v>
      </c>
      <c r="M66" s="2" t="s">
        <v>27</v>
      </c>
      <c r="N66" s="2">
        <v>3</v>
      </c>
      <c r="O66" s="2">
        <v>3</v>
      </c>
      <c r="P66" s="3">
        <v>0.08</v>
      </c>
      <c r="Q66" s="2">
        <v>45268</v>
      </c>
      <c r="R66" s="2">
        <v>122.8</v>
      </c>
      <c r="S66" s="1" t="s">
        <v>965</v>
      </c>
      <c r="T66" s="1" t="s">
        <v>964</v>
      </c>
      <c r="U66" s="1" t="s">
        <v>966</v>
      </c>
      <c r="V66" s="1" t="s">
        <v>967</v>
      </c>
      <c r="W66" s="1" t="s">
        <v>968</v>
      </c>
      <c r="X66" s="1" t="s">
        <v>969</v>
      </c>
      <c r="Y66" s="2">
        <v>381</v>
      </c>
      <c r="Z66" s="2">
        <v>0</v>
      </c>
      <c r="AA66" s="2">
        <v>42066.54</v>
      </c>
      <c r="AB66" s="2">
        <f>42093.17</f>
        <v>42093.17</v>
      </c>
      <c r="AC66" s="1" t="s">
        <v>929</v>
      </c>
      <c r="AD66" s="1" t="s">
        <v>27</v>
      </c>
      <c r="AE66" s="1" t="s">
        <v>962</v>
      </c>
      <c r="AF66" s="1" t="s">
        <v>82</v>
      </c>
      <c r="AG66" s="4">
        <v>3.4E-169</v>
      </c>
      <c r="AH66" s="2">
        <v>1252</v>
      </c>
      <c r="AI66" s="2">
        <v>61.3</v>
      </c>
      <c r="AJ66" s="2" t="s">
        <v>963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</row>
    <row r="67" spans="1:78" ht="15.6" x14ac:dyDescent="0.3">
      <c r="A67" s="1" t="s">
        <v>1606</v>
      </c>
      <c r="B67" s="1" t="s">
        <v>929</v>
      </c>
      <c r="C67" s="2" t="s">
        <v>137</v>
      </c>
      <c r="D67" s="1" t="s">
        <v>970</v>
      </c>
      <c r="E67" s="12" t="s">
        <v>1571</v>
      </c>
      <c r="F67" s="2">
        <v>97.35</v>
      </c>
      <c r="G67" s="2">
        <f t="shared" si="2"/>
        <v>1.8407720014689568E-10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27</v>
      </c>
      <c r="M67" s="2" t="s">
        <v>27</v>
      </c>
      <c r="N67" s="2">
        <v>1</v>
      </c>
      <c r="O67" s="2">
        <v>1</v>
      </c>
      <c r="P67" s="3">
        <v>0.1</v>
      </c>
      <c r="Q67" s="2">
        <v>11048</v>
      </c>
      <c r="R67" s="2">
        <v>999.8</v>
      </c>
      <c r="S67" s="1" t="s">
        <v>971</v>
      </c>
      <c r="T67" s="1" t="s">
        <v>970</v>
      </c>
      <c r="U67" s="1" t="s">
        <v>972</v>
      </c>
      <c r="V67" s="1" t="s">
        <v>973</v>
      </c>
      <c r="W67" s="1" t="s">
        <v>974</v>
      </c>
      <c r="X67" s="1" t="s">
        <v>975</v>
      </c>
      <c r="Y67" s="2">
        <v>86</v>
      </c>
      <c r="Z67" s="2">
        <v>12</v>
      </c>
      <c r="AA67" s="2">
        <f xml:space="preserve"> 9065.32-12</f>
        <v>9053.32</v>
      </c>
      <c r="AB67" s="2">
        <f>9071.6-12</f>
        <v>9059.6</v>
      </c>
      <c r="AC67" s="1" t="s">
        <v>976</v>
      </c>
      <c r="AD67" s="1" t="s">
        <v>27</v>
      </c>
      <c r="AE67" s="1" t="s">
        <v>977</v>
      </c>
      <c r="AF67" s="1" t="s">
        <v>510</v>
      </c>
      <c r="AG67" s="4">
        <v>2.4E-48</v>
      </c>
      <c r="AH67" s="2">
        <v>396</v>
      </c>
      <c r="AI67" s="2">
        <v>76.5</v>
      </c>
      <c r="AJ67" s="2" t="s">
        <v>978</v>
      </c>
      <c r="AK67" s="1" t="s">
        <v>979</v>
      </c>
      <c r="AL67" s="1" t="s">
        <v>243</v>
      </c>
      <c r="AM67" s="5">
        <v>1.9000000000000001E-5</v>
      </c>
      <c r="AN67" s="1">
        <v>110</v>
      </c>
      <c r="AO67" s="1">
        <v>52</v>
      </c>
      <c r="AP67" s="1" t="s">
        <v>980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</row>
    <row r="68" spans="1:78" ht="15.6" x14ac:dyDescent="0.3">
      <c r="A68" s="1" t="s">
        <v>367</v>
      </c>
      <c r="B68" s="1" t="s">
        <v>367</v>
      </c>
      <c r="C68" s="2" t="s">
        <v>137</v>
      </c>
      <c r="D68" s="1" t="s">
        <v>359</v>
      </c>
      <c r="E68" s="12" t="s">
        <v>1598</v>
      </c>
      <c r="F68" s="2">
        <v>123.98</v>
      </c>
      <c r="G68" s="2">
        <f t="shared" si="2"/>
        <v>3.999447497610971E-13</v>
      </c>
      <c r="H68" s="2">
        <v>6</v>
      </c>
      <c r="I68" s="2">
        <v>6</v>
      </c>
      <c r="J68" s="3">
        <v>0.12</v>
      </c>
      <c r="K68" s="2" t="s">
        <v>27</v>
      </c>
      <c r="L68" s="2" t="s">
        <v>27</v>
      </c>
      <c r="M68" s="2" t="s">
        <v>27</v>
      </c>
      <c r="N68" s="2" t="s">
        <v>27</v>
      </c>
      <c r="O68" s="2" t="s">
        <v>27</v>
      </c>
      <c r="P68" s="2" t="s">
        <v>27</v>
      </c>
      <c r="Q68" s="2">
        <v>40829</v>
      </c>
      <c r="R68" s="21">
        <v>1.5</v>
      </c>
      <c r="S68" s="1" t="s">
        <v>361</v>
      </c>
      <c r="T68" s="1" t="s">
        <v>359</v>
      </c>
      <c r="U68" s="1" t="s">
        <v>362</v>
      </c>
      <c r="V68" s="1" t="s">
        <v>363</v>
      </c>
      <c r="W68" s="1" t="s">
        <v>364</v>
      </c>
      <c r="X68" s="1" t="s">
        <v>365</v>
      </c>
      <c r="Y68" s="2">
        <v>346</v>
      </c>
      <c r="Z68" s="2">
        <v>3</v>
      </c>
      <c r="AA68" s="2">
        <f>39269.94-3</f>
        <v>39266.94</v>
      </c>
      <c r="AB68" s="2">
        <f>39294.68-3</f>
        <v>39291.68</v>
      </c>
      <c r="AC68" s="1" t="s">
        <v>366</v>
      </c>
      <c r="AD68" s="1" t="s">
        <v>27</v>
      </c>
      <c r="AE68" s="1" t="s">
        <v>368</v>
      </c>
      <c r="AF68" s="1" t="s">
        <v>59</v>
      </c>
      <c r="AG68" s="2">
        <v>0</v>
      </c>
      <c r="AH68" s="2">
        <v>1561</v>
      </c>
      <c r="AI68" s="2">
        <v>82.1</v>
      </c>
      <c r="AJ68" s="2" t="s">
        <v>369</v>
      </c>
      <c r="AK68" s="1" t="s">
        <v>370</v>
      </c>
      <c r="AL68" s="1" t="s">
        <v>69</v>
      </c>
      <c r="AM68" s="1">
        <v>0</v>
      </c>
      <c r="AN68" s="1">
        <v>1555</v>
      </c>
      <c r="AO68" s="1">
        <v>80.8</v>
      </c>
      <c r="AP68" s="1" t="s">
        <v>371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</row>
    <row r="69" spans="1:78" ht="15.6" x14ac:dyDescent="0.3">
      <c r="A69" s="1" t="s">
        <v>367</v>
      </c>
      <c r="B69" s="1" t="s">
        <v>367</v>
      </c>
      <c r="C69" s="2" t="s">
        <v>137</v>
      </c>
      <c r="D69" s="1" t="s">
        <v>372</v>
      </c>
      <c r="E69" s="12" t="s">
        <v>1599</v>
      </c>
      <c r="F69" s="2">
        <v>139.19999999999999</v>
      </c>
      <c r="G69" s="2">
        <f t="shared" si="2"/>
        <v>1.2022644346174106E-14</v>
      </c>
      <c r="H69" s="2">
        <v>10</v>
      </c>
      <c r="I69" s="2">
        <v>10</v>
      </c>
      <c r="J69" s="3">
        <v>0.18</v>
      </c>
      <c r="K69" s="2" t="s">
        <v>27</v>
      </c>
      <c r="L69" s="2" t="s">
        <v>27</v>
      </c>
      <c r="M69" s="2" t="s">
        <v>27</v>
      </c>
      <c r="N69" s="2">
        <v>2</v>
      </c>
      <c r="O69" s="2">
        <v>2</v>
      </c>
      <c r="P69" s="3">
        <v>0.04</v>
      </c>
      <c r="Q69" s="2">
        <v>50988</v>
      </c>
      <c r="R69" s="21">
        <v>1.97</v>
      </c>
      <c r="S69" s="1" t="s">
        <v>374</v>
      </c>
      <c r="T69" s="1" t="s">
        <v>372</v>
      </c>
      <c r="U69" s="1" t="s">
        <v>375</v>
      </c>
      <c r="V69" s="1" t="s">
        <v>376</v>
      </c>
      <c r="W69" s="1" t="s">
        <v>377</v>
      </c>
      <c r="X69" s="1" t="s">
        <v>378</v>
      </c>
      <c r="Y69" s="2">
        <v>411</v>
      </c>
      <c r="Z69" s="2">
        <v>2</v>
      </c>
      <c r="AA69" s="2" t="s">
        <v>379</v>
      </c>
      <c r="AB69" s="2">
        <f>47768.45-2</f>
        <v>47766.45</v>
      </c>
      <c r="AC69" s="1" t="s">
        <v>366</v>
      </c>
      <c r="AD69" s="1" t="s">
        <v>27</v>
      </c>
      <c r="AE69" s="1" t="s">
        <v>368</v>
      </c>
      <c r="AF69" s="1" t="s">
        <v>380</v>
      </c>
      <c r="AG69" s="2">
        <v>0</v>
      </c>
      <c r="AH69" s="2">
        <v>1666</v>
      </c>
      <c r="AI69" s="2">
        <v>72.2</v>
      </c>
      <c r="AJ69" s="2" t="s">
        <v>381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</row>
    <row r="70" spans="1:78" ht="15.6" x14ac:dyDescent="0.3">
      <c r="A70" s="1" t="s">
        <v>367</v>
      </c>
      <c r="B70" s="1" t="s">
        <v>367</v>
      </c>
      <c r="C70" s="2" t="s">
        <v>137</v>
      </c>
      <c r="D70" s="1" t="s">
        <v>382</v>
      </c>
      <c r="E70" s="12" t="s">
        <v>1597</v>
      </c>
      <c r="F70" s="2">
        <v>66.8</v>
      </c>
      <c r="G70" s="2">
        <f t="shared" si="2"/>
        <v>2.089296130854039E-7</v>
      </c>
      <c r="H70" s="2">
        <v>1</v>
      </c>
      <c r="I70" s="2">
        <v>1</v>
      </c>
      <c r="J70" s="3">
        <v>0.12</v>
      </c>
      <c r="K70" s="2" t="s">
        <v>27</v>
      </c>
      <c r="L70" s="2" t="s">
        <v>27</v>
      </c>
      <c r="M70" s="2" t="s">
        <v>27</v>
      </c>
      <c r="N70" s="2" t="s">
        <v>27</v>
      </c>
      <c r="O70" s="2" t="s">
        <v>27</v>
      </c>
      <c r="P70" s="2" t="s">
        <v>27</v>
      </c>
      <c r="Q70" s="2">
        <v>8369</v>
      </c>
      <c r="R70" s="2">
        <v>9.2899999999999991</v>
      </c>
      <c r="S70" s="1" t="s">
        <v>384</v>
      </c>
      <c r="T70" s="1"/>
      <c r="U70" s="1" t="s">
        <v>385</v>
      </c>
      <c r="V70" s="1" t="s">
        <v>386</v>
      </c>
      <c r="W70" s="1" t="s">
        <v>387</v>
      </c>
      <c r="X70" s="1" t="s">
        <v>388</v>
      </c>
      <c r="Y70" s="2">
        <v>53</v>
      </c>
      <c r="Z70" s="2">
        <v>0</v>
      </c>
      <c r="AA70" s="2" t="s">
        <v>389</v>
      </c>
      <c r="AB70" s="2">
        <v>6069.69</v>
      </c>
      <c r="AC70" s="1" t="s">
        <v>100</v>
      </c>
      <c r="AD70" s="1" t="s">
        <v>390</v>
      </c>
      <c r="AE70" s="1" t="s">
        <v>391</v>
      </c>
      <c r="AF70" s="1" t="s">
        <v>392</v>
      </c>
      <c r="AG70" s="4">
        <v>3.3999999999999998E-22</v>
      </c>
      <c r="AH70" s="2">
        <v>220</v>
      </c>
      <c r="AI70" s="2">
        <v>70.599999999999994</v>
      </c>
      <c r="AJ70" s="2" t="s">
        <v>393</v>
      </c>
      <c r="AK70" s="1" t="s">
        <v>394</v>
      </c>
      <c r="AL70" s="1" t="s">
        <v>82</v>
      </c>
      <c r="AM70" s="5">
        <v>1.6999999999999999E-32</v>
      </c>
      <c r="AN70" s="1">
        <v>289</v>
      </c>
      <c r="AO70" s="1">
        <v>92.3</v>
      </c>
      <c r="AP70" s="1" t="s">
        <v>395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</row>
    <row r="71" spans="1:78" ht="15.6" x14ac:dyDescent="0.3">
      <c r="A71" s="1" t="s">
        <v>367</v>
      </c>
      <c r="B71" s="1" t="s">
        <v>367</v>
      </c>
      <c r="C71" s="2" t="s">
        <v>137</v>
      </c>
      <c r="D71" s="1" t="s">
        <v>396</v>
      </c>
      <c r="E71" s="12" t="s">
        <v>1600</v>
      </c>
      <c r="F71" s="2">
        <v>249.98</v>
      </c>
      <c r="G71" s="2">
        <f t="shared" si="2"/>
        <v>1.0046157902783938E-25</v>
      </c>
      <c r="H71" s="2">
        <v>23</v>
      </c>
      <c r="I71" s="2">
        <v>22</v>
      </c>
      <c r="J71" s="3">
        <v>0.27</v>
      </c>
      <c r="K71" s="2" t="s">
        <v>27</v>
      </c>
      <c r="L71" s="2" t="s">
        <v>27</v>
      </c>
      <c r="M71" s="2" t="s">
        <v>27</v>
      </c>
      <c r="N71" s="2">
        <v>3</v>
      </c>
      <c r="O71" s="2">
        <v>3</v>
      </c>
      <c r="P71" s="3">
        <v>0.06</v>
      </c>
      <c r="Q71" s="2">
        <v>56263</v>
      </c>
      <c r="R71" s="21">
        <v>23.85</v>
      </c>
      <c r="S71" s="1" t="s">
        <v>398</v>
      </c>
      <c r="T71" s="1" t="s">
        <v>396</v>
      </c>
      <c r="U71" s="1" t="s">
        <v>399</v>
      </c>
      <c r="V71" s="1" t="s">
        <v>400</v>
      </c>
      <c r="W71" s="1" t="s">
        <v>401</v>
      </c>
      <c r="X71" s="1" t="s">
        <v>402</v>
      </c>
      <c r="Y71" s="2">
        <v>484</v>
      </c>
      <c r="Z71" s="2">
        <v>12</v>
      </c>
      <c r="AA71" s="2">
        <f>54414.94-12</f>
        <v>54402.94</v>
      </c>
      <c r="AB71" s="2">
        <f>54449.74-12</f>
        <v>54437.74</v>
      </c>
      <c r="AC71" s="1" t="s">
        <v>403</v>
      </c>
      <c r="AD71" s="1" t="s">
        <v>27</v>
      </c>
      <c r="AE71" s="1" t="s">
        <v>404</v>
      </c>
      <c r="AF71" s="1" t="s">
        <v>405</v>
      </c>
      <c r="AG71" s="2">
        <v>0</v>
      </c>
      <c r="AH71" s="2">
        <v>1699</v>
      </c>
      <c r="AI71" s="2">
        <v>65.099999999999994</v>
      </c>
      <c r="AJ71" s="2" t="s">
        <v>406</v>
      </c>
      <c r="AK71" s="1" t="s">
        <v>407</v>
      </c>
      <c r="AL71" s="1" t="s">
        <v>69</v>
      </c>
      <c r="AM71" s="1">
        <v>0</v>
      </c>
      <c r="AN71" s="1">
        <v>2449</v>
      </c>
      <c r="AO71" s="1">
        <v>89</v>
      </c>
      <c r="AP71" s="1" t="s">
        <v>408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</row>
    <row r="72" spans="1:78" ht="15.6" x14ac:dyDescent="0.3">
      <c r="A72" s="1" t="s">
        <v>415</v>
      </c>
      <c r="B72" s="1" t="s">
        <v>415</v>
      </c>
      <c r="C72" s="2" t="s">
        <v>137</v>
      </c>
      <c r="D72" s="1" t="s">
        <v>409</v>
      </c>
      <c r="E72" s="2" t="s">
        <v>27</v>
      </c>
      <c r="F72" s="2">
        <v>212.14</v>
      </c>
      <c r="G72" s="2">
        <f t="shared" si="2"/>
        <v>6.1094202490557256E-22</v>
      </c>
      <c r="H72" s="2">
        <v>4</v>
      </c>
      <c r="I72" s="2">
        <v>4</v>
      </c>
      <c r="J72" s="3">
        <v>0.13</v>
      </c>
      <c r="K72" s="2" t="s">
        <v>27</v>
      </c>
      <c r="L72" s="2" t="s">
        <v>27</v>
      </c>
      <c r="M72" s="2" t="s">
        <v>27</v>
      </c>
      <c r="N72" s="2">
        <v>3</v>
      </c>
      <c r="O72" s="2">
        <v>3</v>
      </c>
      <c r="P72" s="3">
        <v>0.16</v>
      </c>
      <c r="Q72" s="2">
        <v>26746</v>
      </c>
      <c r="R72" s="2">
        <v>3411.26</v>
      </c>
      <c r="S72" s="1" t="s">
        <v>410</v>
      </c>
      <c r="T72" s="1" t="s">
        <v>409</v>
      </c>
      <c r="U72" s="1" t="s">
        <v>411</v>
      </c>
      <c r="V72" s="1" t="s">
        <v>412</v>
      </c>
      <c r="W72" s="1" t="s">
        <v>413</v>
      </c>
      <c r="X72" s="1" t="s">
        <v>414</v>
      </c>
      <c r="Y72" s="2">
        <v>215</v>
      </c>
      <c r="Z72" s="2">
        <v>4</v>
      </c>
      <c r="AA72" s="2">
        <f>24378.54-4</f>
        <v>24374.54</v>
      </c>
      <c r="AB72" s="2">
        <f>24394.22-4</f>
        <v>24390.22</v>
      </c>
      <c r="AC72" s="1" t="s">
        <v>415</v>
      </c>
      <c r="AD72" s="1" t="s">
        <v>27</v>
      </c>
      <c r="AE72" s="1" t="s">
        <v>416</v>
      </c>
      <c r="AF72" s="1" t="s">
        <v>98</v>
      </c>
      <c r="AG72" s="4">
        <v>4.1999999999999998E-19</v>
      </c>
      <c r="AH72" s="2">
        <v>228</v>
      </c>
      <c r="AI72" s="2">
        <v>25.7</v>
      </c>
      <c r="AJ72" s="2" t="s">
        <v>417</v>
      </c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</row>
    <row r="73" spans="1:78" ht="15.6" x14ac:dyDescent="0.3">
      <c r="A73" s="1" t="s">
        <v>415</v>
      </c>
      <c r="B73" s="1" t="s">
        <v>415</v>
      </c>
      <c r="C73" s="2" t="s">
        <v>137</v>
      </c>
      <c r="D73" s="1" t="s">
        <v>421</v>
      </c>
      <c r="E73" s="2" t="s">
        <v>27</v>
      </c>
      <c r="F73" s="2">
        <v>67.930000000000007</v>
      </c>
      <c r="G73" s="2">
        <f t="shared" si="2"/>
        <v>1.6106456351782628E-7</v>
      </c>
      <c r="H73" s="2">
        <v>2</v>
      </c>
      <c r="I73" s="2">
        <v>2</v>
      </c>
      <c r="J73" s="3">
        <v>0.12</v>
      </c>
      <c r="K73" s="2" t="s">
        <v>27</v>
      </c>
      <c r="L73" s="2" t="s">
        <v>27</v>
      </c>
      <c r="M73" s="2" t="s">
        <v>27</v>
      </c>
      <c r="N73" s="2" t="s">
        <v>27</v>
      </c>
      <c r="O73" s="2" t="s">
        <v>27</v>
      </c>
      <c r="P73" s="2" t="s">
        <v>27</v>
      </c>
      <c r="Q73" s="2" t="s">
        <v>27</v>
      </c>
      <c r="R73" s="2">
        <v>7.59</v>
      </c>
      <c r="S73" s="1" t="s">
        <v>422</v>
      </c>
      <c r="T73" s="1" t="s">
        <v>421</v>
      </c>
      <c r="U73" s="1" t="s">
        <v>423</v>
      </c>
      <c r="V73" s="1" t="s">
        <v>424</v>
      </c>
      <c r="W73" s="1" t="s">
        <v>425</v>
      </c>
      <c r="X73" s="1" t="s">
        <v>426</v>
      </c>
      <c r="Y73" s="2">
        <v>213</v>
      </c>
      <c r="Z73" s="2">
        <v>4</v>
      </c>
      <c r="AA73" s="2">
        <f>24405.35-4</f>
        <v>24401.35</v>
      </c>
      <c r="AB73" s="2">
        <f>24420.66-4</f>
        <v>24416.66</v>
      </c>
      <c r="AC73" s="1" t="s">
        <v>418</v>
      </c>
      <c r="AD73" s="1" t="s">
        <v>27</v>
      </c>
      <c r="AE73" s="1" t="s">
        <v>416</v>
      </c>
      <c r="AF73" s="1" t="s">
        <v>427</v>
      </c>
      <c r="AG73" s="4">
        <v>2.2E-24</v>
      </c>
      <c r="AH73" s="2">
        <v>261</v>
      </c>
      <c r="AI73" s="2">
        <v>31.5</v>
      </c>
      <c r="AJ73" s="2" t="s">
        <v>428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</row>
    <row r="74" spans="1:78" ht="15.6" x14ac:dyDescent="0.3">
      <c r="A74" s="1" t="s">
        <v>415</v>
      </c>
      <c r="B74" s="1" t="s">
        <v>415</v>
      </c>
      <c r="C74" s="2" t="s">
        <v>137</v>
      </c>
      <c r="D74" s="1" t="s">
        <v>429</v>
      </c>
      <c r="E74" s="2" t="s">
        <v>27</v>
      </c>
      <c r="F74" s="2">
        <v>247.86</v>
      </c>
      <c r="G74" s="2">
        <f t="shared" si="2"/>
        <v>1.6368165214277937E-25</v>
      </c>
      <c r="H74" s="2">
        <v>1</v>
      </c>
      <c r="I74" s="2">
        <v>1</v>
      </c>
      <c r="J74" s="3">
        <v>7.0000000000000007E-2</v>
      </c>
      <c r="K74" s="2"/>
      <c r="L74" s="2"/>
      <c r="M74" s="3"/>
      <c r="N74" s="2">
        <v>4</v>
      </c>
      <c r="O74" s="2">
        <v>4</v>
      </c>
      <c r="P74" s="3">
        <v>0.26</v>
      </c>
      <c r="Q74" s="2">
        <v>21053</v>
      </c>
      <c r="R74" s="2">
        <v>0.54</v>
      </c>
      <c r="S74" s="1" t="s">
        <v>430</v>
      </c>
      <c r="T74" s="1"/>
      <c r="U74" s="1" t="s">
        <v>431</v>
      </c>
      <c r="V74" s="1" t="s">
        <v>432</v>
      </c>
      <c r="W74" s="1" t="s">
        <v>433</v>
      </c>
      <c r="X74" s="1" t="s">
        <v>434</v>
      </c>
      <c r="Y74" s="2">
        <v>162</v>
      </c>
      <c r="Z74" s="2">
        <v>1</v>
      </c>
      <c r="AA74" s="2">
        <f>17973.09-1</f>
        <v>17972.09</v>
      </c>
      <c r="AB74" s="2">
        <f>17984.33-1</f>
        <v>17983.330000000002</v>
      </c>
      <c r="AC74" s="1" t="s">
        <v>415</v>
      </c>
      <c r="AD74" s="1"/>
      <c r="AE74" s="1" t="s">
        <v>435</v>
      </c>
      <c r="AF74" s="1" t="s">
        <v>69</v>
      </c>
      <c r="AG74" s="4">
        <v>2.8E-44</v>
      </c>
      <c r="AH74" s="2">
        <v>391</v>
      </c>
      <c r="AI74" s="3">
        <v>0.46</v>
      </c>
      <c r="AJ74" s="2" t="s">
        <v>436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</row>
    <row r="75" spans="1:78" ht="15.6" x14ac:dyDescent="0.3">
      <c r="A75" s="1" t="s">
        <v>445</v>
      </c>
      <c r="B75" s="1" t="s">
        <v>445</v>
      </c>
      <c r="C75" s="2" t="s">
        <v>137</v>
      </c>
      <c r="D75" s="1" t="s">
        <v>437</v>
      </c>
      <c r="E75" s="2" t="s">
        <v>27</v>
      </c>
      <c r="F75" s="2">
        <v>324.60000000000002</v>
      </c>
      <c r="G75" s="2">
        <f t="shared" si="2"/>
        <v>3.4673685045253074E-33</v>
      </c>
      <c r="H75" s="2">
        <v>82</v>
      </c>
      <c r="I75" s="2">
        <v>68</v>
      </c>
      <c r="J75" s="3">
        <v>0.53</v>
      </c>
      <c r="K75" s="2">
        <v>4</v>
      </c>
      <c r="L75" s="2">
        <v>3</v>
      </c>
      <c r="M75" s="3">
        <v>0.06</v>
      </c>
      <c r="N75" s="2">
        <v>20</v>
      </c>
      <c r="O75" s="2">
        <v>19</v>
      </c>
      <c r="P75" s="3">
        <v>0.31</v>
      </c>
      <c r="Q75" s="2">
        <v>84483</v>
      </c>
      <c r="R75" s="2">
        <v>27407.75</v>
      </c>
      <c r="S75" s="1" t="s">
        <v>438</v>
      </c>
      <c r="T75" s="1" t="s">
        <v>437</v>
      </c>
      <c r="U75" s="1" t="s">
        <v>439</v>
      </c>
      <c r="V75" s="1" t="s">
        <v>440</v>
      </c>
      <c r="W75" s="1" t="s">
        <v>441</v>
      </c>
      <c r="X75" s="1" t="s">
        <v>442</v>
      </c>
      <c r="Y75" s="2">
        <v>682</v>
      </c>
      <c r="Z75" s="2">
        <v>0</v>
      </c>
      <c r="AA75" s="2" t="s">
        <v>443</v>
      </c>
      <c r="AB75" s="2">
        <v>81791.03</v>
      </c>
      <c r="AC75" s="1" t="s">
        <v>444</v>
      </c>
      <c r="AD75" s="1" t="s">
        <v>27</v>
      </c>
      <c r="AE75" s="1" t="s">
        <v>446</v>
      </c>
      <c r="AF75" s="1" t="s">
        <v>59</v>
      </c>
      <c r="AG75" s="4">
        <v>0</v>
      </c>
      <c r="AH75" s="2">
        <v>2395</v>
      </c>
      <c r="AI75" s="2">
        <v>64.7</v>
      </c>
      <c r="AJ75" s="2" t="s">
        <v>447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</row>
    <row r="76" spans="1:78" ht="15.6" x14ac:dyDescent="0.3">
      <c r="A76" s="1" t="s">
        <v>445</v>
      </c>
      <c r="B76" s="1" t="s">
        <v>445</v>
      </c>
      <c r="C76" s="2" t="s">
        <v>137</v>
      </c>
      <c r="D76" s="1" t="s">
        <v>448</v>
      </c>
      <c r="E76" s="2" t="s">
        <v>27</v>
      </c>
      <c r="F76" s="2">
        <v>378.03</v>
      </c>
      <c r="G76" s="2">
        <f t="shared" si="2"/>
        <v>1.57398286446622E-38</v>
      </c>
      <c r="H76" s="2">
        <v>142</v>
      </c>
      <c r="I76" s="2">
        <v>82</v>
      </c>
      <c r="J76" s="3">
        <v>0.71</v>
      </c>
      <c r="K76" s="2">
        <v>11</v>
      </c>
      <c r="L76" s="2">
        <v>10</v>
      </c>
      <c r="M76" s="3">
        <v>0.17</v>
      </c>
      <c r="N76" s="2">
        <v>19</v>
      </c>
      <c r="O76" s="2">
        <v>18</v>
      </c>
      <c r="P76" s="3">
        <v>0.34</v>
      </c>
      <c r="Q76" s="2">
        <v>84373</v>
      </c>
      <c r="R76" s="2">
        <v>23655.62</v>
      </c>
      <c r="S76" s="1" t="s">
        <v>449</v>
      </c>
      <c r="T76" s="1" t="s">
        <v>448</v>
      </c>
      <c r="U76" s="1" t="s">
        <v>450</v>
      </c>
      <c r="V76" s="1" t="s">
        <v>451</v>
      </c>
      <c r="W76" s="1" t="s">
        <v>452</v>
      </c>
      <c r="X76" s="1" t="s">
        <v>453</v>
      </c>
      <c r="Y76" s="2">
        <v>684</v>
      </c>
      <c r="Z76" s="2">
        <v>0</v>
      </c>
      <c r="AA76" s="2">
        <v>81325.429999999993</v>
      </c>
      <c r="AB76" s="2">
        <v>81273.789999999994</v>
      </c>
      <c r="AC76" s="1" t="s">
        <v>445</v>
      </c>
      <c r="AD76" s="1" t="s">
        <v>454</v>
      </c>
      <c r="AE76" s="1" t="s">
        <v>455</v>
      </c>
      <c r="AF76" s="1" t="s">
        <v>456</v>
      </c>
      <c r="AG76" s="4">
        <v>0</v>
      </c>
      <c r="AH76" s="2">
        <v>2309</v>
      </c>
      <c r="AI76" s="2">
        <v>61.6</v>
      </c>
      <c r="AJ76" s="2" t="s">
        <v>457</v>
      </c>
      <c r="AK76" s="1" t="s">
        <v>458</v>
      </c>
      <c r="AL76" s="1" t="s">
        <v>82</v>
      </c>
      <c r="AM76" s="1">
        <v>0</v>
      </c>
      <c r="AN76" s="1">
        <v>2067</v>
      </c>
      <c r="AO76" s="1">
        <v>60.1</v>
      </c>
      <c r="AP76" s="1" t="s">
        <v>459</v>
      </c>
      <c r="AQ76" s="1" t="s">
        <v>460</v>
      </c>
      <c r="AR76" s="1" t="s">
        <v>98</v>
      </c>
      <c r="AS76" s="5">
        <v>8.8999999999999997E-130</v>
      </c>
      <c r="AT76" s="1">
        <v>1052</v>
      </c>
      <c r="AU76" s="1">
        <v>36.9</v>
      </c>
      <c r="AV76" s="1" t="s">
        <v>461</v>
      </c>
      <c r="AW76" s="1" t="s">
        <v>462</v>
      </c>
      <c r="AX76" s="1" t="s">
        <v>71</v>
      </c>
      <c r="AY76" s="5">
        <v>1.8E-119</v>
      </c>
      <c r="AZ76" s="1">
        <v>978</v>
      </c>
      <c r="BA76" s="1">
        <v>34.5</v>
      </c>
      <c r="BB76" s="1" t="s">
        <v>463</v>
      </c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</row>
    <row r="77" spans="1:78" ht="15.6" x14ac:dyDescent="0.3">
      <c r="A77" s="1" t="s">
        <v>445</v>
      </c>
      <c r="B77" s="1" t="s">
        <v>445</v>
      </c>
      <c r="C77" s="2" t="s">
        <v>137</v>
      </c>
      <c r="D77" s="1" t="s">
        <v>464</v>
      </c>
      <c r="E77" s="2" t="s">
        <v>27</v>
      </c>
      <c r="F77" s="2">
        <v>241.24</v>
      </c>
      <c r="G77" s="2">
        <f t="shared" si="2"/>
        <v>7.5162289401819506E-25</v>
      </c>
      <c r="H77" s="2">
        <v>34</v>
      </c>
      <c r="I77" s="2">
        <v>34</v>
      </c>
      <c r="J77" s="3">
        <v>0.26</v>
      </c>
      <c r="K77" s="2">
        <v>2</v>
      </c>
      <c r="L77" s="2">
        <v>2</v>
      </c>
      <c r="M77" s="3">
        <v>0.04</v>
      </c>
      <c r="N77" s="2">
        <v>13</v>
      </c>
      <c r="O77" s="2">
        <v>13</v>
      </c>
      <c r="P77" s="3">
        <v>0.21</v>
      </c>
      <c r="Q77" s="2">
        <v>88682</v>
      </c>
      <c r="R77" s="2">
        <v>1026.51</v>
      </c>
      <c r="S77" s="1" t="s">
        <v>465</v>
      </c>
      <c r="T77" s="1" t="s">
        <v>464</v>
      </c>
      <c r="U77" s="1" t="s">
        <v>466</v>
      </c>
      <c r="V77" s="1" t="s">
        <v>467</v>
      </c>
      <c r="W77" s="1" t="s">
        <v>468</v>
      </c>
      <c r="X77" s="1" t="s">
        <v>469</v>
      </c>
      <c r="Y77" s="2">
        <v>739</v>
      </c>
      <c r="Z77" s="2">
        <v>8</v>
      </c>
      <c r="AA77" s="2">
        <f>86548.46-8</f>
        <v>86540.46</v>
      </c>
      <c r="AB77" s="2">
        <f>86605.86-8</f>
        <v>86597.86</v>
      </c>
      <c r="AC77" s="1" t="s">
        <v>445</v>
      </c>
      <c r="AD77" s="1" t="s">
        <v>27</v>
      </c>
      <c r="AE77" s="1" t="s">
        <v>470</v>
      </c>
      <c r="AF77" s="1" t="s">
        <v>98</v>
      </c>
      <c r="AG77" s="4">
        <v>0</v>
      </c>
      <c r="AH77" s="2">
        <v>2924</v>
      </c>
      <c r="AI77" s="2">
        <v>72.8</v>
      </c>
      <c r="AJ77" s="2" t="s">
        <v>471</v>
      </c>
      <c r="AK77" s="1" t="s">
        <v>472</v>
      </c>
      <c r="AL77" s="1" t="s">
        <v>82</v>
      </c>
      <c r="AM77" s="5">
        <v>0</v>
      </c>
      <c r="AN77" s="1">
        <v>2717</v>
      </c>
      <c r="AO77" s="1">
        <v>67.900000000000006</v>
      </c>
      <c r="AP77" s="1" t="s">
        <v>473</v>
      </c>
      <c r="AQ77" s="1" t="s">
        <v>455</v>
      </c>
      <c r="AR77" s="1" t="s">
        <v>456</v>
      </c>
      <c r="AS77" s="5">
        <v>6.8999999999999995E-117</v>
      </c>
      <c r="AT77" s="1">
        <v>966</v>
      </c>
      <c r="AU77" s="1">
        <v>34.5</v>
      </c>
      <c r="AV77" s="1" t="s">
        <v>457</v>
      </c>
      <c r="AW77" s="1" t="s">
        <v>462</v>
      </c>
      <c r="AX77" s="1" t="s">
        <v>71</v>
      </c>
      <c r="AY77" s="5">
        <v>3.2000000000000002E-109</v>
      </c>
      <c r="AZ77" s="1">
        <v>913</v>
      </c>
      <c r="BA77" s="1">
        <v>34</v>
      </c>
      <c r="BB77" s="1" t="s">
        <v>463</v>
      </c>
      <c r="BC77" s="1" t="s">
        <v>474</v>
      </c>
      <c r="BD77" s="1" t="s">
        <v>475</v>
      </c>
      <c r="BE77" s="5">
        <v>2.1E-102</v>
      </c>
      <c r="BF77" s="1">
        <v>866</v>
      </c>
      <c r="BG77" s="1">
        <v>34.9</v>
      </c>
      <c r="BH77" s="1" t="s">
        <v>476</v>
      </c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</row>
    <row r="78" spans="1:78" ht="15.6" x14ac:dyDescent="0.3">
      <c r="A78" s="1" t="s">
        <v>445</v>
      </c>
      <c r="B78" s="1" t="s">
        <v>445</v>
      </c>
      <c r="C78" s="2" t="s">
        <v>137</v>
      </c>
      <c r="D78" s="1" t="s">
        <v>477</v>
      </c>
      <c r="E78" s="2" t="s">
        <v>27</v>
      </c>
      <c r="F78" s="2">
        <v>219.61</v>
      </c>
      <c r="G78" s="2">
        <f t="shared" si="2"/>
        <v>1.0939563662720854E-22</v>
      </c>
      <c r="H78" s="2">
        <v>8</v>
      </c>
      <c r="I78" s="2">
        <v>8</v>
      </c>
      <c r="J78" s="3">
        <v>0.13</v>
      </c>
      <c r="K78" s="2">
        <v>2</v>
      </c>
      <c r="L78" s="2">
        <v>2</v>
      </c>
      <c r="M78" s="3">
        <v>0.03</v>
      </c>
      <c r="N78" s="2">
        <v>9</v>
      </c>
      <c r="O78" s="2">
        <v>9</v>
      </c>
      <c r="P78" s="3">
        <v>0.14000000000000001</v>
      </c>
      <c r="Q78" s="2">
        <v>82074</v>
      </c>
      <c r="R78" s="2">
        <v>709.08</v>
      </c>
      <c r="S78" s="1" t="s">
        <v>478</v>
      </c>
      <c r="T78" s="1" t="s">
        <v>477</v>
      </c>
      <c r="U78" s="1" t="s">
        <v>479</v>
      </c>
      <c r="V78" s="1" t="s">
        <v>480</v>
      </c>
      <c r="W78" s="1" t="s">
        <v>481</v>
      </c>
      <c r="X78" s="1" t="s">
        <v>482</v>
      </c>
      <c r="Y78" s="2">
        <v>690</v>
      </c>
      <c r="Z78" s="2">
        <v>5</v>
      </c>
      <c r="AA78" s="2">
        <f>80218.26-5</f>
        <v>80213.259999999995</v>
      </c>
      <c r="AB78" s="2">
        <f>80268.86-5</f>
        <v>80263.86</v>
      </c>
      <c r="AC78" s="1" t="s">
        <v>483</v>
      </c>
      <c r="AD78" s="1" t="s">
        <v>27</v>
      </c>
      <c r="AE78" s="1" t="s">
        <v>484</v>
      </c>
      <c r="AF78" s="1" t="s">
        <v>98</v>
      </c>
      <c r="AG78" s="4">
        <v>0</v>
      </c>
      <c r="AH78" s="2">
        <v>1727</v>
      </c>
      <c r="AI78" s="4">
        <v>58.3</v>
      </c>
      <c r="AJ78" s="2" t="s">
        <v>485</v>
      </c>
      <c r="AK78" s="1" t="s">
        <v>446</v>
      </c>
      <c r="AL78" s="1" t="s">
        <v>59</v>
      </c>
      <c r="AM78" s="5">
        <v>8.5000000000000001E-104</v>
      </c>
      <c r="AN78" s="1">
        <v>873</v>
      </c>
      <c r="AO78" s="1">
        <v>31.7</v>
      </c>
      <c r="AP78" s="1" t="s">
        <v>447</v>
      </c>
      <c r="AQ78" s="1" t="s">
        <v>474</v>
      </c>
      <c r="AR78" s="1" t="s">
        <v>475</v>
      </c>
      <c r="AS78" s="5">
        <v>4.2000000000000001E-103</v>
      </c>
      <c r="AT78" s="1">
        <v>867</v>
      </c>
      <c r="AU78" s="1">
        <v>34</v>
      </c>
      <c r="AV78" s="1" t="s">
        <v>476</v>
      </c>
      <c r="AW78" s="1" t="s">
        <v>486</v>
      </c>
      <c r="AX78" s="1" t="s">
        <v>392</v>
      </c>
      <c r="AY78" s="5">
        <v>1.1E-99</v>
      </c>
      <c r="AZ78" s="1">
        <v>845</v>
      </c>
      <c r="BA78" s="1">
        <v>30.2</v>
      </c>
      <c r="BB78" s="1" t="s">
        <v>487</v>
      </c>
      <c r="BC78" s="1" t="s">
        <v>460</v>
      </c>
      <c r="BD78" s="1" t="s">
        <v>98</v>
      </c>
      <c r="BE78" s="5">
        <v>1.2E-99</v>
      </c>
      <c r="BF78" s="1">
        <v>848</v>
      </c>
      <c r="BG78" s="1">
        <v>32.700000000000003</v>
      </c>
      <c r="BH78" s="1" t="s">
        <v>461</v>
      </c>
      <c r="BI78" s="1" t="s">
        <v>462</v>
      </c>
      <c r="BJ78" s="1" t="s">
        <v>71</v>
      </c>
      <c r="BK78" s="5">
        <v>1.9E-97</v>
      </c>
      <c r="BL78" s="1">
        <v>829</v>
      </c>
      <c r="BM78" s="1">
        <v>30.6</v>
      </c>
      <c r="BN78" s="1" t="s">
        <v>463</v>
      </c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</row>
    <row r="79" spans="1:78" ht="15.6" x14ac:dyDescent="0.3">
      <c r="A79" s="1" t="s">
        <v>445</v>
      </c>
      <c r="B79" s="1" t="s">
        <v>445</v>
      </c>
      <c r="C79" s="2" t="s">
        <v>137</v>
      </c>
      <c r="D79" s="1" t="s">
        <v>488</v>
      </c>
      <c r="E79" s="2" t="s">
        <v>27</v>
      </c>
      <c r="F79" s="2">
        <v>283.87</v>
      </c>
      <c r="G79" s="2">
        <f t="shared" si="2"/>
        <v>4.1020410298660381E-29</v>
      </c>
      <c r="H79" s="2">
        <v>51</v>
      </c>
      <c r="I79" s="2">
        <v>1</v>
      </c>
      <c r="J79" s="3">
        <v>0.32</v>
      </c>
      <c r="K79" s="2" t="s">
        <v>27</v>
      </c>
      <c r="L79" s="2" t="s">
        <v>27</v>
      </c>
      <c r="M79" s="2" t="s">
        <v>27</v>
      </c>
      <c r="N79" s="2" t="s">
        <v>27</v>
      </c>
      <c r="O79" s="2" t="s">
        <v>27</v>
      </c>
      <c r="P79" s="2" t="s">
        <v>27</v>
      </c>
      <c r="Q79" s="2">
        <v>82567</v>
      </c>
      <c r="R79" s="2">
        <v>362.8</v>
      </c>
      <c r="S79" s="1" t="s">
        <v>489</v>
      </c>
      <c r="T79" s="1" t="s">
        <v>488</v>
      </c>
      <c r="U79" s="1" t="s">
        <v>490</v>
      </c>
      <c r="V79" s="1" t="s">
        <v>491</v>
      </c>
      <c r="W79" s="1" t="s">
        <v>492</v>
      </c>
      <c r="X79" s="1" t="s">
        <v>493</v>
      </c>
      <c r="Y79" s="2">
        <v>682</v>
      </c>
      <c r="Z79" s="2">
        <v>0</v>
      </c>
      <c r="AA79" s="2">
        <f xml:space="preserve"> 80934.58</f>
        <v>80934.58</v>
      </c>
      <c r="AB79" s="2">
        <v>80985.960000000006</v>
      </c>
      <c r="AC79" s="1" t="s">
        <v>445</v>
      </c>
      <c r="AD79" s="1" t="s">
        <v>454</v>
      </c>
      <c r="AE79" s="1" t="s">
        <v>455</v>
      </c>
      <c r="AF79" s="1" t="s">
        <v>456</v>
      </c>
      <c r="AG79" s="4">
        <v>0</v>
      </c>
      <c r="AH79" s="2">
        <v>2259</v>
      </c>
      <c r="AI79" s="2">
        <v>60.2</v>
      </c>
      <c r="AJ79" s="2" t="s">
        <v>457</v>
      </c>
      <c r="AK79" s="1" t="s">
        <v>458</v>
      </c>
      <c r="AL79" s="1" t="s">
        <v>82</v>
      </c>
      <c r="AM79" s="1">
        <v>0</v>
      </c>
      <c r="AN79" s="1">
        <v>2001</v>
      </c>
      <c r="AO79" s="1">
        <v>58.5</v>
      </c>
      <c r="AP79" s="1" t="s">
        <v>459</v>
      </c>
      <c r="AQ79" s="1" t="s">
        <v>460</v>
      </c>
      <c r="AR79" s="1" t="s">
        <v>98</v>
      </c>
      <c r="AS79" s="5">
        <v>7.6999999999999997E-127</v>
      </c>
      <c r="AT79" s="1">
        <v>1032</v>
      </c>
      <c r="AU79" s="1">
        <v>37.6</v>
      </c>
      <c r="AV79" s="1" t="s">
        <v>461</v>
      </c>
      <c r="AW79" s="1" t="s">
        <v>462</v>
      </c>
      <c r="AX79" s="1" t="s">
        <v>71</v>
      </c>
      <c r="AY79" s="5">
        <v>1.8000000000000001E-114</v>
      </c>
      <c r="AZ79" s="1">
        <v>944</v>
      </c>
      <c r="BA79" s="1">
        <v>33.6</v>
      </c>
      <c r="BB79" s="1" t="s">
        <v>463</v>
      </c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</row>
    <row r="80" spans="1:78" ht="15.6" x14ac:dyDescent="0.3">
      <c r="A80" s="1" t="s">
        <v>503</v>
      </c>
      <c r="B80" s="1" t="s">
        <v>1613</v>
      </c>
      <c r="C80" s="2" t="s">
        <v>137</v>
      </c>
      <c r="D80" s="1" t="s">
        <v>494</v>
      </c>
      <c r="E80" s="12" t="s">
        <v>1593</v>
      </c>
      <c r="F80" s="2">
        <v>87.96</v>
      </c>
      <c r="G80" s="2">
        <f t="shared" si="2"/>
        <v>1.5995580286146657E-9</v>
      </c>
      <c r="H80" s="2">
        <v>3</v>
      </c>
      <c r="I80" s="2">
        <v>3</v>
      </c>
      <c r="J80" s="3">
        <v>0.26</v>
      </c>
      <c r="K80" s="2" t="s">
        <v>27</v>
      </c>
      <c r="L80" s="2" t="s">
        <v>27</v>
      </c>
      <c r="M80" s="2" t="s">
        <v>27</v>
      </c>
      <c r="N80" s="2" t="s">
        <v>27</v>
      </c>
      <c r="O80" s="2" t="s">
        <v>27</v>
      </c>
      <c r="P80" s="2" t="s">
        <v>27</v>
      </c>
      <c r="Q80" s="2">
        <v>6970</v>
      </c>
      <c r="R80" s="21">
        <v>31.26</v>
      </c>
      <c r="S80" s="1" t="s">
        <v>496</v>
      </c>
      <c r="T80" s="1" t="s">
        <v>494</v>
      </c>
      <c r="U80" s="1" t="s">
        <v>497</v>
      </c>
      <c r="V80" s="1" t="s">
        <v>498</v>
      </c>
      <c r="W80" s="1" t="s">
        <v>499</v>
      </c>
      <c r="X80" s="1" t="s">
        <v>500</v>
      </c>
      <c r="Y80" s="2">
        <v>43</v>
      </c>
      <c r="Z80" s="2">
        <v>0</v>
      </c>
      <c r="AA80" s="2" t="s">
        <v>501</v>
      </c>
      <c r="AB80" s="2">
        <v>4562.07</v>
      </c>
      <c r="AC80" s="1" t="s">
        <v>502</v>
      </c>
      <c r="AD80" s="1" t="s">
        <v>504</v>
      </c>
      <c r="AE80" s="1" t="s">
        <v>505</v>
      </c>
      <c r="AF80" s="1" t="s">
        <v>82</v>
      </c>
      <c r="AG80" s="4">
        <v>1.6E-13</v>
      </c>
      <c r="AH80" s="2">
        <v>162</v>
      </c>
      <c r="AI80" s="2">
        <v>70.3</v>
      </c>
      <c r="AJ80" s="2" t="s">
        <v>506</v>
      </c>
      <c r="AK80" s="1" t="s">
        <v>507</v>
      </c>
      <c r="AL80" s="1" t="s">
        <v>99</v>
      </c>
      <c r="AM80" s="5">
        <v>5.6999999999999999E-13</v>
      </c>
      <c r="AN80" s="1">
        <v>159</v>
      </c>
      <c r="AO80" s="1">
        <v>80</v>
      </c>
      <c r="AP80" s="1" t="s">
        <v>508</v>
      </c>
      <c r="AQ80" s="1" t="s">
        <v>509</v>
      </c>
      <c r="AR80" s="1" t="s">
        <v>510</v>
      </c>
      <c r="AS80" s="5">
        <v>3.1E-8</v>
      </c>
      <c r="AT80" s="1">
        <v>132</v>
      </c>
      <c r="AU80" s="1">
        <v>91.3</v>
      </c>
      <c r="AV80" s="1" t="s">
        <v>511</v>
      </c>
      <c r="AW80" s="1" t="s">
        <v>512</v>
      </c>
      <c r="AX80" s="1" t="s">
        <v>59</v>
      </c>
      <c r="AY80" s="1">
        <v>7.4000000000000003E-6</v>
      </c>
      <c r="AZ80" s="1">
        <v>110</v>
      </c>
      <c r="BA80" s="1">
        <v>58.8</v>
      </c>
      <c r="BB80" s="1" t="s">
        <v>513</v>
      </c>
      <c r="BC80" s="1" t="s">
        <v>514</v>
      </c>
      <c r="BD80" s="1" t="s">
        <v>515</v>
      </c>
      <c r="BE80" s="1">
        <v>1.5999999999999999E-5</v>
      </c>
      <c r="BF80" s="1">
        <v>111</v>
      </c>
      <c r="BG80" s="1">
        <v>62.5</v>
      </c>
      <c r="BH80" s="1" t="s">
        <v>516</v>
      </c>
      <c r="BI80" s="1" t="s">
        <v>517</v>
      </c>
      <c r="BJ80" s="1" t="s">
        <v>82</v>
      </c>
      <c r="BK80" s="1">
        <v>9.0999999999999998E-2</v>
      </c>
      <c r="BL80" s="1">
        <v>86</v>
      </c>
      <c r="BM80" s="1">
        <v>44.4</v>
      </c>
      <c r="BN80" s="1" t="s">
        <v>518</v>
      </c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</row>
    <row r="81" spans="1:78" ht="15.6" x14ac:dyDescent="0.3">
      <c r="A81" s="1" t="s">
        <v>503</v>
      </c>
      <c r="B81" s="1" t="s">
        <v>1614</v>
      </c>
      <c r="C81" s="2" t="s">
        <v>137</v>
      </c>
      <c r="D81" s="1" t="s">
        <v>519</v>
      </c>
      <c r="E81" s="12" t="s">
        <v>1594</v>
      </c>
      <c r="F81" s="2">
        <v>119.53</v>
      </c>
      <c r="G81" s="2">
        <f t="shared" si="2"/>
        <v>1.1142945335917282E-12</v>
      </c>
      <c r="H81" s="2">
        <v>3</v>
      </c>
      <c r="I81" s="2">
        <v>3</v>
      </c>
      <c r="J81" s="3">
        <v>0.1</v>
      </c>
      <c r="K81" s="2" t="s">
        <v>27</v>
      </c>
      <c r="L81" s="2" t="s">
        <v>27</v>
      </c>
      <c r="M81" s="2" t="s">
        <v>27</v>
      </c>
      <c r="N81" s="2">
        <v>1</v>
      </c>
      <c r="O81" s="2">
        <v>1</v>
      </c>
      <c r="P81" s="3">
        <v>7.0000000000000007E-2</v>
      </c>
      <c r="Q81" s="2">
        <v>16707</v>
      </c>
      <c r="R81" s="21">
        <v>95.71</v>
      </c>
      <c r="S81" s="1" t="s">
        <v>521</v>
      </c>
      <c r="T81" s="1" t="s">
        <v>519</v>
      </c>
      <c r="U81" s="1" t="s">
        <v>522</v>
      </c>
      <c r="V81" s="1" t="s">
        <v>523</v>
      </c>
      <c r="W81" s="1" t="s">
        <v>524</v>
      </c>
      <c r="X81" s="1" t="s">
        <v>525</v>
      </c>
      <c r="Y81" s="2">
        <v>139</v>
      </c>
      <c r="Z81" s="2">
        <v>12</v>
      </c>
      <c r="AA81" s="2">
        <f>14750.68-12</f>
        <v>14738.68</v>
      </c>
      <c r="AB81" s="2">
        <f>14760.53-12</f>
        <v>14748.53</v>
      </c>
      <c r="AC81" s="1" t="s">
        <v>526</v>
      </c>
      <c r="AD81" s="1" t="s">
        <v>527</v>
      </c>
      <c r="AE81" s="1" t="s">
        <v>528</v>
      </c>
      <c r="AF81" s="1" t="s">
        <v>56</v>
      </c>
      <c r="AG81" s="4">
        <v>3.2999999999999997E-85</v>
      </c>
      <c r="AH81" s="2">
        <v>654</v>
      </c>
      <c r="AI81" s="2">
        <v>79.900000000000006</v>
      </c>
      <c r="AJ81" s="2" t="s">
        <v>529</v>
      </c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</row>
    <row r="82" spans="1:78" ht="15.6" x14ac:dyDescent="0.3">
      <c r="A82" s="1" t="s">
        <v>503</v>
      </c>
      <c r="B82" s="1" t="s">
        <v>1615</v>
      </c>
      <c r="C82" s="2" t="s">
        <v>137</v>
      </c>
      <c r="D82" s="1" t="s">
        <v>530</v>
      </c>
      <c r="E82" s="12" t="s">
        <v>1595</v>
      </c>
      <c r="F82" s="2">
        <v>245.61</v>
      </c>
      <c r="G82" s="2">
        <f t="shared" si="2"/>
        <v>2.7478941531023858E-25</v>
      </c>
      <c r="H82" s="2">
        <v>6</v>
      </c>
      <c r="I82" s="2">
        <v>6</v>
      </c>
      <c r="J82" s="3">
        <v>0.21</v>
      </c>
      <c r="K82" s="2">
        <v>4</v>
      </c>
      <c r="L82" s="2">
        <v>4</v>
      </c>
      <c r="M82" s="3">
        <v>0.3</v>
      </c>
      <c r="N82" s="2">
        <v>3</v>
      </c>
      <c r="O82" s="2">
        <v>3</v>
      </c>
      <c r="P82" s="3">
        <v>0.33</v>
      </c>
      <c r="Q82" s="2">
        <v>15730</v>
      </c>
      <c r="R82" s="21">
        <v>0.63</v>
      </c>
      <c r="S82" s="1" t="s">
        <v>531</v>
      </c>
      <c r="T82" s="1" t="s">
        <v>530</v>
      </c>
      <c r="U82" s="1" t="s">
        <v>532</v>
      </c>
      <c r="V82" s="1" t="s">
        <v>533</v>
      </c>
      <c r="W82" s="1" t="s">
        <v>534</v>
      </c>
      <c r="X82" s="1" t="s">
        <v>535</v>
      </c>
      <c r="Y82" s="2">
        <v>122</v>
      </c>
      <c r="Z82" s="2">
        <v>10</v>
      </c>
      <c r="AA82" s="2">
        <f>13497.18-10</f>
        <v>13487.18</v>
      </c>
      <c r="AB82" s="2">
        <f>13506.15-10</f>
        <v>13496.15</v>
      </c>
      <c r="AC82" s="1" t="s">
        <v>536</v>
      </c>
      <c r="AD82" s="1" t="s">
        <v>27</v>
      </c>
      <c r="AE82" s="1" t="s">
        <v>537</v>
      </c>
      <c r="AF82" s="1" t="s">
        <v>59</v>
      </c>
      <c r="AG82" s="4">
        <v>1.5000000000000001E-61</v>
      </c>
      <c r="AH82" s="2">
        <v>490</v>
      </c>
      <c r="AI82" s="2">
        <v>66.400000000000006</v>
      </c>
      <c r="AJ82" s="2" t="s">
        <v>538</v>
      </c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</row>
    <row r="83" spans="1:78" ht="15.6" x14ac:dyDescent="0.3">
      <c r="A83" s="1" t="s">
        <v>503</v>
      </c>
      <c r="B83" s="1" t="s">
        <v>1615</v>
      </c>
      <c r="C83" s="2" t="s">
        <v>137</v>
      </c>
      <c r="D83" s="1" t="s">
        <v>539</v>
      </c>
      <c r="E83" s="12" t="s">
        <v>1596</v>
      </c>
      <c r="F83" s="2">
        <v>245.61</v>
      </c>
      <c r="G83" s="2">
        <f t="shared" si="2"/>
        <v>2.7478941531023858E-25</v>
      </c>
      <c r="H83" s="2">
        <v>3</v>
      </c>
      <c r="I83" s="2">
        <v>3</v>
      </c>
      <c r="J83" s="3">
        <v>0.18</v>
      </c>
      <c r="K83" s="2">
        <v>4</v>
      </c>
      <c r="L83" s="2">
        <v>4</v>
      </c>
      <c r="M83" s="3">
        <v>0.3</v>
      </c>
      <c r="N83" s="2">
        <v>3</v>
      </c>
      <c r="O83" s="2">
        <v>3</v>
      </c>
      <c r="P83" s="3">
        <v>0.32</v>
      </c>
      <c r="Q83" s="2">
        <v>15793</v>
      </c>
      <c r="R83" s="21">
        <v>0.61</v>
      </c>
      <c r="S83" s="1" t="s">
        <v>540</v>
      </c>
      <c r="T83" s="1" t="s">
        <v>539</v>
      </c>
      <c r="U83" s="1" t="s">
        <v>541</v>
      </c>
      <c r="V83" s="1" t="s">
        <v>542</v>
      </c>
      <c r="W83" s="1" t="s">
        <v>543</v>
      </c>
      <c r="X83" s="1" t="s">
        <v>544</v>
      </c>
      <c r="Y83" s="2">
        <v>122</v>
      </c>
      <c r="Z83" s="2">
        <v>10</v>
      </c>
      <c r="AA83" s="2">
        <f>13428.11-10</f>
        <v>13418.11</v>
      </c>
      <c r="AB83" s="2">
        <f>13437.04-10</f>
        <v>13427.04</v>
      </c>
      <c r="AC83" s="1" t="s">
        <v>536</v>
      </c>
      <c r="AD83" s="1" t="s">
        <v>27</v>
      </c>
      <c r="AE83" s="1" t="s">
        <v>537</v>
      </c>
      <c r="AF83" s="1" t="s">
        <v>59</v>
      </c>
      <c r="AG83" s="4">
        <v>6.1000000000000001E-61</v>
      </c>
      <c r="AH83" s="2">
        <v>486</v>
      </c>
      <c r="AI83" s="2">
        <v>66.400000000000006</v>
      </c>
      <c r="AJ83" s="2" t="s">
        <v>538</v>
      </c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</row>
    <row r="84" spans="1:78" ht="15.6" x14ac:dyDescent="0.3">
      <c r="A84" s="1" t="s">
        <v>1601</v>
      </c>
      <c r="B84" s="1" t="s">
        <v>1601</v>
      </c>
      <c r="C84" s="2" t="s">
        <v>137</v>
      </c>
      <c r="D84" s="1" t="s">
        <v>546</v>
      </c>
      <c r="E84" s="12" t="s">
        <v>1602</v>
      </c>
      <c r="F84" s="12">
        <v>61.84</v>
      </c>
      <c r="G84" s="2">
        <f t="shared" si="2"/>
        <v>6.5463617406727335E-7</v>
      </c>
      <c r="H84" s="2">
        <v>2</v>
      </c>
      <c r="I84" s="2">
        <v>2</v>
      </c>
      <c r="J84" s="3">
        <v>0.05</v>
      </c>
      <c r="K84" s="2" t="s">
        <v>27</v>
      </c>
      <c r="L84" s="2" t="s">
        <v>27</v>
      </c>
      <c r="M84" s="2" t="s">
        <v>27</v>
      </c>
      <c r="N84" s="2" t="s">
        <v>27</v>
      </c>
      <c r="O84" s="2" t="s">
        <v>27</v>
      </c>
      <c r="P84" s="2" t="s">
        <v>27</v>
      </c>
      <c r="Q84" s="2">
        <v>55458</v>
      </c>
      <c r="R84" s="2">
        <v>162.26</v>
      </c>
      <c r="S84" s="1" t="s">
        <v>548</v>
      </c>
      <c r="T84" s="1" t="s">
        <v>546</v>
      </c>
      <c r="U84" s="1" t="s">
        <v>549</v>
      </c>
      <c r="V84" s="1" t="s">
        <v>550</v>
      </c>
      <c r="W84" s="1" t="s">
        <v>551</v>
      </c>
      <c r="X84" s="1" t="s">
        <v>552</v>
      </c>
      <c r="Y84" s="2">
        <v>477</v>
      </c>
      <c r="Z84" s="2">
        <v>4</v>
      </c>
      <c r="AA84" s="2">
        <f>53710.98-4</f>
        <v>53706.98</v>
      </c>
      <c r="AB84" s="2">
        <f>53744.56-4</f>
        <v>53740.56</v>
      </c>
      <c r="AC84" s="1" t="s">
        <v>553</v>
      </c>
      <c r="AD84" s="1" t="s">
        <v>27</v>
      </c>
      <c r="AE84" s="1" t="s">
        <v>554</v>
      </c>
      <c r="AF84" s="1" t="s">
        <v>69</v>
      </c>
      <c r="AG84" s="4">
        <v>0</v>
      </c>
      <c r="AH84" s="2">
        <v>2226</v>
      </c>
      <c r="AI84" s="2">
        <v>88.3</v>
      </c>
      <c r="AJ84" s="2" t="s">
        <v>555</v>
      </c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</row>
    <row r="85" spans="1:78" ht="15.6" x14ac:dyDescent="0.3">
      <c r="A85" s="1" t="s">
        <v>580</v>
      </c>
      <c r="B85" s="1" t="s">
        <v>580</v>
      </c>
      <c r="C85" s="2" t="s">
        <v>137</v>
      </c>
      <c r="D85" s="1" t="s">
        <v>581</v>
      </c>
      <c r="E85" s="2" t="s">
        <v>27</v>
      </c>
      <c r="F85" s="2">
        <v>315.58999999999997</v>
      </c>
      <c r="G85" s="2">
        <f t="shared" si="2"/>
        <v>2.7605778562203466E-32</v>
      </c>
      <c r="H85" s="2" t="s">
        <v>27</v>
      </c>
      <c r="I85" s="2" t="s">
        <v>27</v>
      </c>
      <c r="J85" s="2" t="s">
        <v>27</v>
      </c>
      <c r="K85" s="2">
        <v>1</v>
      </c>
      <c r="L85" s="2">
        <v>1</v>
      </c>
      <c r="M85" s="3">
        <v>0.04</v>
      </c>
      <c r="N85" s="2">
        <v>6</v>
      </c>
      <c r="O85" s="2">
        <v>6</v>
      </c>
      <c r="P85" s="3">
        <v>0.18</v>
      </c>
      <c r="Q85" s="2">
        <v>46671</v>
      </c>
      <c r="R85" s="21">
        <v>5.41</v>
      </c>
      <c r="S85" s="1" t="s">
        <v>582</v>
      </c>
      <c r="T85" s="1" t="s">
        <v>581</v>
      </c>
      <c r="U85" s="1" t="s">
        <v>583</v>
      </c>
      <c r="V85" s="1"/>
      <c r="W85" s="1" t="s">
        <v>584</v>
      </c>
      <c r="X85" s="1" t="s">
        <v>585</v>
      </c>
      <c r="Y85" s="2">
        <v>390</v>
      </c>
      <c r="Z85" s="2">
        <v>5</v>
      </c>
      <c r="AA85" s="2">
        <f>44875.11-5</f>
        <v>44870.11</v>
      </c>
      <c r="AB85" s="2">
        <f>44903.12-5</f>
        <v>44898.12</v>
      </c>
      <c r="AC85" s="7" t="s">
        <v>586</v>
      </c>
      <c r="AD85" s="1" t="s">
        <v>27</v>
      </c>
      <c r="AE85" s="1" t="s">
        <v>587</v>
      </c>
      <c r="AF85" s="1" t="s">
        <v>588</v>
      </c>
      <c r="AG85" s="4">
        <v>0</v>
      </c>
      <c r="AH85" s="2">
        <v>1783</v>
      </c>
      <c r="AI85" s="2">
        <v>81.3</v>
      </c>
      <c r="AJ85" s="2" t="s">
        <v>589</v>
      </c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</row>
    <row r="86" spans="1:78" ht="15.6" x14ac:dyDescent="0.3">
      <c r="A86" s="1" t="s">
        <v>597</v>
      </c>
      <c r="B86" s="1" t="s">
        <v>597</v>
      </c>
      <c r="C86" s="2" t="s">
        <v>137</v>
      </c>
      <c r="D86" s="1" t="s">
        <v>590</v>
      </c>
      <c r="E86" s="2" t="s">
        <v>27</v>
      </c>
      <c r="F86" s="2">
        <v>139.19999999999999</v>
      </c>
      <c r="G86" s="2">
        <f t="shared" si="2"/>
        <v>1.2022644346174106E-14</v>
      </c>
      <c r="H86" s="2">
        <v>10</v>
      </c>
      <c r="I86" s="2">
        <v>10</v>
      </c>
      <c r="J86" s="3">
        <v>0.19</v>
      </c>
      <c r="K86" s="2" t="s">
        <v>27</v>
      </c>
      <c r="L86" s="2" t="s">
        <v>27</v>
      </c>
      <c r="M86" s="2" t="s">
        <v>27</v>
      </c>
      <c r="N86" s="2">
        <v>1</v>
      </c>
      <c r="O86" s="2">
        <v>1</v>
      </c>
      <c r="P86" s="3">
        <v>0.04</v>
      </c>
      <c r="Q86" s="2">
        <v>41090</v>
      </c>
      <c r="R86" s="2">
        <v>1391.08</v>
      </c>
      <c r="S86" s="1" t="s">
        <v>591</v>
      </c>
      <c r="T86" s="1" t="s">
        <v>590</v>
      </c>
      <c r="U86" s="1" t="s">
        <v>592</v>
      </c>
      <c r="V86" s="1" t="s">
        <v>593</v>
      </c>
      <c r="W86" s="1" t="s">
        <v>594</v>
      </c>
      <c r="X86" s="1" t="s">
        <v>595</v>
      </c>
      <c r="Y86" s="2">
        <v>360</v>
      </c>
      <c r="Z86" s="2">
        <v>7</v>
      </c>
      <c r="AA86" s="2">
        <f>39044.72-7</f>
        <v>39037.72</v>
      </c>
      <c r="AB86" s="2">
        <f>39069.16-7</f>
        <v>39062.160000000003</v>
      </c>
      <c r="AC86" s="1" t="s">
        <v>596</v>
      </c>
      <c r="AD86" s="1" t="s">
        <v>27</v>
      </c>
      <c r="AE86" s="1" t="s">
        <v>598</v>
      </c>
      <c r="AF86" s="1" t="s">
        <v>599</v>
      </c>
      <c r="AG86" s="4">
        <v>1.8999999999999999E-130</v>
      </c>
      <c r="AH86" s="2">
        <v>992</v>
      </c>
      <c r="AI86" s="2">
        <v>52.1</v>
      </c>
      <c r="AJ86" s="2" t="s">
        <v>600</v>
      </c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</row>
    <row r="87" spans="1:78" ht="15.6" x14ac:dyDescent="0.3">
      <c r="A87" s="1" t="s">
        <v>597</v>
      </c>
      <c r="B87" s="1" t="s">
        <v>597</v>
      </c>
      <c r="C87" s="2" t="s">
        <v>137</v>
      </c>
      <c r="D87" s="1" t="s">
        <v>601</v>
      </c>
      <c r="E87" s="2" t="s">
        <v>27</v>
      </c>
      <c r="F87" s="2">
        <v>110.7</v>
      </c>
      <c r="G87" s="2">
        <f t="shared" si="2"/>
        <v>8.5113803820237273E-12</v>
      </c>
      <c r="H87" s="2">
        <v>2</v>
      </c>
      <c r="I87" s="2">
        <v>2</v>
      </c>
      <c r="J87" s="3">
        <v>0.09</v>
      </c>
      <c r="K87" s="2" t="s">
        <v>27</v>
      </c>
      <c r="L87" s="2" t="s">
        <v>27</v>
      </c>
      <c r="M87" s="2" t="s">
        <v>27</v>
      </c>
      <c r="N87" s="2">
        <v>1</v>
      </c>
      <c r="O87" s="2">
        <v>1</v>
      </c>
      <c r="P87" s="3">
        <v>0.09</v>
      </c>
      <c r="Q87" s="2">
        <v>22243</v>
      </c>
      <c r="R87" s="2">
        <v>32.909999999999997</v>
      </c>
      <c r="S87" s="1" t="s">
        <v>602</v>
      </c>
      <c r="T87" s="1" t="s">
        <v>601</v>
      </c>
      <c r="U87" s="1" t="s">
        <v>603</v>
      </c>
      <c r="V87" s="1" t="s">
        <v>604</v>
      </c>
      <c r="W87" s="1" t="s">
        <v>605</v>
      </c>
      <c r="X87" s="1" t="s">
        <v>606</v>
      </c>
      <c r="Y87" s="2">
        <v>186</v>
      </c>
      <c r="Z87" s="2">
        <v>0</v>
      </c>
      <c r="AA87" s="2">
        <v>20462.3</v>
      </c>
      <c r="AB87" s="2">
        <v>20474.63</v>
      </c>
      <c r="AC87" s="1" t="s">
        <v>100</v>
      </c>
      <c r="AD87" s="1" t="s">
        <v>27</v>
      </c>
      <c r="AE87" s="1" t="s">
        <v>607</v>
      </c>
      <c r="AF87" s="1" t="s">
        <v>243</v>
      </c>
      <c r="AG87" s="4">
        <v>3.0000000000000001E-45</v>
      </c>
      <c r="AH87" s="2">
        <v>425</v>
      </c>
      <c r="AI87" s="2">
        <v>50.3</v>
      </c>
      <c r="AJ87" s="2" t="s">
        <v>608</v>
      </c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</row>
    <row r="88" spans="1:78" ht="15.6" x14ac:dyDescent="0.3">
      <c r="A88" s="1" t="s">
        <v>597</v>
      </c>
      <c r="B88" s="1" t="s">
        <v>597</v>
      </c>
      <c r="C88" s="2" t="s">
        <v>137</v>
      </c>
      <c r="D88" s="1" t="s">
        <v>609</v>
      </c>
      <c r="E88" s="2" t="s">
        <v>27</v>
      </c>
      <c r="F88" s="2">
        <v>97.42</v>
      </c>
      <c r="G88" s="2">
        <f t="shared" si="2"/>
        <v>1.8113400926195947E-10</v>
      </c>
      <c r="H88" s="2">
        <v>5</v>
      </c>
      <c r="I88" s="2">
        <v>5</v>
      </c>
      <c r="J88" s="3">
        <v>0.17</v>
      </c>
      <c r="K88" s="2" t="s">
        <v>27</v>
      </c>
      <c r="L88" s="2" t="s">
        <v>27</v>
      </c>
      <c r="M88" s="2" t="s">
        <v>27</v>
      </c>
      <c r="N88" s="2">
        <v>2</v>
      </c>
      <c r="O88" s="2">
        <v>2</v>
      </c>
      <c r="P88" s="3">
        <v>0.06</v>
      </c>
      <c r="Q88" s="2">
        <v>37288</v>
      </c>
      <c r="R88" s="2">
        <v>24.91</v>
      </c>
      <c r="S88" s="1" t="s">
        <v>610</v>
      </c>
      <c r="T88" s="1" t="s">
        <v>609</v>
      </c>
      <c r="U88" s="1" t="s">
        <v>611</v>
      </c>
      <c r="V88" s="1"/>
      <c r="W88" s="1" t="s">
        <v>612</v>
      </c>
      <c r="X88" s="1" t="s">
        <v>613</v>
      </c>
      <c r="Y88" s="2">
        <v>318</v>
      </c>
      <c r="Z88" s="2">
        <v>3</v>
      </c>
      <c r="AA88" s="2">
        <f>35046.21-3</f>
        <v>35043.21</v>
      </c>
      <c r="AB88" s="2">
        <f>35068.22-3</f>
        <v>35065.22</v>
      </c>
      <c r="AC88" s="1" t="s">
        <v>596</v>
      </c>
      <c r="AD88" s="1" t="s">
        <v>27</v>
      </c>
      <c r="AE88" s="1" t="s">
        <v>614</v>
      </c>
      <c r="AF88" s="1" t="s">
        <v>380</v>
      </c>
      <c r="AG88" s="2">
        <v>0</v>
      </c>
      <c r="AH88" s="2">
        <v>1362</v>
      </c>
      <c r="AI88" s="2">
        <v>78.099999999999994</v>
      </c>
      <c r="AJ88" s="2" t="s">
        <v>615</v>
      </c>
      <c r="AK88" s="1" t="s">
        <v>616</v>
      </c>
      <c r="AL88" s="1" t="s">
        <v>617</v>
      </c>
      <c r="AM88" s="1">
        <v>0</v>
      </c>
      <c r="AN88" s="1">
        <v>1348</v>
      </c>
      <c r="AO88" s="1">
        <v>77.099999999999994</v>
      </c>
      <c r="AP88" s="1" t="s">
        <v>618</v>
      </c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</row>
    <row r="89" spans="1:78" ht="15.6" x14ac:dyDescent="0.3">
      <c r="A89" s="1" t="s">
        <v>597</v>
      </c>
      <c r="B89" s="1" t="s">
        <v>597</v>
      </c>
      <c r="C89" s="2" t="s">
        <v>137</v>
      </c>
      <c r="D89" s="1" t="s">
        <v>619</v>
      </c>
      <c r="E89" s="2" t="s">
        <v>27</v>
      </c>
      <c r="F89" s="2">
        <v>359.59</v>
      </c>
      <c r="G89" s="2">
        <f t="shared" si="2"/>
        <v>1.0990058394325206E-36</v>
      </c>
      <c r="H89" s="2">
        <v>91</v>
      </c>
      <c r="I89" s="2">
        <v>39</v>
      </c>
      <c r="J89" s="3">
        <v>0.56000000000000005</v>
      </c>
      <c r="K89" s="2">
        <v>1</v>
      </c>
      <c r="L89" s="2">
        <v>1</v>
      </c>
      <c r="M89" s="3">
        <v>0.04</v>
      </c>
      <c r="N89" s="2">
        <v>2</v>
      </c>
      <c r="O89" s="2">
        <v>2</v>
      </c>
      <c r="P89" s="3">
        <v>0.08</v>
      </c>
      <c r="Q89" s="2">
        <v>36505</v>
      </c>
      <c r="R89" s="2">
        <v>22.31</v>
      </c>
      <c r="S89" s="1" t="s">
        <v>620</v>
      </c>
      <c r="T89" s="1" t="s">
        <v>619</v>
      </c>
      <c r="U89" s="1" t="s">
        <v>621</v>
      </c>
      <c r="V89" s="1" t="s">
        <v>622</v>
      </c>
      <c r="W89" s="1" t="s">
        <v>623</v>
      </c>
      <c r="X89" s="1" t="s">
        <v>624</v>
      </c>
      <c r="Y89" s="2">
        <v>315</v>
      </c>
      <c r="Z89" s="2">
        <v>4</v>
      </c>
      <c r="AA89" s="2">
        <f>34446.18-4</f>
        <v>34442.18</v>
      </c>
      <c r="AB89" s="2">
        <f>34467.59-4</f>
        <v>34463.589999999997</v>
      </c>
      <c r="AC89" s="1" t="s">
        <v>596</v>
      </c>
      <c r="AD89" s="1" t="s">
        <v>27</v>
      </c>
      <c r="AE89" s="1" t="s">
        <v>616</v>
      </c>
      <c r="AF89" s="1" t="s">
        <v>328</v>
      </c>
      <c r="AG89" s="4">
        <v>1.9000000000000001E-178</v>
      </c>
      <c r="AH89" s="2">
        <v>1299</v>
      </c>
      <c r="AI89" s="2">
        <v>77.599999999999994</v>
      </c>
      <c r="AJ89" s="2" t="s">
        <v>625</v>
      </c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</row>
    <row r="90" spans="1:78" ht="15.6" x14ac:dyDescent="0.3">
      <c r="A90" s="1" t="s">
        <v>597</v>
      </c>
      <c r="B90" s="1" t="s">
        <v>597</v>
      </c>
      <c r="C90" s="2" t="s">
        <v>137</v>
      </c>
      <c r="D90" s="1" t="s">
        <v>626</v>
      </c>
      <c r="E90" s="2" t="s">
        <v>27</v>
      </c>
      <c r="F90" s="2">
        <v>230.91</v>
      </c>
      <c r="G90" s="2">
        <f t="shared" si="2"/>
        <v>8.1096105785383754E-24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27</v>
      </c>
      <c r="M90" s="2" t="s">
        <v>27</v>
      </c>
      <c r="N90" s="2">
        <v>4</v>
      </c>
      <c r="O90" s="2">
        <v>4</v>
      </c>
      <c r="P90" s="3">
        <v>0.17</v>
      </c>
      <c r="Q90" s="2">
        <v>34097</v>
      </c>
      <c r="R90" s="2">
        <v>21.34</v>
      </c>
      <c r="S90" s="1" t="s">
        <v>627</v>
      </c>
      <c r="T90" s="1" t="s">
        <v>626</v>
      </c>
      <c r="U90" s="1" t="s">
        <v>628</v>
      </c>
      <c r="V90" s="1" t="s">
        <v>629</v>
      </c>
      <c r="W90" s="1" t="s">
        <v>630</v>
      </c>
      <c r="X90" s="1" t="s">
        <v>631</v>
      </c>
      <c r="Y90" s="2">
        <v>289</v>
      </c>
      <c r="Z90" s="2">
        <v>1</v>
      </c>
      <c r="AA90" s="2">
        <f>32102.81-1</f>
        <v>32101.81</v>
      </c>
      <c r="AB90" s="2">
        <f>32122.64-1</f>
        <v>32121.64</v>
      </c>
      <c r="AC90" s="1" t="s">
        <v>632</v>
      </c>
      <c r="AD90" s="1"/>
      <c r="AE90" s="1" t="s">
        <v>633</v>
      </c>
      <c r="AF90" s="1" t="s">
        <v>82</v>
      </c>
      <c r="AG90" s="4">
        <v>9.9999999999999995E-113</v>
      </c>
      <c r="AH90" s="2">
        <v>861</v>
      </c>
      <c r="AI90" s="2">
        <v>59</v>
      </c>
      <c r="AJ90" s="2" t="s">
        <v>634</v>
      </c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</row>
    <row r="91" spans="1:78" ht="15.6" x14ac:dyDescent="0.3">
      <c r="A91" s="1" t="s">
        <v>597</v>
      </c>
      <c r="B91" s="1" t="s">
        <v>597</v>
      </c>
      <c r="C91" s="2" t="s">
        <v>137</v>
      </c>
      <c r="D91" s="1" t="s">
        <v>635</v>
      </c>
      <c r="E91" s="2" t="s">
        <v>27</v>
      </c>
      <c r="F91" s="2">
        <v>97.42</v>
      </c>
      <c r="G91" s="2">
        <f t="shared" si="2"/>
        <v>1.8113400926195947E-10</v>
      </c>
      <c r="H91" s="2">
        <v>5</v>
      </c>
      <c r="I91" s="2">
        <v>5</v>
      </c>
      <c r="J91" s="3">
        <v>0.17</v>
      </c>
      <c r="K91" s="2" t="s">
        <v>27</v>
      </c>
      <c r="L91" s="2" t="s">
        <v>27</v>
      </c>
      <c r="M91" s="2" t="s">
        <v>27</v>
      </c>
      <c r="N91" s="2">
        <v>2</v>
      </c>
      <c r="O91" s="2">
        <v>2</v>
      </c>
      <c r="P91" s="3">
        <v>0.06</v>
      </c>
      <c r="Q91" s="2">
        <v>37288</v>
      </c>
      <c r="R91" s="2">
        <v>16.89</v>
      </c>
      <c r="S91" s="1" t="s">
        <v>636</v>
      </c>
      <c r="T91" s="1" t="s">
        <v>635</v>
      </c>
      <c r="U91" s="1" t="s">
        <v>611</v>
      </c>
      <c r="V91" s="1" t="s">
        <v>637</v>
      </c>
      <c r="W91" s="1" t="s">
        <v>612</v>
      </c>
      <c r="X91" s="1" t="s">
        <v>613</v>
      </c>
      <c r="Y91" s="2">
        <v>318</v>
      </c>
      <c r="Z91" s="2">
        <v>3</v>
      </c>
      <c r="AA91" s="2">
        <f>35046.21-3</f>
        <v>35043.21</v>
      </c>
      <c r="AB91" s="2">
        <f>35068.22-3</f>
        <v>35065.22</v>
      </c>
      <c r="AC91" s="1" t="s">
        <v>596</v>
      </c>
      <c r="AD91" s="1" t="s">
        <v>27</v>
      </c>
      <c r="AE91" s="1" t="s">
        <v>614</v>
      </c>
      <c r="AF91" s="1" t="s">
        <v>380</v>
      </c>
      <c r="AG91" s="4">
        <v>0</v>
      </c>
      <c r="AH91" s="2">
        <v>1362</v>
      </c>
      <c r="AI91" s="2">
        <v>78.099999999999994</v>
      </c>
      <c r="AJ91" s="2" t="s">
        <v>615</v>
      </c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</row>
    <row r="92" spans="1:78" ht="15.6" x14ac:dyDescent="0.3">
      <c r="A92" s="1" t="s">
        <v>597</v>
      </c>
      <c r="B92" s="1" t="s">
        <v>597</v>
      </c>
      <c r="C92" s="2" t="s">
        <v>137</v>
      </c>
      <c r="D92" s="1" t="s">
        <v>638</v>
      </c>
      <c r="E92" s="2" t="s">
        <v>27</v>
      </c>
      <c r="F92" s="2">
        <v>305.95</v>
      </c>
      <c r="G92" s="2">
        <f t="shared" si="2"/>
        <v>2.5409727055492895E-31</v>
      </c>
      <c r="H92" s="2">
        <v>43</v>
      </c>
      <c r="I92" s="2">
        <v>43</v>
      </c>
      <c r="J92" s="3">
        <v>0.62</v>
      </c>
      <c r="K92" s="2">
        <v>1</v>
      </c>
      <c r="L92" s="2">
        <v>1</v>
      </c>
      <c r="M92" s="3">
        <v>0.04</v>
      </c>
      <c r="N92" s="2" t="s">
        <v>27</v>
      </c>
      <c r="O92" s="2" t="s">
        <v>27</v>
      </c>
      <c r="P92" s="2" t="s">
        <v>27</v>
      </c>
      <c r="Q92" s="2">
        <v>31445</v>
      </c>
      <c r="R92" s="2">
        <v>9.64</v>
      </c>
      <c r="S92" s="1" t="s">
        <v>639</v>
      </c>
      <c r="T92" s="1" t="s">
        <v>638</v>
      </c>
      <c r="U92" s="1" t="s">
        <v>640</v>
      </c>
      <c r="V92" s="1" t="s">
        <v>641</v>
      </c>
      <c r="W92" s="1" t="s">
        <v>642</v>
      </c>
      <c r="X92" s="1" t="s">
        <v>643</v>
      </c>
      <c r="Y92" s="2">
        <v>281</v>
      </c>
      <c r="Z92" s="2">
        <v>5</v>
      </c>
      <c r="AA92" s="2">
        <f>29769.72-5</f>
        <v>29764.720000000001</v>
      </c>
      <c r="AB92" s="2">
        <f>29788.39-5</f>
        <v>29783.39</v>
      </c>
      <c r="AC92" s="1" t="s">
        <v>596</v>
      </c>
      <c r="AD92" s="1" t="s">
        <v>27</v>
      </c>
      <c r="AE92" s="1" t="s">
        <v>644</v>
      </c>
      <c r="AF92" s="1" t="s">
        <v>59</v>
      </c>
      <c r="AG92" s="4">
        <v>1.4E-148</v>
      </c>
      <c r="AH92" s="2">
        <v>1095</v>
      </c>
      <c r="AI92" s="2">
        <v>72.099999999999994</v>
      </c>
      <c r="AJ92" s="2" t="s">
        <v>645</v>
      </c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</row>
    <row r="93" spans="1:78" ht="15.6" x14ac:dyDescent="0.3">
      <c r="A93" s="1" t="s">
        <v>597</v>
      </c>
      <c r="B93" s="1" t="s">
        <v>597</v>
      </c>
      <c r="C93" s="2" t="s">
        <v>137</v>
      </c>
      <c r="D93" s="1" t="s">
        <v>646</v>
      </c>
      <c r="E93" s="2" t="s">
        <v>27</v>
      </c>
      <c r="F93" s="2">
        <v>222.46</v>
      </c>
      <c r="G93" s="2">
        <f t="shared" si="2"/>
        <v>5.6754460540854034E-23</v>
      </c>
      <c r="H93" s="2">
        <v>13</v>
      </c>
      <c r="I93" s="2">
        <v>5</v>
      </c>
      <c r="J93" s="3">
        <v>0.24</v>
      </c>
      <c r="K93" s="2" t="s">
        <v>27</v>
      </c>
      <c r="L93" s="2" t="s">
        <v>27</v>
      </c>
      <c r="M93" s="2" t="s">
        <v>27</v>
      </c>
      <c r="N93" s="2">
        <v>1</v>
      </c>
      <c r="O93" s="2">
        <v>1</v>
      </c>
      <c r="P93" s="3">
        <v>0.06</v>
      </c>
      <c r="Q93" s="2">
        <v>35707</v>
      </c>
      <c r="R93" s="2">
        <v>5.83</v>
      </c>
      <c r="S93" s="1" t="s">
        <v>647</v>
      </c>
      <c r="T93" s="1" t="s">
        <v>646</v>
      </c>
      <c r="U93" s="1" t="s">
        <v>648</v>
      </c>
      <c r="V93" s="1" t="s">
        <v>649</v>
      </c>
      <c r="W93" s="1" t="s">
        <v>650</v>
      </c>
      <c r="X93" s="1" t="s">
        <v>651</v>
      </c>
      <c r="Y93" s="2">
        <v>314</v>
      </c>
      <c r="Z93" s="2">
        <v>5</v>
      </c>
      <c r="AA93" s="2">
        <f>33733.63-5</f>
        <v>33728.629999999997</v>
      </c>
      <c r="AB93" s="2">
        <f>33754.59-5</f>
        <v>33749.589999999997</v>
      </c>
      <c r="AC93" s="1" t="s">
        <v>596</v>
      </c>
      <c r="AD93" s="1" t="s">
        <v>27</v>
      </c>
      <c r="AE93" s="1" t="s">
        <v>652</v>
      </c>
      <c r="AF93" s="1" t="s">
        <v>243</v>
      </c>
      <c r="AG93" s="2">
        <v>0</v>
      </c>
      <c r="AH93" s="2">
        <v>1329</v>
      </c>
      <c r="AI93" s="2">
        <v>76.400000000000006</v>
      </c>
      <c r="AJ93" s="2" t="s">
        <v>653</v>
      </c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</row>
    <row r="94" spans="1:78" ht="15.6" x14ac:dyDescent="0.3">
      <c r="A94" s="1" t="s">
        <v>597</v>
      </c>
      <c r="B94" s="1" t="s">
        <v>597</v>
      </c>
      <c r="C94" s="2" t="s">
        <v>137</v>
      </c>
      <c r="D94" s="1" t="s">
        <v>654</v>
      </c>
      <c r="E94" s="2" t="s">
        <v>27</v>
      </c>
      <c r="F94" s="2">
        <v>97.42</v>
      </c>
      <c r="G94" s="2">
        <f t="shared" si="2"/>
        <v>1.8113400926195947E-10</v>
      </c>
      <c r="H94" s="2">
        <v>5</v>
      </c>
      <c r="I94" s="2">
        <v>5</v>
      </c>
      <c r="J94" s="3">
        <v>0.17</v>
      </c>
      <c r="K94" s="2" t="s">
        <v>27</v>
      </c>
      <c r="L94" s="2" t="s">
        <v>27</v>
      </c>
      <c r="M94" s="2" t="s">
        <v>27</v>
      </c>
      <c r="N94" s="2">
        <v>2</v>
      </c>
      <c r="O94" s="2">
        <v>2</v>
      </c>
      <c r="P94" s="3">
        <v>0.06</v>
      </c>
      <c r="Q94" s="2">
        <v>37289</v>
      </c>
      <c r="R94" s="2">
        <v>5.65</v>
      </c>
      <c r="S94" s="1" t="s">
        <v>655</v>
      </c>
      <c r="T94" s="1" t="s">
        <v>654</v>
      </c>
      <c r="U94" s="1" t="s">
        <v>656</v>
      </c>
      <c r="V94" s="1"/>
      <c r="W94" s="1" t="s">
        <v>612</v>
      </c>
      <c r="X94" s="1" t="s">
        <v>657</v>
      </c>
      <c r="Y94" s="2">
        <v>318</v>
      </c>
      <c r="Z94" s="2">
        <v>3</v>
      </c>
      <c r="AA94" s="2">
        <f>35047.16-3</f>
        <v>35044.160000000003</v>
      </c>
      <c r="AB94" s="2">
        <f>35069.16-3</f>
        <v>35066.160000000003</v>
      </c>
      <c r="AC94" s="1" t="s">
        <v>596</v>
      </c>
      <c r="AD94" s="1" t="s">
        <v>27</v>
      </c>
      <c r="AE94" s="1" t="s">
        <v>614</v>
      </c>
      <c r="AF94" s="1" t="s">
        <v>380</v>
      </c>
      <c r="AG94" s="2">
        <v>0</v>
      </c>
      <c r="AH94" s="2">
        <v>1366</v>
      </c>
      <c r="AI94" s="2">
        <v>78.400000000000006</v>
      </c>
      <c r="AJ94" s="2" t="s">
        <v>615</v>
      </c>
      <c r="AK94" s="1" t="s">
        <v>616</v>
      </c>
      <c r="AL94" s="1" t="s">
        <v>617</v>
      </c>
      <c r="AM94" s="1">
        <v>0</v>
      </c>
      <c r="AN94" s="1">
        <v>1344</v>
      </c>
      <c r="AO94" s="1">
        <v>76.8</v>
      </c>
      <c r="AP94" s="1" t="s">
        <v>618</v>
      </c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</row>
    <row r="95" spans="1:78" ht="15.6" x14ac:dyDescent="0.3">
      <c r="A95" s="1" t="s">
        <v>597</v>
      </c>
      <c r="B95" s="1" t="s">
        <v>597</v>
      </c>
      <c r="C95" s="2" t="s">
        <v>137</v>
      </c>
      <c r="D95" s="1" t="s">
        <v>658</v>
      </c>
      <c r="E95" s="2" t="s">
        <v>27</v>
      </c>
      <c r="F95" s="2">
        <v>251</v>
      </c>
      <c r="G95" s="2">
        <f t="shared" si="2"/>
        <v>7.943282347242744E-26</v>
      </c>
      <c r="H95" s="2">
        <v>21</v>
      </c>
      <c r="I95" s="2">
        <v>13</v>
      </c>
      <c r="J95" s="3">
        <v>0.33</v>
      </c>
      <c r="K95" s="2" t="s">
        <v>27</v>
      </c>
      <c r="L95" s="2" t="s">
        <v>27</v>
      </c>
      <c r="M95" s="2" t="s">
        <v>27</v>
      </c>
      <c r="N95" s="2">
        <v>1</v>
      </c>
      <c r="O95" s="2">
        <v>1</v>
      </c>
      <c r="P95" s="3">
        <v>0.06</v>
      </c>
      <c r="Q95" s="2">
        <v>37289</v>
      </c>
      <c r="R95" s="2">
        <v>4.71</v>
      </c>
      <c r="S95" s="1" t="s">
        <v>659</v>
      </c>
      <c r="T95" s="1" t="s">
        <v>658</v>
      </c>
      <c r="U95" s="1" t="s">
        <v>660</v>
      </c>
      <c r="V95" s="1" t="s">
        <v>661</v>
      </c>
      <c r="W95" s="1" t="s">
        <v>662</v>
      </c>
      <c r="X95" s="1" t="s">
        <v>663</v>
      </c>
      <c r="Y95" s="2">
        <v>318</v>
      </c>
      <c r="Z95" s="2">
        <v>3</v>
      </c>
      <c r="AA95" s="2">
        <f>34227.8-3</f>
        <v>34224.800000000003</v>
      </c>
      <c r="AB95" s="2">
        <f>35069.16-3</f>
        <v>35066.160000000003</v>
      </c>
      <c r="AC95" s="1" t="s">
        <v>596</v>
      </c>
      <c r="AD95" s="1" t="s">
        <v>27</v>
      </c>
      <c r="AE95" s="1" t="s">
        <v>616</v>
      </c>
      <c r="AF95" s="1" t="s">
        <v>328</v>
      </c>
      <c r="AG95" s="4">
        <v>0</v>
      </c>
      <c r="AH95" s="2">
        <v>1383</v>
      </c>
      <c r="AI95" s="2">
        <v>78.400000000000006</v>
      </c>
      <c r="AJ95" s="2" t="s">
        <v>664</v>
      </c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</row>
    <row r="96" spans="1:78" ht="15.6" x14ac:dyDescent="0.3">
      <c r="A96" s="1" t="s">
        <v>597</v>
      </c>
      <c r="B96" s="1" t="s">
        <v>597</v>
      </c>
      <c r="C96" s="2" t="s">
        <v>137</v>
      </c>
      <c r="D96" s="1" t="s">
        <v>665</v>
      </c>
      <c r="E96" s="2" t="s">
        <v>27</v>
      </c>
      <c r="F96" s="2">
        <v>97.42</v>
      </c>
      <c r="G96" s="2">
        <f t="shared" si="2"/>
        <v>1.8113400926195947E-10</v>
      </c>
      <c r="H96" s="2">
        <v>5</v>
      </c>
      <c r="I96" s="2">
        <v>5</v>
      </c>
      <c r="J96" s="3">
        <v>0.17</v>
      </c>
      <c r="K96" s="2" t="s">
        <v>27</v>
      </c>
      <c r="L96" s="2" t="s">
        <v>27</v>
      </c>
      <c r="M96" s="2" t="s">
        <v>27</v>
      </c>
      <c r="N96" s="2">
        <v>2</v>
      </c>
      <c r="O96" s="2">
        <v>2</v>
      </c>
      <c r="P96" s="3">
        <v>0.06</v>
      </c>
      <c r="Q96" s="2">
        <v>37289</v>
      </c>
      <c r="R96" s="2">
        <v>3.43</v>
      </c>
      <c r="S96" s="1" t="s">
        <v>666</v>
      </c>
      <c r="T96" s="1" t="s">
        <v>665</v>
      </c>
      <c r="U96" s="1" t="s">
        <v>656</v>
      </c>
      <c r="V96" s="1" t="s">
        <v>637</v>
      </c>
      <c r="W96" s="1" t="s">
        <v>612</v>
      </c>
      <c r="X96" s="1" t="s">
        <v>657</v>
      </c>
      <c r="Y96" s="2">
        <v>318</v>
      </c>
      <c r="Z96" s="2">
        <v>3</v>
      </c>
      <c r="AA96" s="2">
        <f>35047.16-3</f>
        <v>35044.160000000003</v>
      </c>
      <c r="AB96" s="2">
        <f>35069.16-3</f>
        <v>35066.160000000003</v>
      </c>
      <c r="AC96" s="1" t="s">
        <v>596</v>
      </c>
      <c r="AD96" s="1" t="s">
        <v>27</v>
      </c>
      <c r="AE96" s="1" t="s">
        <v>614</v>
      </c>
      <c r="AF96" s="1" t="s">
        <v>380</v>
      </c>
      <c r="AG96" s="4">
        <v>0</v>
      </c>
      <c r="AH96" s="2">
        <v>1366</v>
      </c>
      <c r="AI96" s="2">
        <v>78.400000000000006</v>
      </c>
      <c r="AJ96" s="2" t="s">
        <v>615</v>
      </c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</row>
    <row r="97" spans="1:78" ht="15.6" x14ac:dyDescent="0.3">
      <c r="A97" s="1" t="s">
        <v>597</v>
      </c>
      <c r="B97" s="1" t="s">
        <v>597</v>
      </c>
      <c r="C97" s="2" t="s">
        <v>137</v>
      </c>
      <c r="D97" s="1" t="s">
        <v>667</v>
      </c>
      <c r="E97" s="2" t="s">
        <v>27</v>
      </c>
      <c r="F97" s="2">
        <v>169.97</v>
      </c>
      <c r="G97" s="2">
        <f t="shared" si="2"/>
        <v>1.0069316688518018E-17</v>
      </c>
      <c r="H97" s="2">
        <v>8</v>
      </c>
      <c r="I97" s="2">
        <v>8</v>
      </c>
      <c r="J97" s="3">
        <v>0.18</v>
      </c>
      <c r="K97" s="2" t="s">
        <v>27</v>
      </c>
      <c r="L97" s="2" t="s">
        <v>27</v>
      </c>
      <c r="M97" s="2" t="s">
        <v>27</v>
      </c>
      <c r="N97" s="2" t="s">
        <v>27</v>
      </c>
      <c r="O97" s="2" t="s">
        <v>27</v>
      </c>
      <c r="P97" s="2" t="s">
        <v>27</v>
      </c>
      <c r="Q97" s="2">
        <v>36194</v>
      </c>
      <c r="R97" s="2">
        <v>1.0900000000000001</v>
      </c>
      <c r="S97" s="1" t="s">
        <v>668</v>
      </c>
      <c r="T97" s="1" t="s">
        <v>667</v>
      </c>
      <c r="U97" s="1" t="s">
        <v>669</v>
      </c>
      <c r="V97" s="1" t="s">
        <v>670</v>
      </c>
      <c r="W97" s="1" t="s">
        <v>671</v>
      </c>
      <c r="X97" s="1" t="s">
        <v>672</v>
      </c>
      <c r="Y97" s="2">
        <v>317</v>
      </c>
      <c r="Z97" s="2">
        <v>5</v>
      </c>
      <c r="AA97" s="2">
        <f>34077.81-5</f>
        <v>34072.81</v>
      </c>
      <c r="AB97" s="2">
        <f>34099.23-5</f>
        <v>34094.230000000003</v>
      </c>
      <c r="AC97" s="1" t="s">
        <v>596</v>
      </c>
      <c r="AD97" s="1" t="s">
        <v>27</v>
      </c>
      <c r="AE97" s="1" t="s">
        <v>598</v>
      </c>
      <c r="AF97" s="1" t="s">
        <v>380</v>
      </c>
      <c r="AG97" s="4">
        <v>7.6999999999999998E-145</v>
      </c>
      <c r="AH97" s="2">
        <v>1078</v>
      </c>
      <c r="AI97" s="2">
        <v>62.3</v>
      </c>
      <c r="AJ97" s="2" t="s">
        <v>673</v>
      </c>
      <c r="AK97" s="1" t="s">
        <v>674</v>
      </c>
      <c r="AL97" s="1" t="s">
        <v>113</v>
      </c>
      <c r="AM97" s="5">
        <v>2.0999999999999999E-142</v>
      </c>
      <c r="AN97" s="1">
        <v>1062</v>
      </c>
      <c r="AO97" s="1">
        <v>61</v>
      </c>
      <c r="AP97" s="1" t="s">
        <v>675</v>
      </c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</row>
    <row r="98" spans="1:78" ht="15.6" x14ac:dyDescent="0.3">
      <c r="A98" s="1" t="s">
        <v>597</v>
      </c>
      <c r="B98" s="1" t="s">
        <v>597</v>
      </c>
      <c r="C98" s="2" t="s">
        <v>137</v>
      </c>
      <c r="D98" s="1" t="s">
        <v>676</v>
      </c>
      <c r="E98" s="2" t="s">
        <v>27</v>
      </c>
      <c r="F98" s="2">
        <v>88.8</v>
      </c>
      <c r="G98" s="2">
        <f t="shared" ref="G98:G129" si="3">(10)^(-F98/10)</f>
        <v>1.3182567385564066E-9</v>
      </c>
      <c r="H98" s="2">
        <v>2</v>
      </c>
      <c r="I98" s="2">
        <v>2</v>
      </c>
      <c r="J98" s="3">
        <v>0.09</v>
      </c>
      <c r="K98" s="2" t="s">
        <v>27</v>
      </c>
      <c r="L98" s="2" t="s">
        <v>27</v>
      </c>
      <c r="M98" s="2" t="s">
        <v>27</v>
      </c>
      <c r="N98" s="2" t="s">
        <v>27</v>
      </c>
      <c r="O98" s="2" t="s">
        <v>27</v>
      </c>
      <c r="P98" s="2" t="s">
        <v>27</v>
      </c>
      <c r="Q98" s="2">
        <v>35288</v>
      </c>
      <c r="R98" s="2">
        <v>0.93</v>
      </c>
      <c r="S98" s="1" t="s">
        <v>677</v>
      </c>
      <c r="T98" s="1" t="s">
        <v>676</v>
      </c>
      <c r="U98" s="1" t="s">
        <v>678</v>
      </c>
      <c r="V98" s="1" t="s">
        <v>679</v>
      </c>
      <c r="W98" s="1" t="s">
        <v>680</v>
      </c>
      <c r="X98" s="1" t="s">
        <v>681</v>
      </c>
      <c r="Y98" s="2">
        <v>310</v>
      </c>
      <c r="Z98" s="2">
        <v>4</v>
      </c>
      <c r="AA98" s="2">
        <f>33603.6-4</f>
        <v>33599.599999999999</v>
      </c>
      <c r="AB98" s="2">
        <f>33624.88-4</f>
        <v>33620.879999999997</v>
      </c>
      <c r="AC98" s="1" t="s">
        <v>596</v>
      </c>
      <c r="AD98" s="1" t="s">
        <v>27</v>
      </c>
      <c r="AE98" s="1" t="s">
        <v>616</v>
      </c>
      <c r="AF98" s="1" t="s">
        <v>328</v>
      </c>
      <c r="AG98" s="2">
        <v>0</v>
      </c>
      <c r="AH98" s="2">
        <v>1373</v>
      </c>
      <c r="AI98" s="2">
        <v>77.7</v>
      </c>
      <c r="AJ98" s="2" t="s">
        <v>682</v>
      </c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</row>
    <row r="99" spans="1:78" ht="15.6" x14ac:dyDescent="0.3">
      <c r="A99" s="1" t="s">
        <v>701</v>
      </c>
      <c r="B99" s="1" t="s">
        <v>1619</v>
      </c>
      <c r="C99" s="2" t="s">
        <v>25</v>
      </c>
      <c r="D99" s="1" t="s">
        <v>26</v>
      </c>
      <c r="E99" s="12" t="s">
        <v>694</v>
      </c>
      <c r="F99" s="2">
        <v>167.07</v>
      </c>
      <c r="G99" s="2">
        <f t="shared" si="3"/>
        <v>1.9633602768360363E-17</v>
      </c>
      <c r="H99" s="2" t="s">
        <v>27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>
        <v>2</v>
      </c>
      <c r="O99" s="2">
        <v>2</v>
      </c>
      <c r="P99" s="3">
        <v>0.16</v>
      </c>
      <c r="Q99" s="2">
        <v>16671</v>
      </c>
      <c r="R99" s="2">
        <v>5.49</v>
      </c>
      <c r="S99" s="1" t="s">
        <v>28</v>
      </c>
      <c r="T99" s="1" t="s">
        <v>26</v>
      </c>
      <c r="U99" s="1" t="s">
        <v>29</v>
      </c>
      <c r="V99" s="1" t="s">
        <v>30</v>
      </c>
      <c r="W99" s="1" t="s">
        <v>31</v>
      </c>
      <c r="X99" s="1" t="s">
        <v>32</v>
      </c>
      <c r="Y99" s="2">
        <v>111</v>
      </c>
      <c r="Z99" s="2">
        <v>4</v>
      </c>
      <c r="AA99" s="2">
        <f>12924.44-4</f>
        <v>12920.44</v>
      </c>
      <c r="AB99" s="2">
        <f>12932.48-4</f>
        <v>12928.48</v>
      </c>
      <c r="AC99" s="1" t="s">
        <v>33</v>
      </c>
      <c r="AD99" s="1"/>
      <c r="AE99" s="1" t="s">
        <v>34</v>
      </c>
      <c r="AF99" s="1" t="s">
        <v>35</v>
      </c>
      <c r="AG99" s="4">
        <v>4.5999999999999998E-66</v>
      </c>
      <c r="AH99" s="2">
        <v>517</v>
      </c>
      <c r="AI99" s="2">
        <v>83.6</v>
      </c>
      <c r="AJ99" s="2"/>
      <c r="AK99" s="1" t="s">
        <v>36</v>
      </c>
      <c r="AL99" s="1" t="s">
        <v>37</v>
      </c>
      <c r="AM99" s="5">
        <v>3.2999999999999999E-36</v>
      </c>
      <c r="AN99" s="1">
        <v>321</v>
      </c>
      <c r="AO99" s="1">
        <v>53.5</v>
      </c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</row>
    <row r="100" spans="1:78" ht="15.6" x14ac:dyDescent="0.3">
      <c r="A100" s="1" t="s">
        <v>701</v>
      </c>
      <c r="B100" s="1" t="s">
        <v>701</v>
      </c>
      <c r="C100" s="2" t="s">
        <v>137</v>
      </c>
      <c r="D100" s="1" t="s">
        <v>693</v>
      </c>
      <c r="E100" s="12" t="s">
        <v>704</v>
      </c>
      <c r="F100" s="2">
        <v>157.05000000000001</v>
      </c>
      <c r="G100" s="2">
        <f t="shared" si="3"/>
        <v>1.9724227361148415E-16</v>
      </c>
      <c r="H100" s="2">
        <v>2</v>
      </c>
      <c r="I100" s="2">
        <v>2</v>
      </c>
      <c r="J100" s="3">
        <v>0.16</v>
      </c>
      <c r="K100" s="2" t="s">
        <v>27</v>
      </c>
      <c r="L100" s="2" t="s">
        <v>27</v>
      </c>
      <c r="M100" s="2" t="s">
        <v>27</v>
      </c>
      <c r="N100" s="2">
        <v>2</v>
      </c>
      <c r="O100" s="2">
        <v>2</v>
      </c>
      <c r="P100" s="3">
        <v>0.17</v>
      </c>
      <c r="Q100" s="2">
        <v>13604</v>
      </c>
      <c r="R100" s="2">
        <v>74.22</v>
      </c>
      <c r="S100" s="1" t="s">
        <v>695</v>
      </c>
      <c r="T100" s="1" t="s">
        <v>693</v>
      </c>
      <c r="U100" s="1" t="s">
        <v>696</v>
      </c>
      <c r="V100" s="1" t="s">
        <v>697</v>
      </c>
      <c r="W100" s="1" t="s">
        <v>698</v>
      </c>
      <c r="X100" s="1" t="s">
        <v>699</v>
      </c>
      <c r="Y100" s="2">
        <v>105</v>
      </c>
      <c r="Z100" s="2">
        <v>4</v>
      </c>
      <c r="AA100" s="2">
        <f>11699.64-4</f>
        <v>11695.64</v>
      </c>
      <c r="AB100" s="2">
        <f>11707.12-4</f>
        <v>11703.12</v>
      </c>
      <c r="AC100" s="1" t="s">
        <v>700</v>
      </c>
      <c r="AD100" s="1"/>
      <c r="AE100" s="1" t="s">
        <v>702</v>
      </c>
      <c r="AF100" s="1" t="s">
        <v>82</v>
      </c>
      <c r="AG100" s="4">
        <v>5.0999999999999997E-47</v>
      </c>
      <c r="AH100" s="2">
        <v>391</v>
      </c>
      <c r="AI100" s="2">
        <v>70.3</v>
      </c>
      <c r="AJ100" s="2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</row>
    <row r="101" spans="1:78" ht="15.6" x14ac:dyDescent="0.3">
      <c r="A101" s="1" t="s">
        <v>701</v>
      </c>
      <c r="B101" s="1" t="s">
        <v>701</v>
      </c>
      <c r="C101" s="2" t="s">
        <v>137</v>
      </c>
      <c r="D101" s="1" t="s">
        <v>703</v>
      </c>
      <c r="E101" s="12" t="s">
        <v>709</v>
      </c>
      <c r="F101" s="2">
        <v>157.05000000000001</v>
      </c>
      <c r="G101" s="2">
        <f t="shared" si="3"/>
        <v>1.9724227361148415E-16</v>
      </c>
      <c r="H101" s="2">
        <v>2</v>
      </c>
      <c r="I101" s="2">
        <v>2</v>
      </c>
      <c r="J101" s="3">
        <v>0.16</v>
      </c>
      <c r="K101" s="2" t="s">
        <v>27</v>
      </c>
      <c r="L101" s="2" t="s">
        <v>27</v>
      </c>
      <c r="M101" s="2" t="s">
        <v>27</v>
      </c>
      <c r="N101" s="2">
        <v>2</v>
      </c>
      <c r="O101" s="2">
        <v>2</v>
      </c>
      <c r="P101" s="3">
        <v>0.17</v>
      </c>
      <c r="Q101" s="2">
        <v>13646</v>
      </c>
      <c r="R101" s="2">
        <v>943.34</v>
      </c>
      <c r="S101" s="1" t="s">
        <v>705</v>
      </c>
      <c r="T101" s="1" t="s">
        <v>703</v>
      </c>
      <c r="U101" s="1" t="s">
        <v>706</v>
      </c>
      <c r="V101" s="1" t="s">
        <v>697</v>
      </c>
      <c r="W101" s="1" t="s">
        <v>698</v>
      </c>
      <c r="X101" s="1" t="s">
        <v>707</v>
      </c>
      <c r="Y101" s="2">
        <v>105</v>
      </c>
      <c r="Z101" s="2">
        <v>4</v>
      </c>
      <c r="AA101" s="2">
        <f>11741.69</f>
        <v>11741.69</v>
      </c>
      <c r="AB101" s="2">
        <f>11749.2-4</f>
        <v>11745.2</v>
      </c>
      <c r="AC101" s="1" t="s">
        <v>700</v>
      </c>
      <c r="AD101" s="1"/>
      <c r="AE101" s="1" t="s">
        <v>702</v>
      </c>
      <c r="AF101" s="1" t="s">
        <v>82</v>
      </c>
      <c r="AG101" s="4">
        <v>5.0999999999999997E-47</v>
      </c>
      <c r="AH101" s="2">
        <v>391</v>
      </c>
      <c r="AI101" s="2">
        <v>70.3</v>
      </c>
      <c r="AJ101" s="2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</row>
    <row r="102" spans="1:78" ht="15.6" x14ac:dyDescent="0.3">
      <c r="A102" s="1" t="s">
        <v>701</v>
      </c>
      <c r="B102" s="1" t="s">
        <v>701</v>
      </c>
      <c r="C102" s="2" t="s">
        <v>137</v>
      </c>
      <c r="D102" s="1" t="s">
        <v>708</v>
      </c>
      <c r="E102" s="12" t="s">
        <v>717</v>
      </c>
      <c r="F102" s="2">
        <v>127.59</v>
      </c>
      <c r="G102" s="2">
        <f t="shared" si="3"/>
        <v>1.7418068733916049E-13</v>
      </c>
      <c r="H102" s="2">
        <v>24</v>
      </c>
      <c r="I102" s="2">
        <v>24</v>
      </c>
      <c r="J102" s="3">
        <v>0.55000000000000004</v>
      </c>
      <c r="K102" s="2">
        <v>6</v>
      </c>
      <c r="L102" s="2">
        <v>6</v>
      </c>
      <c r="M102" s="3">
        <v>0.38</v>
      </c>
      <c r="N102" s="2">
        <v>3</v>
      </c>
      <c r="O102" s="2">
        <v>3</v>
      </c>
      <c r="P102" s="2">
        <v>20</v>
      </c>
      <c r="Q102" s="2">
        <v>13777</v>
      </c>
      <c r="R102" s="2">
        <v>305.83</v>
      </c>
      <c r="S102" s="1" t="s">
        <v>710</v>
      </c>
      <c r="T102" s="1" t="s">
        <v>708</v>
      </c>
      <c r="U102" s="1" t="s">
        <v>711</v>
      </c>
      <c r="V102" s="1" t="s">
        <v>712</v>
      </c>
      <c r="W102" s="1" t="s">
        <v>713</v>
      </c>
      <c r="X102" s="1" t="s">
        <v>714</v>
      </c>
      <c r="Y102" s="2">
        <v>107</v>
      </c>
      <c r="Z102" s="2">
        <v>4</v>
      </c>
      <c r="AA102" s="2">
        <f>12167.17-4</f>
        <v>12163.17</v>
      </c>
      <c r="AB102" s="2">
        <f>12174.82-4</f>
        <v>12170.82</v>
      </c>
      <c r="AC102" s="1" t="s">
        <v>715</v>
      </c>
      <c r="AD102" s="1"/>
      <c r="AE102" s="1" t="s">
        <v>36</v>
      </c>
      <c r="AF102" s="1" t="s">
        <v>392</v>
      </c>
      <c r="AG102" s="4">
        <v>8.9000000000000004E-18</v>
      </c>
      <c r="AH102" s="2">
        <v>199</v>
      </c>
      <c r="AI102" s="2">
        <v>39.299999999999997</v>
      </c>
      <c r="AJ102" s="2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</row>
    <row r="103" spans="1:78" ht="15.6" x14ac:dyDescent="0.3">
      <c r="A103" s="1" t="s">
        <v>701</v>
      </c>
      <c r="B103" s="1" t="s">
        <v>701</v>
      </c>
      <c r="C103" s="2" t="s">
        <v>137</v>
      </c>
      <c r="D103" s="1" t="s">
        <v>716</v>
      </c>
      <c r="E103" s="12" t="s">
        <v>1547</v>
      </c>
      <c r="F103" s="2">
        <v>60.9</v>
      </c>
      <c r="G103" s="2">
        <f t="shared" si="3"/>
        <v>8.1283051616409889E-7</v>
      </c>
      <c r="H103" s="2">
        <v>1</v>
      </c>
      <c r="I103" s="2">
        <v>1</v>
      </c>
      <c r="J103" s="3">
        <v>0.15</v>
      </c>
      <c r="K103" s="2" t="s">
        <v>27</v>
      </c>
      <c r="L103" s="2" t="s">
        <v>27</v>
      </c>
      <c r="M103" s="2" t="s">
        <v>27</v>
      </c>
      <c r="N103" s="2" t="s">
        <v>27</v>
      </c>
      <c r="O103" s="2" t="s">
        <v>27</v>
      </c>
      <c r="P103" s="2" t="s">
        <v>27</v>
      </c>
      <c r="Q103" s="2">
        <v>9907</v>
      </c>
      <c r="R103" s="2">
        <v>2.4</v>
      </c>
      <c r="S103" s="1" t="s">
        <v>718</v>
      </c>
      <c r="T103" s="1" t="s">
        <v>716</v>
      </c>
      <c r="U103" s="1" t="s">
        <v>719</v>
      </c>
      <c r="V103" s="1" t="s">
        <v>720</v>
      </c>
      <c r="W103" s="1" t="s">
        <v>721</v>
      </c>
      <c r="X103" s="1" t="s">
        <v>722</v>
      </c>
      <c r="Y103" s="2">
        <v>55</v>
      </c>
      <c r="Z103" s="2">
        <v>3</v>
      </c>
      <c r="AA103" s="2">
        <f>6058.06-3</f>
        <v>6055.06</v>
      </c>
      <c r="AB103" s="2">
        <f>6061.99-3</f>
        <v>6058.99</v>
      </c>
      <c r="AC103" s="1" t="s">
        <v>723</v>
      </c>
      <c r="AD103" s="1"/>
      <c r="AE103" s="1" t="s">
        <v>724</v>
      </c>
      <c r="AF103" s="1" t="s">
        <v>380</v>
      </c>
      <c r="AG103" s="4">
        <v>3.9999999999999999E-19</v>
      </c>
      <c r="AH103" s="2">
        <v>208</v>
      </c>
      <c r="AI103" s="2">
        <v>55.8</v>
      </c>
      <c r="AJ103" s="2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</row>
    <row r="104" spans="1:78" ht="15.6" x14ac:dyDescent="0.3">
      <c r="A104" s="1" t="s">
        <v>1605</v>
      </c>
      <c r="B104" s="1" t="s">
        <v>1605</v>
      </c>
      <c r="C104" s="2" t="s">
        <v>137</v>
      </c>
      <c r="D104" s="1" t="s">
        <v>1277</v>
      </c>
      <c r="E104" s="2" t="s">
        <v>27</v>
      </c>
      <c r="F104" s="2">
        <v>153.52000000000001</v>
      </c>
      <c r="G104" s="2">
        <f t="shared" si="3"/>
        <v>4.4463126746910688E-16</v>
      </c>
      <c r="H104" s="2">
        <v>2</v>
      </c>
      <c r="I104" s="2">
        <v>2</v>
      </c>
      <c r="J104" s="3">
        <v>0.08</v>
      </c>
      <c r="K104" s="2" t="s">
        <v>27</v>
      </c>
      <c r="L104" s="2" t="s">
        <v>27</v>
      </c>
      <c r="M104" s="2" t="s">
        <v>27</v>
      </c>
      <c r="N104" s="2">
        <v>4</v>
      </c>
      <c r="O104" s="2">
        <v>4</v>
      </c>
      <c r="P104" s="3">
        <v>0.21</v>
      </c>
      <c r="Q104" s="2">
        <v>25775</v>
      </c>
      <c r="R104" s="2">
        <v>4633.57</v>
      </c>
      <c r="S104" s="1" t="s">
        <v>1278</v>
      </c>
      <c r="T104" s="1" t="s">
        <v>1277</v>
      </c>
      <c r="U104" s="1" t="s">
        <v>1279</v>
      </c>
      <c r="V104" s="1" t="s">
        <v>1280</v>
      </c>
      <c r="W104" s="1" t="s">
        <v>1281</v>
      </c>
      <c r="X104" s="1" t="s">
        <v>1282</v>
      </c>
      <c r="Y104" s="2">
        <v>214</v>
      </c>
      <c r="Z104" s="2">
        <v>12</v>
      </c>
      <c r="AA104" s="2">
        <f>23908.92-12</f>
        <v>23896.92</v>
      </c>
      <c r="AB104" s="2">
        <f>23924.36-12</f>
        <v>23912.36</v>
      </c>
      <c r="AC104" s="1" t="s">
        <v>1283</v>
      </c>
      <c r="AD104" s="1"/>
      <c r="AE104" s="1" t="s">
        <v>1284</v>
      </c>
      <c r="AF104" s="1" t="s">
        <v>1285</v>
      </c>
      <c r="AG104" s="4">
        <v>3.9999999999999997E-88</v>
      </c>
      <c r="AH104" s="2">
        <v>684</v>
      </c>
      <c r="AI104" s="2">
        <v>57.1</v>
      </c>
      <c r="AJ104" s="2" t="s">
        <v>1286</v>
      </c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</row>
    <row r="105" spans="1:78" ht="15.6" x14ac:dyDescent="0.3">
      <c r="A105" s="1" t="s">
        <v>1605</v>
      </c>
      <c r="B105" s="1" t="s">
        <v>1605</v>
      </c>
      <c r="C105" s="2" t="s">
        <v>137</v>
      </c>
      <c r="D105" s="1" t="s">
        <v>1287</v>
      </c>
      <c r="E105" s="2" t="s">
        <v>27</v>
      </c>
      <c r="F105" s="2">
        <v>209.07</v>
      </c>
      <c r="G105" s="2">
        <f t="shared" si="3"/>
        <v>1.2387965865303596E-21</v>
      </c>
      <c r="H105" s="2">
        <v>16</v>
      </c>
      <c r="I105" s="2">
        <v>16</v>
      </c>
      <c r="J105" s="3">
        <v>0.37</v>
      </c>
      <c r="K105" s="2">
        <v>11</v>
      </c>
      <c r="L105" s="2">
        <v>11</v>
      </c>
      <c r="M105" s="3">
        <v>0.37</v>
      </c>
      <c r="N105" s="2" t="s">
        <v>27</v>
      </c>
      <c r="O105" s="11" t="s">
        <v>27</v>
      </c>
      <c r="P105" s="2" t="s">
        <v>27</v>
      </c>
      <c r="Q105" s="2"/>
      <c r="R105" s="2">
        <v>515.34</v>
      </c>
      <c r="S105" s="9" t="s">
        <v>1288</v>
      </c>
      <c r="T105" s="1" t="s">
        <v>1287</v>
      </c>
      <c r="U105" s="1" t="s">
        <v>1289</v>
      </c>
      <c r="V105" s="1" t="s">
        <v>1290</v>
      </c>
      <c r="W105" s="1" t="s">
        <v>1291</v>
      </c>
      <c r="X105" s="1" t="s">
        <v>1292</v>
      </c>
      <c r="Y105" s="2">
        <v>21</v>
      </c>
      <c r="Z105" s="2">
        <v>0</v>
      </c>
      <c r="AA105" s="2">
        <v>2067.15</v>
      </c>
      <c r="AB105" s="2">
        <v>2068.36</v>
      </c>
      <c r="AC105" s="1" t="s">
        <v>1123</v>
      </c>
      <c r="AD105" s="1"/>
      <c r="AE105" s="1" t="s">
        <v>1293</v>
      </c>
      <c r="AF105" s="1" t="s">
        <v>1294</v>
      </c>
      <c r="AG105" s="2" t="s">
        <v>1295</v>
      </c>
      <c r="AH105" s="2">
        <v>70</v>
      </c>
      <c r="AI105" s="2" t="s">
        <v>1296</v>
      </c>
      <c r="AJ105" s="2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</row>
    <row r="106" spans="1:78" ht="15.6" x14ac:dyDescent="0.3">
      <c r="A106" s="1" t="s">
        <v>1605</v>
      </c>
      <c r="B106" s="1" t="s">
        <v>1605</v>
      </c>
      <c r="C106" s="2" t="s">
        <v>137</v>
      </c>
      <c r="D106" s="1" t="s">
        <v>1297</v>
      </c>
      <c r="E106" s="2" t="s">
        <v>27</v>
      </c>
      <c r="F106" s="2">
        <v>170.44</v>
      </c>
      <c r="G106" s="2">
        <f t="shared" si="3"/>
        <v>9.0364947372229835E-18</v>
      </c>
      <c r="H106" s="2">
        <v>10</v>
      </c>
      <c r="I106" s="2">
        <v>10</v>
      </c>
      <c r="J106" s="3">
        <v>0.33</v>
      </c>
      <c r="K106" s="2">
        <v>7</v>
      </c>
      <c r="L106" s="2">
        <v>7</v>
      </c>
      <c r="M106" s="3">
        <v>0.33</v>
      </c>
      <c r="N106" s="2" t="s">
        <v>27</v>
      </c>
      <c r="O106" s="11" t="s">
        <v>27</v>
      </c>
      <c r="P106" s="2" t="s">
        <v>27</v>
      </c>
      <c r="Q106" s="2"/>
      <c r="R106" s="2">
        <v>484.95</v>
      </c>
      <c r="S106" s="9" t="s">
        <v>1298</v>
      </c>
      <c r="T106" s="1" t="s">
        <v>1299</v>
      </c>
      <c r="U106" s="1" t="s">
        <v>1300</v>
      </c>
      <c r="V106" s="1" t="s">
        <v>1301</v>
      </c>
      <c r="W106" s="1" t="s">
        <v>1302</v>
      </c>
      <c r="X106" s="1" t="s">
        <v>1303</v>
      </c>
      <c r="Y106" s="2">
        <v>21</v>
      </c>
      <c r="Z106" s="2">
        <v>0</v>
      </c>
      <c r="AA106" s="2">
        <v>2153.19</v>
      </c>
      <c r="AB106" s="2">
        <v>2154.4499999999998</v>
      </c>
      <c r="AC106" s="1" t="s">
        <v>1123</v>
      </c>
      <c r="AD106" s="1"/>
      <c r="AE106" s="1" t="s">
        <v>1304</v>
      </c>
      <c r="AF106" s="1" t="s">
        <v>1305</v>
      </c>
      <c r="AG106" s="2" t="s">
        <v>1306</v>
      </c>
      <c r="AH106" s="2">
        <v>68</v>
      </c>
      <c r="AI106" s="2">
        <v>100</v>
      </c>
      <c r="AJ106" s="2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</row>
    <row r="107" spans="1:78" ht="15.6" x14ac:dyDescent="0.3">
      <c r="A107" s="1" t="s">
        <v>1605</v>
      </c>
      <c r="B107" s="1" t="s">
        <v>1605</v>
      </c>
      <c r="C107" s="2" t="s">
        <v>137</v>
      </c>
      <c r="D107" s="1" t="s">
        <v>1307</v>
      </c>
      <c r="E107" s="2" t="s">
        <v>27</v>
      </c>
      <c r="F107" s="2">
        <v>142.66999999999999</v>
      </c>
      <c r="G107" s="2">
        <f t="shared" si="3"/>
        <v>5.407543229455808E-15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>
        <v>1</v>
      </c>
      <c r="O107" s="2">
        <v>1</v>
      </c>
      <c r="P107" s="3">
        <v>0.11</v>
      </c>
      <c r="Q107" s="2">
        <v>15063</v>
      </c>
      <c r="R107" s="2">
        <v>343.45</v>
      </c>
      <c r="S107" s="1" t="s">
        <v>1308</v>
      </c>
      <c r="T107" s="1" t="s">
        <v>1307</v>
      </c>
      <c r="U107" s="1" t="s">
        <v>1309</v>
      </c>
      <c r="V107" s="1" t="s">
        <v>1310</v>
      </c>
      <c r="W107" s="1" t="s">
        <v>1311</v>
      </c>
      <c r="X107" s="1" t="s">
        <v>1312</v>
      </c>
      <c r="Y107" s="2">
        <v>120</v>
      </c>
      <c r="Z107" s="2">
        <v>0</v>
      </c>
      <c r="AA107" s="2" t="s">
        <v>1313</v>
      </c>
      <c r="AB107" s="2">
        <v>13311.75</v>
      </c>
      <c r="AC107" s="1" t="s">
        <v>100</v>
      </c>
      <c r="AD107" s="1" t="s">
        <v>258</v>
      </c>
      <c r="AE107" s="1" t="s">
        <v>1314</v>
      </c>
      <c r="AF107" s="1" t="s">
        <v>765</v>
      </c>
      <c r="AG107" s="4">
        <v>3.9000000000000001E-11</v>
      </c>
      <c r="AH107" s="2">
        <v>163</v>
      </c>
      <c r="AI107" s="2">
        <v>41.6</v>
      </c>
      <c r="AJ107" s="2" t="s">
        <v>1315</v>
      </c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</row>
    <row r="108" spans="1:78" ht="15.6" x14ac:dyDescent="0.3">
      <c r="A108" s="1" t="s">
        <v>1605</v>
      </c>
      <c r="B108" s="1" t="s">
        <v>1605</v>
      </c>
      <c r="C108" s="2" t="s">
        <v>137</v>
      </c>
      <c r="D108" s="1" t="s">
        <v>1316</v>
      </c>
      <c r="E108" s="2" t="s">
        <v>27</v>
      </c>
      <c r="F108" s="2">
        <v>191.16</v>
      </c>
      <c r="G108" s="2">
        <f t="shared" si="3"/>
        <v>7.6559660691125148E-20</v>
      </c>
      <c r="H108" s="2">
        <v>10</v>
      </c>
      <c r="I108" s="2">
        <v>10</v>
      </c>
      <c r="J108" s="3">
        <v>0.37</v>
      </c>
      <c r="K108" s="2">
        <v>6</v>
      </c>
      <c r="L108" s="2">
        <v>6</v>
      </c>
      <c r="M108" s="3">
        <v>0.37</v>
      </c>
      <c r="N108" s="2" t="s">
        <v>27</v>
      </c>
      <c r="O108" s="11" t="s">
        <v>27</v>
      </c>
      <c r="P108" s="2" t="s">
        <v>27</v>
      </c>
      <c r="Q108" s="2"/>
      <c r="R108" s="2">
        <v>255.61</v>
      </c>
      <c r="S108" s="9" t="s">
        <v>1317</v>
      </c>
      <c r="T108" s="1" t="s">
        <v>1316</v>
      </c>
      <c r="U108" s="1" t="s">
        <v>1318</v>
      </c>
      <c r="V108" s="1" t="s">
        <v>1319</v>
      </c>
      <c r="W108" s="1" t="s">
        <v>1320</v>
      </c>
      <c r="X108" s="1" t="s">
        <v>1321</v>
      </c>
      <c r="Y108" s="2">
        <v>21</v>
      </c>
      <c r="Z108" s="2">
        <v>0</v>
      </c>
      <c r="AA108" s="2">
        <f>2039.12-0</f>
        <v>2039.12</v>
      </c>
      <c r="AB108" s="2">
        <v>2040.31</v>
      </c>
      <c r="AC108" s="1" t="s">
        <v>1123</v>
      </c>
      <c r="AD108" s="1"/>
      <c r="AE108" s="1" t="s">
        <v>1322</v>
      </c>
      <c r="AF108" s="1" t="s">
        <v>1323</v>
      </c>
      <c r="AG108" s="2" t="s">
        <v>1324</v>
      </c>
      <c r="AH108" s="2">
        <v>73</v>
      </c>
      <c r="AI108" s="2">
        <v>80</v>
      </c>
      <c r="AJ108" s="2"/>
      <c r="AK108" s="1" t="s">
        <v>1325</v>
      </c>
      <c r="AL108" s="1" t="s">
        <v>1326</v>
      </c>
      <c r="AM108" s="1" t="s">
        <v>1306</v>
      </c>
      <c r="AN108" s="1">
        <v>69</v>
      </c>
      <c r="AO108" s="1">
        <v>76.5</v>
      </c>
      <c r="AP108" s="1" t="s">
        <v>1327</v>
      </c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</row>
    <row r="109" spans="1:78" ht="15.6" x14ac:dyDescent="0.3">
      <c r="A109" s="1" t="s">
        <v>1605</v>
      </c>
      <c r="B109" s="1" t="s">
        <v>1605</v>
      </c>
      <c r="C109" s="2" t="s">
        <v>137</v>
      </c>
      <c r="D109" s="1" t="s">
        <v>1328</v>
      </c>
      <c r="E109" s="2" t="s">
        <v>27</v>
      </c>
      <c r="F109" s="2">
        <v>112.41</v>
      </c>
      <c r="G109" s="2">
        <f t="shared" si="3"/>
        <v>5.7411646220732754E-12</v>
      </c>
      <c r="H109" s="2">
        <v>3</v>
      </c>
      <c r="I109" s="2">
        <v>3</v>
      </c>
      <c r="J109" s="3">
        <v>0.13</v>
      </c>
      <c r="K109" s="2" t="s">
        <v>27</v>
      </c>
      <c r="L109" s="2" t="s">
        <v>27</v>
      </c>
      <c r="M109" s="2" t="s">
        <v>27</v>
      </c>
      <c r="N109" s="2">
        <v>1</v>
      </c>
      <c r="O109" s="2">
        <v>1</v>
      </c>
      <c r="P109" s="3">
        <v>0.04</v>
      </c>
      <c r="Q109" s="2">
        <v>39354</v>
      </c>
      <c r="R109" s="21">
        <v>185.33</v>
      </c>
      <c r="S109" s="1" t="s">
        <v>1329</v>
      </c>
      <c r="T109" s="1" t="s">
        <v>1328</v>
      </c>
      <c r="U109" s="1" t="s">
        <v>1330</v>
      </c>
      <c r="V109" s="1" t="s">
        <v>1331</v>
      </c>
      <c r="W109" s="1" t="s">
        <v>1332</v>
      </c>
      <c r="X109" s="1" t="s">
        <v>1333</v>
      </c>
      <c r="Y109" s="2">
        <v>333</v>
      </c>
      <c r="Z109" s="2">
        <v>5</v>
      </c>
      <c r="AA109" s="2">
        <f>37692.94-5</f>
        <v>37687.94</v>
      </c>
      <c r="AB109" s="2">
        <f>37668.85-5</f>
        <v>37663.85</v>
      </c>
      <c r="AC109" s="1" t="s">
        <v>1334</v>
      </c>
      <c r="AD109" s="1"/>
      <c r="AE109" s="1" t="s">
        <v>1335</v>
      </c>
      <c r="AF109" s="1" t="s">
        <v>427</v>
      </c>
      <c r="AG109" s="2">
        <v>0</v>
      </c>
      <c r="AH109" s="2">
        <v>1621</v>
      </c>
      <c r="AI109" s="2">
        <v>90.4</v>
      </c>
      <c r="AJ109" s="2" t="s">
        <v>1336</v>
      </c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</row>
    <row r="110" spans="1:78" ht="15.6" x14ac:dyDescent="0.3">
      <c r="A110" s="1" t="s">
        <v>1605</v>
      </c>
      <c r="B110" s="1" t="s">
        <v>1605</v>
      </c>
      <c r="C110" s="2" t="s">
        <v>137</v>
      </c>
      <c r="D110" s="1" t="s">
        <v>1337</v>
      </c>
      <c r="E110" s="2" t="s">
        <v>27</v>
      </c>
      <c r="F110" s="2">
        <v>158.59</v>
      </c>
      <c r="G110" s="2">
        <f t="shared" si="3"/>
        <v>1.3835663789717801E-16</v>
      </c>
      <c r="H110" s="2">
        <v>7</v>
      </c>
      <c r="I110" s="2">
        <v>7</v>
      </c>
      <c r="J110" s="3">
        <v>0.28000000000000003</v>
      </c>
      <c r="K110" s="2" t="s">
        <v>27</v>
      </c>
      <c r="L110" s="2" t="s">
        <v>27</v>
      </c>
      <c r="M110" s="2" t="s">
        <v>27</v>
      </c>
      <c r="N110" s="2" t="s">
        <v>27</v>
      </c>
      <c r="O110" s="2" t="s">
        <v>27</v>
      </c>
      <c r="P110" s="2" t="s">
        <v>27</v>
      </c>
      <c r="Q110" s="2">
        <v>14848</v>
      </c>
      <c r="R110" s="2">
        <v>168.75</v>
      </c>
      <c r="S110" s="1" t="s">
        <v>1338</v>
      </c>
      <c r="T110" s="1" t="s">
        <v>1337</v>
      </c>
      <c r="U110" s="1" t="s">
        <v>1339</v>
      </c>
      <c r="V110" s="1" t="s">
        <v>1340</v>
      </c>
      <c r="W110" s="1" t="s">
        <v>1341</v>
      </c>
      <c r="X110" s="1" t="s">
        <v>1342</v>
      </c>
      <c r="Y110" s="2">
        <v>112</v>
      </c>
      <c r="Z110" s="2">
        <v>2</v>
      </c>
      <c r="AA110" s="2">
        <f>12201.75-2</f>
        <v>12199.75</v>
      </c>
      <c r="AB110" s="2">
        <f>12209.33-2</f>
        <v>12207.33</v>
      </c>
      <c r="AC110" s="1" t="s">
        <v>1343</v>
      </c>
      <c r="AD110" s="1"/>
      <c r="AE110" s="1" t="s">
        <v>1344</v>
      </c>
      <c r="AF110" s="1" t="s">
        <v>1345</v>
      </c>
      <c r="AG110" s="4">
        <v>1.3999999999999999E-9</v>
      </c>
      <c r="AH110" s="2">
        <v>146</v>
      </c>
      <c r="AI110" s="2">
        <v>30</v>
      </c>
      <c r="AJ110" s="2" t="s">
        <v>1346</v>
      </c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</row>
    <row r="111" spans="1:78" ht="15.6" x14ac:dyDescent="0.3">
      <c r="A111" s="1" t="s">
        <v>1605</v>
      </c>
      <c r="B111" s="1" t="s">
        <v>1605</v>
      </c>
      <c r="C111" s="2" t="s">
        <v>137</v>
      </c>
      <c r="D111" s="1" t="s">
        <v>1347</v>
      </c>
      <c r="E111" s="2" t="s">
        <v>27</v>
      </c>
      <c r="F111" s="2">
        <v>270.43</v>
      </c>
      <c r="G111" s="2">
        <f t="shared" si="3"/>
        <v>9.0573260089819718E-28</v>
      </c>
      <c r="H111" s="2" t="s">
        <v>27</v>
      </c>
      <c r="I111" s="2" t="s">
        <v>27</v>
      </c>
      <c r="J111" s="2" t="s">
        <v>27</v>
      </c>
      <c r="K111" s="2" t="s">
        <v>27</v>
      </c>
      <c r="L111" s="2" t="s">
        <v>27</v>
      </c>
      <c r="M111" s="2" t="s">
        <v>27</v>
      </c>
      <c r="N111" s="2">
        <v>5</v>
      </c>
      <c r="O111" s="2">
        <v>5</v>
      </c>
      <c r="P111" s="3">
        <v>0.31</v>
      </c>
      <c r="Q111" s="2">
        <v>23158</v>
      </c>
      <c r="R111" s="2">
        <v>163.32</v>
      </c>
      <c r="S111" s="1" t="s">
        <v>1348</v>
      </c>
      <c r="T111" s="1" t="s">
        <v>1347</v>
      </c>
      <c r="U111" s="1" t="s">
        <v>1349</v>
      </c>
      <c r="V111" s="1" t="s">
        <v>1350</v>
      </c>
      <c r="W111" s="1" t="s">
        <v>1351</v>
      </c>
      <c r="X111" s="1" t="s">
        <v>1352</v>
      </c>
      <c r="Y111" s="2">
        <v>181</v>
      </c>
      <c r="Z111" s="2">
        <v>3</v>
      </c>
      <c r="AA111" s="2">
        <f>19262.63-3</f>
        <v>19259.63</v>
      </c>
      <c r="AB111" s="2">
        <f>19274.52-3</f>
        <v>19271.52</v>
      </c>
      <c r="AC111" s="1" t="s">
        <v>1353</v>
      </c>
      <c r="AD111" s="1" t="s">
        <v>27</v>
      </c>
      <c r="AE111" s="1" t="s">
        <v>1354</v>
      </c>
      <c r="AF111" s="1" t="s">
        <v>98</v>
      </c>
      <c r="AG111" s="4">
        <v>5.8E-72</v>
      </c>
      <c r="AH111" s="2">
        <v>571</v>
      </c>
      <c r="AI111" s="2">
        <v>60.8</v>
      </c>
      <c r="AJ111" s="2" t="s">
        <v>1355</v>
      </c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</row>
    <row r="112" spans="1:78" ht="15.6" x14ac:dyDescent="0.3">
      <c r="A112" s="1" t="s">
        <v>1605</v>
      </c>
      <c r="B112" s="1" t="s">
        <v>1605</v>
      </c>
      <c r="C112" s="2" t="s">
        <v>137</v>
      </c>
      <c r="D112" s="1" t="s">
        <v>1356</v>
      </c>
      <c r="E112" s="2" t="s">
        <v>27</v>
      </c>
      <c r="F112" s="2">
        <v>142.13999999999999</v>
      </c>
      <c r="G112" s="2">
        <f t="shared" si="3"/>
        <v>6.109420249055708E-15</v>
      </c>
      <c r="H112" s="2">
        <v>6</v>
      </c>
      <c r="I112" s="2">
        <v>6</v>
      </c>
      <c r="J112" s="3">
        <v>0.35</v>
      </c>
      <c r="K112" s="2">
        <v>2</v>
      </c>
      <c r="L112" s="2">
        <v>2</v>
      </c>
      <c r="M112" s="3">
        <v>0.35</v>
      </c>
      <c r="N112" s="2" t="s">
        <v>27</v>
      </c>
      <c r="O112" s="11" t="s">
        <v>27</v>
      </c>
      <c r="P112" s="2" t="s">
        <v>27</v>
      </c>
      <c r="Q112" s="2">
        <v>4947</v>
      </c>
      <c r="R112" s="2">
        <v>51.45</v>
      </c>
      <c r="S112" s="9" t="s">
        <v>1357</v>
      </c>
      <c r="T112" s="1" t="s">
        <v>1356</v>
      </c>
      <c r="U112" s="1" t="s">
        <v>1358</v>
      </c>
      <c r="V112" s="1" t="s">
        <v>1359</v>
      </c>
      <c r="W112" s="1" t="s">
        <v>1360</v>
      </c>
      <c r="X112" s="1" t="s">
        <v>1361</v>
      </c>
      <c r="Y112" s="2">
        <v>21</v>
      </c>
      <c r="Z112" s="2">
        <v>0</v>
      </c>
      <c r="AA112" s="2">
        <v>2022.1</v>
      </c>
      <c r="AB112" s="2">
        <v>2023.28</v>
      </c>
      <c r="AC112" s="1" t="s">
        <v>1123</v>
      </c>
      <c r="AD112" s="1"/>
      <c r="AE112" s="1" t="s">
        <v>1362</v>
      </c>
      <c r="AF112" s="1" t="s">
        <v>1363</v>
      </c>
      <c r="AG112" s="2">
        <v>1.4</v>
      </c>
      <c r="AH112" s="2">
        <v>75</v>
      </c>
      <c r="AI112" s="2">
        <v>63.6</v>
      </c>
      <c r="AJ112" s="2"/>
      <c r="AK112" s="1" t="s">
        <v>27</v>
      </c>
      <c r="AL112" s="1" t="s">
        <v>27</v>
      </c>
      <c r="AM112" s="1" t="s">
        <v>27</v>
      </c>
      <c r="AN112" s="1" t="s">
        <v>27</v>
      </c>
      <c r="AO112" s="1" t="s">
        <v>27</v>
      </c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</row>
    <row r="113" spans="1:78" ht="15.6" x14ac:dyDescent="0.3">
      <c r="A113" s="1" t="s">
        <v>1605</v>
      </c>
      <c r="B113" s="1" t="s">
        <v>1605</v>
      </c>
      <c r="C113" s="2" t="s">
        <v>137</v>
      </c>
      <c r="D113" s="1" t="s">
        <v>1364</v>
      </c>
      <c r="E113" s="2" t="s">
        <v>27</v>
      </c>
      <c r="F113" s="2">
        <v>164.97</v>
      </c>
      <c r="G113" s="2">
        <f t="shared" si="3"/>
        <v>3.1841975217261241E-17</v>
      </c>
      <c r="H113" s="2">
        <v>7</v>
      </c>
      <c r="I113" s="2">
        <v>7</v>
      </c>
      <c r="J113" s="3">
        <v>0.26</v>
      </c>
      <c r="K113" s="2">
        <v>1</v>
      </c>
      <c r="L113" s="2">
        <v>1</v>
      </c>
      <c r="M113" s="3">
        <v>0.26</v>
      </c>
      <c r="N113" s="2" t="s">
        <v>27</v>
      </c>
      <c r="O113" s="2" t="s">
        <v>27</v>
      </c>
      <c r="P113" s="2" t="s">
        <v>27</v>
      </c>
      <c r="Q113" s="2">
        <v>11075</v>
      </c>
      <c r="R113" s="2">
        <v>51.41</v>
      </c>
      <c r="S113" s="1" t="s">
        <v>1365</v>
      </c>
      <c r="T113" s="1" t="s">
        <v>1364</v>
      </c>
      <c r="U113" s="1" t="s">
        <v>1366</v>
      </c>
      <c r="V113" s="1" t="s">
        <v>1367</v>
      </c>
      <c r="W113" s="1" t="s">
        <v>1368</v>
      </c>
      <c r="X113" s="1" t="s">
        <v>1369</v>
      </c>
      <c r="Y113" s="2">
        <v>78</v>
      </c>
      <c r="Z113" s="2">
        <v>0</v>
      </c>
      <c r="AA113" s="2">
        <v>8908.85</v>
      </c>
      <c r="AB113" s="2">
        <f>8914.45-0</f>
        <v>8914.4500000000007</v>
      </c>
      <c r="AC113" s="1" t="s">
        <v>100</v>
      </c>
      <c r="AD113" s="1" t="s">
        <v>27</v>
      </c>
      <c r="AE113" s="1" t="s">
        <v>1370</v>
      </c>
      <c r="AF113" s="1" t="s">
        <v>98</v>
      </c>
      <c r="AG113" s="4">
        <v>5.4999999999999997E-51</v>
      </c>
      <c r="AH113" s="2">
        <v>388</v>
      </c>
      <c r="AI113" s="2">
        <v>73.599999999999994</v>
      </c>
      <c r="AJ113" s="2" t="s">
        <v>1371</v>
      </c>
      <c r="AK113" s="1" t="s">
        <v>1372</v>
      </c>
      <c r="AL113" s="1" t="s">
        <v>1373</v>
      </c>
      <c r="AM113" s="5">
        <v>1.9E-6</v>
      </c>
      <c r="AN113" s="1">
        <v>119</v>
      </c>
      <c r="AO113" s="1">
        <v>55.6</v>
      </c>
      <c r="AP113" s="1" t="s">
        <v>1374</v>
      </c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</row>
    <row r="114" spans="1:78" ht="15.6" x14ac:dyDescent="0.3">
      <c r="A114" s="1" t="s">
        <v>1605</v>
      </c>
      <c r="B114" s="1" t="s">
        <v>1605</v>
      </c>
      <c r="C114" s="2" t="s">
        <v>137</v>
      </c>
      <c r="D114" s="1" t="s">
        <v>1375</v>
      </c>
      <c r="E114" s="2" t="s">
        <v>27</v>
      </c>
      <c r="F114" s="2">
        <v>175.88</v>
      </c>
      <c r="G114" s="2">
        <f t="shared" si="3"/>
        <v>2.5822601906345752E-18</v>
      </c>
      <c r="H114" s="2">
        <v>7</v>
      </c>
      <c r="I114" s="2">
        <v>7</v>
      </c>
      <c r="J114" s="3">
        <v>0.24</v>
      </c>
      <c r="K114" s="2">
        <v>1</v>
      </c>
      <c r="L114" s="2">
        <v>1</v>
      </c>
      <c r="M114" s="3">
        <v>0.19</v>
      </c>
      <c r="N114" s="2">
        <v>1</v>
      </c>
      <c r="O114" s="2">
        <v>1</v>
      </c>
      <c r="P114" s="3">
        <v>0.15</v>
      </c>
      <c r="Q114" s="2">
        <v>8920</v>
      </c>
      <c r="R114" s="2">
        <v>39.07</v>
      </c>
      <c r="S114" s="1" t="s">
        <v>1376</v>
      </c>
      <c r="T114" s="1" t="s">
        <v>1375</v>
      </c>
      <c r="U114" s="1" t="s">
        <v>1377</v>
      </c>
      <c r="V114" s="1" t="s">
        <v>1378</v>
      </c>
      <c r="W114" s="1" t="s">
        <v>1379</v>
      </c>
      <c r="X114" s="1" t="s">
        <v>1380</v>
      </c>
      <c r="Y114" s="2">
        <v>77</v>
      </c>
      <c r="Z114" s="2">
        <v>1</v>
      </c>
      <c r="AA114" s="2">
        <f>7239.05-1</f>
        <v>7238.05</v>
      </c>
      <c r="AB114" s="2">
        <f>7243.25-1</f>
        <v>7242.25</v>
      </c>
      <c r="AC114" s="1" t="s">
        <v>100</v>
      </c>
      <c r="AD114" s="1" t="s">
        <v>258</v>
      </c>
      <c r="AE114" s="1" t="s">
        <v>1381</v>
      </c>
      <c r="AF114" s="1" t="s">
        <v>1382</v>
      </c>
      <c r="AG114" s="4">
        <v>3.5000000000000002E-11</v>
      </c>
      <c r="AH114" s="2">
        <v>151</v>
      </c>
      <c r="AI114" s="2">
        <v>46.8</v>
      </c>
      <c r="AJ114" s="2" t="s">
        <v>1383</v>
      </c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</row>
    <row r="115" spans="1:78" ht="15.6" x14ac:dyDescent="0.3">
      <c r="A115" s="1" t="s">
        <v>1605</v>
      </c>
      <c r="B115" s="1" t="s">
        <v>1605</v>
      </c>
      <c r="C115" s="2" t="s">
        <v>137</v>
      </c>
      <c r="D115" s="1" t="s">
        <v>1384</v>
      </c>
      <c r="E115" s="2" t="s">
        <v>27</v>
      </c>
      <c r="F115" s="2">
        <v>158.59</v>
      </c>
      <c r="G115" s="2">
        <f t="shared" si="3"/>
        <v>1.3835663789717801E-16</v>
      </c>
      <c r="H115" s="2">
        <v>7</v>
      </c>
      <c r="I115" s="2">
        <v>7</v>
      </c>
      <c r="J115" s="3">
        <v>0.28000000000000003</v>
      </c>
      <c r="K115" s="2" t="s">
        <v>27</v>
      </c>
      <c r="L115" s="2" t="s">
        <v>27</v>
      </c>
      <c r="M115" s="2" t="s">
        <v>27</v>
      </c>
      <c r="N115" s="2" t="s">
        <v>27</v>
      </c>
      <c r="O115" s="2" t="s">
        <v>27</v>
      </c>
      <c r="P115" s="2" t="s">
        <v>27</v>
      </c>
      <c r="Q115" s="2">
        <v>14848</v>
      </c>
      <c r="R115" s="2">
        <v>31.63</v>
      </c>
      <c r="S115" s="1" t="s">
        <v>1385</v>
      </c>
      <c r="T115" s="1"/>
      <c r="U115" s="1" t="s">
        <v>1339</v>
      </c>
      <c r="V115" s="1"/>
      <c r="W115" s="1" t="s">
        <v>1341</v>
      </c>
      <c r="X115" s="1" t="s">
        <v>1342</v>
      </c>
      <c r="Y115" s="2">
        <v>112</v>
      </c>
      <c r="Z115" s="2">
        <v>2</v>
      </c>
      <c r="AA115" s="2">
        <f>12201.75-2</f>
        <v>12199.75</v>
      </c>
      <c r="AB115" s="2">
        <f>12209.33-2</f>
        <v>12207.33</v>
      </c>
      <c r="AC115" s="1" t="s">
        <v>1343</v>
      </c>
      <c r="AD115" s="1"/>
      <c r="AE115" s="1" t="s">
        <v>1344</v>
      </c>
      <c r="AF115" s="1" t="s">
        <v>1345</v>
      </c>
      <c r="AG115" s="4">
        <v>1.3999999999999999E-9</v>
      </c>
      <c r="AH115" s="2">
        <v>146</v>
      </c>
      <c r="AI115" s="2">
        <v>30</v>
      </c>
      <c r="AJ115" s="2" t="s">
        <v>1346</v>
      </c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</row>
    <row r="116" spans="1:78" ht="15.6" x14ac:dyDescent="0.3">
      <c r="A116" s="1" t="s">
        <v>1605</v>
      </c>
      <c r="B116" s="1" t="s">
        <v>1605</v>
      </c>
      <c r="C116" s="2" t="s">
        <v>137</v>
      </c>
      <c r="D116" s="1" t="s">
        <v>1386</v>
      </c>
      <c r="E116" s="2" t="s">
        <v>27</v>
      </c>
      <c r="F116" s="2">
        <v>175.88</v>
      </c>
      <c r="G116" s="2">
        <f t="shared" si="3"/>
        <v>2.5822601906345752E-18</v>
      </c>
      <c r="H116" s="2">
        <v>7</v>
      </c>
      <c r="I116" s="2">
        <v>7</v>
      </c>
      <c r="J116" s="3">
        <v>0.17</v>
      </c>
      <c r="K116" s="2">
        <v>1</v>
      </c>
      <c r="L116" s="2">
        <v>1</v>
      </c>
      <c r="M116" s="3">
        <v>0.14000000000000001</v>
      </c>
      <c r="N116" s="2">
        <v>1</v>
      </c>
      <c r="O116" s="2">
        <v>1</v>
      </c>
      <c r="P116" s="3">
        <v>0.11</v>
      </c>
      <c r="Q116" s="2">
        <v>12579</v>
      </c>
      <c r="R116" s="2">
        <v>14.76</v>
      </c>
      <c r="S116" s="1" t="s">
        <v>1387</v>
      </c>
      <c r="T116" s="1" t="s">
        <v>1386</v>
      </c>
      <c r="U116" s="1" t="s">
        <v>1388</v>
      </c>
      <c r="V116" s="1" t="s">
        <v>1378</v>
      </c>
      <c r="W116" s="1" t="s">
        <v>1379</v>
      </c>
      <c r="X116" s="1" t="s">
        <v>1389</v>
      </c>
      <c r="Y116" s="2">
        <v>116</v>
      </c>
      <c r="Z116" s="2">
        <v>1</v>
      </c>
      <c r="AA116" s="2">
        <f xml:space="preserve"> 10895.57-1</f>
        <v>10894.57</v>
      </c>
      <c r="AB116" s="2">
        <f>10901.79-1</f>
        <v>10900.79</v>
      </c>
      <c r="AC116" s="1" t="s">
        <v>100</v>
      </c>
      <c r="AD116" s="1" t="s">
        <v>258</v>
      </c>
      <c r="AE116" s="1" t="s">
        <v>1390</v>
      </c>
      <c r="AF116" s="1" t="s">
        <v>1391</v>
      </c>
      <c r="AG116" s="4">
        <v>1.5999999999999999E-20</v>
      </c>
      <c r="AH116" s="2">
        <v>223</v>
      </c>
      <c r="AI116" s="2">
        <v>45.5</v>
      </c>
      <c r="AJ116" s="2" t="s">
        <v>1392</v>
      </c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</row>
    <row r="117" spans="1:78" ht="15.6" x14ac:dyDescent="0.3">
      <c r="A117" s="1" t="s">
        <v>1605</v>
      </c>
      <c r="B117" s="1" t="s">
        <v>1605</v>
      </c>
      <c r="C117" s="2" t="s">
        <v>137</v>
      </c>
      <c r="D117" s="1" t="s">
        <v>1393</v>
      </c>
      <c r="E117" s="2" t="s">
        <v>27</v>
      </c>
      <c r="F117" s="2">
        <v>309.55</v>
      </c>
      <c r="G117" s="2">
        <f t="shared" si="3"/>
        <v>1.1091748152623823E-31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>
        <v>4</v>
      </c>
      <c r="O117" s="2">
        <v>4</v>
      </c>
      <c r="P117" s="3">
        <v>0.43</v>
      </c>
      <c r="Q117" s="2">
        <v>16383</v>
      </c>
      <c r="R117" s="21">
        <v>10.64</v>
      </c>
      <c r="S117" s="1" t="s">
        <v>1394</v>
      </c>
      <c r="T117" s="1" t="s">
        <v>1393</v>
      </c>
      <c r="U117" s="1" t="s">
        <v>1395</v>
      </c>
      <c r="V117" s="1" t="s">
        <v>1396</v>
      </c>
      <c r="W117" s="1" t="s">
        <v>1397</v>
      </c>
      <c r="X117" s="1" t="s">
        <v>1398</v>
      </c>
      <c r="Y117" s="2">
        <v>132</v>
      </c>
      <c r="Z117" s="2">
        <v>9</v>
      </c>
      <c r="AA117" s="2">
        <f>14735.15-9</f>
        <v>14726.15</v>
      </c>
      <c r="AB117" s="2">
        <f>14744.76-9</f>
        <v>14735.76</v>
      </c>
      <c r="AC117" s="1" t="s">
        <v>100</v>
      </c>
      <c r="AD117" s="1" t="s">
        <v>1399</v>
      </c>
      <c r="AE117" s="1" t="s">
        <v>1400</v>
      </c>
      <c r="AF117" s="1" t="s">
        <v>69</v>
      </c>
      <c r="AG117" s="4">
        <v>2.4000000000000001E-85</v>
      </c>
      <c r="AH117" s="2">
        <v>648</v>
      </c>
      <c r="AI117" s="2">
        <v>88.6</v>
      </c>
      <c r="AJ117" s="2" t="s">
        <v>1401</v>
      </c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</row>
    <row r="118" spans="1:78" ht="15.6" x14ac:dyDescent="0.3">
      <c r="A118" s="1" t="s">
        <v>1605</v>
      </c>
      <c r="B118" s="1" t="s">
        <v>1605</v>
      </c>
      <c r="C118" s="2" t="s">
        <v>137</v>
      </c>
      <c r="D118" s="1" t="s">
        <v>1402</v>
      </c>
      <c r="E118" s="2" t="s">
        <v>27</v>
      </c>
      <c r="F118" s="2">
        <v>143.59</v>
      </c>
      <c r="G118" s="2">
        <f t="shared" si="3"/>
        <v>4.375221051582518E-15</v>
      </c>
      <c r="H118" s="2">
        <v>5</v>
      </c>
      <c r="I118" s="2">
        <v>5</v>
      </c>
      <c r="J118" s="3">
        <v>0.46</v>
      </c>
      <c r="K118" s="2" t="s">
        <v>27</v>
      </c>
      <c r="L118" s="2" t="s">
        <v>27</v>
      </c>
      <c r="M118" s="2" t="s">
        <v>27</v>
      </c>
      <c r="N118" s="2" t="s">
        <v>27</v>
      </c>
      <c r="O118" s="2" t="s">
        <v>27</v>
      </c>
      <c r="P118" s="2" t="s">
        <v>27</v>
      </c>
      <c r="Q118" s="2">
        <v>6586</v>
      </c>
      <c r="R118" s="2">
        <v>10.4</v>
      </c>
      <c r="S118" s="1" t="s">
        <v>1403</v>
      </c>
      <c r="T118" s="1" t="s">
        <v>1402</v>
      </c>
      <c r="U118" s="1" t="s">
        <v>1404</v>
      </c>
      <c r="V118" s="1" t="s">
        <v>1405</v>
      </c>
      <c r="W118" s="1" t="s">
        <v>1406</v>
      </c>
      <c r="X118" s="1" t="s">
        <v>1407</v>
      </c>
      <c r="Y118" s="2">
        <v>42</v>
      </c>
      <c r="Z118" s="2">
        <v>0</v>
      </c>
      <c r="AA118" s="2" t="s">
        <v>1408</v>
      </c>
      <c r="AB118" s="2">
        <v>4545.8500000000004</v>
      </c>
      <c r="AC118" s="1" t="s">
        <v>100</v>
      </c>
      <c r="AD118" s="1" t="s">
        <v>27</v>
      </c>
      <c r="AE118" s="1" t="s">
        <v>419</v>
      </c>
      <c r="AF118" s="1" t="s">
        <v>98</v>
      </c>
      <c r="AG118" s="4">
        <v>2.3000000000000001E-8</v>
      </c>
      <c r="AH118" s="2">
        <v>130</v>
      </c>
      <c r="AI118" s="2">
        <v>58.5</v>
      </c>
      <c r="AJ118" s="2" t="s">
        <v>1409</v>
      </c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</row>
    <row r="119" spans="1:78" ht="15.6" x14ac:dyDescent="0.3">
      <c r="A119" s="1" t="s">
        <v>1605</v>
      </c>
      <c r="B119" s="1" t="s">
        <v>1605</v>
      </c>
      <c r="C119" s="2" t="s">
        <v>137</v>
      </c>
      <c r="D119" s="1" t="s">
        <v>1410</v>
      </c>
      <c r="E119" s="2" t="s">
        <v>27</v>
      </c>
      <c r="F119" s="2">
        <v>309.55</v>
      </c>
      <c r="G119" s="2">
        <f t="shared" si="3"/>
        <v>1.1091748152623823E-31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27</v>
      </c>
      <c r="M119" s="2" t="s">
        <v>27</v>
      </c>
      <c r="N119" s="2">
        <v>4</v>
      </c>
      <c r="O119" s="2">
        <v>4</v>
      </c>
      <c r="P119" s="3">
        <v>0.42</v>
      </c>
      <c r="Q119" s="2">
        <v>16610</v>
      </c>
      <c r="R119" s="21">
        <v>6.07</v>
      </c>
      <c r="S119" s="1" t="s">
        <v>1411</v>
      </c>
      <c r="T119" s="1" t="s">
        <v>1410</v>
      </c>
      <c r="U119" s="1" t="s">
        <v>1412</v>
      </c>
      <c r="V119" s="1" t="s">
        <v>1413</v>
      </c>
      <c r="W119" s="1" t="s">
        <v>1414</v>
      </c>
      <c r="X119" s="1" t="s">
        <v>1415</v>
      </c>
      <c r="Y119" s="2">
        <v>134</v>
      </c>
      <c r="Z119" s="2">
        <v>9</v>
      </c>
      <c r="AA119" s="2">
        <f>14948.32-9</f>
        <v>14939.32</v>
      </c>
      <c r="AB119" s="2">
        <f>14958.08-9</f>
        <v>14949.08</v>
      </c>
      <c r="AC119" s="1" t="s">
        <v>100</v>
      </c>
      <c r="AD119" s="1" t="s">
        <v>1399</v>
      </c>
      <c r="AE119" s="1" t="s">
        <v>1400</v>
      </c>
      <c r="AF119" s="1" t="s">
        <v>69</v>
      </c>
      <c r="AG119" s="4">
        <v>2.2999999999999999E-83</v>
      </c>
      <c r="AH119" s="2">
        <v>635</v>
      </c>
      <c r="AI119" s="2">
        <v>88.7</v>
      </c>
      <c r="AJ119" s="2" t="s">
        <v>1401</v>
      </c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</row>
    <row r="120" spans="1:78" ht="15.6" x14ac:dyDescent="0.3">
      <c r="A120" s="1" t="s">
        <v>1605</v>
      </c>
      <c r="B120" s="1" t="s">
        <v>1605</v>
      </c>
      <c r="C120" s="2" t="s">
        <v>137</v>
      </c>
      <c r="D120" s="1" t="s">
        <v>1416</v>
      </c>
      <c r="E120" s="2" t="s">
        <v>27</v>
      </c>
      <c r="F120" s="2">
        <v>50.1</v>
      </c>
      <c r="G120" s="2">
        <f t="shared" si="3"/>
        <v>9.7723722095581059E-6</v>
      </c>
      <c r="H120" s="2">
        <v>1</v>
      </c>
      <c r="I120" s="2">
        <v>1</v>
      </c>
      <c r="J120" s="3">
        <v>0.14000000000000001</v>
      </c>
      <c r="K120" s="2" t="s">
        <v>27</v>
      </c>
      <c r="L120" s="2" t="s">
        <v>27</v>
      </c>
      <c r="M120" s="2" t="s">
        <v>27</v>
      </c>
      <c r="N120" s="2" t="s">
        <v>27</v>
      </c>
      <c r="O120" s="2" t="s">
        <v>27</v>
      </c>
      <c r="P120" s="2" t="s">
        <v>27</v>
      </c>
      <c r="Q120" s="2">
        <v>8890</v>
      </c>
      <c r="R120" s="2">
        <v>2.76</v>
      </c>
      <c r="S120" s="1" t="s">
        <v>1417</v>
      </c>
      <c r="T120" s="1" t="s">
        <v>1416</v>
      </c>
      <c r="U120" s="1" t="s">
        <v>1418</v>
      </c>
      <c r="V120" s="1" t="s">
        <v>1419</v>
      </c>
      <c r="W120" s="1" t="s">
        <v>1420</v>
      </c>
      <c r="X120" s="1" t="s">
        <v>1421</v>
      </c>
      <c r="Y120" s="2">
        <v>60</v>
      </c>
      <c r="Z120" s="2">
        <v>0</v>
      </c>
      <c r="AA120" s="2">
        <v>6912.54</v>
      </c>
      <c r="AB120" s="2">
        <v>6916.78</v>
      </c>
      <c r="AC120" s="1" t="s">
        <v>100</v>
      </c>
      <c r="AD120" s="1" t="s">
        <v>27</v>
      </c>
      <c r="AE120" s="1" t="s">
        <v>1422</v>
      </c>
      <c r="AF120" s="1" t="s">
        <v>380</v>
      </c>
      <c r="AG120" s="4">
        <v>2.0000000000000001E-9</v>
      </c>
      <c r="AH120" s="2">
        <v>131</v>
      </c>
      <c r="AI120" s="2">
        <v>41.9</v>
      </c>
      <c r="AJ120" s="2" t="s">
        <v>1423</v>
      </c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</row>
    <row r="121" spans="1:78" ht="15.6" x14ac:dyDescent="0.3">
      <c r="A121" s="1" t="s">
        <v>1605</v>
      </c>
      <c r="B121" s="1" t="s">
        <v>1605</v>
      </c>
      <c r="C121" s="2" t="s">
        <v>137</v>
      </c>
      <c r="D121" s="1" t="s">
        <v>1424</v>
      </c>
      <c r="E121" s="2" t="s">
        <v>27</v>
      </c>
      <c r="F121" s="2">
        <v>158.59</v>
      </c>
      <c r="G121" s="2">
        <f t="shared" si="3"/>
        <v>1.3835663789717801E-16</v>
      </c>
      <c r="H121" s="2">
        <v>7</v>
      </c>
      <c r="I121" s="2">
        <v>7</v>
      </c>
      <c r="J121" s="3">
        <v>0.28000000000000003</v>
      </c>
      <c r="K121" s="2" t="s">
        <v>27</v>
      </c>
      <c r="L121" s="2" t="s">
        <v>27</v>
      </c>
      <c r="M121" s="2" t="s">
        <v>27</v>
      </c>
      <c r="N121" s="2" t="s">
        <v>27</v>
      </c>
      <c r="O121" s="2" t="s">
        <v>27</v>
      </c>
      <c r="P121" s="2" t="s">
        <v>27</v>
      </c>
      <c r="Q121" s="2">
        <v>14848</v>
      </c>
      <c r="R121" s="2">
        <v>1.21</v>
      </c>
      <c r="S121" s="1" t="s">
        <v>1425</v>
      </c>
      <c r="T121" s="1"/>
      <c r="U121" s="1" t="s">
        <v>1339</v>
      </c>
      <c r="V121" s="1"/>
      <c r="W121" s="1" t="s">
        <v>1341</v>
      </c>
      <c r="X121" s="1" t="s">
        <v>1342</v>
      </c>
      <c r="Y121" s="2">
        <v>112</v>
      </c>
      <c r="Z121" s="2">
        <v>2</v>
      </c>
      <c r="AA121" s="2">
        <f>12201.75-2</f>
        <v>12199.75</v>
      </c>
      <c r="AB121" s="2">
        <f>12209.33-2</f>
        <v>12207.33</v>
      </c>
      <c r="AC121" s="1" t="s">
        <v>1343</v>
      </c>
      <c r="AD121" s="1"/>
      <c r="AE121" s="1" t="s">
        <v>1344</v>
      </c>
      <c r="AF121" s="1" t="s">
        <v>1345</v>
      </c>
      <c r="AG121" s="4">
        <v>1.3999999999999999E-9</v>
      </c>
      <c r="AH121" s="2">
        <v>146</v>
      </c>
      <c r="AI121" s="2">
        <v>30</v>
      </c>
      <c r="AJ121" s="2" t="s">
        <v>1346</v>
      </c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</row>
    <row r="122" spans="1:78" ht="15.6" x14ac:dyDescent="0.3">
      <c r="A122" s="1" t="s">
        <v>1605</v>
      </c>
      <c r="B122" s="1" t="s">
        <v>1605</v>
      </c>
      <c r="C122" s="2" t="s">
        <v>137</v>
      </c>
      <c r="D122" s="1" t="s">
        <v>1426</v>
      </c>
      <c r="E122" s="2" t="s">
        <v>27</v>
      </c>
      <c r="F122" s="2">
        <v>49.9</v>
      </c>
      <c r="G122" s="2">
        <f t="shared" si="3"/>
        <v>1.0232929922807521E-5</v>
      </c>
      <c r="H122" s="2">
        <v>1</v>
      </c>
      <c r="I122" s="2">
        <v>1</v>
      </c>
      <c r="J122" s="3">
        <v>0.11</v>
      </c>
      <c r="K122" s="2" t="s">
        <v>27</v>
      </c>
      <c r="L122" s="2" t="s">
        <v>27</v>
      </c>
      <c r="M122" s="2" t="s">
        <v>27</v>
      </c>
      <c r="N122" s="2" t="s">
        <v>27</v>
      </c>
      <c r="O122" s="2" t="s">
        <v>27</v>
      </c>
      <c r="P122" s="2" t="s">
        <v>27</v>
      </c>
      <c r="Q122" s="2">
        <v>9609</v>
      </c>
      <c r="R122" s="2">
        <v>0.95</v>
      </c>
      <c r="S122" s="1" t="s">
        <v>1427</v>
      </c>
      <c r="T122" s="1" t="s">
        <v>1426</v>
      </c>
      <c r="U122" s="1" t="s">
        <v>1428</v>
      </c>
      <c r="V122" s="1" t="s">
        <v>1429</v>
      </c>
      <c r="W122" s="1" t="s">
        <v>1430</v>
      </c>
      <c r="X122" s="1" t="s">
        <v>1431</v>
      </c>
      <c r="Y122" s="2">
        <v>71</v>
      </c>
      <c r="Z122" s="2">
        <v>1</v>
      </c>
      <c r="AA122" s="2">
        <f>8130.1-1</f>
        <v>8129.1</v>
      </c>
      <c r="AB122" s="2">
        <f>8135.12-1</f>
        <v>8134.12</v>
      </c>
      <c r="AC122" s="1" t="s">
        <v>100</v>
      </c>
      <c r="AD122" s="1" t="s">
        <v>27</v>
      </c>
      <c r="AE122" s="1" t="s">
        <v>1432</v>
      </c>
      <c r="AF122" s="1" t="s">
        <v>1087</v>
      </c>
      <c r="AG122" s="4">
        <v>2.7999999999999999E-33</v>
      </c>
      <c r="AH122" s="2">
        <v>298</v>
      </c>
      <c r="AI122" s="2">
        <v>81.2</v>
      </c>
      <c r="AJ122" s="2" t="s">
        <v>1433</v>
      </c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</row>
    <row r="123" spans="1:78" ht="15.6" x14ac:dyDescent="0.3">
      <c r="A123" s="1" t="s">
        <v>1540</v>
      </c>
      <c r="B123" s="1" t="s">
        <v>1540</v>
      </c>
      <c r="C123" s="2" t="s">
        <v>137</v>
      </c>
      <c r="D123" s="1" t="s">
        <v>1117</v>
      </c>
      <c r="E123" s="2" t="s">
        <v>1603</v>
      </c>
      <c r="F123" s="2">
        <v>260.68</v>
      </c>
      <c r="G123" s="2">
        <f t="shared" si="3"/>
        <v>8.5506671288467885E-27</v>
      </c>
      <c r="H123" s="2">
        <v>19</v>
      </c>
      <c r="I123" s="2">
        <v>19</v>
      </c>
      <c r="J123" s="3">
        <v>0.28999999999999998</v>
      </c>
      <c r="K123" s="2">
        <v>14</v>
      </c>
      <c r="L123" s="2">
        <v>14</v>
      </c>
      <c r="M123" s="3">
        <v>0.45</v>
      </c>
      <c r="N123" s="2" t="s">
        <v>27</v>
      </c>
      <c r="O123" s="11" t="s">
        <v>27</v>
      </c>
      <c r="P123" s="2" t="s">
        <v>27</v>
      </c>
      <c r="Q123" s="2">
        <v>7311</v>
      </c>
      <c r="R123" s="2">
        <v>231.62</v>
      </c>
      <c r="S123" s="9" t="s">
        <v>1118</v>
      </c>
      <c r="T123" s="1" t="s">
        <v>1117</v>
      </c>
      <c r="U123" s="1" t="s">
        <v>1119</v>
      </c>
      <c r="V123" s="1" t="s">
        <v>1120</v>
      </c>
      <c r="W123" s="1" t="s">
        <v>1121</v>
      </c>
      <c r="X123" s="1" t="s">
        <v>1122</v>
      </c>
      <c r="Y123" s="2">
        <v>42</v>
      </c>
      <c r="Z123" s="2">
        <v>2</v>
      </c>
      <c r="AA123" s="2">
        <f>4824.37-2</f>
        <v>4822.37</v>
      </c>
      <c r="AB123" s="2">
        <f>4827.35-2</f>
        <v>4825.3500000000004</v>
      </c>
      <c r="AC123" s="1" t="s">
        <v>1123</v>
      </c>
      <c r="AD123" s="1"/>
      <c r="AE123" s="1" t="s">
        <v>1124</v>
      </c>
      <c r="AF123" s="1" t="s">
        <v>1125</v>
      </c>
      <c r="AG123" s="2">
        <v>8.8999999999999999E-3</v>
      </c>
      <c r="AH123" s="2">
        <v>91</v>
      </c>
      <c r="AI123" s="2">
        <v>81.2</v>
      </c>
      <c r="AJ123" s="2"/>
      <c r="AK123" s="1" t="s">
        <v>27</v>
      </c>
      <c r="AL123" s="1" t="s">
        <v>27</v>
      </c>
      <c r="AM123" s="1" t="s">
        <v>27</v>
      </c>
      <c r="AN123" s="1" t="s">
        <v>27</v>
      </c>
      <c r="AO123" s="1" t="s">
        <v>27</v>
      </c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</row>
    <row r="124" spans="1:78" ht="15.6" x14ac:dyDescent="0.3">
      <c r="A124" s="1" t="s">
        <v>1540</v>
      </c>
      <c r="B124" s="1" t="s">
        <v>1540</v>
      </c>
      <c r="C124" s="2" t="s">
        <v>137</v>
      </c>
      <c r="D124" s="1" t="s">
        <v>1126</v>
      </c>
      <c r="E124" s="2" t="s">
        <v>1127</v>
      </c>
      <c r="F124" s="2">
        <v>169.74</v>
      </c>
      <c r="G124" s="2">
        <f t="shared" si="3"/>
        <v>1.0616955571987202E-17</v>
      </c>
      <c r="H124" s="2">
        <v>10</v>
      </c>
      <c r="I124" s="2">
        <v>10</v>
      </c>
      <c r="J124" s="3">
        <v>0.28999999999999998</v>
      </c>
      <c r="K124" s="2">
        <v>31</v>
      </c>
      <c r="L124" s="2">
        <v>31</v>
      </c>
      <c r="M124" s="3">
        <v>0.65</v>
      </c>
      <c r="N124" s="2">
        <v>1</v>
      </c>
      <c r="O124" s="11">
        <v>1</v>
      </c>
      <c r="P124" s="3">
        <v>0.21</v>
      </c>
      <c r="Q124" s="2">
        <v>7513</v>
      </c>
      <c r="R124" s="2">
        <v>92.99</v>
      </c>
      <c r="S124" s="9" t="s">
        <v>1128</v>
      </c>
      <c r="T124" s="1" t="s">
        <v>1126</v>
      </c>
      <c r="U124" s="1" t="s">
        <v>1129</v>
      </c>
      <c r="V124" s="1" t="s">
        <v>1130</v>
      </c>
      <c r="W124" s="1" t="s">
        <v>1131</v>
      </c>
      <c r="X124" s="1" t="s">
        <v>1132</v>
      </c>
      <c r="Y124" s="2">
        <v>41</v>
      </c>
      <c r="Z124" s="2">
        <v>2</v>
      </c>
      <c r="AA124" s="2">
        <f>4516.17-2</f>
        <v>4514.17</v>
      </c>
      <c r="AB124" s="2">
        <f>4519.05-2</f>
        <v>4517.05</v>
      </c>
      <c r="AC124" s="1" t="s">
        <v>1123</v>
      </c>
      <c r="AD124" s="1"/>
      <c r="AE124" s="1" t="s">
        <v>435</v>
      </c>
      <c r="AF124" s="1" t="s">
        <v>27</v>
      </c>
      <c r="AG124" s="2" t="s">
        <v>27</v>
      </c>
      <c r="AH124" s="2" t="s">
        <v>27</v>
      </c>
      <c r="AI124" s="2" t="s">
        <v>27</v>
      </c>
      <c r="AJ124" s="2"/>
      <c r="AK124" s="1" t="s">
        <v>27</v>
      </c>
      <c r="AL124" s="1" t="s">
        <v>27</v>
      </c>
      <c r="AM124" s="1" t="s">
        <v>27</v>
      </c>
      <c r="AN124" s="1" t="s">
        <v>27</v>
      </c>
      <c r="AO124" s="1" t="s">
        <v>27</v>
      </c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</row>
    <row r="125" spans="1:78" ht="15.6" x14ac:dyDescent="0.3">
      <c r="A125" s="1" t="s">
        <v>1540</v>
      </c>
      <c r="B125" s="1" t="s">
        <v>1540</v>
      </c>
      <c r="C125" s="2" t="s">
        <v>137</v>
      </c>
      <c r="D125" s="1" t="s">
        <v>1133</v>
      </c>
      <c r="E125" s="2" t="s">
        <v>1134</v>
      </c>
      <c r="F125" s="2">
        <v>168.03</v>
      </c>
      <c r="G125" s="2">
        <f t="shared" si="3"/>
        <v>1.5739828644662061E-17</v>
      </c>
      <c r="H125" s="2">
        <v>11</v>
      </c>
      <c r="I125" s="2">
        <v>10</v>
      </c>
      <c r="J125" s="3">
        <v>0.34</v>
      </c>
      <c r="K125" s="2">
        <v>7</v>
      </c>
      <c r="L125" s="2">
        <v>5</v>
      </c>
      <c r="M125" s="3">
        <v>0.61</v>
      </c>
      <c r="N125" s="2">
        <v>2</v>
      </c>
      <c r="O125" s="11">
        <v>1</v>
      </c>
      <c r="P125" s="3">
        <v>0.3</v>
      </c>
      <c r="Q125" s="2">
        <v>8076</v>
      </c>
      <c r="R125" s="2">
        <v>1.8</v>
      </c>
      <c r="S125" s="9" t="s">
        <v>1135</v>
      </c>
      <c r="T125" s="1" t="s">
        <v>1133</v>
      </c>
      <c r="U125" s="1" t="s">
        <v>1136</v>
      </c>
      <c r="V125" s="1" t="s">
        <v>1137</v>
      </c>
      <c r="W125" s="1" t="s">
        <v>1138</v>
      </c>
      <c r="X125" s="1" t="s">
        <v>1139</v>
      </c>
      <c r="Y125" s="2">
        <v>51</v>
      </c>
      <c r="Z125" s="2">
        <v>2</v>
      </c>
      <c r="AA125" s="2">
        <f>5879.9-Z125</f>
        <v>5877.9</v>
      </c>
      <c r="AB125" s="2">
        <f>5883.49-2</f>
        <v>5881.49</v>
      </c>
      <c r="AC125" s="1" t="s">
        <v>1123</v>
      </c>
      <c r="AD125" s="1"/>
      <c r="AE125" s="1" t="s">
        <v>1124</v>
      </c>
      <c r="AF125" s="1" t="s">
        <v>1125</v>
      </c>
      <c r="AG125" s="2">
        <v>2.6</v>
      </c>
      <c r="AH125" s="2">
        <v>74</v>
      </c>
      <c r="AI125" s="2">
        <v>54.2</v>
      </c>
      <c r="AJ125" s="2"/>
      <c r="AK125" s="1" t="s">
        <v>1140</v>
      </c>
      <c r="AL125" s="1" t="s">
        <v>1095</v>
      </c>
      <c r="AM125" s="1">
        <v>0.13</v>
      </c>
      <c r="AN125" s="1">
        <v>84</v>
      </c>
      <c r="AO125" s="1">
        <v>60.9</v>
      </c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</row>
    <row r="126" spans="1:78" ht="15.6" x14ac:dyDescent="0.3">
      <c r="A126" s="1" t="s">
        <v>1540</v>
      </c>
      <c r="B126" s="1" t="s">
        <v>1540</v>
      </c>
      <c r="C126" s="2" t="s">
        <v>137</v>
      </c>
      <c r="D126" s="1" t="s">
        <v>1141</v>
      </c>
      <c r="E126" s="2" t="s">
        <v>1142</v>
      </c>
      <c r="F126" s="2">
        <v>210.94</v>
      </c>
      <c r="G126" s="2">
        <f t="shared" si="3"/>
        <v>8.0537844119906066E-22</v>
      </c>
      <c r="H126" s="2">
        <v>22</v>
      </c>
      <c r="I126" s="2">
        <v>21</v>
      </c>
      <c r="J126" s="3">
        <v>0.34</v>
      </c>
      <c r="K126" s="2">
        <v>22</v>
      </c>
      <c r="L126" s="2">
        <v>4</v>
      </c>
      <c r="M126" s="3">
        <v>0.67</v>
      </c>
      <c r="N126" s="2" t="s">
        <v>27</v>
      </c>
      <c r="O126" s="2" t="s">
        <v>27</v>
      </c>
      <c r="P126" s="3" t="s">
        <v>27</v>
      </c>
      <c r="Q126" s="2">
        <v>8150</v>
      </c>
      <c r="R126" s="2">
        <v>16.03</v>
      </c>
      <c r="S126" s="9" t="s">
        <v>1143</v>
      </c>
      <c r="T126" s="1" t="s">
        <v>1141</v>
      </c>
      <c r="U126" s="1" t="s">
        <v>1144</v>
      </c>
      <c r="V126" s="1" t="s">
        <v>1145</v>
      </c>
      <c r="W126" s="1" t="s">
        <v>1146</v>
      </c>
      <c r="X126" s="1" t="s">
        <v>1147</v>
      </c>
      <c r="Y126" s="2">
        <v>50</v>
      </c>
      <c r="Z126" s="2">
        <v>2</v>
      </c>
      <c r="AA126" s="2">
        <f>5953.95-2</f>
        <v>5951.95</v>
      </c>
      <c r="AB126" s="2">
        <f>5957.66</f>
        <v>5957.66</v>
      </c>
      <c r="AC126" s="1" t="s">
        <v>1148</v>
      </c>
      <c r="AD126" s="1"/>
      <c r="AE126" s="1" t="s">
        <v>435</v>
      </c>
      <c r="AF126" s="1" t="s">
        <v>101</v>
      </c>
      <c r="AG126" s="2">
        <v>3.1</v>
      </c>
      <c r="AH126" s="2">
        <v>73</v>
      </c>
      <c r="AI126" s="2">
        <v>50</v>
      </c>
      <c r="AJ126" s="2"/>
      <c r="AK126" s="1" t="s">
        <v>27</v>
      </c>
      <c r="AL126" s="1" t="s">
        <v>27</v>
      </c>
      <c r="AM126" s="1" t="s">
        <v>27</v>
      </c>
      <c r="AN126" s="1" t="s">
        <v>27</v>
      </c>
      <c r="AO126" s="1" t="s">
        <v>27</v>
      </c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</row>
    <row r="127" spans="1:78" ht="15.6" x14ac:dyDescent="0.3">
      <c r="A127" s="1" t="s">
        <v>1540</v>
      </c>
      <c r="B127" s="1" t="s">
        <v>1540</v>
      </c>
      <c r="C127" s="2" t="s">
        <v>137</v>
      </c>
      <c r="D127" s="1" t="s">
        <v>1149</v>
      </c>
      <c r="E127" s="2" t="s">
        <v>1533</v>
      </c>
      <c r="F127" s="2">
        <v>214.36</v>
      </c>
      <c r="G127" s="2">
        <f t="shared" si="3"/>
        <v>3.6643757464783126E-22</v>
      </c>
      <c r="H127" s="2">
        <v>22</v>
      </c>
      <c r="I127" s="2">
        <v>21</v>
      </c>
      <c r="J127" s="3">
        <v>0.34</v>
      </c>
      <c r="K127" s="2">
        <v>28</v>
      </c>
      <c r="L127" s="2">
        <v>10</v>
      </c>
      <c r="M127" s="3">
        <v>0.69</v>
      </c>
      <c r="N127" s="2">
        <v>3</v>
      </c>
      <c r="O127" s="2">
        <v>2</v>
      </c>
      <c r="P127" s="3">
        <v>0.28000000000000003</v>
      </c>
      <c r="Q127" s="2">
        <v>8209</v>
      </c>
      <c r="R127" s="2">
        <v>10.41</v>
      </c>
      <c r="S127" s="9" t="s">
        <v>1150</v>
      </c>
      <c r="T127" s="1" t="s">
        <v>1149</v>
      </c>
      <c r="U127" s="1" t="s">
        <v>1151</v>
      </c>
      <c r="V127" s="1" t="s">
        <v>1152</v>
      </c>
      <c r="W127" s="1" t="s">
        <v>1153</v>
      </c>
      <c r="X127" s="1" t="s">
        <v>1154</v>
      </c>
      <c r="Y127" s="2">
        <v>51</v>
      </c>
      <c r="Z127" s="2">
        <v>2</v>
      </c>
      <c r="AA127" s="2">
        <f>6012.97-2</f>
        <v>6010.97</v>
      </c>
      <c r="AB127" s="2">
        <f>6016.88-2</f>
        <v>6014.88</v>
      </c>
      <c r="AC127" s="1" t="s">
        <v>1123</v>
      </c>
      <c r="AD127" s="1"/>
      <c r="AE127" s="1" t="s">
        <v>1155</v>
      </c>
      <c r="AF127" s="1" t="s">
        <v>1156</v>
      </c>
      <c r="AG127" s="2">
        <v>6.7000000000000004E-2</v>
      </c>
      <c r="AH127" s="2">
        <v>81</v>
      </c>
      <c r="AI127" s="2">
        <v>56.5</v>
      </c>
      <c r="AJ127" s="2"/>
      <c r="AK127" s="1" t="s">
        <v>27</v>
      </c>
      <c r="AL127" s="1" t="s">
        <v>27</v>
      </c>
      <c r="AM127" s="1" t="s">
        <v>27</v>
      </c>
      <c r="AN127" s="1" t="s">
        <v>27</v>
      </c>
      <c r="AO127" s="1" t="s">
        <v>27</v>
      </c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</row>
    <row r="128" spans="1:78" ht="15.6" x14ac:dyDescent="0.3">
      <c r="A128" s="1" t="s">
        <v>1540</v>
      </c>
      <c r="B128" s="1" t="s">
        <v>1540</v>
      </c>
      <c r="C128" s="2" t="s">
        <v>137</v>
      </c>
      <c r="D128" s="1" t="s">
        <v>1157</v>
      </c>
      <c r="E128" s="2" t="s">
        <v>1158</v>
      </c>
      <c r="F128" s="2">
        <v>210.94</v>
      </c>
      <c r="G128" s="2">
        <f t="shared" si="3"/>
        <v>8.0537844119906066E-22</v>
      </c>
      <c r="H128" s="2">
        <v>22</v>
      </c>
      <c r="I128" s="2">
        <v>21</v>
      </c>
      <c r="J128" s="3">
        <v>0.34</v>
      </c>
      <c r="K128" s="2">
        <v>22</v>
      </c>
      <c r="L128" s="2">
        <v>4</v>
      </c>
      <c r="M128" s="3">
        <v>0.67</v>
      </c>
      <c r="N128" s="2" t="s">
        <v>27</v>
      </c>
      <c r="O128" s="2" t="s">
        <v>27</v>
      </c>
      <c r="P128" s="2" t="s">
        <v>27</v>
      </c>
      <c r="Q128" s="2">
        <v>8150</v>
      </c>
      <c r="R128" s="2">
        <v>8.66</v>
      </c>
      <c r="S128" s="9" t="s">
        <v>1159</v>
      </c>
      <c r="T128" s="1" t="s">
        <v>1160</v>
      </c>
      <c r="U128" s="1" t="s">
        <v>1144</v>
      </c>
      <c r="V128" s="1" t="s">
        <v>1161</v>
      </c>
      <c r="W128" s="1" t="s">
        <v>1146</v>
      </c>
      <c r="X128" s="1" t="s">
        <v>1147</v>
      </c>
      <c r="Y128" s="2">
        <v>50</v>
      </c>
      <c r="Z128" s="2">
        <v>2</v>
      </c>
      <c r="AA128" s="2">
        <f>5953.95-Z128</f>
        <v>5951.95</v>
      </c>
      <c r="AB128" s="2">
        <f>5957.66-2</f>
        <v>5955.66</v>
      </c>
      <c r="AC128" s="1" t="s">
        <v>1123</v>
      </c>
      <c r="AD128" s="1"/>
      <c r="AE128" s="1" t="s">
        <v>435</v>
      </c>
      <c r="AF128" s="1" t="s">
        <v>101</v>
      </c>
      <c r="AG128" s="2" t="s">
        <v>1162</v>
      </c>
      <c r="AH128" s="2">
        <v>73</v>
      </c>
      <c r="AI128" s="2">
        <v>50</v>
      </c>
      <c r="AJ128" s="2"/>
      <c r="AK128" s="1" t="s">
        <v>27</v>
      </c>
      <c r="AL128" s="1" t="s">
        <v>27</v>
      </c>
      <c r="AM128" s="1" t="s">
        <v>27</v>
      </c>
      <c r="AN128" s="1" t="s">
        <v>27</v>
      </c>
      <c r="AO128" s="1" t="s">
        <v>27</v>
      </c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</row>
    <row r="129" spans="1:78" ht="15.6" x14ac:dyDescent="0.3">
      <c r="A129" s="1" t="s">
        <v>1540</v>
      </c>
      <c r="B129" s="1" t="s">
        <v>1540</v>
      </c>
      <c r="C129" s="2" t="s">
        <v>137</v>
      </c>
      <c r="D129" s="1" t="s">
        <v>1163</v>
      </c>
      <c r="E129" s="2" t="s">
        <v>1164</v>
      </c>
      <c r="F129" s="2">
        <v>164.98</v>
      </c>
      <c r="G129" s="2">
        <f t="shared" si="3"/>
        <v>3.1768740706497795E-17</v>
      </c>
      <c r="H129" s="2">
        <v>11</v>
      </c>
      <c r="I129" s="2">
        <v>10</v>
      </c>
      <c r="J129" s="3">
        <v>0.32</v>
      </c>
      <c r="K129" s="2" t="s">
        <v>27</v>
      </c>
      <c r="L129" s="2" t="s">
        <v>27</v>
      </c>
      <c r="M129" s="2" t="s">
        <v>27</v>
      </c>
      <c r="N129" s="2" t="s">
        <v>27</v>
      </c>
      <c r="O129" s="11" t="s">
        <v>27</v>
      </c>
      <c r="P129" s="2" t="s">
        <v>27</v>
      </c>
      <c r="Q129" s="2">
        <v>8473</v>
      </c>
      <c r="R129" s="2">
        <v>7.65</v>
      </c>
      <c r="S129" s="9" t="s">
        <v>1165</v>
      </c>
      <c r="T129" s="1" t="s">
        <v>1163</v>
      </c>
      <c r="U129" s="1" t="s">
        <v>1166</v>
      </c>
      <c r="V129" s="1" t="s">
        <v>1167</v>
      </c>
      <c r="W129" s="1" t="s">
        <v>1168</v>
      </c>
      <c r="X129" s="1" t="s">
        <v>1169</v>
      </c>
      <c r="Y129" s="2">
        <v>54</v>
      </c>
      <c r="Z129" s="2">
        <v>2</v>
      </c>
      <c r="AA129" s="2">
        <f>6276.2-2</f>
        <v>6274.2</v>
      </c>
      <c r="AB129" s="2">
        <f>6280.03-2</f>
        <v>6278.03</v>
      </c>
      <c r="AC129" s="1" t="s">
        <v>1123</v>
      </c>
      <c r="AD129" s="1"/>
      <c r="AE129" s="1" t="s">
        <v>1124</v>
      </c>
      <c r="AF129" s="1" t="s">
        <v>1125</v>
      </c>
      <c r="AG129" s="2">
        <v>4.3E-3</v>
      </c>
      <c r="AH129" s="2">
        <v>92</v>
      </c>
      <c r="AI129" s="2">
        <v>55.6</v>
      </c>
      <c r="AJ129" s="2"/>
      <c r="AK129" s="1" t="s">
        <v>1140</v>
      </c>
      <c r="AL129" s="1" t="s">
        <v>1095</v>
      </c>
      <c r="AM129" s="1">
        <v>3.8999999999999999E-5</v>
      </c>
      <c r="AN129" s="1">
        <v>103</v>
      </c>
      <c r="AO129" s="1">
        <v>69.599999999999994</v>
      </c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</row>
    <row r="130" spans="1:78" ht="15.6" x14ac:dyDescent="0.3">
      <c r="A130" s="1" t="s">
        <v>987</v>
      </c>
      <c r="B130" s="1" t="s">
        <v>987</v>
      </c>
      <c r="C130" s="2" t="s">
        <v>137</v>
      </c>
      <c r="D130" s="1" t="s">
        <v>981</v>
      </c>
      <c r="E130" s="2" t="s">
        <v>27</v>
      </c>
      <c r="F130" s="2" t="s">
        <v>1538</v>
      </c>
      <c r="G130" s="2" t="e">
        <f t="shared" ref="G130:G161" si="4">(10)^(-F130/10)</f>
        <v>#VALUE!</v>
      </c>
      <c r="H130" s="2">
        <v>3</v>
      </c>
      <c r="I130" s="2">
        <v>3</v>
      </c>
      <c r="J130" s="3">
        <v>0.08</v>
      </c>
      <c r="K130" s="2" t="s">
        <v>27</v>
      </c>
      <c r="L130" s="2" t="s">
        <v>27</v>
      </c>
      <c r="M130" s="2" t="s">
        <v>27</v>
      </c>
      <c r="N130" s="2" t="s">
        <v>27</v>
      </c>
      <c r="O130" s="2" t="s">
        <v>27</v>
      </c>
      <c r="P130" s="2" t="s">
        <v>27</v>
      </c>
      <c r="Q130" s="2">
        <v>44672</v>
      </c>
      <c r="R130" s="2">
        <v>573.16999999999996</v>
      </c>
      <c r="S130" s="1" t="s">
        <v>982</v>
      </c>
      <c r="T130" s="1" t="s">
        <v>981</v>
      </c>
      <c r="U130" s="1" t="s">
        <v>983</v>
      </c>
      <c r="V130" s="1"/>
      <c r="W130" s="1" t="s">
        <v>984</v>
      </c>
      <c r="X130" s="1" t="s">
        <v>985</v>
      </c>
      <c r="Y130" s="2">
        <v>383</v>
      </c>
      <c r="Z130" s="2">
        <v>0</v>
      </c>
      <c r="AA130" s="2">
        <f>42774.8</f>
        <v>42774.8</v>
      </c>
      <c r="AB130" s="2">
        <v>42748.62</v>
      </c>
      <c r="AC130" s="1" t="s">
        <v>986</v>
      </c>
      <c r="AD130" s="1" t="s">
        <v>27</v>
      </c>
      <c r="AE130" s="1" t="s">
        <v>988</v>
      </c>
      <c r="AF130" s="1" t="s">
        <v>989</v>
      </c>
      <c r="AG130" s="4">
        <v>7.8000000000000006E-111</v>
      </c>
      <c r="AH130" s="2">
        <v>865</v>
      </c>
      <c r="AI130" s="2">
        <v>46.3</v>
      </c>
      <c r="AJ130" s="2" t="s">
        <v>990</v>
      </c>
      <c r="AK130" s="1" t="s">
        <v>991</v>
      </c>
      <c r="AL130" s="1" t="s">
        <v>599</v>
      </c>
      <c r="AM130" s="1">
        <v>0</v>
      </c>
      <c r="AN130" s="1">
        <v>1702</v>
      </c>
      <c r="AO130" s="1">
        <v>83.3</v>
      </c>
      <c r="AP130" s="1" t="s">
        <v>992</v>
      </c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</row>
    <row r="131" spans="1:78" ht="15.6" x14ac:dyDescent="0.3">
      <c r="A131" s="1" t="s">
        <v>987</v>
      </c>
      <c r="B131" s="1" t="s">
        <v>987</v>
      </c>
      <c r="C131" s="2" t="s">
        <v>137</v>
      </c>
      <c r="D131" s="1" t="s">
        <v>993</v>
      </c>
      <c r="E131" s="2" t="s">
        <v>27</v>
      </c>
      <c r="F131" s="2">
        <v>64.239999999999995</v>
      </c>
      <c r="G131" s="2">
        <f t="shared" si="4"/>
        <v>3.767037989839088E-7</v>
      </c>
      <c r="H131" s="2">
        <v>2</v>
      </c>
      <c r="I131" s="2">
        <v>2</v>
      </c>
      <c r="J131" s="3">
        <v>0.13</v>
      </c>
      <c r="K131" s="2" t="s">
        <v>27</v>
      </c>
      <c r="L131" s="2" t="s">
        <v>27</v>
      </c>
      <c r="M131" s="2" t="s">
        <v>27</v>
      </c>
      <c r="N131" s="2">
        <v>1</v>
      </c>
      <c r="O131" s="2">
        <v>1</v>
      </c>
      <c r="P131" s="3">
        <v>0.13</v>
      </c>
      <c r="Q131" s="2">
        <v>16643</v>
      </c>
      <c r="R131" s="2">
        <v>89.64</v>
      </c>
      <c r="S131" s="1" t="s">
        <v>994</v>
      </c>
      <c r="T131" s="1"/>
      <c r="U131" s="1" t="s">
        <v>995</v>
      </c>
      <c r="V131" s="1" t="s">
        <v>996</v>
      </c>
      <c r="W131" s="1" t="s">
        <v>997</v>
      </c>
      <c r="X131" s="1" t="s">
        <v>998</v>
      </c>
      <c r="Y131" s="2">
        <v>183</v>
      </c>
      <c r="Z131" s="2">
        <v>1</v>
      </c>
      <c r="AA131" s="2">
        <f>14362.67-1</f>
        <v>14361.67</v>
      </c>
      <c r="AB131" s="2">
        <f>14371.01-1</f>
        <v>14370.01</v>
      </c>
      <c r="AC131" s="1" t="s">
        <v>100</v>
      </c>
      <c r="AD131" s="1" t="s">
        <v>999</v>
      </c>
      <c r="AE131" s="1" t="s">
        <v>1000</v>
      </c>
      <c r="AF131" s="1" t="s">
        <v>337</v>
      </c>
      <c r="AG131" s="4">
        <v>7.0000000000000003E-77</v>
      </c>
      <c r="AH131" s="2">
        <v>614</v>
      </c>
      <c r="AI131" s="2">
        <v>64.7</v>
      </c>
      <c r="AJ131" s="2" t="s">
        <v>1001</v>
      </c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</row>
    <row r="132" spans="1:78" ht="15.6" x14ac:dyDescent="0.3">
      <c r="A132" s="1" t="s">
        <v>987</v>
      </c>
      <c r="B132" s="1" t="s">
        <v>987</v>
      </c>
      <c r="C132" s="2" t="s">
        <v>137</v>
      </c>
      <c r="D132" s="1" t="s">
        <v>1002</v>
      </c>
      <c r="E132" s="2" t="s">
        <v>27</v>
      </c>
      <c r="F132" s="2">
        <v>132.41999999999999</v>
      </c>
      <c r="G132" s="2">
        <f t="shared" si="4"/>
        <v>5.7279603098582962E-14</v>
      </c>
      <c r="H132" s="2">
        <v>5</v>
      </c>
      <c r="I132" s="2">
        <v>5</v>
      </c>
      <c r="J132" s="3">
        <v>0.06</v>
      </c>
      <c r="K132" s="2" t="s">
        <v>27</v>
      </c>
      <c r="L132" s="2" t="s">
        <v>27</v>
      </c>
      <c r="M132" s="2" t="s">
        <v>27</v>
      </c>
      <c r="N132" s="2"/>
      <c r="O132" s="2"/>
      <c r="P132" s="2"/>
      <c r="Q132" s="2">
        <v>146330</v>
      </c>
      <c r="R132" s="2">
        <v>83.66</v>
      </c>
      <c r="S132" s="1" t="s">
        <v>1003</v>
      </c>
      <c r="T132" s="1" t="s">
        <v>1002</v>
      </c>
      <c r="U132" s="9" t="s">
        <v>1004</v>
      </c>
      <c r="V132" s="1" t="s">
        <v>1005</v>
      </c>
      <c r="W132" s="1" t="s">
        <v>1006</v>
      </c>
      <c r="X132" s="9" t="s">
        <v>1007</v>
      </c>
      <c r="Y132" s="2">
        <v>1412</v>
      </c>
      <c r="Z132" s="2">
        <v>0</v>
      </c>
      <c r="AA132" s="2">
        <v>144222.01999999999</v>
      </c>
      <c r="AB132" s="2">
        <v>144307.13</v>
      </c>
      <c r="AC132" s="1" t="s">
        <v>100</v>
      </c>
      <c r="AD132" s="1" t="s">
        <v>1008</v>
      </c>
      <c r="AE132" s="1" t="s">
        <v>1009</v>
      </c>
      <c r="AF132" s="1" t="s">
        <v>380</v>
      </c>
      <c r="AG132" s="4">
        <v>3.7E-136</v>
      </c>
      <c r="AH132" s="2">
        <v>1186</v>
      </c>
      <c r="AI132" s="2">
        <v>30.2</v>
      </c>
      <c r="AJ132" s="2" t="s">
        <v>1010</v>
      </c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</row>
    <row r="133" spans="1:78" ht="15.6" x14ac:dyDescent="0.3">
      <c r="A133" s="1" t="s">
        <v>987</v>
      </c>
      <c r="B133" s="1" t="s">
        <v>987</v>
      </c>
      <c r="C133" s="2" t="s">
        <v>137</v>
      </c>
      <c r="D133" s="1" t="s">
        <v>1011</v>
      </c>
      <c r="E133" s="2" t="s">
        <v>27</v>
      </c>
      <c r="F133" s="2">
        <v>125.15</v>
      </c>
      <c r="G133" s="2">
        <f t="shared" si="4"/>
        <v>3.0549211132154985E-13</v>
      </c>
      <c r="H133" s="2" t="s">
        <v>27</v>
      </c>
      <c r="I133" s="2" t="s">
        <v>27</v>
      </c>
      <c r="J133" s="3" t="s">
        <v>27</v>
      </c>
      <c r="K133" s="2" t="s">
        <v>27</v>
      </c>
      <c r="L133" s="2" t="s">
        <v>27</v>
      </c>
      <c r="M133" s="3" t="s">
        <v>27</v>
      </c>
      <c r="N133" s="2">
        <v>1</v>
      </c>
      <c r="O133" s="2">
        <v>1</v>
      </c>
      <c r="P133" s="3">
        <v>0.13</v>
      </c>
      <c r="Q133" s="2">
        <v>10777</v>
      </c>
      <c r="R133" s="21">
        <v>77.81</v>
      </c>
      <c r="S133" s="1" t="s">
        <v>1012</v>
      </c>
      <c r="T133" s="1" t="s">
        <v>1011</v>
      </c>
      <c r="U133" s="1" t="s">
        <v>1013</v>
      </c>
      <c r="V133" s="1" t="s">
        <v>1014</v>
      </c>
      <c r="W133" s="1" t="s">
        <v>1015</v>
      </c>
      <c r="X133" s="1" t="s">
        <v>1016</v>
      </c>
      <c r="Y133" s="2">
        <v>81</v>
      </c>
      <c r="Z133" s="2">
        <v>10</v>
      </c>
      <c r="AA133" s="2">
        <f>8928.95-10</f>
        <v>8918.9500000000007</v>
      </c>
      <c r="AB133" s="2">
        <f>8935.13-10</f>
        <v>8925.1299999999992</v>
      </c>
      <c r="AC133" s="1" t="s">
        <v>100</v>
      </c>
      <c r="AD133" s="1" t="s">
        <v>1017</v>
      </c>
      <c r="AE133" s="1" t="s">
        <v>1018</v>
      </c>
      <c r="AF133" s="1" t="s">
        <v>69</v>
      </c>
      <c r="AG133" s="4">
        <v>4.3000000000000003E-52</v>
      </c>
      <c r="AH133" s="2">
        <v>394</v>
      </c>
      <c r="AI133" s="2">
        <v>79</v>
      </c>
      <c r="AJ133" s="2" t="s">
        <v>1019</v>
      </c>
      <c r="AK133" s="1" t="s">
        <v>1020</v>
      </c>
      <c r="AL133" s="1" t="s">
        <v>617</v>
      </c>
      <c r="AM133" s="5">
        <v>9.8999999999999998E-51</v>
      </c>
      <c r="AN133" s="1">
        <v>386</v>
      </c>
      <c r="AO133" s="1">
        <v>80.3</v>
      </c>
      <c r="AP133" s="1" t="s">
        <v>1021</v>
      </c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</row>
    <row r="134" spans="1:78" ht="15.6" x14ac:dyDescent="0.3">
      <c r="A134" s="1" t="s">
        <v>987</v>
      </c>
      <c r="B134" s="1" t="s">
        <v>987</v>
      </c>
      <c r="C134" s="2" t="s">
        <v>137</v>
      </c>
      <c r="D134" s="1" t="s">
        <v>1022</v>
      </c>
      <c r="E134" s="2" t="s">
        <v>27</v>
      </c>
      <c r="F134" s="2">
        <v>208.79</v>
      </c>
      <c r="G134" s="2">
        <f t="shared" si="4"/>
        <v>1.321295634186572E-21</v>
      </c>
      <c r="H134" s="2" t="s">
        <v>27</v>
      </c>
      <c r="I134" s="2" t="s">
        <v>27</v>
      </c>
      <c r="J134" s="2" t="s">
        <v>27</v>
      </c>
      <c r="K134" s="2" t="s">
        <v>27</v>
      </c>
      <c r="L134" s="2" t="s">
        <v>27</v>
      </c>
      <c r="M134" s="2" t="s">
        <v>27</v>
      </c>
      <c r="N134" s="2">
        <v>3</v>
      </c>
      <c r="O134" s="2">
        <v>3</v>
      </c>
      <c r="P134" s="3">
        <v>0.56999999999999995</v>
      </c>
      <c r="Q134" s="2">
        <v>11140</v>
      </c>
      <c r="R134" s="21">
        <v>57.64</v>
      </c>
      <c r="S134" s="1" t="s">
        <v>1023</v>
      </c>
      <c r="T134" s="1" t="s">
        <v>1022</v>
      </c>
      <c r="U134" s="1" t="s">
        <v>1024</v>
      </c>
      <c r="V134" s="1" t="s">
        <v>1025</v>
      </c>
      <c r="W134" s="1" t="s">
        <v>1026</v>
      </c>
      <c r="X134" s="1" t="s">
        <v>1027</v>
      </c>
      <c r="Y134" s="2">
        <v>83</v>
      </c>
      <c r="Z134" s="2">
        <v>10</v>
      </c>
      <c r="AA134" s="2">
        <f>9041.89-10</f>
        <v>9031.89</v>
      </c>
      <c r="AB134" s="2">
        <f>9048.01-10</f>
        <v>9038.01</v>
      </c>
      <c r="AC134" s="1" t="s">
        <v>100</v>
      </c>
      <c r="AD134" s="1" t="s">
        <v>1028</v>
      </c>
      <c r="AE134" s="1" t="s">
        <v>976</v>
      </c>
      <c r="AF134" s="1" t="s">
        <v>1029</v>
      </c>
      <c r="AG134" s="4">
        <v>2.3999999999999999E-47</v>
      </c>
      <c r="AH134" s="2">
        <v>366</v>
      </c>
      <c r="AI134" s="2">
        <v>80</v>
      </c>
      <c r="AJ134" s="2" t="s">
        <v>1030</v>
      </c>
      <c r="AK134" s="1" t="s">
        <v>1031</v>
      </c>
      <c r="AL134" s="1" t="s">
        <v>1032</v>
      </c>
      <c r="AM134" s="5">
        <v>3.4E-45</v>
      </c>
      <c r="AN134" s="1">
        <v>353</v>
      </c>
      <c r="AO134" s="1">
        <v>70.7</v>
      </c>
      <c r="AP134" s="1" t="s">
        <v>1019</v>
      </c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</row>
    <row r="135" spans="1:78" ht="15.6" x14ac:dyDescent="0.3">
      <c r="A135" s="1" t="s">
        <v>987</v>
      </c>
      <c r="B135" s="1" t="s">
        <v>987</v>
      </c>
      <c r="C135" s="2" t="s">
        <v>137</v>
      </c>
      <c r="D135" s="1" t="s">
        <v>1033</v>
      </c>
      <c r="E135" s="2" t="s">
        <v>27</v>
      </c>
      <c r="F135" s="2">
        <v>145.33000000000001</v>
      </c>
      <c r="G135" s="2">
        <f t="shared" si="4"/>
        <v>2.9308932452502949E-15</v>
      </c>
      <c r="H135" s="2">
        <v>10</v>
      </c>
      <c r="I135" s="2">
        <v>10</v>
      </c>
      <c r="J135" s="3">
        <v>0.38</v>
      </c>
      <c r="K135" s="2" t="s">
        <v>27</v>
      </c>
      <c r="L135" s="2" t="s">
        <v>27</v>
      </c>
      <c r="M135" s="2" t="s">
        <v>27</v>
      </c>
      <c r="N135" s="2" t="s">
        <v>27</v>
      </c>
      <c r="O135" s="2" t="s">
        <v>27</v>
      </c>
      <c r="P135" s="2" t="s">
        <v>27</v>
      </c>
      <c r="Q135" s="2">
        <v>24399</v>
      </c>
      <c r="R135" s="2">
        <v>34.549999999999997</v>
      </c>
      <c r="S135" s="1" t="s">
        <v>1034</v>
      </c>
      <c r="T135" s="1" t="s">
        <v>1033</v>
      </c>
      <c r="U135" s="1" t="s">
        <v>1035</v>
      </c>
      <c r="V135" s="1" t="s">
        <v>1036</v>
      </c>
      <c r="W135" s="1" t="s">
        <v>1037</v>
      </c>
      <c r="X135" s="1" t="s">
        <v>1038</v>
      </c>
      <c r="Y135" s="2">
        <v>213</v>
      </c>
      <c r="Z135" s="2">
        <v>0</v>
      </c>
      <c r="AA135" s="2">
        <v>21959.9</v>
      </c>
      <c r="AB135" s="2">
        <v>21973.43</v>
      </c>
      <c r="AC135" s="1" t="s">
        <v>100</v>
      </c>
      <c r="AD135" s="1" t="s">
        <v>27</v>
      </c>
      <c r="AE135" s="1" t="s">
        <v>1039</v>
      </c>
      <c r="AF135" s="1" t="s">
        <v>98</v>
      </c>
      <c r="AG135" s="4">
        <v>3E-65</v>
      </c>
      <c r="AH135" s="2">
        <v>531</v>
      </c>
      <c r="AI135" s="2">
        <v>54.5</v>
      </c>
      <c r="AJ135" s="2" t="s">
        <v>1040</v>
      </c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</row>
    <row r="136" spans="1:78" ht="15.6" x14ac:dyDescent="0.3">
      <c r="A136" s="1" t="s">
        <v>987</v>
      </c>
      <c r="B136" s="1" t="s">
        <v>987</v>
      </c>
      <c r="C136" s="2" t="s">
        <v>137</v>
      </c>
      <c r="D136" s="1" t="s">
        <v>1041</v>
      </c>
      <c r="E136" s="2" t="s">
        <v>27</v>
      </c>
      <c r="F136" s="2">
        <v>137.33000000000001</v>
      </c>
      <c r="G136" s="2">
        <f t="shared" si="4"/>
        <v>1.8492686189780671E-14</v>
      </c>
      <c r="H136" s="10">
        <v>4</v>
      </c>
      <c r="I136" s="10">
        <v>4</v>
      </c>
      <c r="J136" s="3">
        <v>0.22</v>
      </c>
      <c r="K136" s="2" t="s">
        <v>27</v>
      </c>
      <c r="L136" s="2" t="s">
        <v>27</v>
      </c>
      <c r="M136" s="2" t="s">
        <v>27</v>
      </c>
      <c r="N136" s="2" t="s">
        <v>27</v>
      </c>
      <c r="O136" s="2" t="s">
        <v>27</v>
      </c>
      <c r="P136" s="2" t="s">
        <v>27</v>
      </c>
      <c r="Q136" s="2">
        <v>20575</v>
      </c>
      <c r="R136" s="2">
        <v>24.6</v>
      </c>
      <c r="S136" s="1" t="s">
        <v>1042</v>
      </c>
      <c r="T136" s="1" t="s">
        <v>1041</v>
      </c>
      <c r="U136" s="1" t="s">
        <v>1043</v>
      </c>
      <c r="V136" s="1" t="s">
        <v>1044</v>
      </c>
      <c r="W136" s="1" t="s">
        <v>1045</v>
      </c>
      <c r="X136" s="1" t="s">
        <v>1046</v>
      </c>
      <c r="Y136" s="2">
        <v>189</v>
      </c>
      <c r="Z136" s="2">
        <v>0</v>
      </c>
      <c r="AA136" s="2">
        <v>18978.439999999999</v>
      </c>
      <c r="AB136" s="2">
        <v>18990.12</v>
      </c>
      <c r="AC136" s="1" t="s">
        <v>100</v>
      </c>
      <c r="AD136" s="1" t="s">
        <v>1047</v>
      </c>
      <c r="AE136" s="1" t="s">
        <v>1048</v>
      </c>
      <c r="AF136" s="1" t="s">
        <v>380</v>
      </c>
      <c r="AG136" s="4">
        <v>3.5999999999999999E-52</v>
      </c>
      <c r="AH136" s="2">
        <v>443</v>
      </c>
      <c r="AI136" s="2">
        <v>48.3</v>
      </c>
      <c r="AJ136" s="2" t="s">
        <v>1049</v>
      </c>
      <c r="AK136" s="1" t="s">
        <v>1050</v>
      </c>
      <c r="AL136" s="1" t="s">
        <v>380</v>
      </c>
      <c r="AM136" s="5">
        <v>4.5999999999999999E-52</v>
      </c>
      <c r="AN136" s="1">
        <v>445</v>
      </c>
      <c r="AO136" s="1">
        <v>53.6</v>
      </c>
      <c r="AP136" s="1" t="s">
        <v>1051</v>
      </c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</row>
    <row r="137" spans="1:78" ht="15.6" x14ac:dyDescent="0.3">
      <c r="A137" s="1" t="s">
        <v>987</v>
      </c>
      <c r="B137" s="1" t="s">
        <v>987</v>
      </c>
      <c r="C137" s="2" t="s">
        <v>137</v>
      </c>
      <c r="D137" s="1" t="s">
        <v>1052</v>
      </c>
      <c r="E137" s="2" t="s">
        <v>27</v>
      </c>
      <c r="F137" s="2">
        <v>177.57</v>
      </c>
      <c r="G137" s="2">
        <f t="shared" si="4"/>
        <v>1.7498466886246529E-18</v>
      </c>
      <c r="H137" s="2">
        <v>6</v>
      </c>
      <c r="I137" s="2">
        <v>6</v>
      </c>
      <c r="J137" s="3">
        <v>0.36</v>
      </c>
      <c r="K137" s="2">
        <v>2</v>
      </c>
      <c r="L137" s="2">
        <v>2</v>
      </c>
      <c r="M137" s="3">
        <v>0.11</v>
      </c>
      <c r="N137" s="2"/>
      <c r="O137" s="2"/>
      <c r="P137" s="2"/>
      <c r="Q137" s="2">
        <v>16844</v>
      </c>
      <c r="R137" s="2">
        <v>20.12</v>
      </c>
      <c r="S137" s="1" t="s">
        <v>1053</v>
      </c>
      <c r="T137" s="1"/>
      <c r="U137" s="1" t="s">
        <v>1054</v>
      </c>
      <c r="V137" s="1" t="s">
        <v>1055</v>
      </c>
      <c r="W137" s="1" t="s">
        <v>1056</v>
      </c>
      <c r="X137" s="1" t="s">
        <v>1057</v>
      </c>
      <c r="Y137" s="2">
        <v>162</v>
      </c>
      <c r="Z137" s="2">
        <v>0</v>
      </c>
      <c r="AA137" s="2">
        <v>14504.63</v>
      </c>
      <c r="AB137" s="2">
        <v>14512.95</v>
      </c>
      <c r="AC137" s="1" t="s">
        <v>100</v>
      </c>
      <c r="AD137" s="1" t="s">
        <v>999</v>
      </c>
      <c r="AE137" s="1" t="s">
        <v>1058</v>
      </c>
      <c r="AF137" s="1" t="s">
        <v>1059</v>
      </c>
      <c r="AG137" s="4">
        <v>1.4E-22</v>
      </c>
      <c r="AH137" s="2">
        <v>251</v>
      </c>
      <c r="AI137" s="2">
        <v>44.5</v>
      </c>
      <c r="AJ137" s="2" t="s">
        <v>282</v>
      </c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</row>
    <row r="138" spans="1:78" ht="15.6" x14ac:dyDescent="0.3">
      <c r="A138" s="1" t="s">
        <v>987</v>
      </c>
      <c r="B138" s="1" t="s">
        <v>987</v>
      </c>
      <c r="C138" s="2" t="s">
        <v>137</v>
      </c>
      <c r="D138" s="1" t="s">
        <v>1060</v>
      </c>
      <c r="E138" s="2" t="s">
        <v>27</v>
      </c>
      <c r="F138" s="2">
        <v>74.63</v>
      </c>
      <c r="G138" s="2">
        <f t="shared" si="4"/>
        <v>3.4434993076333906E-8</v>
      </c>
      <c r="H138" s="2">
        <v>3</v>
      </c>
      <c r="I138" s="2">
        <v>3</v>
      </c>
      <c r="J138" s="3">
        <v>0.16</v>
      </c>
      <c r="K138" s="2" t="s">
        <v>27</v>
      </c>
      <c r="L138" s="2" t="s">
        <v>27</v>
      </c>
      <c r="M138" s="2" t="s">
        <v>27</v>
      </c>
      <c r="N138" s="2" t="s">
        <v>27</v>
      </c>
      <c r="O138" s="2" t="s">
        <v>27</v>
      </c>
      <c r="P138" s="2" t="s">
        <v>27</v>
      </c>
      <c r="Q138" s="2">
        <v>23296</v>
      </c>
      <c r="R138" s="2">
        <v>8.2100000000000009</v>
      </c>
      <c r="S138" s="1" t="s">
        <v>1061</v>
      </c>
      <c r="T138" s="1" t="s">
        <v>1060</v>
      </c>
      <c r="U138" s="1" t="s">
        <v>1062</v>
      </c>
      <c r="V138" s="1" t="s">
        <v>1063</v>
      </c>
      <c r="W138" s="1" t="s">
        <v>1064</v>
      </c>
      <c r="X138" s="1" t="s">
        <v>1065</v>
      </c>
      <c r="Y138" s="2">
        <v>215</v>
      </c>
      <c r="Z138" s="2">
        <v>0</v>
      </c>
      <c r="AA138" s="2">
        <v>21647.64</v>
      </c>
      <c r="AB138" s="2">
        <v>21660.99</v>
      </c>
      <c r="AC138" s="1" t="s">
        <v>100</v>
      </c>
      <c r="AD138" s="1" t="s">
        <v>27</v>
      </c>
      <c r="AE138" s="1" t="s">
        <v>1050</v>
      </c>
      <c r="AF138" s="1" t="s">
        <v>380</v>
      </c>
      <c r="AG138" s="4">
        <v>6.5000000000000003E-78</v>
      </c>
      <c r="AH138" s="2">
        <v>635</v>
      </c>
      <c r="AI138" s="2">
        <v>64.3</v>
      </c>
      <c r="AJ138" s="2" t="s">
        <v>1066</v>
      </c>
      <c r="AK138" s="1" t="s">
        <v>1039</v>
      </c>
      <c r="AL138" s="1" t="s">
        <v>380</v>
      </c>
      <c r="AM138" s="5">
        <v>1.4999999999999999E-75</v>
      </c>
      <c r="AN138" s="1">
        <v>601</v>
      </c>
      <c r="AO138" s="1">
        <v>62.4</v>
      </c>
      <c r="AP138" s="1" t="s">
        <v>1049</v>
      </c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</row>
    <row r="139" spans="1:78" ht="15.6" x14ac:dyDescent="0.3">
      <c r="A139" s="1" t="s">
        <v>987</v>
      </c>
      <c r="B139" s="1" t="s">
        <v>987</v>
      </c>
      <c r="C139" s="2" t="s">
        <v>137</v>
      </c>
      <c r="D139" s="1" t="s">
        <v>1067</v>
      </c>
      <c r="E139" s="2" t="s">
        <v>27</v>
      </c>
      <c r="F139" s="2">
        <v>214.06</v>
      </c>
      <c r="G139" s="2">
        <f t="shared" si="4"/>
        <v>3.9264493539960032E-22</v>
      </c>
      <c r="H139" s="2">
        <v>17</v>
      </c>
      <c r="I139" s="2">
        <v>17</v>
      </c>
      <c r="J139" s="3">
        <v>0.67</v>
      </c>
      <c r="K139" s="2" t="s">
        <v>27</v>
      </c>
      <c r="L139" s="2" t="s">
        <v>27</v>
      </c>
      <c r="M139" s="2" t="s">
        <v>27</v>
      </c>
      <c r="N139" s="2" t="s">
        <v>27</v>
      </c>
      <c r="O139" s="2" t="s">
        <v>27</v>
      </c>
      <c r="P139" s="2" t="s">
        <v>27</v>
      </c>
      <c r="Q139" s="2">
        <v>17930</v>
      </c>
      <c r="R139" s="2">
        <v>7.7</v>
      </c>
      <c r="S139" s="1" t="s">
        <v>1068</v>
      </c>
      <c r="T139" s="1" t="s">
        <v>1067</v>
      </c>
      <c r="U139" s="1" t="s">
        <v>1069</v>
      </c>
      <c r="V139" s="1" t="s">
        <v>1070</v>
      </c>
      <c r="W139" s="1" t="s">
        <v>1071</v>
      </c>
      <c r="X139" s="1" t="s">
        <v>1072</v>
      </c>
      <c r="Y139" s="2">
        <v>156</v>
      </c>
      <c r="Z139" s="2">
        <v>0</v>
      </c>
      <c r="AA139" s="2">
        <v>16276.86</v>
      </c>
      <c r="AB139" s="2">
        <v>16287.13</v>
      </c>
      <c r="AC139" s="1" t="s">
        <v>100</v>
      </c>
      <c r="AD139" s="1" t="s">
        <v>1047</v>
      </c>
      <c r="AE139" s="1" t="s">
        <v>1073</v>
      </c>
      <c r="AF139" s="1" t="s">
        <v>380</v>
      </c>
      <c r="AG139" s="4">
        <v>3.8000000000000001E-62</v>
      </c>
      <c r="AH139" s="2">
        <v>499</v>
      </c>
      <c r="AI139" s="2">
        <v>66</v>
      </c>
      <c r="AJ139" s="2" t="s">
        <v>1074</v>
      </c>
      <c r="AK139" s="1" t="s">
        <v>1075</v>
      </c>
      <c r="AL139" s="1" t="s">
        <v>599</v>
      </c>
      <c r="AM139" s="5">
        <v>1.3000000000000001E-47</v>
      </c>
      <c r="AN139" s="1">
        <v>405</v>
      </c>
      <c r="AO139" s="1">
        <v>60.7</v>
      </c>
      <c r="AP139" s="1" t="s">
        <v>1076</v>
      </c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</row>
    <row r="140" spans="1:78" ht="15.6" x14ac:dyDescent="0.3">
      <c r="A140" s="1" t="s">
        <v>987</v>
      </c>
      <c r="B140" s="1" t="s">
        <v>987</v>
      </c>
      <c r="C140" s="2" t="s">
        <v>137</v>
      </c>
      <c r="D140" s="1" t="s">
        <v>1077</v>
      </c>
      <c r="E140" s="2" t="s">
        <v>27</v>
      </c>
      <c r="F140" s="2">
        <v>101.8</v>
      </c>
      <c r="G140" s="2">
        <f t="shared" si="4"/>
        <v>6.606934480075945E-11</v>
      </c>
      <c r="H140" s="2">
        <v>3</v>
      </c>
      <c r="I140" s="2">
        <v>3</v>
      </c>
      <c r="J140" s="3">
        <v>0.44</v>
      </c>
      <c r="K140" s="2" t="s">
        <v>27</v>
      </c>
      <c r="L140" s="2" t="s">
        <v>27</v>
      </c>
      <c r="M140" s="2" t="s">
        <v>27</v>
      </c>
      <c r="N140" s="2" t="s">
        <v>27</v>
      </c>
      <c r="O140" s="2" t="s">
        <v>27</v>
      </c>
      <c r="P140" s="2" t="s">
        <v>27</v>
      </c>
      <c r="Q140" s="2">
        <v>9690</v>
      </c>
      <c r="R140" s="2">
        <v>7</v>
      </c>
      <c r="S140" s="1" t="s">
        <v>1078</v>
      </c>
      <c r="T140" s="1" t="s">
        <v>1077</v>
      </c>
      <c r="U140" s="1" t="s">
        <v>1079</v>
      </c>
      <c r="V140" s="1" t="s">
        <v>1080</v>
      </c>
      <c r="W140" s="1" t="s">
        <v>1081</v>
      </c>
      <c r="X140" s="1" t="s">
        <v>1082</v>
      </c>
      <c r="Y140" s="2">
        <v>82</v>
      </c>
      <c r="Z140" s="2">
        <v>0</v>
      </c>
      <c r="AA140" s="2">
        <v>8076.34</v>
      </c>
      <c r="AB140" s="2">
        <v>8081.4</v>
      </c>
      <c r="AC140" s="1" t="s">
        <v>100</v>
      </c>
      <c r="AD140" s="1" t="s">
        <v>1083</v>
      </c>
      <c r="AE140" s="1" t="s">
        <v>1073</v>
      </c>
      <c r="AF140" s="1" t="s">
        <v>380</v>
      </c>
      <c r="AG140" s="4">
        <v>2.1E-35</v>
      </c>
      <c r="AH140" s="2">
        <v>305</v>
      </c>
      <c r="AI140" s="2">
        <v>66.7</v>
      </c>
      <c r="AJ140" s="2" t="s">
        <v>1084</v>
      </c>
      <c r="AK140" s="1" t="s">
        <v>1085</v>
      </c>
      <c r="AL140" s="1" t="s">
        <v>1086</v>
      </c>
      <c r="AM140" s="5">
        <v>2.7999999999999999E-30</v>
      </c>
      <c r="AN140" s="1">
        <v>277</v>
      </c>
      <c r="AO140" s="1">
        <v>63.9</v>
      </c>
      <c r="AP140" s="1" t="s">
        <v>1051</v>
      </c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</row>
    <row r="141" spans="1:78" ht="15.6" x14ac:dyDescent="0.3">
      <c r="A141" s="1" t="s">
        <v>987</v>
      </c>
      <c r="B141" s="1" t="s">
        <v>987</v>
      </c>
      <c r="C141" s="2" t="s">
        <v>137</v>
      </c>
      <c r="D141" s="1" t="s">
        <v>1088</v>
      </c>
      <c r="E141" s="2" t="s">
        <v>27</v>
      </c>
      <c r="F141" s="2">
        <v>160.54</v>
      </c>
      <c r="G141" s="2">
        <f t="shared" si="4"/>
        <v>8.8307990041856384E-17</v>
      </c>
      <c r="H141" s="2">
        <v>1</v>
      </c>
      <c r="I141" s="2">
        <v>1</v>
      </c>
      <c r="J141" s="3">
        <v>0.16</v>
      </c>
      <c r="K141" s="2">
        <v>1</v>
      </c>
      <c r="L141" s="2">
        <v>1</v>
      </c>
      <c r="M141" s="3">
        <v>0.26</v>
      </c>
      <c r="N141" s="2"/>
      <c r="O141" s="2"/>
      <c r="P141" s="2"/>
      <c r="Q141" s="2">
        <v>10324</v>
      </c>
      <c r="R141" s="2">
        <v>5.05</v>
      </c>
      <c r="S141" s="1" t="s">
        <v>1089</v>
      </c>
      <c r="T141" s="1" t="s">
        <v>1088</v>
      </c>
      <c r="U141" s="1" t="s">
        <v>1090</v>
      </c>
      <c r="V141" s="1" t="s">
        <v>1091</v>
      </c>
      <c r="W141" s="1" t="s">
        <v>1092</v>
      </c>
      <c r="X141" s="1" t="s">
        <v>1093</v>
      </c>
      <c r="Y141" s="2">
        <v>64</v>
      </c>
      <c r="Z141" s="2">
        <v>3</v>
      </c>
      <c r="AA141" s="2">
        <v>7411.75</v>
      </c>
      <c r="AB141" s="2">
        <v>7416.47</v>
      </c>
      <c r="AC141" s="1" t="s">
        <v>100</v>
      </c>
      <c r="AD141" s="1" t="s">
        <v>27</v>
      </c>
      <c r="AE141" s="1" t="s">
        <v>1094</v>
      </c>
      <c r="AF141" s="1" t="s">
        <v>1095</v>
      </c>
      <c r="AG141" s="4">
        <v>1.6999999999999999E-3</v>
      </c>
      <c r="AH141" s="2">
        <v>97</v>
      </c>
      <c r="AI141" s="2">
        <v>45.7</v>
      </c>
      <c r="AJ141" s="2" t="s">
        <v>1096</v>
      </c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</row>
    <row r="142" spans="1:78" ht="15.6" x14ac:dyDescent="0.3">
      <c r="A142" s="1" t="s">
        <v>987</v>
      </c>
      <c r="B142" s="1" t="s">
        <v>987</v>
      </c>
      <c r="C142" s="2" t="s">
        <v>137</v>
      </c>
      <c r="D142" s="1" t="s">
        <v>1097</v>
      </c>
      <c r="E142" s="2" t="s">
        <v>27</v>
      </c>
      <c r="F142" s="2">
        <v>74.63</v>
      </c>
      <c r="G142" s="2">
        <f t="shared" si="4"/>
        <v>3.4434993076333906E-8</v>
      </c>
      <c r="H142" s="2">
        <v>3</v>
      </c>
      <c r="I142" s="2">
        <v>3</v>
      </c>
      <c r="J142" s="3">
        <v>0.15</v>
      </c>
      <c r="K142" s="2" t="s">
        <v>27</v>
      </c>
      <c r="L142" s="2" t="s">
        <v>27</v>
      </c>
      <c r="M142" s="2" t="s">
        <v>27</v>
      </c>
      <c r="N142" s="2" t="s">
        <v>27</v>
      </c>
      <c r="O142" s="2" t="s">
        <v>27</v>
      </c>
      <c r="P142" s="2" t="s">
        <v>27</v>
      </c>
      <c r="Q142" s="2">
        <v>25398</v>
      </c>
      <c r="R142" s="2">
        <v>1.1599999999999999</v>
      </c>
      <c r="S142" s="1" t="s">
        <v>1098</v>
      </c>
      <c r="T142" s="1" t="s">
        <v>1097</v>
      </c>
      <c r="U142" s="1" t="s">
        <v>1099</v>
      </c>
      <c r="V142" s="1" t="s">
        <v>1100</v>
      </c>
      <c r="W142" s="1" t="s">
        <v>1101</v>
      </c>
      <c r="X142" s="1" t="s">
        <v>1102</v>
      </c>
      <c r="Y142" s="2">
        <v>224</v>
      </c>
      <c r="Z142" s="2">
        <v>0</v>
      </c>
      <c r="AA142" s="2" t="s">
        <v>1103</v>
      </c>
      <c r="AB142" s="2">
        <v>22579.14</v>
      </c>
      <c r="AC142" s="1" t="s">
        <v>100</v>
      </c>
      <c r="AD142" s="1" t="s">
        <v>27</v>
      </c>
      <c r="AE142" s="1" t="s">
        <v>1050</v>
      </c>
      <c r="AF142" s="1" t="s">
        <v>380</v>
      </c>
      <c r="AG142" s="4">
        <v>5.9999999999999997E-75</v>
      </c>
      <c r="AH142" s="2">
        <v>597</v>
      </c>
      <c r="AI142" s="2">
        <v>62</v>
      </c>
      <c r="AJ142" s="2" t="s">
        <v>1066</v>
      </c>
      <c r="AK142" s="1" t="s">
        <v>1039</v>
      </c>
      <c r="AL142" s="1" t="s">
        <v>380</v>
      </c>
      <c r="AM142" s="5">
        <v>1.2E-79</v>
      </c>
      <c r="AN142" s="1">
        <v>627</v>
      </c>
      <c r="AO142" s="1">
        <v>64.099999999999994</v>
      </c>
      <c r="AP142" s="1" t="s">
        <v>1049</v>
      </c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</row>
    <row r="143" spans="1:78" ht="15.6" x14ac:dyDescent="0.3">
      <c r="A143" s="1" t="s">
        <v>987</v>
      </c>
      <c r="B143" s="1" t="s">
        <v>987</v>
      </c>
      <c r="C143" s="2" t="s">
        <v>137</v>
      </c>
      <c r="D143" s="1" t="s">
        <v>1104</v>
      </c>
      <c r="E143" s="2" t="s">
        <v>27</v>
      </c>
      <c r="F143" s="2">
        <v>74.63</v>
      </c>
      <c r="G143" s="2">
        <f t="shared" si="4"/>
        <v>3.4434993076333906E-8</v>
      </c>
      <c r="H143" s="2">
        <v>3</v>
      </c>
      <c r="I143" s="2">
        <v>3</v>
      </c>
      <c r="J143" s="3">
        <v>0.15</v>
      </c>
      <c r="K143" s="2" t="s">
        <v>27</v>
      </c>
      <c r="L143" s="2" t="s">
        <v>27</v>
      </c>
      <c r="M143" s="2" t="s">
        <v>27</v>
      </c>
      <c r="N143" s="2" t="s">
        <v>27</v>
      </c>
      <c r="O143" s="2" t="s">
        <v>27</v>
      </c>
      <c r="P143" s="2" t="s">
        <v>27</v>
      </c>
      <c r="Q143" s="2">
        <v>24186</v>
      </c>
      <c r="R143" s="2">
        <v>0.75</v>
      </c>
      <c r="S143" s="1" t="s">
        <v>1105</v>
      </c>
      <c r="T143" s="1" t="s">
        <v>1104</v>
      </c>
      <c r="U143" s="1" t="s">
        <v>1106</v>
      </c>
      <c r="V143" s="1" t="s">
        <v>1063</v>
      </c>
      <c r="W143" s="1" t="s">
        <v>1064</v>
      </c>
      <c r="X143" s="1" t="s">
        <v>1107</v>
      </c>
      <c r="Y143" s="2">
        <v>224</v>
      </c>
      <c r="Z143" s="2">
        <v>0</v>
      </c>
      <c r="AA143" s="2">
        <v>22537.17</v>
      </c>
      <c r="AB143" s="2">
        <v>22551.08</v>
      </c>
      <c r="AC143" s="1" t="s">
        <v>100</v>
      </c>
      <c r="AD143" s="1" t="s">
        <v>27</v>
      </c>
      <c r="AE143" s="1" t="s">
        <v>1050</v>
      </c>
      <c r="AF143" s="1" t="s">
        <v>380</v>
      </c>
      <c r="AG143" s="4">
        <v>6.5000000000000003E-78</v>
      </c>
      <c r="AH143" s="2">
        <v>635</v>
      </c>
      <c r="AI143" s="2">
        <v>64.3</v>
      </c>
      <c r="AJ143" s="2" t="s">
        <v>1066</v>
      </c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</row>
    <row r="144" spans="1:78" ht="15.6" x14ac:dyDescent="0.3">
      <c r="A144" s="1" t="s">
        <v>987</v>
      </c>
      <c r="B144" s="1" t="s">
        <v>987</v>
      </c>
      <c r="C144" s="2" t="s">
        <v>137</v>
      </c>
      <c r="D144" s="1" t="s">
        <v>1108</v>
      </c>
      <c r="E144" s="2" t="s">
        <v>27</v>
      </c>
      <c r="F144" s="2">
        <v>132.41999999999999</v>
      </c>
      <c r="G144" s="2">
        <f t="shared" si="4"/>
        <v>5.7279603098582962E-14</v>
      </c>
      <c r="H144" s="2">
        <v>5</v>
      </c>
      <c r="I144" s="2">
        <v>5</v>
      </c>
      <c r="J144" s="3">
        <v>0.06</v>
      </c>
      <c r="K144" s="2" t="s">
        <v>27</v>
      </c>
      <c r="L144" s="2" t="s">
        <v>27</v>
      </c>
      <c r="M144" s="2" t="s">
        <v>27</v>
      </c>
      <c r="N144" s="2"/>
      <c r="O144" s="2"/>
      <c r="P144" s="2"/>
      <c r="Q144" s="2">
        <v>141366</v>
      </c>
      <c r="R144" s="2">
        <v>0.34</v>
      </c>
      <c r="S144" s="1" t="s">
        <v>1109</v>
      </c>
      <c r="T144" s="1" t="s">
        <v>1108</v>
      </c>
      <c r="U144" s="9" t="s">
        <v>1110</v>
      </c>
      <c r="V144" s="1" t="s">
        <v>1005</v>
      </c>
      <c r="W144" s="1" t="s">
        <v>1006</v>
      </c>
      <c r="X144" s="9" t="s">
        <v>1111</v>
      </c>
      <c r="Y144" s="2">
        <v>1282</v>
      </c>
      <c r="Z144" s="2">
        <v>0</v>
      </c>
      <c r="AA144" s="2">
        <v>131326.91</v>
      </c>
      <c r="AB144" s="2">
        <v>131404.37</v>
      </c>
      <c r="AC144" s="1" t="s">
        <v>100</v>
      </c>
      <c r="AD144" s="1" t="s">
        <v>1008</v>
      </c>
      <c r="AE144" s="1" t="s">
        <v>1009</v>
      </c>
      <c r="AF144" s="1" t="s">
        <v>380</v>
      </c>
      <c r="AG144" s="4">
        <v>5.3999999999999995E-125</v>
      </c>
      <c r="AH144" s="2">
        <v>1099</v>
      </c>
      <c r="AI144" s="2">
        <v>29.1</v>
      </c>
      <c r="AJ144" s="2" t="s">
        <v>1010</v>
      </c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</row>
    <row r="145" spans="1:78" ht="15.6" x14ac:dyDescent="0.3">
      <c r="A145" s="1" t="s">
        <v>987</v>
      </c>
      <c r="B145" s="1" t="s">
        <v>987</v>
      </c>
      <c r="C145" s="2" t="s">
        <v>137</v>
      </c>
      <c r="D145" s="1" t="s">
        <v>1112</v>
      </c>
      <c r="E145" s="2" t="s">
        <v>27</v>
      </c>
      <c r="F145" s="2">
        <v>74.63</v>
      </c>
      <c r="G145" s="2">
        <f t="shared" si="4"/>
        <v>3.4434993076333906E-8</v>
      </c>
      <c r="H145" s="2">
        <v>3</v>
      </c>
      <c r="I145" s="2">
        <v>3</v>
      </c>
      <c r="J145" s="3">
        <v>0.15</v>
      </c>
      <c r="K145" s="2" t="s">
        <v>27</v>
      </c>
      <c r="L145" s="2" t="s">
        <v>27</v>
      </c>
      <c r="M145" s="2" t="s">
        <v>27</v>
      </c>
      <c r="N145" s="2" t="s">
        <v>27</v>
      </c>
      <c r="O145" s="2" t="s">
        <v>27</v>
      </c>
      <c r="P145" s="2" t="s">
        <v>27</v>
      </c>
      <c r="Q145" s="2">
        <v>24479</v>
      </c>
      <c r="R145" s="2">
        <v>0</v>
      </c>
      <c r="S145" s="1" t="s">
        <v>1113</v>
      </c>
      <c r="T145" s="1" t="s">
        <v>1112</v>
      </c>
      <c r="U145" s="1" t="s">
        <v>1114</v>
      </c>
      <c r="V145" s="1" t="s">
        <v>1115</v>
      </c>
      <c r="W145" s="1" t="s">
        <v>1116</v>
      </c>
      <c r="X145" s="1" t="s">
        <v>1065</v>
      </c>
      <c r="Y145" s="2">
        <v>215</v>
      </c>
      <c r="Z145" s="2">
        <v>0</v>
      </c>
      <c r="AA145" s="2">
        <v>21647.64</v>
      </c>
      <c r="AB145" s="2">
        <f>21660.99</f>
        <v>21660.99</v>
      </c>
      <c r="AC145" s="1" t="s">
        <v>100</v>
      </c>
      <c r="AD145" s="1" t="s">
        <v>27</v>
      </c>
      <c r="AE145" s="1" t="s">
        <v>1050</v>
      </c>
      <c r="AF145" s="1" t="s">
        <v>380</v>
      </c>
      <c r="AG145" s="4">
        <v>2.6000000000000001E-77</v>
      </c>
      <c r="AH145" s="2">
        <v>631</v>
      </c>
      <c r="AI145" s="2">
        <v>63.9</v>
      </c>
      <c r="AJ145" s="2" t="s">
        <v>1066</v>
      </c>
      <c r="AK145" s="1" t="s">
        <v>1039</v>
      </c>
      <c r="AL145" s="1" t="s">
        <v>380</v>
      </c>
      <c r="AM145" s="5">
        <v>1.2E-79</v>
      </c>
      <c r="AN145" s="1">
        <v>627</v>
      </c>
      <c r="AO145" s="1">
        <v>64.099999999999994</v>
      </c>
      <c r="AP145" s="1" t="s">
        <v>1049</v>
      </c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</row>
    <row r="146" spans="1:78" ht="31.2" x14ac:dyDescent="0.3">
      <c r="A146" s="25" t="s">
        <v>1541</v>
      </c>
      <c r="B146" s="25" t="s">
        <v>1541</v>
      </c>
      <c r="C146" s="2" t="s">
        <v>137</v>
      </c>
      <c r="D146" s="1" t="s">
        <v>1170</v>
      </c>
      <c r="E146" s="2" t="s">
        <v>1542</v>
      </c>
      <c r="F146" s="2">
        <v>109.66</v>
      </c>
      <c r="G146" s="2">
        <f t="shared" si="4"/>
        <v>1.0814339512979353E-11</v>
      </c>
      <c r="H146" s="2" t="s">
        <v>27</v>
      </c>
      <c r="I146" s="2" t="s">
        <v>27</v>
      </c>
      <c r="J146" s="3" t="s">
        <v>27</v>
      </c>
      <c r="K146" s="2">
        <v>1</v>
      </c>
      <c r="L146" s="2">
        <v>1</v>
      </c>
      <c r="M146" s="3">
        <v>0.16</v>
      </c>
      <c r="N146" s="2">
        <v>1</v>
      </c>
      <c r="O146" s="2">
        <v>1</v>
      </c>
      <c r="P146" s="3">
        <v>0.14000000000000001</v>
      </c>
      <c r="Q146" s="2">
        <v>9605</v>
      </c>
      <c r="R146" s="2">
        <v>6.89</v>
      </c>
      <c r="S146" s="9" t="s">
        <v>1171</v>
      </c>
      <c r="T146" s="1" t="s">
        <v>1170</v>
      </c>
      <c r="U146" s="1" t="s">
        <v>1172</v>
      </c>
      <c r="V146" s="1" t="s">
        <v>1161</v>
      </c>
      <c r="W146" s="1" t="s">
        <v>1173</v>
      </c>
      <c r="X146" s="1" t="s">
        <v>1174</v>
      </c>
      <c r="Y146" s="2">
        <v>69</v>
      </c>
      <c r="Z146" s="2">
        <v>6</v>
      </c>
      <c r="AA146" s="2">
        <f>7786.6-6</f>
        <v>7780.6</v>
      </c>
      <c r="AB146" s="2">
        <f>7791.75-6</f>
        <v>7785.75</v>
      </c>
      <c r="AC146" s="1" t="s">
        <v>1175</v>
      </c>
      <c r="AD146" s="1"/>
      <c r="AE146" s="1" t="s">
        <v>1176</v>
      </c>
      <c r="AF146" s="1" t="s">
        <v>1177</v>
      </c>
      <c r="AG146" s="2">
        <v>4.7000000000000002E-3</v>
      </c>
      <c r="AH146" s="2">
        <v>88</v>
      </c>
      <c r="AI146" s="2">
        <v>53.3</v>
      </c>
      <c r="AJ146" s="2"/>
      <c r="AK146" s="1"/>
      <c r="AL146" s="1"/>
      <c r="AM146" s="1"/>
      <c r="AN146" s="1"/>
      <c r="AO146" s="1"/>
      <c r="AP146" s="1" t="s">
        <v>1178</v>
      </c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</row>
    <row r="147" spans="1:78" ht="31.2" x14ac:dyDescent="0.3">
      <c r="A147" s="25" t="s">
        <v>1541</v>
      </c>
      <c r="B147" s="25" t="s">
        <v>1541</v>
      </c>
      <c r="C147" s="2" t="s">
        <v>137</v>
      </c>
      <c r="D147" s="1" t="s">
        <v>1179</v>
      </c>
      <c r="E147" s="2" t="s">
        <v>1543</v>
      </c>
      <c r="F147" s="2">
        <v>109.66</v>
      </c>
      <c r="G147" s="2">
        <f t="shared" si="4"/>
        <v>1.0814339512979353E-11</v>
      </c>
      <c r="H147" s="2" t="s">
        <v>27</v>
      </c>
      <c r="I147" s="2" t="s">
        <v>27</v>
      </c>
      <c r="J147" s="3" t="s">
        <v>27</v>
      </c>
      <c r="K147" s="2">
        <v>1</v>
      </c>
      <c r="L147" s="2">
        <v>1</v>
      </c>
      <c r="M147" s="3">
        <v>0.16</v>
      </c>
      <c r="N147" s="2">
        <v>1</v>
      </c>
      <c r="O147" s="2">
        <v>1</v>
      </c>
      <c r="P147" s="3">
        <v>0.14000000000000001</v>
      </c>
      <c r="Q147" s="2">
        <v>9549</v>
      </c>
      <c r="R147" s="2">
        <v>130.88</v>
      </c>
      <c r="S147" s="9" t="s">
        <v>1180</v>
      </c>
      <c r="T147" s="1" t="s">
        <v>1179</v>
      </c>
      <c r="U147" s="1" t="s">
        <v>1181</v>
      </c>
      <c r="V147" s="1" t="s">
        <v>1182</v>
      </c>
      <c r="W147" s="1" t="s">
        <v>1183</v>
      </c>
      <c r="X147" s="1" t="s">
        <v>1184</v>
      </c>
      <c r="Y147" s="2">
        <v>69</v>
      </c>
      <c r="Z147" s="2">
        <v>6</v>
      </c>
      <c r="AA147" s="2">
        <f>7749.73-6</f>
        <v>7743.73</v>
      </c>
      <c r="AB147" s="2">
        <f>7749.73-6</f>
        <v>7743.73</v>
      </c>
      <c r="AC147" s="1" t="s">
        <v>1175</v>
      </c>
      <c r="AD147" s="1"/>
      <c r="AE147" s="1" t="s">
        <v>1176</v>
      </c>
      <c r="AF147" s="1" t="s">
        <v>1177</v>
      </c>
      <c r="AG147" s="2">
        <v>4.7000000000000002E-3</v>
      </c>
      <c r="AH147" s="2">
        <v>88</v>
      </c>
      <c r="AI147" s="2">
        <v>53.3</v>
      </c>
      <c r="AJ147" s="2"/>
      <c r="AK147" s="1"/>
      <c r="AL147" s="1"/>
      <c r="AM147" s="1"/>
      <c r="AN147" s="1"/>
      <c r="AO147" s="1"/>
      <c r="AP147" s="1" t="s">
        <v>1178</v>
      </c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</row>
    <row r="148" spans="1:78" ht="31.2" x14ac:dyDescent="0.3">
      <c r="A148" s="25" t="s">
        <v>1541</v>
      </c>
      <c r="B148" s="25" t="s">
        <v>1541</v>
      </c>
      <c r="C148" s="2" t="s">
        <v>137</v>
      </c>
      <c r="D148" s="1" t="s">
        <v>1185</v>
      </c>
      <c r="E148" s="2" t="s">
        <v>1544</v>
      </c>
      <c r="F148" s="2">
        <v>109.66</v>
      </c>
      <c r="G148" s="2">
        <f t="shared" si="4"/>
        <v>1.0814339512979353E-11</v>
      </c>
      <c r="H148" s="2" t="s">
        <v>27</v>
      </c>
      <c r="I148" s="2" t="s">
        <v>27</v>
      </c>
      <c r="J148" s="3" t="s">
        <v>27</v>
      </c>
      <c r="K148" s="2">
        <v>1</v>
      </c>
      <c r="L148" s="2">
        <v>1</v>
      </c>
      <c r="M148" s="3">
        <v>0.16</v>
      </c>
      <c r="N148" s="2">
        <v>1</v>
      </c>
      <c r="O148" s="2">
        <v>1</v>
      </c>
      <c r="P148" s="3">
        <v>0.14000000000000001</v>
      </c>
      <c r="Q148" s="2">
        <v>9578</v>
      </c>
      <c r="R148" s="2">
        <v>57.49</v>
      </c>
      <c r="S148" s="9" t="s">
        <v>1186</v>
      </c>
      <c r="T148" s="1" t="s">
        <v>1185</v>
      </c>
      <c r="U148" s="1" t="s">
        <v>1187</v>
      </c>
      <c r="V148" s="1" t="s">
        <v>1188</v>
      </c>
      <c r="W148" s="1" t="s">
        <v>1189</v>
      </c>
      <c r="X148" s="1" t="s">
        <v>1190</v>
      </c>
      <c r="Y148" s="2">
        <v>69</v>
      </c>
      <c r="Z148" s="2">
        <v>6</v>
      </c>
      <c r="AA148" s="2">
        <f>7759.58-6</f>
        <v>7753.58</v>
      </c>
      <c r="AB148" s="2">
        <f>7764.72-6</f>
        <v>7758.72</v>
      </c>
      <c r="AC148" s="1" t="s">
        <v>1175</v>
      </c>
      <c r="AD148" s="1"/>
      <c r="AE148" s="1" t="s">
        <v>1176</v>
      </c>
      <c r="AF148" s="1" t="s">
        <v>1177</v>
      </c>
      <c r="AG148" s="2">
        <v>4.7000000000000002E-3</v>
      </c>
      <c r="AH148" s="2">
        <v>88</v>
      </c>
      <c r="AI148" s="2">
        <v>53.3</v>
      </c>
      <c r="AJ148" s="2"/>
      <c r="AK148" s="1"/>
      <c r="AL148" s="1"/>
      <c r="AM148" s="1"/>
      <c r="AN148" s="1"/>
      <c r="AO148" s="1"/>
      <c r="AP148" s="1" t="s">
        <v>1178</v>
      </c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</row>
    <row r="149" spans="1:78" ht="15.6" x14ac:dyDescent="0.3">
      <c r="A149" s="1" t="s">
        <v>1209</v>
      </c>
      <c r="B149" s="1" t="s">
        <v>1209</v>
      </c>
      <c r="C149" s="2" t="s">
        <v>137</v>
      </c>
      <c r="D149" s="1" t="s">
        <v>1202</v>
      </c>
      <c r="E149" s="2" t="s">
        <v>27</v>
      </c>
      <c r="F149" s="2">
        <v>83.18</v>
      </c>
      <c r="G149" s="2">
        <f t="shared" si="4"/>
        <v>4.8083934844972643E-9</v>
      </c>
      <c r="H149" s="2">
        <v>2</v>
      </c>
      <c r="I149" s="2">
        <v>2</v>
      </c>
      <c r="J149" s="3">
        <v>0.12</v>
      </c>
      <c r="K149" s="2" t="s">
        <v>27</v>
      </c>
      <c r="L149" s="2" t="s">
        <v>27</v>
      </c>
      <c r="M149" s="2" t="s">
        <v>27</v>
      </c>
      <c r="N149" s="2">
        <v>2</v>
      </c>
      <c r="O149" s="2">
        <v>2</v>
      </c>
      <c r="P149" s="3">
        <v>0.23</v>
      </c>
      <c r="Q149" s="2">
        <v>12194</v>
      </c>
      <c r="R149" s="2">
        <v>339.11</v>
      </c>
      <c r="S149" s="1" t="s">
        <v>1203</v>
      </c>
      <c r="T149" s="1" t="s">
        <v>1202</v>
      </c>
      <c r="U149" s="1" t="s">
        <v>1204</v>
      </c>
      <c r="V149" s="1" t="s">
        <v>1205</v>
      </c>
      <c r="W149" s="1" t="s">
        <v>1206</v>
      </c>
      <c r="X149" s="1" t="s">
        <v>1207</v>
      </c>
      <c r="Y149" s="2">
        <v>94</v>
      </c>
      <c r="Z149" s="2">
        <v>0</v>
      </c>
      <c r="AA149" s="2">
        <f>10446.6</f>
        <v>10446.6</v>
      </c>
      <c r="AB149" s="2">
        <f>10453.02</f>
        <v>10453.02</v>
      </c>
      <c r="AC149" s="1" t="s">
        <v>1208</v>
      </c>
      <c r="AD149" s="1"/>
      <c r="AE149" s="1" t="s">
        <v>435</v>
      </c>
      <c r="AF149" s="1" t="s">
        <v>837</v>
      </c>
      <c r="AG149" s="4">
        <v>3.3000000000000002E-38</v>
      </c>
      <c r="AH149" s="2">
        <v>331</v>
      </c>
      <c r="AI149" s="2">
        <v>72.599999999999994</v>
      </c>
      <c r="AJ149" s="2" t="s">
        <v>1210</v>
      </c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</row>
    <row r="150" spans="1:78" ht="15.6" x14ac:dyDescent="0.3">
      <c r="A150" s="1" t="s">
        <v>1209</v>
      </c>
      <c r="B150" s="1" t="s">
        <v>1209</v>
      </c>
      <c r="C150" s="2" t="s">
        <v>137</v>
      </c>
      <c r="D150" s="1" t="s">
        <v>1211</v>
      </c>
      <c r="E150" s="2" t="s">
        <v>27</v>
      </c>
      <c r="F150" s="2">
        <v>126.08</v>
      </c>
      <c r="G150" s="2">
        <f t="shared" si="4"/>
        <v>2.4660393372343333E-13</v>
      </c>
      <c r="H150" s="2">
        <v>4</v>
      </c>
      <c r="I150" s="2">
        <v>4</v>
      </c>
      <c r="J150" s="3">
        <v>0.33</v>
      </c>
      <c r="K150" s="2" t="s">
        <v>27</v>
      </c>
      <c r="L150" s="2" t="s">
        <v>27</v>
      </c>
      <c r="M150" s="2" t="s">
        <v>27</v>
      </c>
      <c r="N150" s="2"/>
      <c r="O150" s="2"/>
      <c r="P150" s="2"/>
      <c r="Q150" s="2">
        <v>15341</v>
      </c>
      <c r="R150" s="2">
        <v>186.18</v>
      </c>
      <c r="S150" s="1" t="s">
        <v>1212</v>
      </c>
      <c r="T150" s="1" t="s">
        <v>1211</v>
      </c>
      <c r="U150" s="1" t="s">
        <v>1213</v>
      </c>
      <c r="V150" s="1" t="s">
        <v>1214</v>
      </c>
      <c r="W150" s="1" t="s">
        <v>1215</v>
      </c>
      <c r="X150" s="1" t="s">
        <v>1216</v>
      </c>
      <c r="Y150" s="2">
        <v>118</v>
      </c>
      <c r="Z150" s="2">
        <v>0</v>
      </c>
      <c r="AA150" s="2">
        <v>13265.75</v>
      </c>
      <c r="AB150" s="2">
        <v>13273.88</v>
      </c>
      <c r="AC150" s="1" t="s">
        <v>1217</v>
      </c>
      <c r="AD150" s="1" t="s">
        <v>27</v>
      </c>
      <c r="AE150" s="1" t="s">
        <v>1218</v>
      </c>
      <c r="AF150" s="1" t="s">
        <v>1219</v>
      </c>
      <c r="AG150" s="4">
        <v>4.5999999999999998E-54</v>
      </c>
      <c r="AH150" s="2">
        <v>440</v>
      </c>
      <c r="AI150" s="2">
        <v>79.599999999999994</v>
      </c>
      <c r="AJ150" s="2" t="s">
        <v>1220</v>
      </c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</row>
    <row r="151" spans="1:78" ht="15.6" x14ac:dyDescent="0.3">
      <c r="A151" s="1" t="s">
        <v>1209</v>
      </c>
      <c r="B151" s="1" t="s">
        <v>1209</v>
      </c>
      <c r="C151" s="2" t="s">
        <v>137</v>
      </c>
      <c r="D151" s="1" t="s">
        <v>1221</v>
      </c>
      <c r="E151" s="2" t="s">
        <v>27</v>
      </c>
      <c r="F151" s="2">
        <v>105.03</v>
      </c>
      <c r="G151" s="2">
        <f t="shared" si="4"/>
        <v>3.1405086938762131E-11</v>
      </c>
      <c r="H151" s="2">
        <v>5</v>
      </c>
      <c r="I151" s="2">
        <v>5</v>
      </c>
      <c r="J151" s="3">
        <v>0.38</v>
      </c>
      <c r="K151" s="2" t="s">
        <v>27</v>
      </c>
      <c r="L151" s="2" t="s">
        <v>27</v>
      </c>
      <c r="M151" s="2" t="s">
        <v>27</v>
      </c>
      <c r="N151" s="2" t="s">
        <v>27</v>
      </c>
      <c r="O151" s="2" t="s">
        <v>27</v>
      </c>
      <c r="P151" s="2" t="s">
        <v>27</v>
      </c>
      <c r="Q151" s="2">
        <v>12454</v>
      </c>
      <c r="R151" s="2">
        <v>185.72</v>
      </c>
      <c r="S151" s="1" t="s">
        <v>1222</v>
      </c>
      <c r="T151" s="1"/>
      <c r="U151" s="1" t="s">
        <v>1223</v>
      </c>
      <c r="V151" s="1"/>
      <c r="W151" s="1" t="s">
        <v>1224</v>
      </c>
      <c r="X151" s="1" t="s">
        <v>1225</v>
      </c>
      <c r="Y151" s="2">
        <v>90</v>
      </c>
      <c r="Z151" s="2">
        <v>0</v>
      </c>
      <c r="AA151" s="2">
        <v>10211.48</v>
      </c>
      <c r="AB151" s="2">
        <v>10217.75</v>
      </c>
      <c r="AC151" s="1" t="s">
        <v>1217</v>
      </c>
      <c r="AD151" s="1"/>
      <c r="AE151" s="1" t="s">
        <v>435</v>
      </c>
      <c r="AF151" s="1" t="s">
        <v>420</v>
      </c>
      <c r="AG151" s="4">
        <v>1.3000000000000001E-47</v>
      </c>
      <c r="AH151" s="2">
        <v>392</v>
      </c>
      <c r="AI151" s="2">
        <v>83.3</v>
      </c>
      <c r="AJ151" s="2" t="s">
        <v>1226</v>
      </c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</row>
    <row r="152" spans="1:78" ht="15.6" x14ac:dyDescent="0.3">
      <c r="A152" s="1" t="s">
        <v>1209</v>
      </c>
      <c r="B152" s="1" t="s">
        <v>1209</v>
      </c>
      <c r="C152" s="2" t="s">
        <v>137</v>
      </c>
      <c r="D152" s="1" t="s">
        <v>1227</v>
      </c>
      <c r="E152" s="2" t="s">
        <v>27</v>
      </c>
      <c r="F152" s="2">
        <v>193.4</v>
      </c>
      <c r="G152" s="2">
        <f t="shared" si="4"/>
        <v>4.5708818961487183E-20</v>
      </c>
      <c r="H152" s="2">
        <v>11</v>
      </c>
      <c r="I152" s="2">
        <v>11</v>
      </c>
      <c r="J152" s="3">
        <v>0.64</v>
      </c>
      <c r="K152" s="2" t="s">
        <v>27</v>
      </c>
      <c r="L152" s="2" t="s">
        <v>27</v>
      </c>
      <c r="M152" s="2" t="s">
        <v>27</v>
      </c>
      <c r="N152" s="2" t="s">
        <v>27</v>
      </c>
      <c r="O152" s="2" t="s">
        <v>27</v>
      </c>
      <c r="P152" s="2" t="s">
        <v>27</v>
      </c>
      <c r="Q152" s="2">
        <v>13723</v>
      </c>
      <c r="R152" s="2">
        <v>93.17</v>
      </c>
      <c r="S152" s="1" t="s">
        <v>1228</v>
      </c>
      <c r="T152" s="1"/>
      <c r="U152" s="1" t="s">
        <v>1229</v>
      </c>
      <c r="V152" s="1" t="s">
        <v>1230</v>
      </c>
      <c r="W152" s="1" t="s">
        <v>1231</v>
      </c>
      <c r="X152" s="1" t="s">
        <v>1232</v>
      </c>
      <c r="Y152" s="2">
        <v>100</v>
      </c>
      <c r="Z152" s="2">
        <v>0</v>
      </c>
      <c r="AA152" s="2">
        <v>11132.23</v>
      </c>
      <c r="AB152" s="2">
        <v>11139.21</v>
      </c>
      <c r="AC152" s="1" t="s">
        <v>100</v>
      </c>
      <c r="AD152" s="1" t="s">
        <v>27</v>
      </c>
      <c r="AE152" s="1" t="s">
        <v>1233</v>
      </c>
      <c r="AF152" s="1" t="s">
        <v>1234</v>
      </c>
      <c r="AG152" s="4">
        <v>2.7000000000000001E-7</v>
      </c>
      <c r="AH152" s="2">
        <v>127</v>
      </c>
      <c r="AI152" s="2">
        <v>38.200000000000003</v>
      </c>
      <c r="AJ152" s="2" t="s">
        <v>1235</v>
      </c>
      <c r="AK152" s="1" t="s">
        <v>1236</v>
      </c>
      <c r="AL152" s="1" t="s">
        <v>1237</v>
      </c>
      <c r="AM152" s="5">
        <v>1.6E-15</v>
      </c>
      <c r="AN152" s="1">
        <v>185</v>
      </c>
      <c r="AO152" s="1">
        <v>48.5</v>
      </c>
      <c r="AP152" s="1" t="s">
        <v>1238</v>
      </c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</row>
    <row r="153" spans="1:78" ht="15.6" x14ac:dyDescent="0.3">
      <c r="A153" s="1" t="s">
        <v>1209</v>
      </c>
      <c r="B153" s="1" t="s">
        <v>1209</v>
      </c>
      <c r="C153" s="2" t="s">
        <v>137</v>
      </c>
      <c r="D153" s="1" t="s">
        <v>1239</v>
      </c>
      <c r="E153" s="2" t="s">
        <v>27</v>
      </c>
      <c r="F153" s="2">
        <v>105.03</v>
      </c>
      <c r="G153" s="2">
        <f t="shared" si="4"/>
        <v>3.1405086938762131E-11</v>
      </c>
      <c r="H153" s="2">
        <v>5</v>
      </c>
      <c r="I153" s="2">
        <v>5</v>
      </c>
      <c r="J153" s="3">
        <v>0.38</v>
      </c>
      <c r="K153" s="2" t="s">
        <v>27</v>
      </c>
      <c r="L153" s="2" t="s">
        <v>27</v>
      </c>
      <c r="M153" s="2" t="s">
        <v>27</v>
      </c>
      <c r="N153" s="2" t="s">
        <v>27</v>
      </c>
      <c r="O153" s="2" t="s">
        <v>27</v>
      </c>
      <c r="P153" s="2" t="s">
        <v>27</v>
      </c>
      <c r="Q153" s="2">
        <v>12454</v>
      </c>
      <c r="R153" s="2">
        <v>15.64</v>
      </c>
      <c r="S153" s="1" t="s">
        <v>1240</v>
      </c>
      <c r="T153" s="1"/>
      <c r="U153" s="1" t="s">
        <v>1223</v>
      </c>
      <c r="V153" s="1" t="s">
        <v>1241</v>
      </c>
      <c r="W153" s="1" t="s">
        <v>1224</v>
      </c>
      <c r="X153" s="1" t="s">
        <v>1225</v>
      </c>
      <c r="Y153" s="2">
        <v>90</v>
      </c>
      <c r="Z153" s="2">
        <v>0</v>
      </c>
      <c r="AA153" s="2">
        <f>10211.48</f>
        <v>10211.48</v>
      </c>
      <c r="AB153" s="2">
        <v>10217.75</v>
      </c>
      <c r="AC153" s="1" t="s">
        <v>1242</v>
      </c>
      <c r="AD153" s="1"/>
      <c r="AE153" s="1" t="s">
        <v>419</v>
      </c>
      <c r="AF153" s="1" t="s">
        <v>420</v>
      </c>
      <c r="AG153" s="4">
        <v>1.3000000000000001E-47</v>
      </c>
      <c r="AH153" s="2">
        <v>392</v>
      </c>
      <c r="AI153" s="2">
        <v>83.3</v>
      </c>
      <c r="AJ153" s="2" t="s">
        <v>1226</v>
      </c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</row>
    <row r="154" spans="1:78" ht="15.6" x14ac:dyDescent="0.3">
      <c r="A154" s="1" t="s">
        <v>1249</v>
      </c>
      <c r="B154" s="1" t="s">
        <v>1249</v>
      </c>
      <c r="C154" s="2" t="s">
        <v>137</v>
      </c>
      <c r="D154" s="1" t="s">
        <v>1243</v>
      </c>
      <c r="E154" s="2" t="s">
        <v>27</v>
      </c>
      <c r="F154" s="2">
        <v>50.7</v>
      </c>
      <c r="G154" s="2">
        <f t="shared" si="4"/>
        <v>8.5113803820237531E-6</v>
      </c>
      <c r="H154" s="2">
        <v>1</v>
      </c>
      <c r="I154" s="2">
        <v>1</v>
      </c>
      <c r="J154" s="3">
        <v>0.09</v>
      </c>
      <c r="K154" s="2" t="s">
        <v>27</v>
      </c>
      <c r="L154" s="2" t="s">
        <v>27</v>
      </c>
      <c r="M154" s="2" t="s">
        <v>27</v>
      </c>
      <c r="N154" s="2" t="s">
        <v>27</v>
      </c>
      <c r="O154" s="2" t="s">
        <v>27</v>
      </c>
      <c r="P154" s="2" t="s">
        <v>27</v>
      </c>
      <c r="Q154" s="2">
        <v>15731</v>
      </c>
      <c r="R154" s="2">
        <v>2050.69</v>
      </c>
      <c r="S154" s="1" t="s">
        <v>1244</v>
      </c>
      <c r="T154" s="1" t="s">
        <v>1243</v>
      </c>
      <c r="U154" s="1" t="s">
        <v>1245</v>
      </c>
      <c r="V154" s="1" t="s">
        <v>1246</v>
      </c>
      <c r="W154" s="1" t="s">
        <v>1247</v>
      </c>
      <c r="X154" s="1" t="s">
        <v>1248</v>
      </c>
      <c r="Y154" s="2">
        <v>118</v>
      </c>
      <c r="Z154" s="2">
        <v>0</v>
      </c>
      <c r="AA154" s="2">
        <v>13518.38</v>
      </c>
      <c r="AB154" s="2">
        <f>13526.66</f>
        <v>13526.66</v>
      </c>
      <c r="AC154" s="1" t="s">
        <v>100</v>
      </c>
      <c r="AD154" s="1" t="s">
        <v>258</v>
      </c>
      <c r="AE154" s="1" t="s">
        <v>1250</v>
      </c>
      <c r="AF154" s="1" t="s">
        <v>1251</v>
      </c>
      <c r="AG154" s="4">
        <v>3.1E-2</v>
      </c>
      <c r="AH154" s="2">
        <v>99</v>
      </c>
      <c r="AI154" s="2">
        <v>32.9</v>
      </c>
      <c r="AJ154" s="2" t="s">
        <v>1252</v>
      </c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</row>
    <row r="155" spans="1:78" ht="15.6" x14ac:dyDescent="0.3">
      <c r="A155" s="1" t="s">
        <v>1249</v>
      </c>
      <c r="B155" s="1" t="s">
        <v>1249</v>
      </c>
      <c r="C155" s="2" t="s">
        <v>137</v>
      </c>
      <c r="D155" s="1" t="s">
        <v>1253</v>
      </c>
      <c r="E155" s="2" t="s">
        <v>27</v>
      </c>
      <c r="F155" s="2">
        <v>236.28</v>
      </c>
      <c r="G155" s="2">
        <f t="shared" si="4"/>
        <v>2.3550492838959925E-24</v>
      </c>
      <c r="H155" s="2">
        <v>28</v>
      </c>
      <c r="I155" s="2">
        <v>28</v>
      </c>
      <c r="J155" s="3">
        <v>0.61</v>
      </c>
      <c r="K155" s="2" t="s">
        <v>27</v>
      </c>
      <c r="L155" s="2" t="s">
        <v>27</v>
      </c>
      <c r="M155" s="2" t="s">
        <v>27</v>
      </c>
      <c r="N155" s="2">
        <v>1</v>
      </c>
      <c r="O155" s="2">
        <v>1</v>
      </c>
      <c r="P155" s="3">
        <v>0.06</v>
      </c>
      <c r="Q155" s="2">
        <v>22414</v>
      </c>
      <c r="R155" s="21">
        <v>88.4</v>
      </c>
      <c r="S155" s="1" t="s">
        <v>1254</v>
      </c>
      <c r="T155" s="1" t="s">
        <v>1253</v>
      </c>
      <c r="U155" s="1" t="s">
        <v>1255</v>
      </c>
      <c r="V155" s="1" t="s">
        <v>1256</v>
      </c>
      <c r="W155" s="1" t="s">
        <v>1257</v>
      </c>
      <c r="X155" s="1" t="s">
        <v>1258</v>
      </c>
      <c r="Y155" s="2">
        <v>168</v>
      </c>
      <c r="Z155" s="2">
        <v>0</v>
      </c>
      <c r="AA155" s="2">
        <v>18811.740000000002</v>
      </c>
      <c r="AB155" s="2">
        <v>18823.02</v>
      </c>
      <c r="AC155" s="1" t="s">
        <v>1259</v>
      </c>
      <c r="AD155" s="1" t="s">
        <v>27</v>
      </c>
      <c r="AE155" s="1" t="s">
        <v>1260</v>
      </c>
      <c r="AF155" s="1" t="s">
        <v>59</v>
      </c>
      <c r="AG155" s="4">
        <v>6.5000000000000002E-81</v>
      </c>
      <c r="AH155" s="2">
        <v>627</v>
      </c>
      <c r="AI155" s="2">
        <v>71.8</v>
      </c>
      <c r="AJ155" s="2" t="s">
        <v>1261</v>
      </c>
      <c r="AK155" s="1" t="s">
        <v>1262</v>
      </c>
      <c r="AL155" s="1" t="s">
        <v>734</v>
      </c>
      <c r="AM155" s="1">
        <v>4.0000000000000003E-5</v>
      </c>
      <c r="AN155" s="1">
        <v>125</v>
      </c>
      <c r="AO155" s="1">
        <v>32.1</v>
      </c>
      <c r="AP155" s="1" t="s">
        <v>1263</v>
      </c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</row>
    <row r="156" spans="1:78" ht="15.6" x14ac:dyDescent="0.3">
      <c r="A156" s="1" t="s">
        <v>1249</v>
      </c>
      <c r="B156" s="1" t="s">
        <v>1249</v>
      </c>
      <c r="C156" s="2" t="s">
        <v>137</v>
      </c>
      <c r="D156" s="1" t="s">
        <v>1264</v>
      </c>
      <c r="E156" s="2" t="s">
        <v>27</v>
      </c>
      <c r="F156" s="2">
        <v>83.98</v>
      </c>
      <c r="G156" s="2">
        <f t="shared" si="4"/>
        <v>3.9994474976109745E-9</v>
      </c>
      <c r="H156" s="2">
        <v>3</v>
      </c>
      <c r="I156" s="2">
        <v>3</v>
      </c>
      <c r="J156" s="3">
        <v>0.15</v>
      </c>
      <c r="K156" s="2" t="s">
        <v>27</v>
      </c>
      <c r="L156" s="2" t="s">
        <v>27</v>
      </c>
      <c r="M156" s="2" t="s">
        <v>27</v>
      </c>
      <c r="N156" s="2">
        <v>1</v>
      </c>
      <c r="O156" s="2">
        <v>1</v>
      </c>
      <c r="P156" s="3">
        <v>0.06</v>
      </c>
      <c r="Q156" s="2">
        <v>22482</v>
      </c>
      <c r="R156" s="21">
        <v>8.66</v>
      </c>
      <c r="S156" s="1" t="s">
        <v>1265</v>
      </c>
      <c r="T156" s="1" t="s">
        <v>1264</v>
      </c>
      <c r="U156" s="1" t="s">
        <v>1266</v>
      </c>
      <c r="V156" s="1" t="s">
        <v>649</v>
      </c>
      <c r="W156" s="1" t="s">
        <v>1267</v>
      </c>
      <c r="X156" s="1" t="s">
        <v>1268</v>
      </c>
      <c r="Y156" s="2">
        <v>187</v>
      </c>
      <c r="Z156" s="2">
        <v>4</v>
      </c>
      <c r="AA156" s="2">
        <f>20881.31-4</f>
        <v>20877.310000000001</v>
      </c>
      <c r="AB156" s="2">
        <f>20894.37-4</f>
        <v>20890.37</v>
      </c>
      <c r="AC156" s="1" t="s">
        <v>1269</v>
      </c>
      <c r="AD156" s="1" t="s">
        <v>27</v>
      </c>
      <c r="AE156" s="1" t="s">
        <v>1270</v>
      </c>
      <c r="AF156" s="1" t="s">
        <v>59</v>
      </c>
      <c r="AG156" s="4">
        <v>1.2E-51</v>
      </c>
      <c r="AH156" s="2">
        <v>438</v>
      </c>
      <c r="AI156" s="2">
        <v>44.9</v>
      </c>
      <c r="AJ156" s="2" t="s">
        <v>1271</v>
      </c>
      <c r="AK156" s="1" t="s">
        <v>1272</v>
      </c>
      <c r="AL156" s="1" t="s">
        <v>99</v>
      </c>
      <c r="AM156" s="5">
        <v>6.0999999999999995E-48</v>
      </c>
      <c r="AN156" s="1">
        <v>413</v>
      </c>
      <c r="AO156" s="1">
        <v>43.5</v>
      </c>
      <c r="AP156" s="1" t="s">
        <v>1273</v>
      </c>
      <c r="AQ156" s="1" t="s">
        <v>1274</v>
      </c>
      <c r="AR156" s="1" t="s">
        <v>1275</v>
      </c>
      <c r="AS156" s="5">
        <v>4.7999999999999999E-47</v>
      </c>
      <c r="AT156" s="1">
        <v>406</v>
      </c>
      <c r="AU156" s="1">
        <v>46.3</v>
      </c>
      <c r="AV156" s="1" t="s">
        <v>1276</v>
      </c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</row>
    <row r="157" spans="1:78" ht="15.6" x14ac:dyDescent="0.3">
      <c r="A157" s="1" t="s">
        <v>1441</v>
      </c>
      <c r="B157" s="1" t="s">
        <v>1441</v>
      </c>
      <c r="C157" s="2" t="s">
        <v>137</v>
      </c>
      <c r="D157" s="1" t="s">
        <v>1434</v>
      </c>
      <c r="E157" s="2" t="s">
        <v>27</v>
      </c>
      <c r="F157" s="2">
        <v>143.59</v>
      </c>
      <c r="G157" s="2">
        <f t="shared" si="4"/>
        <v>4.375221051582518E-15</v>
      </c>
      <c r="H157" s="2">
        <v>45</v>
      </c>
      <c r="I157" s="2">
        <v>45</v>
      </c>
      <c r="J157" s="3">
        <v>0.6</v>
      </c>
      <c r="K157" s="2" t="s">
        <v>27</v>
      </c>
      <c r="L157" s="2" t="s">
        <v>27</v>
      </c>
      <c r="M157" s="2" t="s">
        <v>27</v>
      </c>
      <c r="N157" s="2" t="s">
        <v>27</v>
      </c>
      <c r="O157" s="2" t="s">
        <v>27</v>
      </c>
      <c r="P157" s="2" t="s">
        <v>27</v>
      </c>
      <c r="Q157" s="2">
        <v>7372</v>
      </c>
      <c r="R157" s="2">
        <v>11259.35</v>
      </c>
      <c r="S157" s="1" t="s">
        <v>1435</v>
      </c>
      <c r="T157" s="1" t="s">
        <v>1434</v>
      </c>
      <c r="U157" s="1" t="s">
        <v>1436</v>
      </c>
      <c r="V157" s="1" t="s">
        <v>1437</v>
      </c>
      <c r="W157" s="1" t="s">
        <v>1438</v>
      </c>
      <c r="X157" s="1" t="s">
        <v>1439</v>
      </c>
      <c r="Y157" s="2">
        <v>48</v>
      </c>
      <c r="Z157" s="2">
        <v>0</v>
      </c>
      <c r="AA157" s="2" t="s">
        <v>1440</v>
      </c>
      <c r="AB157" s="2">
        <v>5332.79</v>
      </c>
      <c r="AC157" s="1" t="s">
        <v>100</v>
      </c>
      <c r="AD157" s="1" t="s">
        <v>258</v>
      </c>
      <c r="AE157" s="1" t="s">
        <v>419</v>
      </c>
      <c r="AF157" s="1" t="s">
        <v>98</v>
      </c>
      <c r="AG157" s="4">
        <v>0</v>
      </c>
      <c r="AH157" s="2">
        <v>122</v>
      </c>
      <c r="AI157" s="2">
        <v>61.8</v>
      </c>
      <c r="AJ157" s="2" t="s">
        <v>1409</v>
      </c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</row>
    <row r="158" spans="1:78" ht="15.6" x14ac:dyDescent="0.3">
      <c r="A158" s="1" t="s">
        <v>1441</v>
      </c>
      <c r="B158" s="1" t="s">
        <v>1441</v>
      </c>
      <c r="C158" s="2" t="s">
        <v>137</v>
      </c>
      <c r="D158" s="1" t="s">
        <v>1442</v>
      </c>
      <c r="E158" s="2" t="s">
        <v>27</v>
      </c>
      <c r="F158" s="2">
        <v>131.04</v>
      </c>
      <c r="G158" s="2">
        <f t="shared" si="4"/>
        <v>7.8704578969509703E-14</v>
      </c>
      <c r="H158" s="2">
        <v>4</v>
      </c>
      <c r="I158" s="2">
        <v>4</v>
      </c>
      <c r="J158" s="3">
        <v>0.14000000000000001</v>
      </c>
      <c r="K158" s="2" t="s">
        <v>27</v>
      </c>
      <c r="L158" s="2" t="s">
        <v>27</v>
      </c>
      <c r="M158" s="2" t="s">
        <v>27</v>
      </c>
      <c r="N158" s="2"/>
      <c r="O158" s="2"/>
      <c r="P158" s="2"/>
      <c r="Q158" s="2">
        <v>11030</v>
      </c>
      <c r="R158" s="2">
        <v>9470.1</v>
      </c>
      <c r="S158" s="1" t="s">
        <v>1443</v>
      </c>
      <c r="T158" s="1" t="s">
        <v>1442</v>
      </c>
      <c r="U158" s="1" t="s">
        <v>1444</v>
      </c>
      <c r="V158" s="1" t="s">
        <v>545</v>
      </c>
      <c r="W158" s="1" t="s">
        <v>1445</v>
      </c>
      <c r="X158" s="1" t="s">
        <v>1446</v>
      </c>
      <c r="Y158" s="2">
        <v>85</v>
      </c>
      <c r="Z158" s="2">
        <v>0</v>
      </c>
      <c r="AA158" s="2" t="s">
        <v>1447</v>
      </c>
      <c r="AB158" s="2">
        <v>9235.99</v>
      </c>
      <c r="AC158" s="1" t="s">
        <v>100</v>
      </c>
      <c r="AD158" s="1" t="s">
        <v>258</v>
      </c>
      <c r="AE158" s="1" t="s">
        <v>435</v>
      </c>
      <c r="AF158" s="1" t="s">
        <v>765</v>
      </c>
      <c r="AG158" s="4">
        <v>3.9000000000000003E-15</v>
      </c>
      <c r="AH158" s="2">
        <v>171</v>
      </c>
      <c r="AI158" s="2">
        <v>46.1</v>
      </c>
      <c r="AJ158" s="2" t="s">
        <v>1448</v>
      </c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</row>
    <row r="159" spans="1:78" ht="15.6" x14ac:dyDescent="0.3">
      <c r="A159" s="1" t="s">
        <v>1441</v>
      </c>
      <c r="B159" s="1" t="s">
        <v>1441</v>
      </c>
      <c r="C159" s="2" t="s">
        <v>137</v>
      </c>
      <c r="D159" s="1" t="s">
        <v>1449</v>
      </c>
      <c r="E159" s="2" t="s">
        <v>27</v>
      </c>
      <c r="F159" s="2">
        <v>186.69</v>
      </c>
      <c r="G159" s="2">
        <f t="shared" si="4"/>
        <v>2.1428906011200538E-19</v>
      </c>
      <c r="H159" s="2">
        <v>10</v>
      </c>
      <c r="I159" s="2">
        <v>10</v>
      </c>
      <c r="J159" s="3">
        <v>0.28000000000000003</v>
      </c>
      <c r="K159" s="2">
        <v>1</v>
      </c>
      <c r="L159" s="2">
        <v>1</v>
      </c>
      <c r="M159" s="3">
        <v>0.04</v>
      </c>
      <c r="N159" s="2">
        <v>2</v>
      </c>
      <c r="O159" s="2">
        <v>2</v>
      </c>
      <c r="P159" s="3">
        <v>0.08</v>
      </c>
      <c r="Q159" s="2">
        <v>32950</v>
      </c>
      <c r="R159" s="2">
        <v>4122.25</v>
      </c>
      <c r="S159" s="1" t="s">
        <v>1450</v>
      </c>
      <c r="T159" s="1" t="s">
        <v>1449</v>
      </c>
      <c r="U159" s="1" t="s">
        <v>1451</v>
      </c>
      <c r="V159" s="1" t="s">
        <v>1452</v>
      </c>
      <c r="W159" s="1" t="s">
        <v>1453</v>
      </c>
      <c r="X159" s="1" t="s">
        <v>1454</v>
      </c>
      <c r="Y159" s="2">
        <v>275</v>
      </c>
      <c r="Z159" s="2">
        <v>6</v>
      </c>
      <c r="AA159" s="2">
        <f>31259.31-6</f>
        <v>31253.31</v>
      </c>
      <c r="AB159" s="2">
        <f>31279.38-6</f>
        <v>31273.38</v>
      </c>
      <c r="AC159" s="1" t="s">
        <v>100</v>
      </c>
      <c r="AD159" s="1" t="s">
        <v>27</v>
      </c>
      <c r="AE159" s="1" t="s">
        <v>1455</v>
      </c>
      <c r="AF159" s="1" t="s">
        <v>98</v>
      </c>
      <c r="AG159" s="4">
        <v>1.0000000000000001E-133</v>
      </c>
      <c r="AH159" s="2">
        <v>999</v>
      </c>
      <c r="AI159" s="2">
        <v>61.7</v>
      </c>
      <c r="AJ159" s="2" t="s">
        <v>1456</v>
      </c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</row>
    <row r="160" spans="1:78" ht="15.6" x14ac:dyDescent="0.3">
      <c r="A160" s="1" t="s">
        <v>1441</v>
      </c>
      <c r="B160" s="1" t="s">
        <v>1441</v>
      </c>
      <c r="C160" s="2" t="s">
        <v>137</v>
      </c>
      <c r="D160" s="1" t="s">
        <v>1457</v>
      </c>
      <c r="E160" s="2" t="s">
        <v>27</v>
      </c>
      <c r="F160" s="2">
        <v>167</v>
      </c>
      <c r="G160" s="2">
        <f t="shared" si="4"/>
        <v>1.9952623149688719E-17</v>
      </c>
      <c r="H160" s="2">
        <v>6</v>
      </c>
      <c r="I160" s="2">
        <v>6</v>
      </c>
      <c r="J160" s="3">
        <v>0.12</v>
      </c>
      <c r="K160" s="2" t="s">
        <v>27</v>
      </c>
      <c r="L160" s="2" t="s">
        <v>27</v>
      </c>
      <c r="M160" s="2" t="s">
        <v>27</v>
      </c>
      <c r="N160" s="2">
        <v>2</v>
      </c>
      <c r="O160" s="2">
        <v>2</v>
      </c>
      <c r="P160" s="3">
        <v>0.04</v>
      </c>
      <c r="Q160" s="2">
        <v>67064</v>
      </c>
      <c r="R160" s="2">
        <v>557.92999999999995</v>
      </c>
      <c r="S160" s="1" t="s">
        <v>1458</v>
      </c>
      <c r="T160" s="1" t="s">
        <v>1457</v>
      </c>
      <c r="U160" s="1" t="s">
        <v>1459</v>
      </c>
      <c r="V160" s="1" t="s">
        <v>1460</v>
      </c>
      <c r="W160" s="1" t="s">
        <v>1461</v>
      </c>
      <c r="X160" s="1" t="s">
        <v>1462</v>
      </c>
      <c r="Y160" s="2">
        <v>587</v>
      </c>
      <c r="Z160" s="2">
        <v>2</v>
      </c>
      <c r="AA160" s="2">
        <f>65300.98-2</f>
        <v>65298.98</v>
      </c>
      <c r="AB160" s="2">
        <v>65339.83</v>
      </c>
      <c r="AC160" s="1" t="s">
        <v>100</v>
      </c>
      <c r="AD160" s="1" t="s">
        <v>1463</v>
      </c>
      <c r="AE160" s="1" t="s">
        <v>435</v>
      </c>
      <c r="AF160" s="1" t="s">
        <v>113</v>
      </c>
      <c r="AG160" s="4">
        <v>0</v>
      </c>
      <c r="AH160" s="2">
        <v>1528</v>
      </c>
      <c r="AI160" s="2">
        <v>52.6</v>
      </c>
      <c r="AJ160" s="2" t="s">
        <v>1464</v>
      </c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</row>
    <row r="161" spans="1:78" ht="15.6" x14ac:dyDescent="0.3">
      <c r="A161" s="1" t="s">
        <v>1441</v>
      </c>
      <c r="B161" s="1" t="s">
        <v>1441</v>
      </c>
      <c r="C161" s="2" t="s">
        <v>137</v>
      </c>
      <c r="D161" s="1" t="s">
        <v>1465</v>
      </c>
      <c r="E161" s="2" t="s">
        <v>27</v>
      </c>
      <c r="F161" s="2">
        <v>89.53</v>
      </c>
      <c r="G161" s="2">
        <f t="shared" si="4"/>
        <v>1.1142945335917278E-9</v>
      </c>
      <c r="H161" s="2">
        <v>4</v>
      </c>
      <c r="I161" s="2">
        <v>4</v>
      </c>
      <c r="J161" s="3">
        <v>0.32</v>
      </c>
      <c r="K161" s="2">
        <v>1</v>
      </c>
      <c r="L161" s="2">
        <v>1</v>
      </c>
      <c r="M161" s="3">
        <v>0.1</v>
      </c>
      <c r="N161" s="2">
        <v>1</v>
      </c>
      <c r="O161" s="2">
        <v>1</v>
      </c>
      <c r="P161" s="3">
        <v>0.11</v>
      </c>
      <c r="Q161" s="2">
        <v>12209</v>
      </c>
      <c r="R161" s="2">
        <v>520.9</v>
      </c>
      <c r="S161" s="1" t="s">
        <v>1466</v>
      </c>
      <c r="T161" s="1"/>
      <c r="U161" s="1" t="s">
        <v>1467</v>
      </c>
      <c r="V161" s="1" t="s">
        <v>1468</v>
      </c>
      <c r="W161" s="1" t="s">
        <v>1469</v>
      </c>
      <c r="X161" s="1" t="s">
        <v>1470</v>
      </c>
      <c r="Y161" s="2">
        <v>80</v>
      </c>
      <c r="Z161" s="2">
        <v>0</v>
      </c>
      <c r="AA161" s="2">
        <v>8765.48</v>
      </c>
      <c r="AB161" s="2">
        <v>8770.93</v>
      </c>
      <c r="AC161" s="1" t="s">
        <v>100</v>
      </c>
      <c r="AD161" s="1" t="s">
        <v>27</v>
      </c>
      <c r="AE161" s="1" t="s">
        <v>435</v>
      </c>
      <c r="AF161" s="1" t="s">
        <v>617</v>
      </c>
      <c r="AG161" s="4">
        <v>2.1000000000000001E-23</v>
      </c>
      <c r="AH161" s="2">
        <v>221</v>
      </c>
      <c r="AI161" s="2">
        <v>63.8</v>
      </c>
      <c r="AJ161" s="2" t="s">
        <v>1471</v>
      </c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</row>
    <row r="162" spans="1:78" ht="15.6" x14ac:dyDescent="0.3">
      <c r="A162" s="1" t="s">
        <v>1441</v>
      </c>
      <c r="B162" s="1" t="s">
        <v>1441</v>
      </c>
      <c r="C162" s="2" t="s">
        <v>137</v>
      </c>
      <c r="D162" s="1" t="s">
        <v>1472</v>
      </c>
      <c r="E162" s="2" t="s">
        <v>27</v>
      </c>
      <c r="F162" s="2">
        <v>167</v>
      </c>
      <c r="G162" s="2">
        <f t="shared" ref="G162:G172" si="5">(10)^(-F162/10)</f>
        <v>1.9952623149688719E-17</v>
      </c>
      <c r="H162" s="2">
        <v>6</v>
      </c>
      <c r="I162" s="2">
        <v>6</v>
      </c>
      <c r="J162" s="3">
        <v>0.05</v>
      </c>
      <c r="K162" s="2" t="s">
        <v>27</v>
      </c>
      <c r="L162" s="2" t="s">
        <v>27</v>
      </c>
      <c r="M162" s="2" t="s">
        <v>27</v>
      </c>
      <c r="N162" s="2">
        <v>2</v>
      </c>
      <c r="O162" s="2">
        <v>2</v>
      </c>
      <c r="P162" s="3">
        <v>0.02</v>
      </c>
      <c r="Q162" s="2">
        <v>150416</v>
      </c>
      <c r="R162" s="2">
        <v>350.96</v>
      </c>
      <c r="S162" s="1" t="s">
        <v>1473</v>
      </c>
      <c r="T162" s="1" t="s">
        <v>1472</v>
      </c>
      <c r="U162" s="9" t="s">
        <v>1474</v>
      </c>
      <c r="V162" s="1" t="s">
        <v>1460</v>
      </c>
      <c r="W162" s="1" t="s">
        <v>1461</v>
      </c>
      <c r="X162" s="9" t="s">
        <v>1475</v>
      </c>
      <c r="Y162" s="2">
        <v>1299</v>
      </c>
      <c r="Z162" s="2">
        <v>2</v>
      </c>
      <c r="AA162" s="2">
        <f>148602.79-2</f>
        <v>148600.79</v>
      </c>
      <c r="AB162" s="2">
        <f>148692.22-2</f>
        <v>148690.22</v>
      </c>
      <c r="AC162" s="1" t="s">
        <v>100</v>
      </c>
      <c r="AD162" s="1" t="s">
        <v>258</v>
      </c>
      <c r="AE162" s="1" t="s">
        <v>435</v>
      </c>
      <c r="AF162" s="1" t="s">
        <v>113</v>
      </c>
      <c r="AG162" s="4">
        <v>0</v>
      </c>
      <c r="AH162" s="2">
        <v>2123</v>
      </c>
      <c r="AI162" s="2">
        <v>39.6</v>
      </c>
      <c r="AJ162" s="2" t="s">
        <v>1464</v>
      </c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</row>
    <row r="163" spans="1:78" ht="15.6" x14ac:dyDescent="0.3">
      <c r="A163" s="1" t="s">
        <v>1441</v>
      </c>
      <c r="B163" s="1" t="s">
        <v>1441</v>
      </c>
      <c r="C163" s="2" t="s">
        <v>137</v>
      </c>
      <c r="D163" s="1" t="s">
        <v>1476</v>
      </c>
      <c r="E163" s="2" t="s">
        <v>27</v>
      </c>
      <c r="F163" s="2">
        <v>131.65</v>
      </c>
      <c r="G163" s="2">
        <f t="shared" si="5"/>
        <v>6.8391164728142538E-14</v>
      </c>
      <c r="H163" s="2">
        <v>5</v>
      </c>
      <c r="I163" s="2">
        <v>5</v>
      </c>
      <c r="J163" s="3">
        <v>0.44</v>
      </c>
      <c r="K163" s="2">
        <v>4</v>
      </c>
      <c r="L163" s="2">
        <v>4</v>
      </c>
      <c r="M163" s="3">
        <v>0.17</v>
      </c>
      <c r="N163" s="2">
        <v>1</v>
      </c>
      <c r="O163" s="2">
        <v>1</v>
      </c>
      <c r="P163" s="3">
        <v>0.08</v>
      </c>
      <c r="Q163" s="2">
        <v>14801</v>
      </c>
      <c r="R163" s="2">
        <v>240.4</v>
      </c>
      <c r="S163" s="1" t="s">
        <v>1477</v>
      </c>
      <c r="T163" s="1" t="s">
        <v>1476</v>
      </c>
      <c r="U163" s="1" t="s">
        <v>1478</v>
      </c>
      <c r="V163" s="1" t="s">
        <v>255</v>
      </c>
      <c r="W163" s="1" t="s">
        <v>256</v>
      </c>
      <c r="X163" s="1" t="s">
        <v>1479</v>
      </c>
      <c r="Y163" s="2">
        <v>125</v>
      </c>
      <c r="Z163" s="2">
        <v>0</v>
      </c>
      <c r="AA163" s="2">
        <v>12875.78</v>
      </c>
      <c r="AB163" s="2">
        <v>12883.48</v>
      </c>
      <c r="AC163" s="1" t="s">
        <v>100</v>
      </c>
      <c r="AD163" s="1" t="s">
        <v>258</v>
      </c>
      <c r="AE163" s="1" t="s">
        <v>419</v>
      </c>
      <c r="AF163" s="1" t="s">
        <v>59</v>
      </c>
      <c r="AG163" s="4">
        <v>1.2999999999999999E-55</v>
      </c>
      <c r="AH163" s="2">
        <v>462</v>
      </c>
      <c r="AI163" s="2">
        <v>79.400000000000006</v>
      </c>
      <c r="AJ163" s="2" t="s">
        <v>1480</v>
      </c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</row>
    <row r="164" spans="1:78" ht="15.6" x14ac:dyDescent="0.3">
      <c r="A164" s="1" t="s">
        <v>1441</v>
      </c>
      <c r="B164" s="1" t="s">
        <v>1441</v>
      </c>
      <c r="C164" s="2" t="s">
        <v>137</v>
      </c>
      <c r="D164" s="1" t="s">
        <v>1481</v>
      </c>
      <c r="E164" s="2" t="s">
        <v>27</v>
      </c>
      <c r="F164" s="2">
        <v>324.22000000000003</v>
      </c>
      <c r="G164" s="2">
        <f t="shared" si="5"/>
        <v>3.7844258471708899E-33</v>
      </c>
      <c r="H164" s="2">
        <v>81</v>
      </c>
      <c r="I164" s="2">
        <v>81</v>
      </c>
      <c r="J164" s="3">
        <v>0.8</v>
      </c>
      <c r="K164" s="2">
        <v>22</v>
      </c>
      <c r="L164" s="2">
        <v>22</v>
      </c>
      <c r="M164" s="3">
        <v>0.56999999999999995</v>
      </c>
      <c r="N164" s="2">
        <v>16</v>
      </c>
      <c r="O164" s="2">
        <v>16</v>
      </c>
      <c r="P164" s="3">
        <v>0.63</v>
      </c>
      <c r="Q164" s="2">
        <v>40079</v>
      </c>
      <c r="R164" s="2">
        <v>137.25</v>
      </c>
      <c r="S164" s="1" t="s">
        <v>1482</v>
      </c>
      <c r="T164" s="1"/>
      <c r="U164" s="1" t="s">
        <v>1483</v>
      </c>
      <c r="V164" s="1" t="s">
        <v>1484</v>
      </c>
      <c r="W164" s="1" t="s">
        <v>1485</v>
      </c>
      <c r="X164" s="1" t="s">
        <v>1486</v>
      </c>
      <c r="Y164" s="2">
        <v>359</v>
      </c>
      <c r="Z164" s="2">
        <v>0</v>
      </c>
      <c r="AA164" s="2" t="s">
        <v>1487</v>
      </c>
      <c r="AB164" s="2">
        <v>38303.14</v>
      </c>
      <c r="AC164" s="1" t="s">
        <v>100</v>
      </c>
      <c r="AD164" s="1" t="s">
        <v>999</v>
      </c>
      <c r="AE164" s="1" t="s">
        <v>435</v>
      </c>
      <c r="AF164" s="1" t="s">
        <v>69</v>
      </c>
      <c r="AG164" s="4">
        <v>1.7999999999999999E-56</v>
      </c>
      <c r="AH164" s="2">
        <v>506</v>
      </c>
      <c r="AI164" s="2">
        <v>39</v>
      </c>
      <c r="AJ164" s="2" t="s">
        <v>1488</v>
      </c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</row>
    <row r="165" spans="1:78" ht="15.6" x14ac:dyDescent="0.3">
      <c r="A165" s="1" t="s">
        <v>1441</v>
      </c>
      <c r="B165" s="1" t="s">
        <v>1441</v>
      </c>
      <c r="C165" s="2" t="s">
        <v>137</v>
      </c>
      <c r="D165" s="1" t="s">
        <v>1489</v>
      </c>
      <c r="E165" s="2" t="s">
        <v>27</v>
      </c>
      <c r="F165" s="2">
        <v>75.03</v>
      </c>
      <c r="G165" s="2">
        <f t="shared" si="5"/>
        <v>3.1405086938762125E-8</v>
      </c>
      <c r="H165" s="2">
        <v>3</v>
      </c>
      <c r="I165" s="2">
        <v>3</v>
      </c>
      <c r="J165" s="3">
        <v>0.17</v>
      </c>
      <c r="K165" s="2" t="s">
        <v>27</v>
      </c>
      <c r="L165" s="2" t="s">
        <v>27</v>
      </c>
      <c r="M165" s="2" t="s">
        <v>27</v>
      </c>
      <c r="N165" s="2" t="s">
        <v>27</v>
      </c>
      <c r="O165" s="2" t="s">
        <v>27</v>
      </c>
      <c r="P165" s="2" t="s">
        <v>27</v>
      </c>
      <c r="Q165" s="2">
        <v>15025</v>
      </c>
      <c r="R165" s="2">
        <v>119.9</v>
      </c>
      <c r="S165" s="1" t="s">
        <v>1490</v>
      </c>
      <c r="T165" s="1" t="s">
        <v>1489</v>
      </c>
      <c r="U165" s="1" t="s">
        <v>1491</v>
      </c>
      <c r="V165" s="1" t="s">
        <v>1492</v>
      </c>
      <c r="W165" s="1" t="s">
        <v>1493</v>
      </c>
      <c r="X165" s="1" t="s">
        <v>1494</v>
      </c>
      <c r="Y165" s="2">
        <v>125</v>
      </c>
      <c r="Z165" s="2">
        <v>0</v>
      </c>
      <c r="AA165" s="2">
        <v>13138.05</v>
      </c>
      <c r="AB165" s="2">
        <v>13146.11</v>
      </c>
      <c r="AC165" s="1" t="s">
        <v>100</v>
      </c>
      <c r="AD165" s="1" t="s">
        <v>258</v>
      </c>
      <c r="AE165" s="1" t="s">
        <v>435</v>
      </c>
      <c r="AF165" s="1" t="s">
        <v>328</v>
      </c>
      <c r="AG165" s="4">
        <v>1.3999999999999999E-53</v>
      </c>
      <c r="AH165" s="2">
        <v>439</v>
      </c>
      <c r="AI165" s="2">
        <v>66.2</v>
      </c>
      <c r="AJ165" s="2" t="s">
        <v>1495</v>
      </c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</row>
    <row r="166" spans="1:78" ht="15.6" x14ac:dyDescent="0.3">
      <c r="A166" s="1" t="s">
        <v>1441</v>
      </c>
      <c r="B166" s="1" t="s">
        <v>1441</v>
      </c>
      <c r="C166" s="2" t="s">
        <v>137</v>
      </c>
      <c r="D166" s="1" t="s">
        <v>1496</v>
      </c>
      <c r="E166" s="2" t="s">
        <v>27</v>
      </c>
      <c r="F166" s="2">
        <v>167</v>
      </c>
      <c r="G166" s="2">
        <f t="shared" si="5"/>
        <v>1.9952623149688719E-17</v>
      </c>
      <c r="H166" s="2">
        <v>6</v>
      </c>
      <c r="I166" s="2">
        <v>6</v>
      </c>
      <c r="J166" s="3">
        <v>0.13</v>
      </c>
      <c r="K166" s="2" t="s">
        <v>27</v>
      </c>
      <c r="L166" s="2" t="s">
        <v>27</v>
      </c>
      <c r="M166" s="2" t="s">
        <v>27</v>
      </c>
      <c r="N166" s="2" t="s">
        <v>27</v>
      </c>
      <c r="O166" s="2" t="s">
        <v>27</v>
      </c>
      <c r="P166" s="2" t="s">
        <v>27</v>
      </c>
      <c r="Q166" s="2">
        <v>60775</v>
      </c>
      <c r="R166" s="2">
        <v>40.17</v>
      </c>
      <c r="S166" s="1" t="s">
        <v>1497</v>
      </c>
      <c r="T166" s="1" t="s">
        <v>1496</v>
      </c>
      <c r="U166" s="1" t="s">
        <v>1498</v>
      </c>
      <c r="V166" s="1" t="s">
        <v>1460</v>
      </c>
      <c r="W166" s="1" t="s">
        <v>1461</v>
      </c>
      <c r="X166" s="1" t="s">
        <v>1499</v>
      </c>
      <c r="Y166" s="2">
        <v>533</v>
      </c>
      <c r="Z166" s="2">
        <v>2</v>
      </c>
      <c r="AA166" s="2">
        <f>59015.5-2</f>
        <v>59013.5</v>
      </c>
      <c r="AB166" s="2">
        <f>59050.73-2</f>
        <v>59048.73</v>
      </c>
      <c r="AC166" s="1" t="s">
        <v>100</v>
      </c>
      <c r="AD166" s="1" t="s">
        <v>258</v>
      </c>
      <c r="AE166" s="1" t="s">
        <v>435</v>
      </c>
      <c r="AF166" s="1" t="s">
        <v>328</v>
      </c>
      <c r="AG166" s="4">
        <v>1.4E-170</v>
      </c>
      <c r="AH166" s="2">
        <v>1302</v>
      </c>
      <c r="AI166" s="2">
        <v>51.1</v>
      </c>
      <c r="AJ166" s="2" t="s">
        <v>1500</v>
      </c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</row>
    <row r="167" spans="1:78" ht="15.6" x14ac:dyDescent="0.3">
      <c r="A167" s="1" t="s">
        <v>1441</v>
      </c>
      <c r="B167" s="1" t="s">
        <v>1441</v>
      </c>
      <c r="C167" s="2" t="s">
        <v>137</v>
      </c>
      <c r="D167" s="1" t="s">
        <v>1501</v>
      </c>
      <c r="E167" s="2" t="s">
        <v>27</v>
      </c>
      <c r="F167" s="2">
        <v>55.7</v>
      </c>
      <c r="G167" s="2">
        <f t="shared" si="5"/>
        <v>2.6915348039269108E-6</v>
      </c>
      <c r="H167" s="2">
        <v>1</v>
      </c>
      <c r="I167" s="2">
        <v>1</v>
      </c>
      <c r="J167" s="3">
        <v>0.1</v>
      </c>
      <c r="K167" s="2" t="s">
        <v>27</v>
      </c>
      <c r="L167" s="2" t="s">
        <v>27</v>
      </c>
      <c r="M167" s="2" t="s">
        <v>27</v>
      </c>
      <c r="N167" s="2" t="s">
        <v>27</v>
      </c>
      <c r="O167" s="2" t="s">
        <v>27</v>
      </c>
      <c r="P167" s="2" t="s">
        <v>27</v>
      </c>
      <c r="Q167" s="2">
        <v>12627</v>
      </c>
      <c r="R167" s="2">
        <v>38.28</v>
      </c>
      <c r="S167" s="1" t="s">
        <v>1502</v>
      </c>
      <c r="T167" s="1"/>
      <c r="U167" s="1" t="s">
        <v>1503</v>
      </c>
      <c r="V167" s="1" t="s">
        <v>1504</v>
      </c>
      <c r="W167" s="1" t="s">
        <v>1505</v>
      </c>
      <c r="X167" s="1" t="s">
        <v>1506</v>
      </c>
      <c r="Y167" s="2">
        <v>78</v>
      </c>
      <c r="Z167" s="2">
        <v>0</v>
      </c>
      <c r="AA167" s="2">
        <v>8663.5</v>
      </c>
      <c r="AB167" s="2">
        <v>8668.68</v>
      </c>
      <c r="AC167" s="1" t="s">
        <v>100</v>
      </c>
      <c r="AD167" s="1" t="s">
        <v>27</v>
      </c>
      <c r="AE167" s="1" t="s">
        <v>435</v>
      </c>
      <c r="AF167" s="1" t="s">
        <v>420</v>
      </c>
      <c r="AG167" s="4">
        <v>1.3999999999999999E-55</v>
      </c>
      <c r="AH167" s="2">
        <v>414</v>
      </c>
      <c r="AI167" s="2">
        <v>93.6</v>
      </c>
      <c r="AJ167" s="2" t="s">
        <v>1507</v>
      </c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</row>
    <row r="168" spans="1:78" ht="15.6" x14ac:dyDescent="0.3">
      <c r="A168" s="1" t="s">
        <v>1441</v>
      </c>
      <c r="B168" s="1" t="s">
        <v>1441</v>
      </c>
      <c r="C168" s="2" t="s">
        <v>137</v>
      </c>
      <c r="D168" s="1" t="s">
        <v>1508</v>
      </c>
      <c r="E168" s="2" t="s">
        <v>27</v>
      </c>
      <c r="F168" s="2">
        <v>324.22000000000003</v>
      </c>
      <c r="G168" s="2">
        <f t="shared" si="5"/>
        <v>3.7844258471708899E-33</v>
      </c>
      <c r="H168" s="2">
        <v>81</v>
      </c>
      <c r="I168" s="2">
        <v>81</v>
      </c>
      <c r="J168" s="3">
        <v>0.81</v>
      </c>
      <c r="K168" s="2">
        <v>22</v>
      </c>
      <c r="L168" s="2">
        <v>22</v>
      </c>
      <c r="M168" s="3">
        <v>0.56999999999999995</v>
      </c>
      <c r="N168" s="2">
        <v>16</v>
      </c>
      <c r="O168" s="2">
        <v>16</v>
      </c>
      <c r="P168" s="3">
        <v>0.63</v>
      </c>
      <c r="Q168" s="2">
        <v>39948</v>
      </c>
      <c r="R168" s="2">
        <v>36.72</v>
      </c>
      <c r="S168" s="1" t="s">
        <v>1509</v>
      </c>
      <c r="T168" s="1"/>
      <c r="U168" s="1" t="s">
        <v>1510</v>
      </c>
      <c r="V168" s="1"/>
      <c r="W168" s="1" t="s">
        <v>1511</v>
      </c>
      <c r="X168" s="1" t="s">
        <v>1486</v>
      </c>
      <c r="Y168" s="2">
        <v>359</v>
      </c>
      <c r="Z168" s="2">
        <v>0</v>
      </c>
      <c r="AA168" s="2">
        <v>38280.25</v>
      </c>
      <c r="AB168" s="2">
        <v>38303.14</v>
      </c>
      <c r="AC168" s="1" t="s">
        <v>100</v>
      </c>
      <c r="AD168" s="1" t="s">
        <v>999</v>
      </c>
      <c r="AE168" s="1" t="s">
        <v>435</v>
      </c>
      <c r="AF168" s="1" t="s">
        <v>69</v>
      </c>
      <c r="AG168" s="4">
        <v>1.7999999999999999E-56</v>
      </c>
      <c r="AH168" s="2">
        <v>506</v>
      </c>
      <c r="AI168" s="2">
        <v>39</v>
      </c>
      <c r="AJ168" s="2" t="s">
        <v>1512</v>
      </c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</row>
    <row r="169" spans="1:78" ht="15.6" x14ac:dyDescent="0.3">
      <c r="A169" s="1" t="s">
        <v>1441</v>
      </c>
      <c r="B169" s="1" t="s">
        <v>1441</v>
      </c>
      <c r="C169" s="2" t="s">
        <v>137</v>
      </c>
      <c r="D169" s="1" t="s">
        <v>1513</v>
      </c>
      <c r="E169" s="2" t="s">
        <v>27</v>
      </c>
      <c r="F169" s="2">
        <v>207.85</v>
      </c>
      <c r="G169" s="2">
        <f t="shared" si="5"/>
        <v>1.6405897731995268E-21</v>
      </c>
      <c r="H169" s="2">
        <v>23</v>
      </c>
      <c r="I169" s="2">
        <v>23</v>
      </c>
      <c r="J169" s="3">
        <v>0.56000000000000005</v>
      </c>
      <c r="K169" s="2">
        <v>19</v>
      </c>
      <c r="L169" s="2">
        <v>19</v>
      </c>
      <c r="M169" s="3">
        <v>0.68</v>
      </c>
      <c r="N169" s="2">
        <v>1</v>
      </c>
      <c r="O169" s="2">
        <v>1</v>
      </c>
      <c r="P169" s="3">
        <v>0.18</v>
      </c>
      <c r="Q169" s="2">
        <v>12369</v>
      </c>
      <c r="R169" s="2">
        <v>7.49</v>
      </c>
      <c r="S169" s="1" t="s">
        <v>1514</v>
      </c>
      <c r="T169" s="1"/>
      <c r="U169" s="1" t="s">
        <v>1515</v>
      </c>
      <c r="V169" s="1" t="s">
        <v>1516</v>
      </c>
      <c r="W169" s="1" t="s">
        <v>1517</v>
      </c>
      <c r="X169" s="1" t="s">
        <v>1518</v>
      </c>
      <c r="Y169" s="2">
        <v>94</v>
      </c>
      <c r="Z169" s="2">
        <v>4</v>
      </c>
      <c r="AA169" s="2">
        <f>9932.81-4</f>
        <v>9928.81</v>
      </c>
      <c r="AB169" s="2">
        <f>9939.01-4</f>
        <v>9935.01</v>
      </c>
      <c r="AC169" s="1" t="s">
        <v>100</v>
      </c>
      <c r="AD169" s="1" t="s">
        <v>999</v>
      </c>
      <c r="AE169" s="1" t="s">
        <v>1519</v>
      </c>
      <c r="AF169" s="1" t="s">
        <v>617</v>
      </c>
      <c r="AG169" s="4">
        <v>0</v>
      </c>
      <c r="AH169" s="2">
        <v>3164</v>
      </c>
      <c r="AI169" s="2">
        <v>67.8</v>
      </c>
      <c r="AJ169" s="2" t="s">
        <v>1520</v>
      </c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</row>
    <row r="170" spans="1:78" ht="15.6" x14ac:dyDescent="0.3">
      <c r="A170" s="1" t="s">
        <v>1441</v>
      </c>
      <c r="B170" s="1" t="s">
        <v>1441</v>
      </c>
      <c r="C170" s="2" t="s">
        <v>137</v>
      </c>
      <c r="D170" s="1" t="s">
        <v>1521</v>
      </c>
      <c r="E170" s="2" t="s">
        <v>27</v>
      </c>
      <c r="F170" s="2">
        <v>143.59</v>
      </c>
      <c r="G170" s="2">
        <f t="shared" si="5"/>
        <v>4.375221051582518E-15</v>
      </c>
      <c r="H170" s="2">
        <v>5</v>
      </c>
      <c r="I170" s="2">
        <v>5</v>
      </c>
      <c r="J170" s="3">
        <v>0.46</v>
      </c>
      <c r="K170" s="2" t="s">
        <v>27</v>
      </c>
      <c r="L170" s="2" t="s">
        <v>27</v>
      </c>
      <c r="M170" s="2" t="s">
        <v>27</v>
      </c>
      <c r="N170" s="2" t="s">
        <v>27</v>
      </c>
      <c r="O170" s="2" t="s">
        <v>27</v>
      </c>
      <c r="P170" s="2" t="s">
        <v>27</v>
      </c>
      <c r="Q170" s="2">
        <v>6586</v>
      </c>
      <c r="R170" s="2">
        <v>1.46</v>
      </c>
      <c r="S170" s="1" t="s">
        <v>1522</v>
      </c>
      <c r="T170" s="1"/>
      <c r="U170" s="1" t="s">
        <v>1404</v>
      </c>
      <c r="V170" s="1"/>
      <c r="W170" s="1" t="s">
        <v>1406</v>
      </c>
      <c r="X170" s="1" t="s">
        <v>1407</v>
      </c>
      <c r="Y170" s="2">
        <v>42</v>
      </c>
      <c r="Z170" s="2">
        <v>0</v>
      </c>
      <c r="AA170" s="2">
        <f>4543.17</f>
        <v>4543.17</v>
      </c>
      <c r="AB170" s="2">
        <v>4545.8500000000004</v>
      </c>
      <c r="AC170" s="1" t="s">
        <v>100</v>
      </c>
      <c r="AD170" s="1" t="s">
        <v>27</v>
      </c>
      <c r="AE170" s="1" t="s">
        <v>435</v>
      </c>
      <c r="AF170" s="1" t="s">
        <v>599</v>
      </c>
      <c r="AG170" s="4">
        <v>7.3E-7</v>
      </c>
      <c r="AH170" s="2">
        <v>122</v>
      </c>
      <c r="AI170" s="2">
        <v>61.8</v>
      </c>
      <c r="AJ170" s="2" t="s">
        <v>1409</v>
      </c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</row>
    <row r="171" spans="1:78" ht="15.6" x14ac:dyDescent="0.3">
      <c r="A171" s="1" t="s">
        <v>1441</v>
      </c>
      <c r="B171" s="1" t="s">
        <v>1441</v>
      </c>
      <c r="C171" s="2" t="s">
        <v>137</v>
      </c>
      <c r="D171" s="1" t="s">
        <v>1523</v>
      </c>
      <c r="E171" s="2" t="s">
        <v>27</v>
      </c>
      <c r="F171" s="2">
        <v>324.22000000000003</v>
      </c>
      <c r="G171" s="2">
        <f t="shared" si="5"/>
        <v>3.7844258471708899E-33</v>
      </c>
      <c r="H171" s="2">
        <v>81</v>
      </c>
      <c r="I171" s="2">
        <v>81</v>
      </c>
      <c r="J171" s="3">
        <v>0.81</v>
      </c>
      <c r="K171" s="2">
        <v>22</v>
      </c>
      <c r="L171" s="2">
        <v>22</v>
      </c>
      <c r="M171" s="3">
        <v>0.56999999999999995</v>
      </c>
      <c r="N171" s="2">
        <v>16</v>
      </c>
      <c r="O171" s="2">
        <v>16</v>
      </c>
      <c r="P171" s="3">
        <v>0.63</v>
      </c>
      <c r="Q171" s="2">
        <v>39948</v>
      </c>
      <c r="R171" s="2">
        <v>1.45</v>
      </c>
      <c r="S171" s="1" t="s">
        <v>1524</v>
      </c>
      <c r="T171" s="1"/>
      <c r="U171" s="1" t="s">
        <v>1510</v>
      </c>
      <c r="V171" s="1"/>
      <c r="W171" s="1" t="s">
        <v>1511</v>
      </c>
      <c r="X171" s="1" t="s">
        <v>1486</v>
      </c>
      <c r="Y171" s="2">
        <v>359</v>
      </c>
      <c r="Z171" s="2">
        <v>0</v>
      </c>
      <c r="AA171" s="2">
        <v>38280.25</v>
      </c>
      <c r="AB171" s="2">
        <v>38303.14</v>
      </c>
      <c r="AC171" s="1" t="s">
        <v>100</v>
      </c>
      <c r="AD171" s="1" t="s">
        <v>999</v>
      </c>
      <c r="AE171" s="1" t="s">
        <v>435</v>
      </c>
      <c r="AF171" s="1" t="s">
        <v>69</v>
      </c>
      <c r="AG171" s="4">
        <v>1.7999999999999999E-56</v>
      </c>
      <c r="AH171" s="2">
        <v>506</v>
      </c>
      <c r="AI171" s="2">
        <v>39</v>
      </c>
      <c r="AJ171" s="2" t="s">
        <v>1512</v>
      </c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</row>
    <row r="172" spans="1:78" ht="15.6" x14ac:dyDescent="0.3">
      <c r="A172" s="1" t="s">
        <v>1441</v>
      </c>
      <c r="B172" s="1" t="s">
        <v>1441</v>
      </c>
      <c r="C172" s="2" t="s">
        <v>137</v>
      </c>
      <c r="D172" s="1" t="s">
        <v>1525</v>
      </c>
      <c r="E172" s="2" t="s">
        <v>27</v>
      </c>
      <c r="F172" s="2">
        <v>324.22000000000003</v>
      </c>
      <c r="G172" s="2">
        <f t="shared" si="5"/>
        <v>3.7844258471708899E-33</v>
      </c>
      <c r="H172" s="2">
        <v>81</v>
      </c>
      <c r="I172" s="2">
        <v>81</v>
      </c>
      <c r="J172" s="3">
        <v>0.81</v>
      </c>
      <c r="K172" s="2">
        <v>22</v>
      </c>
      <c r="L172" s="2">
        <v>22</v>
      </c>
      <c r="M172" s="3">
        <v>0.56999999999999995</v>
      </c>
      <c r="N172" s="2">
        <v>16</v>
      </c>
      <c r="O172" s="2">
        <v>16</v>
      </c>
      <c r="P172" s="3">
        <v>0.63</v>
      </c>
      <c r="Q172" s="2">
        <v>39948</v>
      </c>
      <c r="R172" s="2">
        <v>0.25</v>
      </c>
      <c r="S172" s="1" t="s">
        <v>1526</v>
      </c>
      <c r="T172" s="1"/>
      <c r="U172" s="1" t="s">
        <v>1510</v>
      </c>
      <c r="V172" s="1"/>
      <c r="W172" s="1" t="s">
        <v>1511</v>
      </c>
      <c r="X172" s="1" t="s">
        <v>1486</v>
      </c>
      <c r="Y172" s="2">
        <v>359</v>
      </c>
      <c r="Z172" s="2">
        <v>0</v>
      </c>
      <c r="AA172" s="2">
        <v>38280.25</v>
      </c>
      <c r="AB172" s="2">
        <v>38303.14</v>
      </c>
      <c r="AC172" s="1" t="s">
        <v>100</v>
      </c>
      <c r="AD172" s="1" t="s">
        <v>999</v>
      </c>
      <c r="AE172" s="1" t="s">
        <v>435</v>
      </c>
      <c r="AF172" s="1" t="s">
        <v>69</v>
      </c>
      <c r="AG172" s="4">
        <v>1.7999999999999999E-56</v>
      </c>
      <c r="AH172" s="2">
        <v>506</v>
      </c>
      <c r="AI172" s="2">
        <v>39</v>
      </c>
      <c r="AJ172" s="2" t="s">
        <v>1512</v>
      </c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</row>
  </sheetData>
  <autoFilter ref="A1:BZ1" xr:uid="{532FAA89-1C78-460F-AD54-7BB69DB22909}">
    <sortState ref="A2:BZ172">
      <sortCondition ref="A1"/>
    </sortState>
  </autoFilter>
  <hyperlinks>
    <hyperlink ref="T126" r:id="rId1" display="../../../230502_Undheim_Seldeslachts_PEAKS_52/pro10126.html" xr:uid="{8A0BFDC3-1A9D-4D09-AA7F-EDC3250EDB2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Seldeslachts</dc:creator>
  <cp:lastModifiedBy>Andrea Seldeslachts</cp:lastModifiedBy>
  <dcterms:created xsi:type="dcterms:W3CDTF">2023-12-21T12:58:57Z</dcterms:created>
  <dcterms:modified xsi:type="dcterms:W3CDTF">2024-03-28T10:32:24Z</dcterms:modified>
</cp:coreProperties>
</file>