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ucnmuni.sharepoint.com/teams/iPSC/Sdilene dokumenty/General/LC review/Manuscript 1/Figures+Tables/"/>
    </mc:Choice>
  </mc:AlternateContent>
  <xr:revisionPtr revIDLastSave="560" documentId="8_{38ADA7CB-4BA3-420F-BEAC-D9DAA26655CC}" xr6:coauthVersionLast="47" xr6:coauthVersionMax="47" xr10:uidLastSave="{E835D590-691D-4349-8521-1AFE885CFC50}"/>
  <bookViews>
    <workbookView xWindow="23835" yWindow="960" windowWidth="25545" windowHeight="18930" firstSheet="1" activeTab="2" xr2:uid="{13AF826C-C55C-417D-A9E2-FA4E32219B5D}"/>
  </bookViews>
  <sheets>
    <sheet name="Legend_Abbreviations" sheetId="2" r:id="rId1"/>
    <sheet name="Cell models_Overview" sheetId="3" r:id="rId2"/>
    <sheet name="Supporting evidence for Fig 6" sheetId="1" r:id="rId3"/>
  </sheets>
  <definedNames>
    <definedName name="_xlnm._FilterDatabase" localSheetId="1" hidden="1">'Cell models_Overview'!$A$2:$AN$244</definedName>
    <definedName name="_xlnm._FilterDatabase" localSheetId="2" hidden="1">'Supporting evidence for Fig 6'!$A$1:$J$402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369" i="1"/>
  <c r="B370" i="1"/>
  <c r="B231" i="1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B204" i="1"/>
  <c r="B116" i="1"/>
  <c r="B17" i="1"/>
  <c r="B214" i="1"/>
  <c r="B113" i="1"/>
  <c r="B392" i="1"/>
  <c r="B374" i="1"/>
  <c r="B361" i="1"/>
  <c r="B253" i="1"/>
  <c r="B236" i="1"/>
  <c r="B223" i="1"/>
  <c r="B158" i="1"/>
  <c r="B114" i="1"/>
  <c r="B103" i="1"/>
  <c r="B100" i="1"/>
  <c r="B93" i="1"/>
  <c r="B78" i="1"/>
  <c r="B69" i="1"/>
  <c r="B59" i="1"/>
  <c r="B25" i="1"/>
  <c r="B212" i="1"/>
  <c r="B359" i="1"/>
  <c r="B373" i="1"/>
  <c r="B350" i="1"/>
  <c r="B384" i="1"/>
  <c r="B360" i="1"/>
  <c r="B341" i="1"/>
  <c r="B335" i="1"/>
  <c r="B324" i="1"/>
  <c r="B277" i="1"/>
  <c r="B209" i="1"/>
  <c r="B208" i="1"/>
  <c r="B165" i="1"/>
  <c r="B15" i="1"/>
  <c r="B310" i="1"/>
  <c r="B297" i="1"/>
  <c r="B301" i="1"/>
  <c r="B230" i="1"/>
  <c r="B211" i="1"/>
  <c r="B353" i="1"/>
  <c r="B149" i="1"/>
  <c r="B367" i="1"/>
  <c r="B108" i="1"/>
  <c r="B213" i="1"/>
  <c r="B121" i="1"/>
  <c r="B8" i="1"/>
  <c r="B307" i="1"/>
  <c r="B117" i="1"/>
  <c r="B399" i="1"/>
  <c r="B398" i="1"/>
  <c r="B397" i="1"/>
  <c r="B362" i="1"/>
  <c r="B381" i="1"/>
  <c r="B365" i="1"/>
  <c r="B345" i="1"/>
  <c r="B344" i="1"/>
  <c r="B343" i="1"/>
  <c r="B342" i="1"/>
  <c r="B331" i="1"/>
  <c r="B273" i="1"/>
  <c r="B328" i="1"/>
  <c r="B327" i="1"/>
  <c r="B326" i="1"/>
  <c r="B320" i="1"/>
  <c r="B319" i="1"/>
  <c r="B316" i="1"/>
  <c r="B315" i="1"/>
  <c r="B314" i="1"/>
  <c r="B313" i="1"/>
  <c r="B311" i="1"/>
  <c r="B299" i="1"/>
  <c r="B308" i="1"/>
  <c r="B306" i="1"/>
  <c r="B291" i="1"/>
  <c r="B295" i="1"/>
  <c r="B300" i="1"/>
  <c r="B296" i="1"/>
  <c r="B290" i="1"/>
  <c r="B292" i="1"/>
  <c r="B293" i="1"/>
  <c r="B298" i="1"/>
  <c r="B287" i="1"/>
  <c r="B286" i="1"/>
  <c r="B285" i="1"/>
  <c r="B284" i="1"/>
  <c r="B281" i="1"/>
  <c r="B302" i="1"/>
  <c r="B280" i="1"/>
  <c r="B278" i="1"/>
  <c r="B276" i="1"/>
  <c r="B269" i="1"/>
  <c r="B272" i="1"/>
  <c r="B304" i="1"/>
  <c r="B268" i="1"/>
  <c r="B264" i="1" l="1"/>
  <c r="B257" i="1"/>
  <c r="B260" i="1"/>
  <c r="B263" i="1"/>
  <c r="B321" i="1"/>
  <c r="B259" i="1"/>
  <c r="B265" i="1"/>
  <c r="B375" i="1"/>
  <c r="B258" i="1"/>
  <c r="B261" i="1"/>
  <c r="B356" i="1"/>
  <c r="B252" i="1"/>
  <c r="B334" i="1"/>
  <c r="B317" i="1"/>
  <c r="B237" i="1"/>
  <c r="B229" i="1"/>
  <c r="B228" i="1"/>
  <c r="B227" i="1"/>
  <c r="B226" i="1"/>
  <c r="B224" i="1"/>
  <c r="B262" i="1"/>
  <c r="B368" i="1"/>
  <c r="B255" i="1"/>
  <c r="B249" i="1"/>
  <c r="B99" i="1"/>
  <c r="B385" i="1"/>
  <c r="B330" i="1"/>
  <c r="B240" i="1"/>
  <c r="B305" i="1"/>
  <c r="B289" i="1"/>
  <c r="B288" i="1"/>
  <c r="B282" i="1"/>
  <c r="B279" i="1"/>
  <c r="B303" i="1"/>
  <c r="B274" i="1"/>
  <c r="B267" i="1"/>
  <c r="B246" i="1"/>
  <c r="B318" i="1"/>
  <c r="B254" i="1"/>
  <c r="B61" i="1"/>
  <c r="B57" i="1"/>
  <c r="B54" i="1"/>
  <c r="B56" i="1"/>
  <c r="B52" i="1"/>
  <c r="B55" i="1"/>
  <c r="B53" i="1"/>
  <c r="B50" i="1"/>
  <c r="B60" i="1"/>
  <c r="B51" i="1"/>
  <c r="B43" i="1"/>
  <c r="B45" i="1"/>
  <c r="B46" i="1"/>
  <c r="B42" i="1"/>
  <c r="B41" i="1"/>
  <c r="B40" i="1"/>
  <c r="B38" i="1"/>
  <c r="B36" i="1"/>
  <c r="B35" i="1"/>
  <c r="B37" i="1"/>
  <c r="B34" i="1"/>
  <c r="B33" i="1"/>
  <c r="B388" i="1"/>
  <c r="B348" i="1"/>
  <c r="B30" i="1"/>
  <c r="B19" i="1"/>
  <c r="B18" i="1"/>
  <c r="B16" i="1"/>
  <c r="B11" i="1"/>
  <c r="B3" i="1"/>
  <c r="B4" i="1"/>
  <c r="B14" i="1"/>
  <c r="B389" i="1"/>
  <c r="B13" i="1"/>
  <c r="B351" i="1"/>
  <c r="B12" i="1"/>
  <c r="B171" i="1"/>
  <c r="B122" i="1"/>
  <c r="B366" i="1"/>
  <c r="B164" i="1"/>
  <c r="B163" i="1"/>
  <c r="B162" i="1"/>
  <c r="B161" i="1"/>
  <c r="B160" i="1"/>
  <c r="B159" i="1"/>
  <c r="B157" i="1"/>
  <c r="B156" i="1"/>
  <c r="B155" i="1"/>
  <c r="B154" i="1"/>
  <c r="B153" i="1"/>
  <c r="B151" i="1"/>
  <c r="B150" i="1"/>
  <c r="B148" i="1"/>
  <c r="B352" i="1"/>
  <c r="B147" i="1"/>
  <c r="B146" i="1"/>
  <c r="B145" i="1"/>
  <c r="B144" i="1"/>
  <c r="B143" i="1"/>
  <c r="B142" i="1"/>
  <c r="B141" i="1"/>
  <c r="B140" i="1"/>
  <c r="B139" i="1"/>
  <c r="B134" i="1"/>
  <c r="B133" i="1"/>
  <c r="B127" i="1"/>
  <c r="B333" i="1"/>
  <c r="B241" i="1"/>
  <c r="B126" i="1"/>
  <c r="B125" i="1"/>
  <c r="B124" i="1"/>
  <c r="B123" i="1"/>
  <c r="B120" i="1"/>
  <c r="B6" i="1"/>
  <c r="B217" i="1"/>
  <c r="B222" i="1"/>
  <c r="B221" i="1"/>
  <c r="B29" i="1"/>
  <c r="B391" i="1"/>
  <c r="B386" i="1"/>
  <c r="B247" i="1"/>
  <c r="B220" i="1"/>
  <c r="B346" i="1"/>
  <c r="B245" i="1"/>
  <c r="B219" i="1"/>
  <c r="B216" i="1"/>
  <c r="B332" i="1"/>
  <c r="B215" i="1"/>
  <c r="B205" i="1"/>
  <c r="B207" i="1"/>
  <c r="B210" i="1"/>
  <c r="B202" i="1"/>
  <c r="B206" i="1"/>
  <c r="B195" i="1"/>
  <c r="B194" i="1"/>
  <c r="B193" i="1"/>
  <c r="B200" i="1"/>
  <c r="B188" i="1"/>
  <c r="B180" i="1"/>
  <c r="B192" i="1"/>
  <c r="B191" i="1"/>
  <c r="B190" i="1"/>
  <c r="B178" i="1"/>
  <c r="B185" i="1"/>
  <c r="B189" i="1"/>
  <c r="B179" i="1"/>
  <c r="B187" i="1"/>
  <c r="B198" i="1"/>
  <c r="B196" i="1"/>
  <c r="B201" i="1"/>
  <c r="B183" i="1"/>
  <c r="B197" i="1"/>
  <c r="B186" i="1"/>
  <c r="B182" i="1"/>
  <c r="B199" i="1"/>
  <c r="B181" i="1"/>
  <c r="B184" i="1"/>
  <c r="B39" i="1"/>
  <c r="B177" i="1"/>
  <c r="B176" i="1"/>
  <c r="B175" i="1"/>
  <c r="B393" i="1"/>
  <c r="B174" i="1"/>
  <c r="B173" i="1"/>
  <c r="B172" i="1"/>
  <c r="B256" i="1"/>
  <c r="B170" i="1"/>
  <c r="B169" i="1"/>
  <c r="B168" i="1"/>
  <c r="B167" i="1"/>
  <c r="B166" i="1"/>
  <c r="B364" i="1"/>
  <c r="B80" i="1"/>
  <c r="B363" i="1"/>
  <c r="B275" i="1"/>
  <c r="B358" i="1" l="1"/>
  <c r="B357" i="1"/>
  <c r="B355" i="1"/>
  <c r="B152" i="1"/>
  <c r="B32" i="1"/>
  <c r="B354" i="1"/>
  <c r="B349" i="1"/>
  <c r="B233" i="1"/>
  <c r="B250" i="1"/>
  <c r="B382" i="1"/>
  <c r="B347" i="1"/>
  <c r="B248" i="1"/>
  <c r="B28" i="1"/>
  <c r="B138" i="1"/>
  <c r="B137" i="1"/>
  <c r="B136" i="1"/>
  <c r="B135" i="1"/>
  <c r="B329" i="1"/>
  <c r="B239" i="1"/>
  <c r="B325" i="1"/>
  <c r="B270" i="1"/>
  <c r="B119" i="1"/>
  <c r="B271" i="1"/>
  <c r="B118" i="1"/>
  <c r="B115" i="1"/>
  <c r="B380" i="1"/>
  <c r="B379" i="1"/>
  <c r="B378" i="1"/>
  <c r="B377" i="1"/>
  <c r="B376" i="1"/>
  <c r="B372" i="1"/>
  <c r="B371" i="1"/>
  <c r="B340" i="1"/>
  <c r="B339" i="1"/>
  <c r="B338" i="1"/>
  <c r="B337" i="1"/>
  <c r="B336" i="1"/>
  <c r="B323" i="1"/>
  <c r="B322" i="1"/>
  <c r="B244" i="1"/>
  <c r="B243" i="1"/>
  <c r="B235" i="1"/>
  <c r="B234" i="1"/>
  <c r="B218" i="1"/>
  <c r="B132" i="1"/>
  <c r="B131" i="1"/>
  <c r="B130" i="1"/>
  <c r="B129" i="1"/>
  <c r="B128" i="1"/>
  <c r="B112" i="1"/>
  <c r="B111" i="1"/>
  <c r="B110" i="1"/>
  <c r="B109" i="1"/>
  <c r="B107" i="1"/>
  <c r="B105" i="1"/>
  <c r="B104" i="1"/>
  <c r="B102" i="1"/>
  <c r="B101" i="1"/>
  <c r="B98" i="1"/>
  <c r="B97" i="1"/>
  <c r="B94" i="1"/>
  <c r="B95" i="1"/>
  <c r="B92" i="1"/>
  <c r="B91" i="1"/>
  <c r="B90" i="1"/>
  <c r="B89" i="1"/>
  <c r="B88" i="1"/>
  <c r="B83" i="1"/>
  <c r="B81" i="1"/>
  <c r="B79" i="1"/>
  <c r="B77" i="1"/>
  <c r="B75" i="1"/>
  <c r="B74" i="1"/>
  <c r="B71" i="1"/>
  <c r="B70" i="1"/>
  <c r="B68" i="1"/>
  <c r="B67" i="1"/>
  <c r="B66" i="1"/>
  <c r="B65" i="1"/>
  <c r="B64" i="1"/>
  <c r="B63" i="1"/>
  <c r="B62" i="1"/>
  <c r="B58" i="1"/>
  <c r="B48" i="1"/>
  <c r="B44" i="1"/>
  <c r="B49" i="1"/>
  <c r="B47" i="1"/>
  <c r="B27" i="1"/>
  <c r="B31" i="1"/>
  <c r="B26" i="1"/>
  <c r="B24" i="1"/>
  <c r="B23" i="1"/>
  <c r="B22" i="1"/>
  <c r="B21" i="1"/>
  <c r="B20" i="1"/>
  <c r="B2" i="1"/>
  <c r="B10" i="1"/>
  <c r="B9" i="1"/>
  <c r="B7" i="1"/>
  <c r="B400" i="1"/>
  <c r="B394" i="1"/>
  <c r="B390" i="1"/>
  <c r="B402" i="1"/>
  <c r="B396" i="1"/>
  <c r="B401" i="1"/>
  <c r="B395" i="1"/>
  <c r="B387" i="1"/>
  <c r="B383" i="1"/>
  <c r="B283" i="1"/>
  <c r="B294" i="1"/>
  <c r="B309" i="1"/>
  <c r="B312" i="1"/>
  <c r="B238" i="1"/>
  <c r="B242" i="1"/>
  <c r="B266" i="1"/>
  <c r="B251" i="1"/>
  <c r="B232" i="1"/>
  <c r="B225" i="1"/>
  <c r="B203" i="1"/>
  <c r="B106" i="1"/>
  <c r="B96" i="1"/>
  <c r="B86" i="1"/>
  <c r="B82" i="1"/>
  <c r="B76" i="1"/>
  <c r="B87" i="1"/>
  <c r="B84" i="1"/>
  <c r="B85" i="1"/>
  <c r="B72" i="1"/>
</calcChain>
</file>

<file path=xl/sharedStrings.xml><?xml version="1.0" encoding="utf-8"?>
<sst xmlns="http://schemas.openxmlformats.org/spreadsheetml/2006/main" count="4137" uniqueCount="831">
  <si>
    <t>Color-coding representing the effects observed in the study:</t>
  </si>
  <si>
    <t>Increase</t>
  </si>
  <si>
    <t>Decrease</t>
  </si>
  <si>
    <t>No effect</t>
  </si>
  <si>
    <r>
      <rPr>
        <b/>
        <sz val="11"/>
        <color rgb="FF000000"/>
        <rFont val="Aptos Narrow"/>
        <family val="2"/>
      </rPr>
      <t xml:space="preserve">Opposing or inconsistent effects </t>
    </r>
    <r>
      <rPr>
        <sz val="11"/>
        <color rgb="FF000000"/>
        <rFont val="Aptos Narrow"/>
        <family val="2"/>
      </rPr>
      <t>depending on exposure parameters (e.g., duration, concentration) or the specific setup of the steroidogenesis assay, with color-coding used to indicate direction of these inconsistencies.</t>
    </r>
  </si>
  <si>
    <t>Not evaluated</t>
  </si>
  <si>
    <t>Abbreviations</t>
  </si>
  <si>
    <t>17-OHP4</t>
  </si>
  <si>
    <t>17α-hydroxyprogesterone</t>
  </si>
  <si>
    <t>17-OHP5</t>
  </si>
  <si>
    <t>17α-hydroxypregnenolone</t>
  </si>
  <si>
    <t>20α-HC</t>
  </si>
  <si>
    <t>20α-hydroxycholesterol</t>
  </si>
  <si>
    <t>2D</t>
  </si>
  <si>
    <t>two-dimensional</t>
  </si>
  <si>
    <t>3D</t>
  </si>
  <si>
    <t>three-dimensional</t>
  </si>
  <si>
    <t>5α-A</t>
  </si>
  <si>
    <t>androstanedione</t>
  </si>
  <si>
    <t>8-Br-cAMP</t>
  </si>
  <si>
    <t>8-bromoadenosine 3',5'-cyclic adenosine monophosphate</t>
  </si>
  <si>
    <r>
      <rPr>
        <b/>
        <sz val="11"/>
        <color theme="1"/>
        <rFont val="Aptos Narrow"/>
        <family val="2"/>
        <charset val="238"/>
        <scheme val="minor"/>
      </rPr>
      <t>A4</t>
    </r>
    <r>
      <rPr>
        <sz val="11"/>
        <color theme="1"/>
        <rFont val="Aptos Narrow"/>
        <family val="2"/>
        <scheme val="minor"/>
      </rPr>
      <t/>
    </r>
  </si>
  <si>
    <t>androstenedione</t>
  </si>
  <si>
    <t>A5</t>
  </si>
  <si>
    <t>androstenediol</t>
  </si>
  <si>
    <t>ADIOL</t>
  </si>
  <si>
    <t>androstanediol</t>
  </si>
  <si>
    <t>AKR1C3</t>
  </si>
  <si>
    <t>aldo-keto reductase family 1 member C3</t>
  </si>
  <si>
    <t>AN</t>
  </si>
  <si>
    <t>androsterone</t>
  </si>
  <si>
    <t>BPA</t>
  </si>
  <si>
    <t>bisphenol A</t>
  </si>
  <si>
    <t>BSA</t>
  </si>
  <si>
    <t>bovine serum albumin</t>
  </si>
  <si>
    <t>CCK8</t>
  </si>
  <si>
    <t>cell counting kit-8</t>
  </si>
  <si>
    <t>CCS</t>
  </si>
  <si>
    <t>cosmic calf serum</t>
  </si>
  <si>
    <t>CHOL</t>
  </si>
  <si>
    <t>cholesterol</t>
  </si>
  <si>
    <t>CiLCs</t>
  </si>
  <si>
    <t>chemical compound-induced Leydig-like cells</t>
  </si>
  <si>
    <t>CMIA</t>
  </si>
  <si>
    <t>chemiluminescence microparticle immuno assay</t>
  </si>
  <si>
    <t>CS-FBS</t>
  </si>
  <si>
    <t>charcoal stripped fetal bovine serum</t>
  </si>
  <si>
    <t>CYP11A1</t>
  </si>
  <si>
    <t>cytochrome P450 11A1</t>
  </si>
  <si>
    <t>CYP17A1</t>
  </si>
  <si>
    <t>cytochrome P450 family 17</t>
  </si>
  <si>
    <t>CYP19A1</t>
  </si>
  <si>
    <t>cytochrome P450 family 19</t>
  </si>
  <si>
    <t>db-cAMP</t>
  </si>
  <si>
    <t>dibutyryl cyclic-AMP</t>
  </si>
  <si>
    <t>DCC-FBS</t>
  </si>
  <si>
    <t>dextran-coated, charcoal-treated fetal bovine serum</t>
  </si>
  <si>
    <t>DC-FBS</t>
  </si>
  <si>
    <t>DEHP</t>
  </si>
  <si>
    <t xml:space="preserve">di-2-ethylhexyl phthalate </t>
  </si>
  <si>
    <t>DELFIA</t>
  </si>
  <si>
    <t>dissociation-enhanced lanthanide fluorescent immunoassay</t>
  </si>
  <si>
    <t>DHEA</t>
  </si>
  <si>
    <t>dehydroepiandrosterone</t>
  </si>
  <si>
    <t>DHEA-S</t>
  </si>
  <si>
    <t>dehydroepiandrosterone sulfate</t>
  </si>
  <si>
    <t>DHP</t>
  </si>
  <si>
    <t>dihydroprogesterone</t>
  </si>
  <si>
    <t>DHT</t>
  </si>
  <si>
    <t>dihydrotestosterone</t>
  </si>
  <si>
    <t>E1</t>
  </si>
  <si>
    <t>estrone</t>
  </si>
  <si>
    <r>
      <rPr>
        <b/>
        <sz val="11"/>
        <color theme="1"/>
        <rFont val="Aptos Narrow"/>
        <family val="2"/>
        <charset val="238"/>
        <scheme val="minor"/>
      </rPr>
      <t>E2</t>
    </r>
    <r>
      <rPr>
        <sz val="11"/>
        <color theme="1"/>
        <rFont val="Aptos Narrow"/>
        <family val="2"/>
        <scheme val="minor"/>
      </rPr>
      <t/>
    </r>
  </si>
  <si>
    <r>
      <t>17</t>
    </r>
    <r>
      <rPr>
        <sz val="11"/>
        <color theme="1"/>
        <rFont val="Symbol"/>
        <family val="1"/>
        <charset val="2"/>
      </rPr>
      <t>b</t>
    </r>
    <r>
      <rPr>
        <sz val="11"/>
        <color theme="1"/>
        <rFont val="Aptos Narrow"/>
        <family val="2"/>
      </rPr>
      <t>-</t>
    </r>
    <r>
      <rPr>
        <sz val="11"/>
        <color theme="1"/>
        <rFont val="Aptos Narrow"/>
        <family val="2"/>
        <scheme val="minor"/>
      </rPr>
      <t>estradiol</t>
    </r>
  </si>
  <si>
    <t>E3</t>
  </si>
  <si>
    <t>estriol</t>
  </si>
  <si>
    <t>EC50</t>
  </si>
  <si>
    <t>concentration of inducer or inhibitor that cause 50% response</t>
  </si>
  <si>
    <t>ECL</t>
  </si>
  <si>
    <t>electrochemiluminescence</t>
  </si>
  <si>
    <t>EDS</t>
  </si>
  <si>
    <t>ethylene dimethanesulfonate</t>
  </si>
  <si>
    <t>EIA</t>
  </si>
  <si>
    <t>enzyme immunoassay</t>
  </si>
  <si>
    <t>ELISA</t>
  </si>
  <si>
    <t>enzyme linked immunosorbent assay</t>
  </si>
  <si>
    <t>ESC</t>
  </si>
  <si>
    <t>embryonic stem cell</t>
  </si>
  <si>
    <t>ESC-SF1</t>
  </si>
  <si>
    <t xml:space="preserve">embryonic stem cells overexpressed with the transcription factor steroidogenic factor-1 (SF-1) </t>
  </si>
  <si>
    <t>FBS</t>
  </si>
  <si>
    <t>fetal bovine serum</t>
  </si>
  <si>
    <t>FCS</t>
  </si>
  <si>
    <t>fetal calf serum</t>
  </si>
  <si>
    <t>FIA</t>
  </si>
  <si>
    <t>fluorescence immunoassay</t>
  </si>
  <si>
    <t>FSK</t>
  </si>
  <si>
    <t>forskolin</t>
  </si>
  <si>
    <t>GC-MS</t>
  </si>
  <si>
    <t>gas chromatography–mass spectrometry</t>
  </si>
  <si>
    <t>GC-MS/MS</t>
  </si>
  <si>
    <t>gas chromatography–tandem mass spectrometry</t>
  </si>
  <si>
    <t>gd</t>
  </si>
  <si>
    <t>gestational day</t>
  </si>
  <si>
    <t>gw</t>
  </si>
  <si>
    <t>gestational week</t>
  </si>
  <si>
    <t>hCG</t>
  </si>
  <si>
    <t>human chorionic gonadotropin</t>
  </si>
  <si>
    <t>HPLC/ESI-MS</t>
  </si>
  <si>
    <t>high-performance liquid chromatography with electrospray ionization mass spectrometry</t>
  </si>
  <si>
    <t>HS</t>
  </si>
  <si>
    <t>horse serum</t>
  </si>
  <si>
    <t>HSD17B3</t>
  </si>
  <si>
    <t>hydroxysteroid 17-beta dehydrogenase 3</t>
  </si>
  <si>
    <t>HSD3B</t>
  </si>
  <si>
    <t>3-beta-hydroxysteroid dehydrogenase</t>
  </si>
  <si>
    <t>HT</t>
  </si>
  <si>
    <t>high-throughput</t>
  </si>
  <si>
    <t>LC</t>
  </si>
  <si>
    <t>Leydig cell</t>
  </si>
  <si>
    <t>LC/ESI-MS</t>
  </si>
  <si>
    <t>liquid chromatography with electrospray ionization mass spectrometry</t>
  </si>
  <si>
    <t>LC50</t>
  </si>
  <si>
    <t>median lethal concentration</t>
  </si>
  <si>
    <t>LC-MS</t>
  </si>
  <si>
    <t>liquid chromatography–mass spectrometry</t>
  </si>
  <si>
    <t>LC-MS/MS</t>
  </si>
  <si>
    <t>liquid chromatography–tandem mass spectrometry</t>
  </si>
  <si>
    <t>LH</t>
  </si>
  <si>
    <t>luteinizing hormone</t>
  </si>
  <si>
    <t>LOEC</t>
  </si>
  <si>
    <t>lowest observed effect concentration</t>
  </si>
  <si>
    <t>MEF</t>
  </si>
  <si>
    <t>mouse embryonic fibroblast</t>
  </si>
  <si>
    <t>MEHP</t>
  </si>
  <si>
    <t>mono-(2-ethylhexyl) phthalate</t>
  </si>
  <si>
    <t>P4</t>
  </si>
  <si>
    <t>progesterone</t>
  </si>
  <si>
    <t>P5</t>
  </si>
  <si>
    <t>pregnenolone</t>
  </si>
  <si>
    <t>PLF</t>
  </si>
  <si>
    <t>periodontal ligament  fibroblasts</t>
  </si>
  <si>
    <t>RIA</t>
  </si>
  <si>
    <t xml:space="preserve">radioimmunoassay </t>
  </si>
  <si>
    <t>RTCA</t>
  </si>
  <si>
    <t xml:space="preserve">real-time cell analysis </t>
  </si>
  <si>
    <t>SB431542</t>
  </si>
  <si>
    <t>a selective and potent inhibitor of the TGF-β/Activin/NODAL pathway</t>
  </si>
  <si>
    <t>SC</t>
  </si>
  <si>
    <t>serum-containing</t>
  </si>
  <si>
    <t>SF</t>
  </si>
  <si>
    <t>serum-free</t>
  </si>
  <si>
    <t>SLCs</t>
  </si>
  <si>
    <t>stem Leydig cells</t>
  </si>
  <si>
    <t>SRD5A1</t>
  </si>
  <si>
    <t>steroid 5-alpha-reductase</t>
  </si>
  <si>
    <t>STAR</t>
  </si>
  <si>
    <t>steroidogenic acute regulatory protein</t>
  </si>
  <si>
    <t>T</t>
  </si>
  <si>
    <t>testosterone</t>
  </si>
  <si>
    <t>TSPO</t>
  </si>
  <si>
    <t>translocator protein</t>
  </si>
  <si>
    <t xml:space="preserve">UHPLC-MS </t>
  </si>
  <si>
    <t>ultra-high performance liquid chromatography mass spectrometry</t>
  </si>
  <si>
    <t>UPLC ToF-MS</t>
  </si>
  <si>
    <t>ultra performance liquid chromatography with time-of-flight mass spectrometry</t>
  </si>
  <si>
    <t>UPLC–MS/MS</t>
  </si>
  <si>
    <t xml:space="preserve">ultra performance liquid chromatography tandem mass spectrometry </t>
  </si>
  <si>
    <t>VITROS Eci</t>
  </si>
  <si>
    <t>competitive chemiluminescent immunoassay</t>
  </si>
  <si>
    <t xml:space="preserve">PMID </t>
  </si>
  <si>
    <t>CELL LINE</t>
  </si>
  <si>
    <t>Gender</t>
  </si>
  <si>
    <t>Cancerous/ Normal cells</t>
  </si>
  <si>
    <t>Species</t>
  </si>
  <si>
    <t>Cell type</t>
  </si>
  <si>
    <t>Developmental phase</t>
  </si>
  <si>
    <t>Culturing - 2D vs 3D</t>
  </si>
  <si>
    <t>Exposure medium</t>
  </si>
  <si>
    <t>Method for hormone evaluation</t>
  </si>
  <si>
    <t>STIMULATION</t>
  </si>
  <si>
    <t>ENZYMES</t>
  </si>
  <si>
    <t>HORMONE</t>
  </si>
  <si>
    <t>Cholesterol transport</t>
  </si>
  <si>
    <t xml:space="preserve">hCG </t>
  </si>
  <si>
    <t xml:space="preserve">cAMP analog </t>
  </si>
  <si>
    <t>Hydroxy-cholesterol</t>
  </si>
  <si>
    <t>Forskolin</t>
  </si>
  <si>
    <t>AKR1C3/6/14</t>
  </si>
  <si>
    <t>HSD17B</t>
  </si>
  <si>
    <t>DHEA/ DHEA-S</t>
  </si>
  <si>
    <t>A4</t>
  </si>
  <si>
    <t>E2/E1/E3</t>
  </si>
  <si>
    <t>CHOL transport</t>
  </si>
  <si>
    <t>Lipid droplets</t>
  </si>
  <si>
    <t>-</t>
  </si>
  <si>
    <t>Male</t>
  </si>
  <si>
    <t xml:space="preserve">Normal </t>
  </si>
  <si>
    <t>Human</t>
  </si>
  <si>
    <t>Primary  testicular cells</t>
  </si>
  <si>
    <t>Precursors of LCs -testicular PDGFRα+ cells from adult into Leydig-like cells</t>
  </si>
  <si>
    <t>SF medium</t>
  </si>
  <si>
    <t>ELISA; LC-MS; Elecsys immunoassay</t>
  </si>
  <si>
    <t>unspecified</t>
  </si>
  <si>
    <t>Normal</t>
  </si>
  <si>
    <t>Mouse</t>
  </si>
  <si>
    <t>Primary ESCs</t>
  </si>
  <si>
    <t>Precursors of LCs -  ESCs differentiation into Leydig-like cells</t>
  </si>
  <si>
    <t>SC medium</t>
  </si>
  <si>
    <t>Primary fibroblasts</t>
  </si>
  <si>
    <t>Precursor of LCs - converting Human Periodontal Ligament Fibroblasts into Human CiLCs to LC-like cells</t>
  </si>
  <si>
    <t>medium w/ 10% FBS</t>
  </si>
  <si>
    <t>Rat</t>
  </si>
  <si>
    <t>Primary LCs</t>
  </si>
  <si>
    <t>Adult</t>
  </si>
  <si>
    <t>Adolescent</t>
  </si>
  <si>
    <t>medium w/ 0.5% BSA</t>
  </si>
  <si>
    <t>Dog</t>
  </si>
  <si>
    <t>Adolescent/adult</t>
  </si>
  <si>
    <t>medium w/0.1% BSA</t>
  </si>
  <si>
    <t>Hamster</t>
  </si>
  <si>
    <t>medium w/ 5% FBS</t>
  </si>
  <si>
    <t>medium w/ 0.2% BSA</t>
  </si>
  <si>
    <t>not specified</t>
  </si>
  <si>
    <t>medium w/ 0.1% BSA</t>
  </si>
  <si>
    <t>Cancerous</t>
  </si>
  <si>
    <t>3D - explants</t>
  </si>
  <si>
    <t>SF &amp; SC medium</t>
  </si>
  <si>
    <t>Fetal</t>
  </si>
  <si>
    <t>3D - organ culture</t>
  </si>
  <si>
    <t>medium w/ 5% HS &amp; 2.5% FBS</t>
  </si>
  <si>
    <t>ILCs</t>
  </si>
  <si>
    <t>SF medium or medium w/ 0.5% BSA</t>
  </si>
  <si>
    <t>Pig</t>
  </si>
  <si>
    <t>Immature</t>
  </si>
  <si>
    <t>medium w/ DC-FBS</t>
  </si>
  <si>
    <t xml:space="preserve">IMMULITE® 2000 Immunoassay </t>
  </si>
  <si>
    <t>Immature (EDS-treated adults)</t>
  </si>
  <si>
    <t>SF serum</t>
  </si>
  <si>
    <t>Late juvenile</t>
  </si>
  <si>
    <t>Late juvenile/early adolescent</t>
  </si>
  <si>
    <t>Neonatal</t>
  </si>
  <si>
    <t>medium w/ 0.1% FBS</t>
  </si>
  <si>
    <t>medium w/ 2.5% Nu-serum</t>
  </si>
  <si>
    <t>ELISA; RIA</t>
  </si>
  <si>
    <t>Boar</t>
  </si>
  <si>
    <t>medium w/ 5% DC-FBS</t>
  </si>
  <si>
    <t>Neonatal/early postnatal</t>
  </si>
  <si>
    <t>medium w/ 10% Nu-serum</t>
  </si>
  <si>
    <t>Peripubertal</t>
  </si>
  <si>
    <t>medium w/ BSA</t>
  </si>
  <si>
    <t>PLCs</t>
  </si>
  <si>
    <t>Monkey</t>
  </si>
  <si>
    <t xml:space="preserve">RIA; GC–MS/MS </t>
  </si>
  <si>
    <t>Primary MEFs</t>
  </si>
  <si>
    <t>Precursor of LCs - converting MEFs into Human CiLCs to LC-like cells</t>
  </si>
  <si>
    <t>Primary testicular peritubular cells</t>
  </si>
  <si>
    <t>Precursors of LCs -  peritubular cell-derived Leydig-like cells</t>
  </si>
  <si>
    <t>SC &amp; SF medium</t>
  </si>
  <si>
    <t>ELISA &amp; LC-MS</t>
  </si>
  <si>
    <t>BLTK1 (BLT-1 cells, clone K1)</t>
  </si>
  <si>
    <t>Leydig CL</t>
  </si>
  <si>
    <t>ESC-SF-1</t>
  </si>
  <si>
    <t>Unspecified</t>
  </si>
  <si>
    <t>Genetically modified</t>
  </si>
  <si>
    <t>ESC line</t>
  </si>
  <si>
    <t xml:space="preserve">Precursors of LCs -  ESC-SF1 cell differentiation into Leydig-like cells </t>
  </si>
  <si>
    <t>H295R</t>
  </si>
  <si>
    <t>Female</t>
  </si>
  <si>
    <t>Adrenal CL</t>
  </si>
  <si>
    <t>medium w/ 2% Ultroser HY serum</t>
  </si>
  <si>
    <t>LC/MS</t>
  </si>
  <si>
    <t>medium w/ 2% Nu-serum&amp;1.25% BSA</t>
  </si>
  <si>
    <t>medium w/ 5% Nu-serum</t>
  </si>
  <si>
    <t>medium w/ 2.5% Ultroser G</t>
  </si>
  <si>
    <t>medium w/ 0.1% CCS</t>
  </si>
  <si>
    <t>EIA; GC-MS/MS; UPLC ToF-MS</t>
  </si>
  <si>
    <t>medium w/ 5% FCS</t>
  </si>
  <si>
    <t>medium w/ DCC-FBS</t>
  </si>
  <si>
    <t>medium w/ 10% CCS</t>
  </si>
  <si>
    <t>LC-MS/MS; DELFIA</t>
  </si>
  <si>
    <t>MULTI-SPOT ECL</t>
  </si>
  <si>
    <t>medium w/ 1% stripped FBS</t>
  </si>
  <si>
    <t>ELISA; UPLC-MS/MS</t>
  </si>
  <si>
    <t>RIA; ELISA</t>
  </si>
  <si>
    <t>LC-MS/MS; EIA</t>
  </si>
  <si>
    <t>HPLC-MS/MS</t>
  </si>
  <si>
    <t>medium w/ 5% DCC-FBS</t>
  </si>
  <si>
    <t>UHPLC-MS/MS</t>
  </si>
  <si>
    <t>medium w/ 2.5% CS-FBS</t>
  </si>
  <si>
    <t xml:space="preserve">medium w/ 2% lipid-free serum </t>
  </si>
  <si>
    <t>H295R - HAC15 clone</t>
  </si>
  <si>
    <t>MA-10</t>
  </si>
  <si>
    <t>medium w/ 1% BSA</t>
  </si>
  <si>
    <t>medium w/ 1% serum</t>
  </si>
  <si>
    <t>medium w/ 1% Nutridoma SP</t>
  </si>
  <si>
    <t>medium w/ 12% HS</t>
  </si>
  <si>
    <t>medium w/ 10% FCS</t>
  </si>
  <si>
    <t>medium w/ 15% FBS</t>
  </si>
  <si>
    <t>EIA;  UPLC-MS/MS</t>
  </si>
  <si>
    <t>medium w/ 15% HS</t>
  </si>
  <si>
    <t>mLTC1</t>
  </si>
  <si>
    <t xml:space="preserve"> LC-ESI-MS/MS</t>
  </si>
  <si>
    <t>LC-ESI-MS/MS</t>
  </si>
  <si>
    <t>Architect Immunoassay Analyzer</t>
  </si>
  <si>
    <t xml:space="preserve">R2C </t>
  </si>
  <si>
    <t>TM3</t>
  </si>
  <si>
    <t>Chemiluminescence assay</t>
  </si>
  <si>
    <t>medium w/ 5% HS and 2.5% FBS</t>
  </si>
  <si>
    <t>medium w/ 10% HS and 5% FBS</t>
  </si>
  <si>
    <t>TT211</t>
  </si>
  <si>
    <t>Chemical</t>
  </si>
  <si>
    <t>Ref (PMID)</t>
  </si>
  <si>
    <t>E2</t>
  </si>
  <si>
    <t>Model system</t>
  </si>
  <si>
    <t xml:space="preserve">Species (stage) </t>
  </si>
  <si>
    <t>Induced</t>
  </si>
  <si>
    <t>Notes</t>
  </si>
  <si>
    <t>Atrazine</t>
  </si>
  <si>
    <t>BLTK1</t>
  </si>
  <si>
    <t>mouse</t>
  </si>
  <si>
    <r>
      <rPr>
        <sz val="11"/>
        <rFont val="Symbol"/>
        <family val="1"/>
        <charset val="2"/>
      </rPr>
      <t>±</t>
    </r>
    <r>
      <rPr>
        <sz val="11"/>
        <rFont val="Aptos Narrow"/>
        <family val="2"/>
        <scheme val="minor"/>
      </rPr>
      <t>hCG</t>
    </r>
  </si>
  <si>
    <r>
      <t xml:space="preserve">1-600 </t>
    </r>
    <r>
      <rPr>
        <sz val="11"/>
        <rFont val="Aptos Narrow"/>
        <family val="2"/>
      </rPr>
      <t xml:space="preserve">µM (4 h): effective conc. -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30 µM increased when applied alone, decreased under hCG stimulation</t>
    </r>
    <r>
      <rPr>
        <sz val="11"/>
        <rFont val="Aptos Narrow"/>
        <family val="2"/>
        <scheme val="minor"/>
      </rPr>
      <t xml:space="preserve"> (only 300 µM tested under this condition); medium w/ 10% FBS; EIA (T); non-cytotoxic conc. (MTT assay) </t>
    </r>
  </si>
  <si>
    <r>
      <t xml:space="preserve">1-600 </t>
    </r>
    <r>
      <rPr>
        <sz val="11"/>
        <rFont val="Aptos Narrow"/>
        <family val="2"/>
      </rPr>
      <t xml:space="preserve">µM (1-48 h): effective con. for 24 h: -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100 µM for P4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10 µM for T</t>
    </r>
    <r>
      <rPr>
        <sz val="11"/>
        <rFont val="Aptos Narrow"/>
        <family val="2"/>
        <scheme val="minor"/>
      </rPr>
      <t xml:space="preserve">, effective time for 300 </t>
    </r>
    <r>
      <rPr>
        <sz val="11"/>
        <rFont val="Aptos Narrow"/>
        <family val="2"/>
      </rPr>
      <t xml:space="preserve">µM: 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³2</t>
    </r>
    <r>
      <rPr>
        <sz val="11"/>
        <rFont val="Aptos Narrow"/>
        <family val="2"/>
      </rPr>
      <t xml:space="preserve"> h - then slowly decreasing to solvent control within 24 h for P4,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2 h then slowly increasing for T; medium w/ 1</t>
    </r>
    <r>
      <rPr>
        <sz val="11"/>
        <rFont val="Aptos Narrow"/>
        <family val="2"/>
        <scheme val="minor"/>
      </rPr>
      <t>0% FBS; EIA (T&amp;P4); measured viability (MTT assay)</t>
    </r>
  </si>
  <si>
    <r>
      <rPr>
        <sz val="11"/>
        <rFont val="Symbol"/>
        <family val="1"/>
        <charset val="2"/>
      </rPr>
      <t>±</t>
    </r>
    <r>
      <rPr>
        <sz val="11"/>
        <rFont val="Aptos Narrow"/>
        <family val="2"/>
        <scheme val="minor"/>
      </rPr>
      <t>hCG±/FSK</t>
    </r>
  </si>
  <si>
    <r>
      <t xml:space="preserve">1-600 </t>
    </r>
    <r>
      <rPr>
        <sz val="11"/>
        <rFont val="Aptos Narrow"/>
        <family val="2"/>
      </rPr>
      <t xml:space="preserve">µM (1-24 h): effective time for 300 µM: -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1 h for T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2 h for P - increased </t>
    </r>
    <r>
      <rPr>
        <sz val="11"/>
        <rFont val="Aptos Narrow"/>
        <family val="2"/>
        <scheme val="minor"/>
      </rPr>
      <t xml:space="preserve">when applied alone, decreased under hCG/FSK stimulation,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300 µM (4 h) for T</t>
    </r>
    <r>
      <rPr>
        <sz val="11"/>
        <rFont val="Aptos Narrow"/>
        <family val="2"/>
        <scheme val="minor"/>
      </rPr>
      <t>; medium w/ 10% FBS; EIA (T&amp;P4)</t>
    </r>
  </si>
  <si>
    <t>human</t>
  </si>
  <si>
    <r>
      <t xml:space="preserve">0.01-100 μM (48 h):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10 µM for T &amp; 1 µM for E2</t>
    </r>
    <r>
      <rPr>
        <sz val="11"/>
        <rFont val="Aptos Narrow"/>
        <family val="2"/>
        <scheme val="minor"/>
      </rPr>
      <t>; medium w/ 5% Nu-serum; ELISA (T&amp;E2); cytotoxic conc. (MTT assay)  excluded</t>
    </r>
  </si>
  <si>
    <r>
      <t xml:space="preserve">0.0001-100 μM (48 h): Lab 1 - LOEC = 100 </t>
    </r>
    <r>
      <rPr>
        <sz val="11"/>
        <rFont val="Aptos Narrow"/>
        <family val="2"/>
      </rPr>
      <t>µM for T &amp; 10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</si>
  <si>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</si>
  <si>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3 - LOEC = 1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</si>
  <si>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>0.0001-100 μM (48 h): Lab 4 - LOEC = 10</t>
    </r>
    <r>
      <rPr>
        <sz val="11"/>
        <rFont val="Aptos Narrow"/>
        <family val="2"/>
      </rPr>
      <t xml:space="preserve">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</si>
  <si>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>0.0001-100 μM (48 h): Lab 6 - LOEC = 0.1</t>
    </r>
    <r>
      <rPr>
        <sz val="11"/>
        <rFont val="Aptos Narrow"/>
        <family val="2"/>
      </rPr>
      <t xml:space="preserve">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</si>
  <si>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1-30 μM (48 h):  10 &amp; 30 </t>
    </r>
    <r>
      <rPr>
        <sz val="11"/>
        <rFont val="Aptos Narrow"/>
        <family val="2"/>
      </rPr>
      <t>µM for P4 &amp; E2</t>
    </r>
    <r>
      <rPr>
        <sz val="11"/>
        <rFont val="Aptos Narrow"/>
        <family val="2"/>
        <scheme val="minor"/>
      </rPr>
      <t>; medium w/ 2.5% Nu-serum; RIA (P4&amp;E2); conc. with viability &lt; 90% excluded (LIVE/DEAD Viability/Cytotoxicity Kit); E1 (estrone) also measured</t>
    </r>
  </si>
  <si>
    <r>
      <t xml:space="preserve">30 μM (24 h):  30 </t>
    </r>
    <r>
      <rPr>
        <sz val="11"/>
        <rFont val="Aptos Narrow"/>
        <family val="2"/>
      </rPr>
      <t>µM for E2</t>
    </r>
    <r>
      <rPr>
        <sz val="11"/>
        <rFont val="Aptos Narrow"/>
        <family val="2"/>
        <scheme val="minor"/>
      </rPr>
      <t>; medium w/ 1% stripped FBS; ELISA (E2); no decrease in viability (RTCA); E1/E3 also measured</t>
    </r>
  </si>
  <si>
    <r>
      <t xml:space="preserve">0-30 μM (48 h):  LOEC = 1 </t>
    </r>
    <r>
      <rPr>
        <sz val="11"/>
        <rFont val="Aptos Narrow"/>
        <family val="2"/>
      </rPr>
      <t>µM for P4&amp;E2 &amp; 10 µM for T (no effect on A4)</t>
    </r>
    <r>
      <rPr>
        <sz val="11"/>
        <rFont val="Aptos Narrow"/>
        <family val="2"/>
        <scheme val="minor"/>
      </rPr>
      <t>; medium w/ 2.5% NuSerum; UPLC-MS/MS (T&amp;P4&amp;A4) &amp; ELISA (E2); viability measured (Live/Dead Viability/Cytotoxicity kit); E1 also measured</t>
    </r>
  </si>
  <si>
    <r>
      <t xml:space="preserve">1 nM-304 μM (48 h):  LOEC = 12 </t>
    </r>
    <r>
      <rPr>
        <sz val="11"/>
        <rFont val="Aptos Narrow"/>
        <family val="2"/>
      </rPr>
      <t>µM for E2 &amp; 61 µM for T</t>
    </r>
    <r>
      <rPr>
        <sz val="11"/>
        <rFont val="Aptos Narrow"/>
        <family val="2"/>
        <scheme val="minor"/>
      </rPr>
      <t>; medium w/ 2.5% NuSerum; ELISA (T&amp;E2); viability measured (MTT assay); slight &amp; not concentration-dependent increase (1.4</t>
    </r>
    <r>
      <rPr>
        <sz val="11"/>
        <rFont val="Aptos Narrow"/>
        <family val="2"/>
      </rPr>
      <t>×</t>
    </r>
    <r>
      <rPr>
        <sz val="9.35"/>
        <rFont val="Aptos Narrow"/>
        <family val="2"/>
      </rPr>
      <t>)</t>
    </r>
    <r>
      <rPr>
        <sz val="11"/>
        <rFont val="Aptos Narrow"/>
        <family val="2"/>
        <scheme val="minor"/>
      </rPr>
      <t xml:space="preserve"> for T</t>
    </r>
  </si>
  <si>
    <t>+FSK</t>
  </si>
  <si>
    <r>
      <t xml:space="preserve">0.4-100 μM (48 h) - HT H295R:  LOEC = 1.2 </t>
    </r>
    <r>
      <rPr>
        <sz val="11"/>
        <rFont val="Aptos Narrow"/>
        <family val="2"/>
      </rPr>
      <t xml:space="preserve">µM for T (significantly increased just 1 and 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M)</t>
    </r>
    <r>
      <rPr>
        <sz val="11"/>
        <rFont val="Aptos Narrow"/>
        <family val="2"/>
      </rPr>
      <t xml:space="preserve"> &amp; P4 (increase) &amp; E2 (increase)</t>
    </r>
    <r>
      <rPr>
        <sz val="11"/>
        <rFont val="Aptos Narrow"/>
        <family val="2"/>
        <scheme val="minor"/>
      </rPr>
      <t>; medium w/ 2.5% NuSerum; HPLC/MS-MS (T&amp;E2&amp;P4&amp;A4); viability measured (MTT assay); estrone was also measured</t>
    </r>
  </si>
  <si>
    <t>rat (peripubertal)</t>
  </si>
  <si>
    <t>+LH</t>
  </si>
  <si>
    <r>
      <t xml:space="preserve">232 </t>
    </r>
    <r>
      <rPr>
        <sz val="11"/>
        <rFont val="Aptos Narrow"/>
        <family val="2"/>
      </rPr>
      <t>µM (3 h): effective con. for LH-stimulated cells; medium w/ BSA</t>
    </r>
    <r>
      <rPr>
        <sz val="11"/>
        <rFont val="Aptos Narrow"/>
        <family val="2"/>
        <scheme val="minor"/>
      </rPr>
      <t>; RIA (T); viability was not evaluated</t>
    </r>
  </si>
  <si>
    <r>
      <t xml:space="preserve">0.001-232 </t>
    </r>
    <r>
      <rPr>
        <sz val="11"/>
        <rFont val="Aptos Narrow"/>
        <family val="2"/>
      </rPr>
      <t xml:space="preserve">µM (24 &amp; 3 h):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 for T+DHT&amp;P4 (24 h) - increase in both basal and hCG-induced cells</t>
    </r>
    <r>
      <rPr>
        <sz val="11"/>
        <rFont val="Aptos Narrow"/>
        <family val="2"/>
        <scheme val="minor"/>
      </rPr>
      <t xml:space="preserve">, P4 - decreased at 50 </t>
    </r>
    <r>
      <rPr>
        <sz val="11"/>
        <rFont val="Aptos Narrow"/>
        <family val="2"/>
      </rPr>
      <t>µM, 232 µM (3 h) - with increasing hCG con. decreasing potential to stimulate T+DHT level; medium w/ BSA</t>
    </r>
    <r>
      <rPr>
        <sz val="11"/>
        <rFont val="Aptos Narrow"/>
        <family val="2"/>
        <scheme val="minor"/>
      </rPr>
      <t>; RIA (T+DHT&amp;P4); measured viability (MTT assay)</t>
    </r>
  </si>
  <si>
    <t>+hCG/+FSK</t>
  </si>
  <si>
    <r>
      <t xml:space="preserve">0-50 </t>
    </r>
    <r>
      <rPr>
        <sz val="11"/>
        <rFont val="Aptos Narrow"/>
        <family val="2"/>
      </rPr>
      <t xml:space="preserve">µM (2 h):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5 µM - con.-dependent increase hCG- and fsk-stimulated cells; medium w/ BSA</t>
    </r>
    <r>
      <rPr>
        <sz val="11"/>
        <rFont val="Aptos Narrow"/>
        <family val="2"/>
        <scheme val="minor"/>
      </rPr>
      <t>; RIA (T+DHT)</t>
    </r>
  </si>
  <si>
    <r>
      <rPr>
        <sz val="11"/>
        <color rgb="FF000000"/>
        <rFont val="Aptos Narrow"/>
        <family val="2"/>
      </rPr>
      <t xml:space="preserve">50 µM (0-2 h): effective time: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>2 h - Teffect only on hCG-stimulated cells; medium w/ 0.1% BSA; RIA (T+DHT)</t>
    </r>
  </si>
  <si>
    <t>Benomyl</t>
  </si>
  <si>
    <t>0.0001-100 μM (48 h): Lab 1; medium w/ 2.5% Nu-serum; ELISA (T&amp;E2); conc. with viability &lt; 80% excluded</t>
  </si>
  <si>
    <t>0.0001-100 μM (48 h): Lab 2; medium w/ 2.5% Nu-serum; ELISA (T&amp;E2); conc. with viability &lt; 80% excluded</t>
  </si>
  <si>
    <t>0.0001-100 μM (48 h): Lab 3; medium w/ 2.5% Nu-serum; RIA (T&amp;E2); conc. with viability &lt; 80% excluded</t>
  </si>
  <si>
    <t>0.0001-100 μM (48 h): Lab 4; medium w/ 2.5% Nu-serum; ELISA (T&amp;E2); conc. with viability &lt; 80% excluded</t>
  </si>
  <si>
    <t>0.0001-100 μM (48 h): Lab 6; medium w/ 2.5% Nu-serum; ELISA (T&amp;E2); conc. with viability &lt; 80% excluded</t>
  </si>
  <si>
    <t xml:space="preserve"> 4 nM - 1 µM; A4, T : effects were not concentration-dependent and failed to exceed the threshold of 1.5-fold control.; medium w/ 2.5% NuSerum; HPLC/MS-MS (T&amp;E2&amp;P4&amp;A4); viability measured (MTT assay); estrone was also measured</t>
  </si>
  <si>
    <r>
      <t xml:space="preserve">0.0001-100 μM (48 h): Lab 1 - LOEC = 10 </t>
    </r>
    <r>
      <rPr>
        <sz val="11"/>
        <rFont val="Aptos Narrow"/>
        <family val="2"/>
      </rPr>
      <t>µM for T &amp;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</si>
  <si>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10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</si>
  <si>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LOEC (24 h): 30 ng/mL (131 nM) for T, 100 ng/mL (437 nM) for A4, 3000 ng/ml (13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>) for E2 and P4; medium w/ 2.5% Nu-serum; LC-MS/MS (A4&amp;E2&amp;P4); E1 (estrone also measured)</t>
    </r>
  </si>
  <si>
    <r>
      <t xml:space="preserve">0.1-30 µM (48 h): LOEC = 10 </t>
    </r>
    <r>
      <rPr>
        <sz val="11"/>
        <rFont val="Aptos Narrow"/>
        <family val="2"/>
      </rPr>
      <t xml:space="preserve">µM for E2 &amp; 3-10 µM for T; </t>
    </r>
    <r>
      <rPr>
        <sz val="11"/>
        <rFont val="Aptos Narrow"/>
        <family val="2"/>
        <scheme val="minor"/>
      </rPr>
      <t>medium w/ 2.5% Nu-serum; ELISA (T &amp; E2); non-cytotoxic concentrations (&lt; 20% cytotoxicity, WST-1 assay)</t>
    </r>
  </si>
  <si>
    <r>
      <t>0.04-30 µM (48 h): EC</t>
    </r>
    <r>
      <rPr>
        <vertAlign val="subscript"/>
        <sz val="11"/>
        <rFont val="Aptos Narrow"/>
        <family val="2"/>
        <scheme val="minor"/>
      </rPr>
      <t>50</t>
    </r>
    <r>
      <rPr>
        <sz val="11"/>
        <rFont val="Aptos Narrow"/>
        <family val="2"/>
        <scheme val="minor"/>
      </rPr>
      <t xml:space="preserve"> = 3.4 </t>
    </r>
    <r>
      <rPr>
        <sz val="11"/>
        <rFont val="Aptos Narrow"/>
        <family val="2"/>
      </rPr>
      <t xml:space="preserve">µM for T &amp; 6.6 µM for E2, </t>
    </r>
    <r>
      <rPr>
        <sz val="11"/>
        <rFont val="Aptos Narrow"/>
        <family val="2"/>
        <scheme val="minor"/>
      </rPr>
      <t>no effect on P4</t>
    </r>
    <r>
      <rPr>
        <sz val="11"/>
        <rFont val="Aptos Narrow"/>
        <family val="2"/>
      </rPr>
      <t xml:space="preserve">; </t>
    </r>
    <r>
      <rPr>
        <sz val="11"/>
        <rFont val="Aptos Narrow"/>
        <family val="2"/>
        <scheme val="minor"/>
      </rPr>
      <t>medium w/ 2.5% Nu-serum; LC-MS/MS (T&amp;P4&amp;E2) &amp; DELFIA (P4&amp;E2&amp;T); cytotoxicity measured (MTT assay), data not provided; E1 also measured</t>
    </r>
  </si>
  <si>
    <r>
      <t xml:space="preserve">0-30 μM (48 h):  LOEC = 0.03 </t>
    </r>
    <r>
      <rPr>
        <sz val="11"/>
        <rFont val="Aptos Narrow"/>
        <family val="2"/>
      </rPr>
      <t>µM for A4 &amp; 0.1 µM for T &amp; 30 µM for P &amp; 10 µM for E2</t>
    </r>
    <r>
      <rPr>
        <sz val="11"/>
        <rFont val="Aptos Narrow"/>
        <family val="2"/>
        <scheme val="minor"/>
      </rPr>
      <t>; medium w/ 2.5% NuSerum; UPLC-MS/MS (T&amp;P4&amp;A4) &amp; ELISA (E2); viability measured (Live/Dead Viability/Cytotoxicity kit); E1 also measured</t>
    </r>
  </si>
  <si>
    <r>
      <t xml:space="preserve">0.1-100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</t>
    </r>
    <r>
      <rPr>
        <sz val="11"/>
        <rFont val="Aptos Narrow"/>
        <family val="2"/>
        <scheme val="minor"/>
      </rPr>
      <t>; medium w/ 2.5% Nu-serum;  ELISA (E2) &amp; RIA (free T), cytotoxic con. (CellTiter 96 Aqueous One SolutionCell Proliferation Assay Kit) excluded - 100 µM decreased by 23% viability</t>
    </r>
  </si>
  <si>
    <r>
      <t xml:space="preserve">0.05-100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(24 h): effective con. for P4 increase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>10 µM for P decrease, effective con. for E2 increase ≥1 µM  &amp; ≥50 µM for E2 decrease, effective con. for T2 decrease ≥1 µM</t>
    </r>
    <r>
      <rPr>
        <sz val="11"/>
        <rFont val="Aptos Narrow"/>
        <family val="2"/>
        <scheme val="minor"/>
      </rPr>
      <t xml:space="preserve">; medium w/ 2.5% Nu-serum;  ELISA (P4&amp;E2&amp;T), viability measured (MTT&amp;CFDA-AM assays): </t>
    </r>
    <r>
      <rPr>
        <sz val="11"/>
        <rFont val="Symbol"/>
        <family val="1"/>
        <charset val="2"/>
      </rPr>
      <t>≥1 &amp; ≥</t>
    </r>
    <r>
      <rPr>
        <sz val="11"/>
        <rFont val="Aptos Narrow"/>
        <family val="2"/>
      </rPr>
      <t>10 µM cytotox.</t>
    </r>
  </si>
  <si>
    <r>
      <t xml:space="preserve">1 nM-1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(72 h): LOEC =  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for P4 (~50% decrease also at 25 and 50 </t>
    </r>
    <r>
      <rPr>
        <sz val="11"/>
        <rFont val="Aptos Narrow"/>
        <family val="2"/>
      </rPr>
      <t>µM, non-significant</t>
    </r>
    <r>
      <rPr>
        <sz val="11"/>
        <rFont val="Aptos Narrow"/>
        <family val="2"/>
        <scheme val="minor"/>
      </rPr>
      <t xml:space="preserve">), 10 </t>
    </r>
    <r>
      <rPr>
        <sz val="11"/>
        <rFont val="Aptos Narrow"/>
        <family val="2"/>
      </rPr>
      <t>µM for A4&amp;T, 100 µM for E2 (~40% increase also at 50 and 250 µM, non-significant);</t>
    </r>
    <r>
      <rPr>
        <sz val="11"/>
        <rFont val="Aptos Narrow"/>
        <family val="2"/>
        <scheme val="minor"/>
      </rPr>
      <t xml:space="preserve"> medium w/ 10% FBS;  LC-MS/MS (P4&amp;E2&amp;T&amp;A4), viability measured (CellTiter-Glo® Luminescent assay): LC</t>
    </r>
    <r>
      <rPr>
        <vertAlign val="subscript"/>
        <sz val="11"/>
        <rFont val="Aptos Narrow"/>
        <family val="2"/>
        <scheme val="minor"/>
      </rPr>
      <t>50</t>
    </r>
    <r>
      <rPr>
        <sz val="11"/>
        <rFont val="Aptos Narrow"/>
        <family val="2"/>
        <scheme val="minor"/>
      </rPr>
      <t>: 146.6 μM</t>
    </r>
  </si>
  <si>
    <r>
      <t xml:space="preserve">0-30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LOEC = 10 </t>
    </r>
    <r>
      <rPr>
        <sz val="11"/>
        <rFont val="Aptos Narrow"/>
        <family val="2"/>
      </rPr>
      <t>µM;</t>
    </r>
    <r>
      <rPr>
        <sz val="11"/>
        <rFont val="Aptos Narrow"/>
        <family val="2"/>
        <scheme val="minor"/>
      </rPr>
      <t xml:space="preserve"> medium w/ 15% FBS;  RIA (T)</t>
    </r>
  </si>
  <si>
    <r>
      <t xml:space="preserve">1 nM-1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all con. decreased T, but just 1 &amp; 100 n</t>
    </r>
    <r>
      <rPr>
        <sz val="11"/>
        <rFont val="Aptos Narrow"/>
        <family val="2"/>
      </rPr>
      <t xml:space="preserve">M significantly,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10 µM increased E2 </t>
    </r>
    <r>
      <rPr>
        <sz val="11"/>
        <rFont val="Symbol"/>
        <family val="1"/>
        <charset val="2"/>
      </rPr>
      <t>Þ</t>
    </r>
    <r>
      <rPr>
        <sz val="11"/>
        <rFont val="Aptos Narrow"/>
        <family val="2"/>
      </rPr>
      <t xml:space="preserve"> decreased T/E2 at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µM;</t>
    </r>
    <r>
      <rPr>
        <sz val="11"/>
        <rFont val="Aptos Narrow"/>
        <family val="2"/>
        <scheme val="minor"/>
      </rPr>
      <t xml:space="preserve"> medium w/ 10% FCS;  ELISA (T&amp;E2); viability (MTT assay): LOEC = 200 </t>
    </r>
    <r>
      <rPr>
        <sz val="11"/>
        <rFont val="Aptos Narrow"/>
        <family val="2"/>
      </rPr>
      <t>µM, no cytotox. 10 nM &amp; 1 µM up to 96 h</t>
    </r>
  </si>
  <si>
    <r>
      <t>10 nM (48 h): no effect on P4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5% DC-FBS;  ELISA (P4)</t>
    </r>
  </si>
  <si>
    <r>
      <t>1 nM (24 h): effective to decrease E2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5% DC-FBS;  EIA (E2)</t>
    </r>
  </si>
  <si>
    <t>0.1-100 µM (48-h exposure+1- &amp; 3-h stimulation): 100 µM after 1 h &amp; 1-100 µM after 3 h; effects only on hCG-stimulated cells</t>
  </si>
  <si>
    <r>
      <rPr>
        <sz val="11"/>
        <rFont val="Symbol"/>
        <family val="1"/>
        <charset val="2"/>
      </rPr>
      <t>±</t>
    </r>
    <r>
      <rPr>
        <sz val="11"/>
        <rFont val="Aptos Narrow"/>
        <family val="2"/>
        <scheme val="minor"/>
      </rPr>
      <t>hCG</t>
    </r>
    <r>
      <rPr>
        <sz val="11"/>
        <rFont val="Aptos Narrow"/>
        <family val="1"/>
        <charset val="2"/>
        <scheme val="minor"/>
      </rPr>
      <t>/±</t>
    </r>
    <r>
      <rPr>
        <sz val="11"/>
        <rFont val="Aptos Narrow"/>
        <family val="2"/>
        <scheme val="minor"/>
      </rPr>
      <t>LH</t>
    </r>
  </si>
  <si>
    <r>
      <t>1 nM &amp; 1 µM (8h &amp; 24h): no effect on basal or stimulated cells;</t>
    </r>
    <r>
      <rPr>
        <sz val="11"/>
        <rFont val="Aptos Narrow"/>
        <family val="2"/>
      </rPr>
      <t xml:space="preserve"> </t>
    </r>
    <r>
      <rPr>
        <sz val="11"/>
        <rFont val="Aptos Narrow"/>
        <family val="2"/>
        <scheme val="minor"/>
      </rPr>
      <t>medium w/o FBS;  Architect Immunoassay Analyzer (P4, T); viability (MTT assay): 1 mM cytotox.</t>
    </r>
  </si>
  <si>
    <t xml:space="preserve"> </t>
  </si>
  <si>
    <t>rat (adult: 90-d)</t>
  </si>
  <si>
    <r>
      <rPr>
        <sz val="11"/>
        <rFont val="Symbol"/>
        <family val="1"/>
        <charset val="2"/>
      </rPr>
      <t>±</t>
    </r>
    <r>
      <rPr>
        <sz val="11"/>
        <rFont val="Aptos Narrow"/>
        <family val="2"/>
        <scheme val="minor"/>
      </rPr>
      <t>LH</t>
    </r>
  </si>
  <si>
    <r>
      <t xml:space="preserve">0.01 nM - 1 </t>
    </r>
    <r>
      <rPr>
        <sz val="11"/>
        <rFont val="Aptos Narrow"/>
        <family val="2"/>
      </rPr>
      <t>µ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(18+3 h): only effective con.: 0.01 nM in stimulated cells; medium w/ 0.1%</t>
    </r>
    <r>
      <rPr>
        <sz val="11"/>
        <rFont val="Aptos Narrow"/>
        <family val="2"/>
      </rPr>
      <t xml:space="preserve"> </t>
    </r>
    <r>
      <rPr>
        <sz val="11"/>
        <rFont val="Aptos Narrow"/>
        <family val="2"/>
        <scheme val="minor"/>
      </rPr>
      <t>BSA;  RIA (T); viability (trypan blue exclusion test ): no cytotoxicity</t>
    </r>
  </si>
  <si>
    <t>R2C</t>
  </si>
  <si>
    <t>rat</t>
  </si>
  <si>
    <r>
      <t>0.1-10 n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(18+3 h): all con. were effective (decrease); medium w/ 10%</t>
    </r>
    <r>
      <rPr>
        <sz val="11"/>
        <rFont val="Aptos Narrow"/>
        <family val="2"/>
      </rPr>
      <t xml:space="preserve"> FBS</t>
    </r>
    <r>
      <rPr>
        <sz val="11"/>
        <rFont val="Aptos Narrow"/>
        <family val="2"/>
        <scheme val="minor"/>
      </rPr>
      <t>;  RIA (T)</t>
    </r>
  </si>
  <si>
    <t>Testis explants/organ culture</t>
  </si>
  <si>
    <t>human (adult: mean age of 47 y)</t>
  </si>
  <si>
    <t>+hCG</t>
  </si>
  <si>
    <r>
      <t xml:space="preserve">1 nM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(24&amp;48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</t>
    </r>
    <r>
      <rPr>
        <sz val="11"/>
        <rFont val="Aptos Narrow"/>
        <family val="2"/>
      </rPr>
      <t xml:space="preserve"> after 24 and 48 h in stimulated cultures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effect on gross morphology of testis; prostate cancer patients or or multiorgan donors; BPA not metabolized in the culture</t>
    </r>
  </si>
  <si>
    <t>human (fetal: 6-11-gw)</t>
  </si>
  <si>
    <r>
      <t xml:space="preserve">1 pM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(24-72 h): LOEC = 10 nM</t>
    </r>
    <r>
      <rPr>
        <sz val="11"/>
        <rFont val="Aptos Narrow"/>
        <family val="2"/>
      </rPr>
      <t xml:space="preserve"> for T (decrease, 24-72 h) - the effect of BPA not influenced by the age of the fetus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sign of necrosis or disorganized areas in the tissue</t>
    </r>
  </si>
  <si>
    <t>human (fetal: 7-12-gw)</t>
  </si>
  <si>
    <r>
      <t xml:space="preserve">10 nM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(72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</t>
    </r>
    <r>
      <rPr>
        <sz val="11"/>
        <rFont val="Aptos Narrow"/>
        <family val="2"/>
      </rPr>
      <t xml:space="preserve"> for T (decrease) in stimulated cultures &amp; 10&amp;1 nM and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in non-stimulated cultures, BPA dissolved in DMSO or EtOH had similar effects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effect on gross morphology of testis</t>
    </r>
  </si>
  <si>
    <t>mouse (fetal: 12.5 dpc)</t>
  </si>
  <si>
    <r>
      <t xml:space="preserve">1 pM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(24-72 h): effect. con. - 10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(decrease, 24-72 h)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sign of necrosis or disorganized areas in the tissue</t>
    </r>
  </si>
  <si>
    <t>rat (fetal: 14 dpc) - Sprague-Dawley</t>
  </si>
  <si>
    <r>
      <t xml:space="preserve">1 nM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(24-72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</t>
    </r>
    <r>
      <rPr>
        <sz val="11"/>
        <rFont val="Aptos Narrow"/>
        <family val="2"/>
      </rPr>
      <t xml:space="preserve"> after 24-72 h &amp; 10 nM for T after 72 h (decrease) in non-stimulated cultures exposed to BPA dissolved in DMSO, similarly, when BPA dissolved in EtOH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effect on gross morphology of testis; Sprague-Dawley strain</t>
    </r>
  </si>
  <si>
    <t xml:space="preserve">rat (fetal: 14 dpc) - Wistar </t>
  </si>
  <si>
    <r>
      <t xml:space="preserve">1 nM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(24-72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</t>
    </r>
    <r>
      <rPr>
        <sz val="11"/>
        <rFont val="Aptos Narrow"/>
        <family val="2"/>
      </rPr>
      <t xml:space="preserve"> after 24-72 h in non-stimulated cultures exposed to BPA dissolved in DMSO</t>
    </r>
    <r>
      <rPr>
        <sz val="11"/>
        <rFont val="Aptos Narrow"/>
        <family val="2"/>
        <scheme val="minor"/>
      </rPr>
      <t xml:space="preserve">; medium w/o </t>
    </r>
    <r>
      <rPr>
        <sz val="11"/>
        <rFont val="Aptos Narrow"/>
        <family val="2"/>
      </rPr>
      <t>FBS</t>
    </r>
    <r>
      <rPr>
        <sz val="11"/>
        <rFont val="Aptos Narrow"/>
        <family val="2"/>
        <scheme val="minor"/>
      </rPr>
      <t>;  RIA (T);  no effect on gross morphology of testis; Wistar strain - T levels higher in Wistar than those from Sprague-Dawley fetal testes at all time points in the control cultures</t>
    </r>
  </si>
  <si>
    <t>rat (fetal: 14.5 dpc)</t>
  </si>
  <si>
    <t>rat (fetal: 15.5 gd/dpc)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</si>
  <si>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(24-72 h): decrease in non-stimulated cells after 24-72 h and stimulated cells at the end of exposure (72-75 h); culture medium not specified;  ELISA (T); no effect on germ and Sertoli cell numbers and proliferation, but increase in Leydig cell number, but not their surface</t>
    </r>
  </si>
  <si>
    <t>rat (immature: EDS-treated adults)</t>
  </si>
  <si>
    <r>
      <t xml:space="preserve">1 nM to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(1 w): effective con.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M; medium w/ </t>
    </r>
    <r>
      <rPr>
        <sz val="11"/>
        <rFont val="Aptos Narrow"/>
        <family val="2"/>
      </rPr>
      <t>0.1% BSA</t>
    </r>
    <r>
      <rPr>
        <sz val="11"/>
        <rFont val="Aptos Narrow"/>
        <family val="2"/>
        <scheme val="minor"/>
      </rPr>
      <t>;  RIA (T); cultures of seminiferous tubules - stem Leydig cell differentiation model; BPA did not stimulate stem Leydig cell proliferation</t>
    </r>
  </si>
  <si>
    <r>
      <t>1-100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decrease at all con.; medium w/ 10% FBS;  Chemiluminescence assay (T); viability (MTT assay &amp; RTCA): </t>
    </r>
    <r>
      <rPr>
        <sz val="11"/>
        <rFont val="Calibri"/>
        <family val="2"/>
        <charset val="238"/>
      </rPr>
      <t xml:space="preserve">≥50 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  <charset val="238"/>
      </rPr>
      <t>M cytotox.</t>
    </r>
  </si>
  <si>
    <r>
      <t xml:space="preserve">0.04-50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(0.18-219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  <r>
      <rPr>
        <sz val="11"/>
        <rFont val="Aptos Narrow"/>
        <family val="2"/>
        <scheme val="minor"/>
      </rPr>
      <t xml:space="preserve"> (24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 (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44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  <r>
      <rPr>
        <sz val="11"/>
        <rFont val="Aptos Narrow"/>
        <family val="2"/>
        <scheme val="minor"/>
      </rPr>
      <t xml:space="preserve">; medium w/ 5% HS and 2.5% FBS;  ELISA (T); viability (MTT assay):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 decreased viability</t>
    </r>
  </si>
  <si>
    <r>
      <t>5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</t>
    </r>
    <r>
      <rPr>
        <sz val="11"/>
        <rFont val="Aptos Narrow"/>
        <family val="2"/>
      </rPr>
      <t>decrease</t>
    </r>
    <r>
      <rPr>
        <sz val="11"/>
        <rFont val="Aptos Narrow"/>
        <family val="2"/>
        <scheme val="minor"/>
      </rPr>
      <t>; medium w/ 10% FBS;  ELISA (T)</t>
    </r>
  </si>
  <si>
    <r>
      <t>10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(24&amp;48 h): decrease after both exposure times; medium w/ 10% FBS;  ELISA (T); viability (CCK-8 assay): </t>
    </r>
    <r>
      <rPr>
        <sz val="11"/>
        <rFont val="Calibri"/>
        <family val="2"/>
        <charset val="238"/>
      </rPr>
      <t>no effect on cell viability, death and proliferation</t>
    </r>
  </si>
  <si>
    <r>
      <rPr>
        <sz val="11"/>
        <color rgb="FF000000"/>
        <rFont val="Aptos Narrow"/>
        <family val="2"/>
      </rPr>
      <t xml:space="preserve">1-50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g/mL (4.5-219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M) (48 h): effective con. 2.5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g/mL (increase) and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Aptos Narrow"/>
        <family val="2"/>
      </rPr>
      <t xml:space="preserve"> 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g/mL (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Aptos Narrow"/>
        <family val="2"/>
      </rPr>
      <t xml:space="preserve">44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M) (decrease); Decrease coincides with cytotoxicity; medium w/ 5% HS and 2.5% FBS;  ELISA (T); viability (MTT assay):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Aptos Narrow"/>
        <family val="2"/>
      </rPr>
      <t xml:space="preserve"> 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g/mL decreased viability</t>
    </r>
  </si>
  <si>
    <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 h): </t>
    </r>
    <r>
      <rPr>
        <sz val="11"/>
        <rFont val="Aptos Narrow"/>
        <family val="2"/>
      </rPr>
      <t>decrease in intracellular and secreted T</t>
    </r>
    <r>
      <rPr>
        <sz val="11"/>
        <rFont val="Aptos Narrow"/>
        <family val="2"/>
        <scheme val="minor"/>
      </rPr>
      <t xml:space="preserve">; medium w/ 10% FBS;  ELISA (intracellular and secreted T); viability (CCK-8 assay):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5 </t>
    </r>
    <r>
      <rPr>
        <sz val="11"/>
        <rFont val="Symbol"/>
        <family val="1"/>
        <charset val="2"/>
      </rPr>
      <t>mM</t>
    </r>
  </si>
  <si>
    <t xml:space="preserve">TM3 </t>
  </si>
  <si>
    <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 h): </t>
    </r>
    <r>
      <rPr>
        <sz val="11"/>
        <rFont val="Aptos Narrow"/>
        <family val="2"/>
      </rPr>
      <t xml:space="preserve">faint (~10%) decrease </t>
    </r>
    <r>
      <rPr>
        <sz val="11"/>
        <rFont val="Aptos Narrow"/>
        <family val="2"/>
        <scheme val="minor"/>
      </rPr>
      <t xml:space="preserve">; medium w/ 5% HS and 2.5% FBS;  ELISA (T); viability (CCK-8 assay): </t>
    </r>
    <r>
      <rPr>
        <sz val="11"/>
        <rFont val="Calibri"/>
        <family val="2"/>
        <charset val="238"/>
      </rPr>
      <t>≥1</t>
    </r>
    <r>
      <rPr>
        <sz val="11"/>
        <rFont val="Aptos Narrow"/>
        <family val="2"/>
      </rPr>
      <t xml:space="preserve">50 </t>
    </r>
    <r>
      <rPr>
        <sz val="11"/>
        <rFont val="Symbol"/>
        <family val="1"/>
        <charset val="2"/>
      </rPr>
      <t>mM</t>
    </r>
  </si>
  <si>
    <t xml:space="preserve">BPA </t>
  </si>
  <si>
    <t>0.041- 10 µM; increase in E2 and no effect in P4 observed in 2/3 plates; medium w/ 2.5% NuSerum; HPLC/MS-MS (T&amp;E2&amp;P4&amp;A4); viability measured (MTT assay); estrone was also measured</t>
  </si>
  <si>
    <t>boar (neonatal: 7-d)</t>
  </si>
  <si>
    <r>
      <t>10 nM (48 h); medium w/5</t>
    </r>
    <r>
      <rPr>
        <sz val="11"/>
        <rFont val="Aptos Narrow"/>
        <family val="2"/>
      </rPr>
      <t>% DC-FBS</t>
    </r>
    <r>
      <rPr>
        <sz val="11"/>
        <rFont val="Aptos Narrow"/>
        <family val="2"/>
        <scheme val="minor"/>
      </rPr>
      <t>;  EIA (E2); no changes in Leydig cell morphology</t>
    </r>
  </si>
  <si>
    <t>Butyl paraben</t>
  </si>
  <si>
    <r>
      <t xml:space="preserve">0.1-30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</t>
    </r>
    <r>
      <rPr>
        <sz val="11"/>
        <rFont val="Aptos Narrow"/>
        <family val="2"/>
      </rPr>
      <t xml:space="preserve">effective con. 30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</rPr>
      <t xml:space="preserve"> for P4, no effects on E2&amp;T - but a non-significant tendency to slight decrease T and E2; medium w/ 2% Nu-serum; DELFIA kits (T&amp;E2&amp;P4); viability (resazurin assay): no cytotoxicity determined  </t>
    </r>
  </si>
  <si>
    <r>
      <t xml:space="preserve">0.0001-100 μM (48 h): Lab 1 - LOEC = 10 </t>
    </r>
    <r>
      <rPr>
        <sz val="11"/>
        <rFont val="Aptos Narrow"/>
        <family val="2"/>
      </rPr>
      <t xml:space="preserve">µM for T, 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</si>
  <si>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10 </t>
    </r>
    <r>
      <rPr>
        <sz val="11"/>
        <rFont val="Aptos Narrow"/>
        <family val="2"/>
      </rPr>
      <t>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</si>
  <si>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3 - LOEC = 1 </t>
    </r>
    <r>
      <rPr>
        <sz val="11"/>
        <rFont val="Aptos Narrow"/>
        <family val="2"/>
      </rPr>
      <t>µM for T &amp; 10 µM for E2</t>
    </r>
    <r>
      <rPr>
        <sz val="11"/>
        <rFont val="Aptos Narrow"/>
        <family val="2"/>
        <scheme val="minor"/>
      </rPr>
      <t>; medium w/ 2.5% Nu-serum; RIA (T&amp;E2); conc. with viability &lt; 80% excluded</t>
    </r>
  </si>
  <si>
    <r>
      <t>0.04-30 µM (48 h): No effect on T&amp;E2&amp;P4</t>
    </r>
    <r>
      <rPr>
        <sz val="11"/>
        <rFont val="Aptos Narrow"/>
        <family val="2"/>
      </rPr>
      <t xml:space="preserve">; </t>
    </r>
    <r>
      <rPr>
        <sz val="11"/>
        <rFont val="Aptos Narrow"/>
        <family val="2"/>
        <scheme val="minor"/>
      </rPr>
      <t>medium w/ 2.5% Nu-serum; LC-MS/MS (T&amp;P4&amp;E2) &amp; DELFIA (P4&amp;E2&amp;T); cytotoxicity measured (MTT assay), data not provided; E1 also measured</t>
    </r>
  </si>
  <si>
    <r>
      <t xml:space="preserve">0-30 μM (48 h):  LOEC = 3 </t>
    </r>
    <r>
      <rPr>
        <sz val="11"/>
        <rFont val="Aptos Narrow"/>
        <family val="2"/>
      </rPr>
      <t>µM for T&amp;E2 &amp; 10 µM for A4 &amp; 30 µM for E2</t>
    </r>
    <r>
      <rPr>
        <sz val="11"/>
        <rFont val="Aptos Narrow"/>
        <family val="2"/>
        <scheme val="minor"/>
      </rPr>
      <t>; medium w/ 2.5% NuSerum; UPLC-MS/MS (T&amp;P4&amp;A4) &amp; ELISA (E2); viability measured (Live/Dead Viability/Cytotoxicity kit); E1 also measured</t>
    </r>
  </si>
  <si>
    <t>0.041- 10 µM; LOEC 1.1 µM for P4 (increase); medium w/ 2.5% NuSerum; HPLC/MS-MS (T&amp;E2&amp;P4&amp;A4); viability measured (MTT assay); estrone was also measured</t>
  </si>
  <si>
    <r>
      <t xml:space="preserve">0.1-100 μM (48 h): 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(increase) &amp; 1 µM (increase) and 100 µM (decrease) for T</t>
    </r>
    <r>
      <rPr>
        <sz val="11"/>
        <rFont val="Aptos Narrow"/>
        <family val="2"/>
        <scheme val="minor"/>
      </rPr>
      <t>; medium w/ 2.5% CS-FBS; RIA (T&amp;E2); viability (resazurin assay): none cytotoxicity</t>
    </r>
  </si>
  <si>
    <t>rat (adult: 12–14-w)</t>
  </si>
  <si>
    <t>30-1000 μM (6 h):  no effect on T; medium w/o serum; RIA (T - intracellular&amp;in medium)</t>
  </si>
  <si>
    <t>Clotrimazole</t>
  </si>
  <si>
    <r>
      <t>0.0003-0.3 μM (48 h): 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P4 &amp;  0.03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 &amp; 0.02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&amp; 0.008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(decrease)</t>
    </r>
    <r>
      <rPr>
        <sz val="11"/>
        <rFont val="Aptos Narrow"/>
        <family val="2"/>
        <scheme val="minor"/>
      </rPr>
      <t xml:space="preserve">; medium w/ 2.5% Nu-serum;  LC-MS/MS (T&amp;E2&amp;P4&amp;A4); viability (resazurin assay): wells with viability </t>
    </r>
    <r>
      <rPr>
        <sz val="11"/>
        <rFont val="Aptos Narrow"/>
        <family val="2"/>
      </rPr>
      <t xml:space="preserve">&lt; </t>
    </r>
    <r>
      <rPr>
        <sz val="11"/>
        <rFont val="Aptos Narrow"/>
        <family val="2"/>
        <scheme val="minor"/>
      </rPr>
      <t xml:space="preserve">80% of the solvent control was excluded; FSK (1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M) and prochloraz (0.1 &amp;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 included as positive controls for quality control according to OECD quideline</t>
    </r>
    <r>
      <rPr>
        <sz val="11"/>
        <rFont val="Aptos Narrow"/>
        <family val="2"/>
        <scheme val="minor"/>
      </rPr>
      <t>; E1 also measured</t>
    </r>
  </si>
  <si>
    <t>mouse (age not specified)</t>
  </si>
  <si>
    <t>0.1-10 ng/ml (0.3-30 nM): LOEC 0.1 ng/ml (3 nM); Effect on stimulated cells only; serum-free medium;  RIA (T); viability (trypan blue exclusion assay)</t>
  </si>
  <si>
    <r>
      <t xml:space="preserve">0.0001-100 μM (48 h): Lab 1 - LOEC = 1 </t>
    </r>
    <r>
      <rPr>
        <sz val="11"/>
        <rFont val="Aptos Narrow"/>
        <family val="2"/>
      </rPr>
      <t>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</si>
  <si>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 </t>
    </r>
    <r>
      <rPr>
        <sz val="11"/>
        <rFont val="Aptos Narrow"/>
        <family val="2"/>
      </rPr>
      <t>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</si>
  <si>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1-100 μM (24-72 h): LOEC =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48 h,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24-72 h - effect did not change with time</t>
    </r>
    <r>
      <rPr>
        <sz val="11"/>
        <rFont val="Aptos Narrow"/>
        <family val="2"/>
        <scheme val="minor"/>
      </rPr>
      <t>; medium w/ 0.1% BSA; RIA (T); viability (MTT assay): no cytotox.</t>
    </r>
  </si>
  <si>
    <r>
      <t>0.04-30 µM (48 h): effect shown for E2 - a non-monotonous concentration-response, not reproducible in an independent experiment</t>
    </r>
    <r>
      <rPr>
        <sz val="11"/>
        <rFont val="Aptos Narrow"/>
        <family val="2"/>
      </rPr>
      <t xml:space="preserve">, </t>
    </r>
    <r>
      <rPr>
        <sz val="11"/>
        <rFont val="Aptos Narrow"/>
        <family val="2"/>
        <scheme val="minor"/>
      </rPr>
      <t>no effect on T&amp;P4</t>
    </r>
    <r>
      <rPr>
        <sz val="11"/>
        <rFont val="Aptos Narrow"/>
        <family val="2"/>
      </rPr>
      <t xml:space="preserve">; </t>
    </r>
    <r>
      <rPr>
        <sz val="11"/>
        <rFont val="Aptos Narrow"/>
        <family val="2"/>
        <scheme val="minor"/>
      </rPr>
      <t>medium w/ 2.5% Nu-serum; LC-MS/MS (T&amp;P4&amp;E2) &amp; DELFIA (P4&amp;E2&amp;T); cytotoxicity measured (MTT assay), data not provided; E1 also measured</t>
    </r>
  </si>
  <si>
    <t>0.41- 100 µM; P4, E2 (increase): multiple concentrations positive but not concentration-responsive. medium w/ 2.5% NuSerum; HPLC/MS-MS (T&amp;E2&amp;P4&amp;A4); viability measured (MTT assay); estrone was also measured</t>
  </si>
  <si>
    <r>
      <t xml:space="preserve">0.8-100 mg/L (2-256 µM) (48 h): LOEC = 20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g/L (51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M)</t>
    </r>
    <r>
      <rPr>
        <sz val="11"/>
        <rFont val="Aptos Narrow"/>
        <family val="2"/>
      </rPr>
      <t xml:space="preserve"> for 48 h, no effect on T, the E2/T ratio increase even at 4 mg/mL (10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</rPr>
      <t>)</t>
    </r>
    <r>
      <rPr>
        <sz val="11"/>
        <rFont val="Aptos Narrow"/>
        <family val="2"/>
        <scheme val="minor"/>
      </rPr>
      <t>; medium w/ 2.5% Nu-serum; ELISA (T&amp;E2); viability (WST-1 assay): no cytotox.</t>
    </r>
  </si>
  <si>
    <r>
      <t xml:space="preserve">0.25-25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at 0.25 µM, T increased, whereas at 2.5 and 25 µM, T decreased &amp; at 25 µM, E2 increased; medium w/ 2.5% Nu-serum;  ELISA (T&amp;E2), cytotoxic con. (CCK-8 reagent) excluded </t>
    </r>
  </si>
  <si>
    <r>
      <t xml:space="preserve">0.03-3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 1 µM for T&amp;E2 (increase); medium w/ 2.5% Nu-serum;  ELISA (T&amp;E2), cytotoxic con. (MTT assay) excluded; FSK (1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M) and prochloraz (0.1 &amp;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M) included as positive controls for quality control according to OECD quideline</t>
    </r>
  </si>
  <si>
    <r>
      <t xml:space="preserve">0.1-100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 10 µM in stimulated cells for P4 (decrease); medium w/ 15% FBS;  ELISA (P4), cytotoxic con. (MTT assay): &gt;1 mM after 24 h &amp;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M;  amount of DEHP decreased over the 24 h due to poor extraction efficiency and compound volatility to 50%, no difference between abiotic control and exposed cells</t>
    </r>
  </si>
  <si>
    <r>
      <t xml:space="preserve">0-30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no effect on T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15% FBS;  RIA (T)</t>
    </r>
  </si>
  <si>
    <r>
      <t xml:space="preserve">10&amp;100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h+4 h incubation in medium w/ 0.1 BSA and hCG): effective con. 10&amp;100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on A4 (increase),</t>
    </r>
    <r>
      <rPr>
        <sz val="11"/>
        <rFont val="Aptos Narrow"/>
        <family val="2"/>
        <scheme val="minor"/>
      </rPr>
      <t xml:space="preserve"> no effect on T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10% FBS;  LC-ESI-MS/MS (T); viability (MTT assay): only non-cytotox. con. included;  MLTC-1 cells exposed to low-dose (0.1–1 μM) DEHP, there was around 60-70&amp; hydrolysis to MEHP, which decreased with con. to 10 an 100 μM exposure with almost no hydrolysis</t>
    </r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</si>
  <si>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  <scheme val="minor"/>
      </rPr>
      <t>hCG</t>
    </r>
  </si>
  <si>
    <r>
      <t xml:space="preserve">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(20 h+4 h incubation w/ or w/o hCG): no effect on T in both stimulated (only non-significant increase with high variability) or non-stimulated cells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DC-FBS;  ELISA (T); viability (MTT assay): no cytotox.</t>
    </r>
  </si>
  <si>
    <r>
      <t xml:space="preserve">0.2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h+4 h incubation w/ hCG in serum-free medium): decrease in T, no effect on A4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- not-specified if serum was added; LC–ESI–MS/MS (T&amp;A4)</t>
    </r>
  </si>
  <si>
    <t>human (age not specified)</t>
  </si>
  <si>
    <r>
      <t xml:space="preserve">10 &amp; 100 μM (24&amp;48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24 h, but no effect after 48 h</t>
    </r>
    <r>
      <rPr>
        <sz val="11"/>
        <rFont val="Aptos Narrow"/>
        <family val="2"/>
        <scheme val="minor"/>
      </rPr>
      <t>; medium w/o serum; RIA (T); any alteration in cell morphology; donors: prostate cancer patients; only 2.7% of added DEHP detected in the explants (51.3% in the culture plate, 41% in the medium, 4.8% in the insert plate); DEHP partially metabolized to MEHP&amp;5OH-MEHP</t>
    </r>
  </si>
  <si>
    <t>rat (fetal: 14.5-gd)</t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</si>
  <si>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  <scheme val="minor"/>
      </rPr>
      <t>LH</t>
    </r>
  </si>
  <si>
    <t>1 nM to 10 µM (72 h+3 h incubation w/ or w/o LH in serum-free medium): effective con. 1 nM (only) in non-stimulated cells - no consistent concentration-response, no effect on stimulated cells; medium - not-specified; ELISA (T)</t>
  </si>
  <si>
    <r>
      <t xml:space="preserve">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(24-72 h+3 h incubation w/ or w/o LH in serum-free medium):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in stimulated and non-stimulated cells at 72 h (increase);</t>
    </r>
    <r>
      <rPr>
        <sz val="11"/>
        <rFont val="Aptos Narrow"/>
        <family val="2"/>
        <scheme val="minor"/>
      </rPr>
      <t xml:space="preserve"> medium w/o serum; RIA (T);  gross morphology of eminiferous tubules not disturbed, no effect on Leydig cell number; one-half of the volume of the culture/exposure medium refreshed every 24 h;  0.3% of added DEHP at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presented within the testes after 72 h</t>
    </r>
  </si>
  <si>
    <r>
      <t xml:space="preserve">0.1-0.8 μM (24 h): effective con. 0.4&amp;0.8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</t>
    </r>
    <r>
      <rPr>
        <sz val="11"/>
        <rFont val="Aptos Narrow"/>
        <family val="2"/>
        <scheme val="minor"/>
      </rPr>
      <t xml:space="preserve">decrease in T); medium w/ 10% FBS; ELISA (T); viability (MTT assay): cytotox.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0.8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after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24 h - </t>
    </r>
    <r>
      <rPr>
        <sz val="11"/>
        <rFont val="Aptos Narrow"/>
        <family val="2"/>
        <scheme val="minor"/>
      </rPr>
      <t>apoptotic morphology, including round shape, cellmembrane blabbing and nucleus condensation</t>
    </r>
  </si>
  <si>
    <t>Dimethoate</t>
  </si>
  <si>
    <r>
      <t xml:space="preserve">0.0001-100 μM (48 h): Lab 1 - LOEC = 10 </t>
    </r>
    <r>
      <rPr>
        <sz val="11"/>
        <rFont val="Aptos Narrow"/>
        <family val="2"/>
      </rPr>
      <t>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</si>
  <si>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t>0.41- 100 µM; medium w/ 2.5% NuSerum; HPLC/MS-MS (T&amp;E2&amp;P4&amp;A4); viability measured (MTT assay); estrone was also measured</t>
  </si>
  <si>
    <t>rat (late juvenile: 28-d)</t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</si>
  <si>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  <scheme val="minor"/>
      </rPr>
      <t>LH/±8-Br-cAMP</t>
    </r>
  </si>
  <si>
    <r>
      <t xml:space="preserve">0.05-50 μM (3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in non-stimulated cells and 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</t>
    </r>
    <r>
      <rPr>
        <sz val="11"/>
        <rFont val="Aptos Narrow"/>
        <family val="2"/>
      </rPr>
      <t>also in stimulated cells for T (decrease)</t>
    </r>
    <r>
      <rPr>
        <sz val="11"/>
        <rFont val="Aptos Narrow"/>
        <family val="2"/>
        <scheme val="minor"/>
      </rPr>
      <t>; medium w/o serum; ELISA (T); immature LCs</t>
    </r>
  </si>
  <si>
    <r>
      <t xml:space="preserve">1-1000 μM (6 h):  inconsistent effects on T (a significant decrease only at 300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1 experiment, not confirmed in the other 2 experiments</t>
    </r>
    <r>
      <rPr>
        <sz val="11"/>
        <rFont val="Calibri"/>
        <family val="2"/>
        <charset val="238"/>
      </rPr>
      <t>)</t>
    </r>
    <r>
      <rPr>
        <sz val="11"/>
        <rFont val="Aptos Narrow"/>
        <family val="2"/>
        <scheme val="minor"/>
      </rPr>
      <t>; medium w/o serum; RIA (T - intracellular&amp;in medium)</t>
    </r>
  </si>
  <si>
    <t xml:space="preserve">Fenarimol </t>
  </si>
  <si>
    <r>
      <t xml:space="preserve">0.01-100 μM (48 h): effective con. 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(decrease)</t>
    </r>
    <r>
      <rPr>
        <sz val="11"/>
        <rFont val="Aptos Narrow"/>
        <family val="2"/>
        <scheme val="minor"/>
      </rPr>
      <t>; medium w/ 2.5% Nu-serum; ELISA (T&amp;E2); viability (MTT assay)</t>
    </r>
  </si>
  <si>
    <r>
      <t xml:space="preserve">0.1-30 µM (48 h): LOEC = 1-3 </t>
    </r>
    <r>
      <rPr>
        <sz val="11"/>
        <rFont val="Aptos Narrow"/>
        <family val="2"/>
      </rPr>
      <t xml:space="preserve">µM for E2 &amp; 0.1-3 µM for T; </t>
    </r>
    <r>
      <rPr>
        <sz val="11"/>
        <rFont val="Aptos Narrow"/>
        <family val="2"/>
        <scheme val="minor"/>
      </rPr>
      <t>medium w/ 2.5% Nu-serum; ELISA (T &amp; E2); non-cytotoxic concentrations (&lt; 20% cytotoxicity, WST-1 assay)</t>
    </r>
  </si>
  <si>
    <t>0.41- 33 µM; medium w/ 2.5% NuSerum; HPLC/MS-MS (T&amp;E2&amp;P4&amp;A4); viability measured (MTT assay); estrone was also measured</t>
  </si>
  <si>
    <t>Finasteride</t>
  </si>
  <si>
    <r>
      <t xml:space="preserve">0.0001-100 μM (48 h): Lab 1 - LOEC = 10 </t>
    </r>
    <r>
      <rPr>
        <sz val="11"/>
        <rFont val="Aptos Narrow"/>
        <family val="2"/>
      </rPr>
      <t>µM for T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</si>
  <si>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100 </t>
    </r>
    <r>
      <rPr>
        <sz val="11"/>
        <rFont val="Aptos Narrow"/>
        <family val="2"/>
      </rPr>
      <t>µM for T &amp;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</si>
  <si>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t>0.41- 100 µM; A4/T: two/one concentration positive for increase, but this did not meet the criteria for a positive hitcall; medium w/ 2.5% NuSerum; HPLC/MS-MS (T&amp;E2&amp;P4&amp;A4); viability measured (MTT assay)</t>
  </si>
  <si>
    <t>rat (adult: 63-d)</t>
  </si>
  <si>
    <r>
      <t xml:space="preserve">0.1-100 μM (3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&amp; E2 (decrease)</t>
    </r>
    <r>
      <rPr>
        <sz val="11"/>
        <rFont val="Aptos Narrow"/>
        <family val="2"/>
        <scheme val="minor"/>
      </rPr>
      <t>; medium w/o serum; RIA (T&amp;E2); viability (Trypan blue dye exclusion assay)</t>
    </r>
  </si>
  <si>
    <t>Fluconazole</t>
  </si>
  <si>
    <t>1000 μM (72 h):  decrease in T&amp;A4, P4 - not determined; medium w/ 5% FCS;  LC-MS/MS (T&amp;P4&amp;A4); no cytotoxicity associated with tested concentrations</t>
  </si>
  <si>
    <r>
      <t>0.01-1000 μM (48 h): 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98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P4 (increase) &amp;  290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 &amp; 114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(decrease), E2 not determined</t>
    </r>
    <r>
      <rPr>
        <sz val="11"/>
        <rFont val="Aptos Narrow"/>
        <family val="2"/>
        <scheme val="minor"/>
      </rPr>
      <t xml:space="preserve">; medium w/ 2.5% Nu-serum;  LC-MS/MS (T&amp;E2&amp;P4&amp;A4); viability (resazurin assay): wells with viability </t>
    </r>
    <r>
      <rPr>
        <sz val="11"/>
        <rFont val="Aptos Narrow"/>
        <family val="2"/>
      </rPr>
      <t xml:space="preserve">&lt; </t>
    </r>
    <r>
      <rPr>
        <sz val="11"/>
        <rFont val="Aptos Narrow"/>
        <family val="2"/>
        <scheme val="minor"/>
      </rPr>
      <t xml:space="preserve">80% of the solvent control was excluded; FSK (1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M) and prochloraz (0.1 &amp;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 included as positive controls for quality control according to OECD quideline</t>
    </r>
    <r>
      <rPr>
        <sz val="11"/>
        <rFont val="Aptos Narrow"/>
        <family val="2"/>
        <scheme val="minor"/>
      </rPr>
      <t>; E1 also measured</t>
    </r>
  </si>
  <si>
    <t>1&amp;3 μM (48 h):  no effect on A4 or P4; medium w/ 2.5% Nu-serum;  UHPLC-MS/MS (P4&amp;A4); viability (XTT assay)</t>
  </si>
  <si>
    <t>1000 μM (72 h):  decrease in T, A4, P4 ; medium w/ 5% FCS;  LC-MS/MS (T&amp;P4&amp;A4); no cytotoxicity associated with tested concentrations</t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</si>
  <si>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h): no effect on T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15% FBS;  RIA (T); viability (MTT assay)</t>
    </r>
  </si>
  <si>
    <t>rat (adult: 10-11-w, 350 g)</t>
  </si>
  <si>
    <r>
      <t xml:space="preserve">0.1-10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g/ml (0.3 µM to 33 µM)  (3 h):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 (decrease) - weak effect, more pronounced in non-stimulated cells;</t>
    </r>
    <r>
      <rPr>
        <sz val="11"/>
        <rFont val="Aptos Narrow"/>
        <family val="2"/>
        <scheme val="minor"/>
      </rPr>
      <t xml:space="preserve"> medium w/ 0.2% BSA;  RIA (T)</t>
    </r>
  </si>
  <si>
    <t>Flutamide</t>
  </si>
  <si>
    <r>
      <rPr>
        <sz val="11"/>
        <color rgb="FF000000"/>
        <rFont val="Aptos Narrow"/>
        <family val="2"/>
      </rPr>
      <t xml:space="preserve">73 </t>
    </r>
    <r>
      <rPr>
        <sz val="11"/>
        <color rgb="FF000000"/>
        <rFont val="Symbol"/>
        <family val="1"/>
        <charset val="2"/>
      </rPr>
      <t>m</t>
    </r>
    <r>
      <rPr>
        <sz val="9.35"/>
        <color rgb="FF000000"/>
        <rFont val="Aptos Narrow"/>
        <family val="2"/>
      </rPr>
      <t xml:space="preserve">M </t>
    </r>
    <r>
      <rPr>
        <sz val="11"/>
        <color rgb="FF000000"/>
        <rFont val="Aptos Narrow"/>
        <family val="2"/>
      </rPr>
      <t>(TC10) (30 h); medium w/ 2.5% Nu-serum; MULTI-SPOT ECL (P4&amp;T), cytotoxic con. (Cell Titer Glo kit) excluded</t>
    </r>
  </si>
  <si>
    <t>medium w/ 2.5% NuSerum; HPLC/MS-MS (T&amp;E2&amp;P4&amp;A4); viability measured (MTT assay); estrone was also measured</t>
  </si>
  <si>
    <t>100 μM (24 h):no effect; medium w/ 12% Horse serum; RIA (T+DHT&amp;E2)</t>
  </si>
  <si>
    <t>mouse (adult)</t>
  </si>
  <si>
    <t>100 μM (24 h):no effect; medium w/ 5% FBS; RIA (T+DHT&amp;E2)</t>
  </si>
  <si>
    <r>
      <t xml:space="preserve">0.3-300 μM (6 h): effective con. at 300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</t>
    </r>
    <r>
      <rPr>
        <sz val="11"/>
        <rFont val="Aptos Narrow"/>
        <family val="2"/>
        <scheme val="minor"/>
      </rPr>
      <t>; medium w/o serum; RIA (T - intracellular&amp;in medium)</t>
    </r>
  </si>
  <si>
    <t>0.01-10 μM (3 h): no effect on T and E2; medium w/o serum; RIA (T&amp;E2); viability (Trypan blue dye exclusion assay)</t>
  </si>
  <si>
    <t>rat (fetal: 19.5-ed)</t>
  </si>
  <si>
    <r>
      <t>0.1-100 mg/l (0.3 µM to 341 µM) (0.5-3 h): effective con. at 100 mg/L</t>
    </r>
    <r>
      <rPr>
        <sz val="11"/>
        <rFont val="Aptos Narrow"/>
        <family val="2"/>
      </rPr>
      <t xml:space="preserve"> after 3 h (increase), no effect on P4</t>
    </r>
    <r>
      <rPr>
        <sz val="11"/>
        <rFont val="Aptos Narrow"/>
        <family val="2"/>
        <scheme val="minor"/>
      </rPr>
      <t>; medium w/ 0.1% BSA; DELFIA (T&amp;P4 - secreted&amp; intracellular)</t>
    </r>
  </si>
  <si>
    <r>
      <t xml:space="preserve">0.1-100 </t>
    </r>
    <r>
      <rPr>
        <sz val="11"/>
        <rFont val="Aptos Narrow"/>
        <family val="2"/>
      </rPr>
      <t xml:space="preserve">µM (48 h) and 10 µM (1-48 h): effective conc. -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3 µM for P4 &amp; </t>
    </r>
    <r>
      <rPr>
        <sz val="11"/>
        <rFont val="Symbol"/>
        <family val="1"/>
        <charset val="2"/>
      </rPr>
      <t>³1</t>
    </r>
    <r>
      <rPr>
        <sz val="11"/>
        <rFont val="Aptos Narrow"/>
        <family val="2"/>
        <scheme val="minor"/>
      </rPr>
      <t xml:space="preserve"> µM for T &amp; 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  <scheme val="minor"/>
      </rPr>
      <t>3 µM increased E2, but not significantly and</t>
    </r>
    <r>
      <rPr>
        <sz val="11"/>
        <rFont val="Aptos Narrow"/>
        <family val="2"/>
      </rPr>
      <t xml:space="preserve"> FSK at 10 µM </t>
    </r>
    <r>
      <rPr>
        <sz val="11"/>
        <rFont val="Aptos Narrow"/>
        <family val="2"/>
        <scheme val="minor"/>
      </rPr>
      <t xml:space="preserve">increased P4 after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  <scheme val="minor"/>
      </rPr>
      <t xml:space="preserve">2 h, but levels declined over time (no increase at 48 h), &amp; increased T after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  <scheme val="minor"/>
      </rPr>
      <t xml:space="preserve">2 h, with levels continuing to rise over time; medium w/ 10% FBS; EIA (T&amp;E2&amp;P4); non-cytotoxic conc. (MTT assay) </t>
    </r>
  </si>
  <si>
    <t>10 μM (4 h) medium w/ 10% FBS; EIA (T&amp;P4)</t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</si>
  <si>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(96-h exposure+4 h in fresh medium): no effect on A4; medium w/ 2% Ultroser HY;  RIA (A4)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</si>
  <si>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h); medium w/ 2% lipid-free serum substitute; RIA (A4); cell viability not less than 70% (MTT assay)</t>
    </r>
  </si>
  <si>
    <r>
      <t xml:space="preserve">10 </t>
    </r>
    <r>
      <rPr>
        <sz val="11"/>
        <rFont val="Aptos Narrow"/>
        <family val="2"/>
      </rPr>
      <t>µM (48 h): a clear increase in T&amp;E2 and a moderate increase in P4, but, statistical significance for P4 is not indicated in Tables 3&amp;4, even though the text states that FSK increased P4 levels</t>
    </r>
    <r>
      <rPr>
        <sz val="11"/>
        <rFont val="Aptos Narrow"/>
        <family val="2"/>
        <scheme val="minor"/>
      </rPr>
      <t>; medium w/ 2.5% Nu-serum; ELISA (T, P4/P5, E2) - the antibody to P4 exhibited 61% cross-reactivity with P5; viability (the Live/Dead kit)</t>
    </r>
  </si>
  <si>
    <r>
      <t xml:space="preserve">0.1-50 </t>
    </r>
    <r>
      <rPr>
        <sz val="11"/>
        <rFont val="Aptos Narrow"/>
        <family val="2"/>
      </rPr>
      <t xml:space="preserve">µM (48 h): a clear increase in T&amp;E2&amp;P4 at effective conc.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0.5 µM</t>
    </r>
    <r>
      <rPr>
        <sz val="11"/>
        <rFont val="Aptos Narrow"/>
        <family val="2"/>
        <scheme val="minor"/>
      </rPr>
      <t>; medium w/ 2.5% Nu-serum; ELISA (T, P4/P5, E2) - the antibody to P4 exhibited 61% cross-reactivity with P5; cytotoxic conc. not included (MTT assay)</t>
    </r>
  </si>
  <si>
    <r>
      <t xml:space="preserve">0.05-100 μM (48 h): effective con. </t>
    </r>
    <r>
      <rPr>
        <sz val="11"/>
        <rFont val="Symbol"/>
        <family val="1"/>
        <charset val="2"/>
      </rPr>
      <t>³0.1</t>
    </r>
    <r>
      <rPr>
        <sz val="11"/>
        <rFont val="Aptos Narrow"/>
        <family val="2"/>
      </rPr>
      <t xml:space="preserve"> µM for T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0.05 µM for E2</t>
    </r>
    <r>
      <rPr>
        <sz val="11"/>
        <rFont val="Aptos Narrow"/>
        <family val="2"/>
        <scheme val="minor"/>
      </rPr>
      <t>; medium w/ 5% Nu-serum; ELISA (T&amp;E2); cytotoxic conc. (MTT assay)  excluded</t>
    </r>
  </si>
  <si>
    <r>
      <rPr>
        <sz val="11"/>
        <color rgb="FF000000"/>
        <rFont val="Aptos Narrow"/>
        <family val="2"/>
        <scheme val="minor"/>
      </rPr>
      <t xml:space="preserve">1-10 μM (48 h): all con. increased in </t>
    </r>
    <r>
      <rPr>
        <sz val="11"/>
        <color rgb="FF000000"/>
        <rFont val="Aptos Narrow"/>
        <family val="2"/>
      </rPr>
      <t>T&amp;E2&amp;P4 (significance not specified for P4) - It was used alongside prochloraz as a quality control for each cell batch</t>
    </r>
    <r>
      <rPr>
        <sz val="11"/>
        <color rgb="FF000000"/>
        <rFont val="Aptos Narrow"/>
        <family val="2"/>
        <scheme val="minor"/>
      </rPr>
      <t>; medium w/ 2.5% Nu-serum; RIA (T&amp;E2&amp;P4); cytotoxic conc. (alamarBlue assay)  excluded</t>
    </r>
  </si>
  <si>
    <r>
      <t xml:space="preserve">0.0001-100 μM (48 h): Lab 1 - LOEC = 10 </t>
    </r>
    <r>
      <rPr>
        <sz val="11"/>
        <rFont val="Aptos Narrow"/>
        <family val="2"/>
      </rPr>
      <t>µM for T &amp; 0.01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</si>
  <si>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</si>
  <si>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3 - LOEC = 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RIA (T&amp;E2); conc. with viability &lt; 80% excluded</t>
    </r>
  </si>
  <si>
    <r>
      <t xml:space="preserve">0.0001-100 μM (48 h): Lab 4 - LOEC = 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</si>
  <si>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6 - LOEC = 1 </t>
    </r>
    <r>
      <rPr>
        <sz val="11"/>
        <rFont val="Aptos Narrow"/>
        <family val="2"/>
      </rPr>
      <t>µM for T &amp; 0.01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</si>
  <si>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t>5 μM (48 h): used as a quality control (referenced in Supplementary data 2); medium with/ 2.5% Nu-serum; RIA (T&amp;E2&amp;P4); cytotoxic conc. (alamarBlue assay) excluded</t>
  </si>
  <si>
    <r>
      <t xml:space="preserve">0.03-10 μM (48 h): Lab 1 - LOEC = 0.1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</si>
  <si>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r>
      <t xml:space="preserve">0.03-10 μM (48 h): Lab 2 - LOEC = 0.03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ELISA (T&amp;E2); cytotoxic conc. (MTT assay) excluded</t>
    </r>
  </si>
  <si>
    <r>
      <t xml:space="preserve">0.1-10 μM (48 h): Lab 3 - LOEC = 0.1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RIA (T&amp;E2); cytotoxic conc. ( Live/ dead kit) excluded</t>
    </r>
  </si>
  <si>
    <r>
      <t xml:space="preserve">0.1-10 μM (48 h): Lab 4 - LOEC = 0.1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</si>
  <si>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r>
      <t xml:space="preserve">0.1-10 μM (48 h): Lab 5 - LOEC = 0.3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</si>
  <si>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t>10 μM (48 h): used as a model stimulator, E2 not detected; medium with/ 0.1% CCS; UPLC–MS/MS (T&amp;E2&amp;P4&amp;A4); cytotoxic conc. (MTT assay) excluded; E1 also measured</t>
  </si>
  <si>
    <t>1-10 μM (48 h): used as a model stimulator, all con. were effective; medium with/ 2.5% NU-serum; ELISA (T&amp;E2); cytotoxic conc. (MTT assay) excluded</t>
  </si>
  <si>
    <r>
      <rPr>
        <sz val="11"/>
        <color rgb="FF000000"/>
        <rFont val="Aptos Narrow"/>
        <family val="2"/>
      </rPr>
      <t xml:space="preserve">0.01-50 μM (48 h) for EIA and 50 µM (48 h) for GC-MS/MS &amp; UPLC ToF-MS:  effective con.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 xml:space="preserve">10 µM for T,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 xml:space="preserve">0.1 µM for E2 &amp;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>1 µM for P4 (only measured by EIA - no effect measured by GC-MS/MS), similar results observed using chromatography-based methods, except for P4, which was found to be unaffected; medium with/ 2.5% NU-serum; EIA (T, E2, P4) - 61% cross-reactivity of the P4 antibody  with P5&amp;GC-MS/MS &amp; UPLC ToF-MS (both T&amp;E2&amp;A4&amp;P4); cytotoxic conc. (WST-1 and ATPlite assays) excluded; E1 also measured</t>
    </r>
  </si>
  <si>
    <t>10 μM (24 h): used as a model stimulator; medium with/ 2.5% NU-serum; HPLC/ESI-MS (A4&amp;P4); cytotoxic conc. (MTT assay) excluded</t>
  </si>
  <si>
    <r>
      <rPr>
        <sz val="11"/>
        <color rgb="FF000000"/>
        <rFont val="Aptos Narrow"/>
        <family val="2"/>
      </rPr>
      <t xml:space="preserve">0.4&amp;4 μg/mL (1&amp;10 </t>
    </r>
    <r>
      <rPr>
        <sz val="11"/>
        <color rgb="FF000000"/>
        <rFont val="Symbol"/>
        <family val="1"/>
        <charset val="2"/>
      </rPr>
      <t>m</t>
    </r>
    <r>
      <rPr>
        <sz val="9.35"/>
        <color rgb="FF000000"/>
        <rFont val="Aptos Narrow"/>
        <family val="2"/>
      </rPr>
      <t>M</t>
    </r>
    <r>
      <rPr>
        <sz val="11"/>
        <color rgb="FF000000"/>
        <rFont val="Aptos Narrow"/>
        <family val="2"/>
      </rPr>
      <t>) (48 h): used as a model stimulator; medium with/ 2.5% NU-serum; ELISA (T&amp;E2&amp;P4) - significance not specified; cytotoxic conc. (alamarBlue assay) excluded</t>
    </r>
  </si>
  <si>
    <r>
      <t xml:space="preserve">3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 h): used as a model stimulator; serum-free medium; GC-MS (A4&amp;T&amp;E2&amp;P4) - T&amp;E2&amp;P4 below limit of detection; cytotoxic conc. (alamarBlue assay) excluded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</si>
  <si>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used as a model stimulator, but the change in T levels negligible; medium w/ 10% CCF;  UPLC–MS/MS (A4&amp;T)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</si>
  <si>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used as a model stimulator; medium w/ 2.5% Nu-serum;  LC–MS/MS (E2&amp;T)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</si>
  <si>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(30 h): used as a model stimulator, but minimal effects on T; medium w/ 2.5% Nu-serum; MULTI-SPOT ECL (P4&amp;T), cytotoxic con. (Cell Titer Glo kit) excluded</t>
    </r>
  </si>
  <si>
    <r>
      <rPr>
        <sz val="11"/>
        <color rgb="FF000000"/>
        <rFont val="Aptos Narrow"/>
        <family val="2"/>
        <scheme val="minor"/>
      </rPr>
      <t xml:space="preserve">0.001-10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</t>
    </r>
    <r>
      <rPr>
        <b/>
        <sz val="11"/>
        <color rgb="FFFF0000"/>
        <rFont val="Aptos Narrow"/>
        <family val="2"/>
        <scheme val="minor"/>
      </rPr>
      <t xml:space="preserve"> </t>
    </r>
    <r>
      <rPr>
        <sz val="11"/>
        <color rgb="FF000000"/>
        <rFont val="Aptos Narrow"/>
        <family val="2"/>
        <scheme val="minor"/>
      </rPr>
      <t xml:space="preserve">(48 h): Lab 1 - with EC50 = 0.36–1.02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T &amp; 0.64–0.85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E2</t>
    </r>
    <r>
      <rPr>
        <sz val="11"/>
        <color rgb="FF000000"/>
        <rFont val="Aptos Narrow"/>
        <family val="2"/>
        <scheme val="minor"/>
      </rPr>
      <t>; medium w/ 2.5% Nu-serum; LC-MS/MS (E2&amp;T), cytotoxic con. (CellTiter 96 Aqueous One SolutionCell Proliferation Assay Kit) excluded (&gt; 80% cell viability)</t>
    </r>
  </si>
  <si>
    <r>
      <rPr>
        <sz val="11"/>
        <color rgb="FF000000"/>
        <rFont val="Aptos Narrow"/>
        <family val="2"/>
        <scheme val="minor"/>
      </rPr>
      <t xml:space="preserve">0.001-10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</t>
    </r>
    <r>
      <rPr>
        <sz val="11"/>
        <color rgb="FF000000"/>
        <rFont val="Aptos Narrow"/>
        <family val="2"/>
        <scheme val="minor"/>
      </rPr>
      <t xml:space="preserve"> (48 h): Lab 2 - with EC50 = 0.29–2.78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T &amp; 1.65–3.91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E2</t>
    </r>
    <r>
      <rPr>
        <sz val="11"/>
        <color rgb="FF000000"/>
        <rFont val="Aptos Narrow"/>
        <family val="2"/>
        <scheme val="minor"/>
      </rPr>
      <t>; medium w/ 2.5% Nu-serum; LC-MS/MS (E2&amp;T), cytotoxic con. (CellTiter 96 Aqueous One SolutionCell Proliferation Assay Kit) excluded (&gt; 80% cell viability)</t>
    </r>
  </si>
  <si>
    <r>
      <t xml:space="preserve">0.4 &amp; 4 μg/mL (1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M) (48 h): used as a model stimulator; medium w/ 2.5% Nu-serum;  ELISA (E2&amp;T&amp;P4)</t>
    </r>
  </si>
  <si>
    <r>
      <t xml:space="preserve">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both effective conc.; medium w/ 2.5% Nu-serum;  ELISA (E2) &amp; RIA (free T), cytotoxic con. (CellTiter 96 Aqueous One SolutionCell Proliferation Assay Kit) excluded 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</si>
  <si>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used as a model stimulator; medium w/ 2.5% Nu-serum;  RIA (E2&amp;T&amp;P4), cytotoxic con. (alamarBlue assay) excluded 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</si>
  <si>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only P4 was not affected; medium w/ 2.5% Nu-serum;  LC-MS/MS (A4&amp;T&amp;P4) &amp; EIA (E2), cytotoxic con. (WST-1 or the ATPlite assays) excluded 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</si>
  <si>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used as a model stimulator; medium w/ 2.5% charcoal-stripped FBS;  LC-MS (T&amp;E2), cytotoxic con. (MTS assay) excluded 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</si>
  <si>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(0-48 h): P4 increased over time, peaking between 6 and 10 h &amp; A4 levels showed a continuous increase beyond 10 h; medium w/ 2.5% Nu-serum;  LC-MS/MS (A4&amp;P4), cytotoxic con. (trypan blue staining) excluded </t>
    </r>
  </si>
  <si>
    <r>
      <t xml:space="preserve">0.03-30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>; medium w/ 2.5% Nu-serum;  GC-MS/MS (A4&amp;P4&amp;T&amp;E2), cytotoxic con. (CCK-8) excluded; E1 also measured</t>
    </r>
  </si>
  <si>
    <r>
      <t xml:space="preserve">0.01-10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E2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A4&amp;T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</t>
    </r>
    <r>
      <rPr>
        <sz val="11"/>
        <rFont val="Aptos Narrow"/>
        <family val="2"/>
        <scheme val="minor"/>
      </rPr>
      <t>; serum-free medium;  LC-MS/MS (A4&amp;P4&amp;T&amp;E2), cytotoxic con. (resazurin assay) excluded; E1 also mesured</t>
    </r>
  </si>
  <si>
    <t>0.41- 100 µM; effect on P4 (increase) only at low concentrations (0.41- 3.7 µM); medium w/ 2.5% NuSerum; HPLC/MS-MS (T&amp;E2&amp;P4&amp;A4); viability measured (MTT assay); estrone was also measured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</si>
  <si>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(24 h): used as a model stimulator; medium w/ 2.5% Nu-serum;  ELISA (T), cytotoxic con. (MTT assay) excluded </t>
    </r>
  </si>
  <si>
    <r>
      <t xml:space="preserve">0.312-20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 &amp; time course at 1.5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(0-72 h): EC50 = 1.5 </t>
    </r>
    <r>
      <rPr>
        <sz val="11"/>
        <rFont val="Aptos Narrow"/>
        <family val="2"/>
      </rPr>
      <t>µM with a saturation level at 10 μM for most hormones &amp; at 1.5 µM, P4 reached peak at 24 h, T&amp;E2 were continuously increased for up to 72 h and ; medium w/</t>
    </r>
    <r>
      <rPr>
        <sz val="11"/>
        <rFont val="Aptos Narrow"/>
        <family val="2"/>
        <scheme val="minor"/>
      </rPr>
      <t xml:space="preserve"> 5% charcoal stripped FBS;  LC-MS/MS (T&amp;E2&amp;P4&amp;A4), cytotoxic con. (alamarBlue assay) excluded; E1/E3 also measured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</si>
  <si>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used as a model stimulator, but P4 was not affected; medium w/ 2.5% Nu-serum;  UHPLC-MS/MS (A4&amp;P4), cytotoxic con. (XTT assay) excluded </t>
    </r>
  </si>
  <si>
    <r>
      <t xml:space="preserve">0.3 &amp; 3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both conc. effective; medium w/ 2.5% Nu-serum;  ELISA (T&amp;E2), cytotoxic con. (CCK-8 reagent) excluded </t>
    </r>
  </si>
  <si>
    <r>
      <t xml:space="preserve">1 &amp; 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T&amp;A4 not affected, E2 (10 </t>
    </r>
    <r>
      <rPr>
        <sz val="11"/>
        <rFont val="Aptos Narrow"/>
        <family val="2"/>
      </rPr>
      <t>µM) &amp; P4 (1&amp;10 µM) increased</t>
    </r>
    <r>
      <rPr>
        <sz val="11"/>
        <rFont val="Aptos Narrow"/>
        <family val="2"/>
        <scheme val="minor"/>
      </rPr>
      <t>; medium w/ 5% FBS;  LC-MS/MS  (T&amp;E2&amp;A4&amp;P4), cytotoxic con. (MTT assay) excluded; E1/E2 also measured</t>
    </r>
  </si>
  <si>
    <r>
      <t xml:space="preserve">1 &amp; 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h): used as a model stimulator (both conc. effective), medium w/ 2.5% Nu-serum;  ELISA  (T&amp;E2)</t>
    </r>
  </si>
  <si>
    <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(2 h): T increase; serum-free; RIA (P4)</t>
    </r>
  </si>
  <si>
    <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(6 h): P4 increase; serum-free; RIA (P4)</t>
    </r>
  </si>
  <si>
    <r>
      <t xml:space="preserve">300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 h): </t>
    </r>
    <r>
      <rPr>
        <sz val="11"/>
        <rFont val="Aptos Narrow"/>
        <family val="2"/>
      </rPr>
      <t>increase</t>
    </r>
    <r>
      <rPr>
        <sz val="11"/>
        <rFont val="Aptos Narrow"/>
        <family val="2"/>
        <scheme val="minor"/>
      </rPr>
      <t>; medium not specified;  RIA (P4)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</si>
  <si>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(4&amp;8 h): </t>
    </r>
    <r>
      <rPr>
        <sz val="11"/>
        <rFont val="Aptos Narrow"/>
        <family val="2"/>
      </rPr>
      <t>increase</t>
    </r>
    <r>
      <rPr>
        <sz val="11"/>
        <rFont val="Aptos Narrow"/>
        <family val="2"/>
        <scheme val="minor"/>
      </rPr>
      <t>; medium w/o serum;  RIA (P4)</t>
    </r>
  </si>
  <si>
    <r>
      <t xml:space="preserve">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 h): increase; medium w/ 1% BSA;  RIA (P4)</t>
    </r>
  </si>
  <si>
    <r>
      <t xml:space="preserve">30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(0-24 h): effective time - </t>
    </r>
    <r>
      <rPr>
        <sz val="11"/>
        <rFont val="Calibri"/>
        <family val="2"/>
        <charset val="238"/>
      </rPr>
      <t>≥2</t>
    </r>
    <r>
      <rPr>
        <sz val="11"/>
        <rFont val="Aptos Narrow"/>
        <family val="2"/>
      </rPr>
      <t xml:space="preserve"> h (increase)</t>
    </r>
    <r>
      <rPr>
        <sz val="11"/>
        <rFont val="Aptos Narrow"/>
        <family val="2"/>
        <scheme val="minor"/>
      </rPr>
      <t>; medium w/ 15% FBS;  RIA (P4)</t>
    </r>
  </si>
  <si>
    <r>
      <t xml:space="preserve">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 h): used as a model stimulator; serum-free medium;  VITROS Eci - competitive chemiluminescent immunoassay  (P4)</t>
    </r>
  </si>
  <si>
    <r>
      <t xml:space="preserve">0.1-100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(3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(increase)</t>
    </r>
    <r>
      <rPr>
        <sz val="11"/>
        <rFont val="Aptos Narrow"/>
        <family val="2"/>
        <scheme val="minor"/>
      </rPr>
      <t>; medium w/o serum;  RIA (P4); no effect of hCG (50 ng/ml)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</si>
  <si>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 h): </t>
    </r>
    <r>
      <rPr>
        <sz val="11"/>
        <rFont val="Aptos Narrow"/>
        <family val="2"/>
      </rPr>
      <t>increase</t>
    </r>
    <r>
      <rPr>
        <sz val="11"/>
        <rFont val="Aptos Narrow"/>
        <family val="2"/>
        <scheme val="minor"/>
      </rPr>
      <t>; medium w/ 15% FBS;  ELISA (P4)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</si>
  <si>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(6 h): </t>
    </r>
    <r>
      <rPr>
        <sz val="11"/>
        <rFont val="Aptos Narrow"/>
        <family val="2"/>
      </rPr>
      <t>increase</t>
    </r>
    <r>
      <rPr>
        <sz val="11"/>
        <rFont val="Aptos Narrow"/>
        <family val="2"/>
        <scheme val="minor"/>
      </rPr>
      <t>; medium w/ 1% HS;  ELISA (P4); viability (CellTiter 96® Aqueous One Solution)</t>
    </r>
  </si>
  <si>
    <r>
      <t xml:space="preserve">10 &amp; 50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increase in T&amp;P4, no effect on A4; medium w/ DC-FBS;  EIA (T) &amp; UPLC–MS/MS (T&amp;A4&amp;P4)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</si>
  <si>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 h): increase; medium not specified;  ELISA (P4)</t>
    </r>
  </si>
  <si>
    <r>
      <t xml:space="preserve">10&amp;50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(1&amp;3&amp;6 h): </t>
    </r>
    <r>
      <rPr>
        <sz val="11"/>
        <rFont val="Aptos Narrow"/>
        <family val="2"/>
      </rPr>
      <t>increase</t>
    </r>
    <r>
      <rPr>
        <sz val="11"/>
        <rFont val="Aptos Narrow"/>
        <family val="2"/>
        <scheme val="minor"/>
      </rPr>
      <t>; medium w/ 0.1% BSA;  RIA (P4)</t>
    </r>
  </si>
  <si>
    <t>hamster (adult: 3-6-m)</t>
  </si>
  <si>
    <r>
      <t xml:space="preserve">0.001-10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(3 h): 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effective; </t>
    </r>
    <r>
      <rPr>
        <sz val="11"/>
        <rFont val="Aptos Narrow"/>
        <family val="2"/>
        <scheme val="minor"/>
      </rPr>
      <t>serum-free medium; RIA (T)</t>
    </r>
  </si>
  <si>
    <t>hamster (age not specified)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</si>
  <si>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(24 h): increase; </t>
    </r>
    <r>
      <rPr>
        <sz val="11"/>
        <rFont val="Aptos Narrow"/>
        <family val="2"/>
        <scheme val="minor"/>
      </rPr>
      <t>RIA (T)</t>
    </r>
  </si>
  <si>
    <t>mouse (adult: 5-6 w)</t>
  </si>
  <si>
    <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(3 h): increase; RIA (T); medium w/ 0.1% BSA</t>
    </r>
  </si>
  <si>
    <t>pig (immature: 3-4 w)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</si>
  <si>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(48 h): increase; </t>
    </r>
    <r>
      <rPr>
        <sz val="11"/>
        <rFont val="Aptos Narrow"/>
        <family val="2"/>
        <scheme val="minor"/>
      </rPr>
      <t>medium w/ DC-FBS; RIA (T)</t>
    </r>
  </si>
  <si>
    <t>pig (neonatal)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</si>
  <si>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(48 h): increase; </t>
    </r>
    <r>
      <rPr>
        <sz val="11"/>
        <rFont val="Aptos Narrow"/>
        <family val="2"/>
        <scheme val="minor"/>
      </rPr>
      <t>serum-free medium; RIA (T)</t>
    </r>
  </si>
  <si>
    <t>pig (neonatal: 20-26 d)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</si>
  <si>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(30 h): increase; serum-free medium; RIA (T)</t>
    </r>
  </si>
  <si>
    <t>rat (adult)</t>
  </si>
  <si>
    <r>
      <t xml:space="preserve">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 h): increase; </t>
    </r>
    <r>
      <rPr>
        <sz val="11"/>
        <rFont val="Aptos Narrow"/>
        <family val="2"/>
        <scheme val="minor"/>
      </rPr>
      <t>serum-free medium; RIA (T)</t>
    </r>
  </si>
  <si>
    <r>
      <t xml:space="preserve">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(5-120 min): increase T after 1 and 2 h; serum-free medium; RIA (T)</t>
    </r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</si>
  <si>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</rPr>
      <t>hCG</t>
    </r>
  </si>
  <si>
    <r>
      <t xml:space="preserve">0.1-10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(1&amp;3 h): effective con. - decrease at 10^-5-0.1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in non-stimulated cells (1 h) &amp; increase at 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in both stimulated and non-stimulated cells (1&amp;3 h)</t>
    </r>
    <r>
      <rPr>
        <sz val="11"/>
        <rFont val="Aptos Narrow"/>
        <family val="2"/>
        <scheme val="minor"/>
      </rPr>
      <t>; serum-free medium; RIA (T)</t>
    </r>
  </si>
  <si>
    <t>rat (adult: 200-300 g)</t>
  </si>
  <si>
    <r>
      <t xml:space="preserve">1-100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 h): effective all conc. (increase); </t>
    </r>
    <r>
      <rPr>
        <sz val="11"/>
        <rFont val="Aptos Narrow"/>
        <family val="2"/>
        <scheme val="minor"/>
      </rPr>
      <t>serum-free medium; RIA (T)</t>
    </r>
  </si>
  <si>
    <t>rat (adult: 250-300 g)</t>
  </si>
  <si>
    <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(1 h): increase; serum-free medium; RIA (T)</t>
    </r>
  </si>
  <si>
    <t>rat (adult: 300-350 g)</t>
  </si>
  <si>
    <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(0.5 h): increase; serum-free medium; RIA (T)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</si>
  <si>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(1 h): increase; serum-free medium; RIA (T)</t>
    </r>
  </si>
  <si>
    <r>
      <t xml:space="preserve">10  &amp; 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(1 h): increase; serum-free medium; RIA (T)</t>
    </r>
  </si>
  <si>
    <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(1 h): increase; </t>
    </r>
    <r>
      <rPr>
        <sz val="11"/>
        <rFont val="Aptos Narrow"/>
        <family val="2"/>
        <scheme val="minor"/>
      </rPr>
      <t>serum-free medium; RIA (T)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</si>
  <si>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(1 h); </t>
    </r>
    <r>
      <rPr>
        <sz val="11"/>
        <rFont val="Aptos Narrow"/>
        <family val="2"/>
        <scheme val="minor"/>
      </rPr>
      <t>serum-free medium; RIA (T)</t>
    </r>
  </si>
  <si>
    <t>rat (adult: 51-d)</t>
  </si>
  <si>
    <r>
      <t xml:space="preserve">0.1-10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(6 h): 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effective in both basal and hCG-stimulated conditions</t>
    </r>
    <r>
      <rPr>
        <sz val="11"/>
        <rFont val="Aptos Narrow"/>
        <family val="2"/>
        <scheme val="minor"/>
      </rPr>
      <t>; serum-free medium; RIA (T+DHT)</t>
    </r>
  </si>
  <si>
    <t>rat (adult: 60-90-d)</t>
  </si>
  <si>
    <r>
      <t xml:space="preserve">0.01-100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(3 h): effective all conc. with a peak at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(increase); serum-free medium; method for T measurement  not specified </t>
    </r>
  </si>
  <si>
    <t>rat (adult: 60-d)</t>
  </si>
  <si>
    <r>
      <t xml:space="preserve">7.8-500 </t>
    </r>
    <r>
      <rPr>
        <sz val="11"/>
        <rFont val="Aptos Narrow"/>
        <family val="2"/>
      </rPr>
      <t>µg/100 µl (0.2-12 µM) (1 h): &gt;1 µM effective (increase)</t>
    </r>
    <r>
      <rPr>
        <sz val="11"/>
        <rFont val="Aptos Narrow"/>
        <family val="2"/>
        <scheme val="minor"/>
      </rPr>
      <t>; serum-free medium; RIA (T)</t>
    </r>
  </si>
  <si>
    <t>rat (adult: 70-d)</t>
  </si>
  <si>
    <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(3 &amp; 16 h): effective after both times (increase); </t>
    </r>
    <r>
      <rPr>
        <sz val="11"/>
        <rFont val="Aptos Narrow"/>
        <family val="2"/>
        <scheme val="minor"/>
      </rPr>
      <t>serum-free medium; RIA (T)</t>
    </r>
  </si>
  <si>
    <t>rat (adult: 80-d)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</si>
  <si>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(24 h): increase; </t>
    </r>
    <r>
      <rPr>
        <sz val="11"/>
        <rFont val="Aptos Narrow"/>
        <family val="2"/>
        <scheme val="minor"/>
      </rPr>
      <t>serum-free medium; RIA (T)</t>
    </r>
  </si>
  <si>
    <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(3 h): increase; </t>
    </r>
    <r>
      <rPr>
        <sz val="11"/>
        <rFont val="Aptos Narrow"/>
        <family val="2"/>
        <scheme val="minor"/>
      </rPr>
      <t>serum-free medium; RIA (T, A4)</t>
    </r>
  </si>
  <si>
    <t>rat (age not specified)</t>
  </si>
  <si>
    <r>
      <t xml:space="preserve">1.56-100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(2 h) &amp; 6.25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(0-2 h)</t>
    </r>
    <r>
      <rPr>
        <sz val="11"/>
        <rFont val="Aptos Narrow"/>
        <family val="2"/>
        <scheme val="minor"/>
      </rPr>
      <t xml:space="preserve">: effective all conc. with a peak at 6.25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(increasing after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>1 h); RIA (T)</t>
    </r>
  </si>
  <si>
    <t>rat (neonatal: 2-3 w)</t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</si>
  <si>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(1 h): increase; serum-free medium; RIA (T)</t>
    </r>
  </si>
  <si>
    <t>rat (neonatal: 8 d)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</si>
  <si>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(72 h): increase; </t>
    </r>
    <r>
      <rPr>
        <sz val="11"/>
        <rFont val="Aptos Narrow"/>
        <family val="2"/>
        <scheme val="minor"/>
      </rPr>
      <t>serum-free medium; RIA (T)</t>
    </r>
  </si>
  <si>
    <r>
      <rPr>
        <sz val="11"/>
        <rFont val="Aptos Narrow"/>
        <family val="2"/>
      </rPr>
      <t>0.1 &amp; 1 μM; medium w/ BSA</t>
    </r>
    <r>
      <rPr>
        <sz val="11"/>
        <rFont val="Aptos Narrow"/>
        <family val="2"/>
        <scheme val="minor"/>
      </rPr>
      <t>; RIA (T+DHT)</t>
    </r>
  </si>
  <si>
    <t>Stem cell based</t>
  </si>
  <si>
    <t>human (adult, 31-52 y)</t>
  </si>
  <si>
    <r>
      <t xml:space="preserve">50 </t>
    </r>
    <r>
      <rPr>
        <sz val="11"/>
        <rFont val="Aptos Narrow"/>
        <family val="2"/>
      </rPr>
      <t>µM (4-24 h); testicular peritubular cells; medium w/ or w/o 15% FCS</t>
    </r>
    <r>
      <rPr>
        <sz val="11"/>
        <rFont val="Aptos Narrow"/>
        <family val="2"/>
        <scheme val="minor"/>
      </rPr>
      <t>; ELISA (P4) &amp; LC-MS (P4&amp;A4&amp;T); T &amp; A4 not detected; donors: patients with (non)obstructive azoospermia</t>
    </r>
  </si>
  <si>
    <t>human (testicular PDGFRα+ cells from adult, 45-79 y)</t>
  </si>
  <si>
    <r>
      <rPr>
        <sz val="11"/>
        <color rgb="FF000000"/>
        <rFont val="Aptos Narrow"/>
        <family val="2"/>
      </rPr>
      <t xml:space="preserve">50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(24 h): effective for A4 &amp; P4 in differentiation medium (only in part of the samples of one patient for A4); T not detected; Leydig-like cells differentiated from PDGFRα+ interstitial cells; stimulation in serum free medium;  ELISA (T) &amp; LC-MS (T&amp;A4) &amp; Elecsys immunoassay (P4); donors: prostate cancer</t>
    </r>
  </si>
  <si>
    <t>mouse (differentiated ESCs)</t>
  </si>
  <si>
    <r>
      <rPr>
        <sz val="11"/>
        <color rgb="FF000000"/>
        <rFont val="Aptos Narrow"/>
        <family val="2"/>
        <scheme val="minor"/>
      </rPr>
      <t xml:space="preserve">100 </t>
    </r>
    <r>
      <rPr>
        <sz val="11"/>
        <color rgb="FF000000"/>
        <rFont val="Aptos Narrow"/>
        <family val="2"/>
      </rPr>
      <t>µ</t>
    </r>
    <r>
      <rPr>
        <sz val="11"/>
        <color rgb="FF000000"/>
        <rFont val="Aptos Narrow"/>
        <family val="2"/>
        <scheme val="minor"/>
      </rPr>
      <t>M (2-8 d): increase for P4 only faint and after longer time (</t>
    </r>
    <r>
      <rPr>
        <sz val="11"/>
        <color rgb="FF000000"/>
        <rFont val="Symbol"/>
        <family val="1"/>
        <charset val="2"/>
      </rPr>
      <t>³4</t>
    </r>
    <r>
      <rPr>
        <sz val="11"/>
        <color rgb="FF000000"/>
        <rFont val="Aptos Narrow"/>
        <family val="2"/>
      </rPr>
      <t xml:space="preserve"> d</t>
    </r>
    <r>
      <rPr>
        <sz val="11"/>
        <color rgb="FF000000"/>
        <rFont val="Aptos Narrow"/>
        <family val="2"/>
        <scheme val="minor"/>
      </rPr>
      <t>); medium w/ 10% FBS; RIA (T&amp;P4)</t>
    </r>
  </si>
  <si>
    <t>mouse (ESC-SF-1)</t>
  </si>
  <si>
    <r>
      <rPr>
        <sz val="11"/>
        <color rgb="FF000000"/>
        <rFont val="Aptos Narrow"/>
        <family val="2"/>
        <scheme val="minor"/>
      </rPr>
      <t xml:space="preserve">100 </t>
    </r>
    <r>
      <rPr>
        <sz val="11"/>
        <color rgb="FF000000"/>
        <rFont val="Aptos Narrow"/>
        <family val="2"/>
      </rPr>
      <t>µ</t>
    </r>
    <r>
      <rPr>
        <sz val="11"/>
        <color rgb="FF000000"/>
        <rFont val="Aptos Narrow"/>
        <family val="2"/>
        <scheme val="minor"/>
      </rPr>
      <t>M (2-8 d); medium w/ 10% FBS; RIA (T&amp;P4)</t>
    </r>
  </si>
  <si>
    <t xml:space="preserve">mouse (fetal: MEF) </t>
  </si>
  <si>
    <r>
      <t>±</t>
    </r>
    <r>
      <rPr>
        <sz val="11"/>
        <rFont val="Aptos Narrow"/>
        <family val="2"/>
        <scheme val="minor"/>
      </rPr>
      <t>LH</t>
    </r>
  </si>
  <si>
    <r>
      <rPr>
        <sz val="11"/>
        <color rgb="FF000000"/>
        <rFont val="Aptos Narrow"/>
        <family val="2"/>
      </rPr>
      <t xml:space="preserve">20 µM (0-21 d): increase after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>7 d; differentiation using small molecules (e.g., LH, SB431542, 20α-HC), more with their combination; FSK also stimulated human periodontal ligament fibroblasts but in combination with other factors; medium w/ 10% FBS; RIA (T)</t>
    </r>
  </si>
  <si>
    <t>TT211 cells</t>
  </si>
  <si>
    <t>mouse testis tumor cells</t>
  </si>
  <si>
    <r>
      <t xml:space="preserve">0.1-100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(72 h):  effective conc.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1 for serum-free medium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10 for serum-containing medium</t>
    </r>
    <r>
      <rPr>
        <sz val="11"/>
        <rFont val="Aptos Narrow"/>
        <family val="2"/>
        <scheme val="minor"/>
      </rPr>
      <t>; RIA (P); E2 and T also measured, but negligible levels detected and data not shown</t>
    </r>
  </si>
  <si>
    <t xml:space="preserve">Forskolin </t>
  </si>
  <si>
    <r>
      <rPr>
        <sz val="11"/>
        <color rgb="FF000000"/>
        <rFont val="Aptos Narrow"/>
        <family val="2"/>
        <scheme val="minor"/>
      </rPr>
      <t xml:space="preserve">10 </t>
    </r>
    <r>
      <rPr>
        <sz val="11"/>
        <color rgb="FF000000"/>
        <rFont val="Aptos Narrow"/>
        <family val="2"/>
      </rPr>
      <t xml:space="preserve">µM (72 h): increases in T and E2 ; medium w/ 5% Nu-serum; </t>
    </r>
    <r>
      <rPr>
        <sz val="11"/>
        <color rgb="FF000000"/>
        <rFont val="Aptos Narrow"/>
        <family val="2"/>
        <scheme val="minor"/>
      </rPr>
      <t>GC-MS (T&amp;P4&amp;A4&amp;E2&amp;E1); no cytotoxicity (Alamar Blue viability assay)</t>
    </r>
  </si>
  <si>
    <r>
      <rPr>
        <sz val="11"/>
        <color rgb="FF000000"/>
        <rFont val="Aptos Narrow"/>
        <family val="2"/>
      </rPr>
      <t>10 μM; data not shown; medium w/ 2.5% NuSerum; ELISA (T&amp;E2); viability measured (MTT assay); slight &amp; not concentration-dependent increase (1.4×</t>
    </r>
    <r>
      <rPr>
        <sz val="9.35"/>
        <color rgb="FF000000"/>
        <rFont val="Aptos Narrow"/>
        <family val="2"/>
      </rPr>
      <t>)</t>
    </r>
    <r>
      <rPr>
        <sz val="11"/>
        <color rgb="FF000000"/>
        <rFont val="Aptos Narrow"/>
        <family val="2"/>
      </rPr>
      <t xml:space="preserve"> for T</t>
    </r>
  </si>
  <si>
    <t>10 μM (48 h); medium w/ 2.5% CS-FBS; RIA (T&amp;E2); viability (resazurin assay): no cytotoxicity</t>
  </si>
  <si>
    <t xml:space="preserve">pig (neonatal/early postnatal: 1-2-w) </t>
  </si>
  <si>
    <r>
      <t xml:space="preserve">4.11 mg/L (10 </t>
    </r>
    <r>
      <rPr>
        <sz val="11"/>
        <rFont val="Symbol"/>
        <family val="1"/>
        <charset val="2"/>
      </rPr>
      <t>m</t>
    </r>
    <r>
      <rPr>
        <sz val="7.7"/>
        <rFont val="Aptos Narrow"/>
        <family val="2"/>
      </rPr>
      <t xml:space="preserve">M, </t>
    </r>
    <r>
      <rPr>
        <sz val="11"/>
        <rFont val="Aptos Narrow"/>
        <family val="2"/>
        <scheme val="minor"/>
      </rPr>
      <t xml:space="preserve">48 h): increase in T&amp;E2 in LH-stimulated cells; medium w/ 10% Nu-serum;  ELISA  (T&amp;E2); viability (WST-1 assay) </t>
    </r>
  </si>
  <si>
    <t>Genistein</t>
  </si>
  <si>
    <r>
      <t xml:space="preserve">0.1 nM-10 </t>
    </r>
    <r>
      <rPr>
        <sz val="11"/>
        <rFont val="Aptos Narrow"/>
        <family val="2"/>
      </rPr>
      <t>µM (48 h): 7 &amp; 10 µM effective for E2, 1-10 µM for T; medium w/ 2.5% Nu-serum; ELISA (T&amp;E2); n</t>
    </r>
    <r>
      <rPr>
        <sz val="11"/>
        <rFont val="Aptos Narrow"/>
        <family val="2"/>
        <scheme val="minor"/>
      </rPr>
      <t>o cytotoxicity (Live/Deadkit)</t>
    </r>
  </si>
  <si>
    <r>
      <t xml:space="preserve">0.01-10 </t>
    </r>
    <r>
      <rPr>
        <sz val="11"/>
        <rFont val="Aptos Narrow"/>
        <family val="2"/>
      </rPr>
      <t>µM (24 h): 0.5-10 µM effective for T with EC50 = 0.5 µM; serum-free medium; ELISA (T&amp;E2); n</t>
    </r>
    <r>
      <rPr>
        <sz val="11"/>
        <rFont val="Aptos Narrow"/>
        <family val="2"/>
        <scheme val="minor"/>
      </rPr>
      <t>o cytotoxicity (MTS assay)</t>
    </r>
  </si>
  <si>
    <r>
      <t xml:space="preserve">0.0001-100 μM (48 h): Lab 2 - LOEC = 10 </t>
    </r>
    <r>
      <rPr>
        <sz val="11"/>
        <rFont val="Aptos Narrow"/>
        <family val="2"/>
      </rPr>
      <t>µM for T &amp;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</si>
  <si>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0.01-25 </t>
    </r>
    <r>
      <rPr>
        <sz val="11"/>
        <rFont val="Aptos Narrow"/>
        <family val="2"/>
      </rPr>
      <t xml:space="preserve">µM (72 h):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10 µM effective for A4 with EC</t>
    </r>
    <r>
      <rPr>
        <vertAlign val="subscript"/>
        <sz val="11"/>
        <rFont val="Aptos Narrow"/>
        <family val="2"/>
        <charset val="238"/>
      </rPr>
      <t>50</t>
    </r>
    <r>
      <rPr>
        <sz val="11"/>
        <rFont val="Aptos Narrow"/>
        <family val="2"/>
      </rPr>
      <t xml:space="preserve"> = 9 µM, decreases in T and E2 but not significant (significant for E1), no effect on P4; medium w/ 5% Nu-serum; </t>
    </r>
    <r>
      <rPr>
        <sz val="11"/>
        <rFont val="Aptos Narrow"/>
        <family val="2"/>
        <scheme val="minor"/>
      </rPr>
      <t>GC-MS (T&amp;P4&amp;A4&amp;E2&amp;E1); no cytotoxicity (Alamar Blue viability assay)</t>
    </r>
  </si>
  <si>
    <r>
      <t xml:space="preserve">0.1-30 µM (48 h): LOEC = 1-3 </t>
    </r>
    <r>
      <rPr>
        <sz val="11"/>
        <rFont val="Aptos Narrow"/>
        <family val="2"/>
      </rPr>
      <t xml:space="preserve">µM for E2 &amp; 10 µM for T; </t>
    </r>
    <r>
      <rPr>
        <sz val="11"/>
        <rFont val="Aptos Narrow"/>
        <family val="2"/>
        <scheme val="minor"/>
      </rPr>
      <t>medium w/ 2.5% Nu-serum; ELISA (T &amp; E2); non-cytotoxic concentrations (&lt; 20% cytotoxicity, WST-1 assay)</t>
    </r>
  </si>
  <si>
    <r>
      <t xml:space="preserve">3 </t>
    </r>
    <r>
      <rPr>
        <sz val="11"/>
        <rFont val="Aptos Narrow"/>
        <family val="2"/>
      </rPr>
      <t>µM (48 h)</t>
    </r>
    <r>
      <rPr>
        <sz val="11"/>
        <rFont val="Aptos Narrow"/>
        <family val="2"/>
        <scheme val="minor"/>
      </rPr>
      <t>; medium w/ hormone-free medium; GC-MS (T, E2, A4, P4); hormone profile in co-culture of MCF-7&amp;H295R cells also evaluated; E1 also measured</t>
    </r>
  </si>
  <si>
    <r>
      <t xml:space="preserve">1-50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(48 h): 10&amp;50 </t>
    </r>
    <r>
      <rPr>
        <sz val="11"/>
        <rFont val="Aptos Narrow"/>
        <family val="2"/>
      </rPr>
      <t>µM for T &amp; 1-50 µM for E2 effective</t>
    </r>
    <r>
      <rPr>
        <sz val="11"/>
        <rFont val="Aptos Narrow"/>
        <family val="2"/>
        <scheme val="minor"/>
      </rPr>
      <t>; medium w/ 2.5% Nu-serum; EIA (T&amp;E2); viability &gt;= 80% (assay not specified)</t>
    </r>
  </si>
  <si>
    <t>0.41- 33 µM; effect on P4 (decrease) only at the highest tested cocentration; "trend toward E2 up with only 11.11 µM positive (not max concentration)." medium w/ 2.5% NuSerum; HPLC/MS-MS (T&amp;E2&amp;P4&amp;A4); viability measured (MTT assay); estrone was also measured</t>
  </si>
  <si>
    <r>
      <rPr>
        <sz val="9.35"/>
        <rFont val="Aptos Narrow"/>
        <family val="2"/>
      </rPr>
      <t>+</t>
    </r>
    <r>
      <rPr>
        <sz val="11"/>
        <rFont val="Aptos Narrow"/>
        <family val="2"/>
        <scheme val="minor"/>
      </rPr>
      <t>8-Br-cAMP</t>
    </r>
  </si>
  <si>
    <r>
      <t xml:space="preserve">1-50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(24-h exposure &amp; 4-h stimulation in serum-free medium): effective con. - 50 </t>
    </r>
    <r>
      <rPr>
        <sz val="11"/>
        <rFont val="Aptos Narrow"/>
        <family val="2"/>
      </rPr>
      <t>µM for P4 (decrease)</t>
    </r>
    <r>
      <rPr>
        <sz val="11"/>
        <rFont val="Aptos Narrow"/>
        <family val="2"/>
        <scheme val="minor"/>
      </rPr>
      <t>; medium w/ 15% HS; EIA (P4); viability (MTS assay)</t>
    </r>
  </si>
  <si>
    <r>
      <t xml:space="preserve">0.01-100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(48-h exposure &amp; 2-h incubatio w/ or w/o hCG): no effect on P4 even after hCG-stimulation; serum-free medium w/ 1% Nutridoma SP; RIA (P4); viability (MTT assay): increase at 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</si>
  <si>
    <t>rat (immature: 35-pnd)</t>
  </si>
  <si>
    <r>
      <t xml:space="preserve">10^-6 to 10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(24-h exposure in medium w/ LH &amp; 3-h max. stimulation w/ LH):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>10^-5 except for 10^-2 (</t>
    </r>
    <r>
      <rPr>
        <sz val="11"/>
        <rFont val="Aptos Narrow"/>
        <family val="2"/>
        <scheme val="minor"/>
      </rPr>
      <t>decrease in T); serum-free medium w/ 0.1% BSA; RIA (T)</t>
    </r>
  </si>
  <si>
    <r>
      <t xml:space="preserve">0.1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>(18-h exposure+3-h postexposure incubation): decrease in T in stimulated cells; serum-free medium; RIA (T)</t>
    </r>
  </si>
  <si>
    <r>
      <t xml:space="preserve">0.01-10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(18 h): effective con.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with EC</t>
    </r>
    <r>
      <rPr>
        <vertAlign val="subscript"/>
        <sz val="11"/>
        <rFont val="Aptos Narrow"/>
        <family val="2"/>
        <charset val="238"/>
      </rPr>
      <t>50</t>
    </r>
    <r>
      <rPr>
        <sz val="11"/>
        <rFont val="Aptos Narrow"/>
        <family val="2"/>
      </rPr>
      <t xml:space="preserve"> = 1.6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</t>
    </r>
    <r>
      <rPr>
        <sz val="11"/>
        <rFont val="Aptos Narrow"/>
        <family val="2"/>
      </rPr>
      <t>(</t>
    </r>
    <r>
      <rPr>
        <sz val="11"/>
        <rFont val="Aptos Narrow"/>
        <family val="2"/>
        <scheme val="minor"/>
      </rPr>
      <t>decrease in T in stimulated cells); serum-free medium w/ 0.1% BSA; RIA (T)</t>
    </r>
  </si>
  <si>
    <t>mouse (fetal: E12.5 )</t>
  </si>
  <si>
    <r>
      <rPr>
        <sz val="11"/>
        <color rgb="FF000000"/>
        <rFont val="Aptos Narrow"/>
        <family val="2"/>
      </rPr>
      <t xml:space="preserve">10^-4 to 10 µM (24-72 h): effective con. - </t>
    </r>
    <r>
      <rPr>
        <sz val="11"/>
        <color rgb="FF000000"/>
        <rFont val="Calibri"/>
        <family val="2"/>
      </rPr>
      <t>1</t>
    </r>
    <r>
      <rPr>
        <sz val="11"/>
        <color rgb="FF000000"/>
        <rFont val="Aptos Narrow"/>
        <family val="2"/>
      </rPr>
      <t xml:space="preserve">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(24-72 h) &amp; </t>
    </r>
    <r>
      <rPr>
        <sz val="11"/>
        <color rgb="FF000000"/>
        <rFont val="Calibri"/>
        <family val="2"/>
      </rPr>
      <t>≥0.0</t>
    </r>
    <r>
      <rPr>
        <sz val="11"/>
        <color rgb="FF000000"/>
        <rFont val="Aptos Narrow"/>
        <family val="2"/>
      </rPr>
      <t xml:space="preserve">1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(48&amp;72 h)  (decrease); serum-free medium; RIA (T)</t>
    </r>
  </si>
  <si>
    <t>mouse (fetal: E18.5)</t>
  </si>
  <si>
    <t>10^-4 to 10 µM (24-72 h): effective con. - no effect in non- or stimulated cells; serum-free medium; RIA (T)</t>
  </si>
  <si>
    <r>
      <t xml:space="preserve">30-1000 μM (6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</t>
    </r>
    <r>
      <rPr>
        <sz val="11"/>
        <rFont val="Aptos Narrow"/>
        <family val="2"/>
        <scheme val="minor"/>
      </rPr>
      <t>; medium w/o serum; RIA (T - intracellular&amp;in medium)</t>
    </r>
  </si>
  <si>
    <r>
      <t xml:space="preserve">0.01-10 μM (24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 with EC</t>
    </r>
    <r>
      <rPr>
        <vertAlign val="subscript"/>
        <sz val="11"/>
        <rFont val="Aptos Narrow"/>
        <family val="2"/>
        <charset val="238"/>
      </rPr>
      <t>50</t>
    </r>
    <r>
      <rPr>
        <sz val="11"/>
        <rFont val="Aptos Narrow"/>
        <family val="2"/>
      </rPr>
      <t xml:space="preserve"> = 3.8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in stimulated cells</t>
    </r>
    <r>
      <rPr>
        <sz val="11"/>
        <rFont val="Aptos Narrow"/>
        <family val="2"/>
        <scheme val="minor"/>
      </rPr>
      <t>; medium w/o serum; ELISA (T); viability (CCK8 assay): no cytotox.</t>
    </r>
  </si>
  <si>
    <t xml:space="preserve">Genistein </t>
  </si>
  <si>
    <r>
      <rPr>
        <sz val="9.35"/>
        <rFont val="Aptos Narrow"/>
        <family val="2"/>
      </rPr>
      <t>+</t>
    </r>
    <r>
      <rPr>
        <sz val="11"/>
        <rFont val="Aptos Narrow"/>
        <family val="2"/>
        <scheme val="minor"/>
      </rPr>
      <t>FSK</t>
    </r>
  </si>
  <si>
    <r>
      <t xml:space="preserve">1-30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(24 h): all con. effective on FSK-stimulated cells (3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>); serum-free medium; GC-MS (A4&amp;T&amp;E2&amp;P4) - T&amp;E2&amp;P4 below limit of detection; cytotoxic conc. (alamarBlue assay) excluded</t>
    </r>
  </si>
  <si>
    <t>Glyphosate</t>
  </si>
  <si>
    <t>rat (adult: 65-75-d)</t>
  </si>
  <si>
    <r>
      <t>0.0001-0.01% (24 h): effective con. only 0.0001%</t>
    </r>
    <r>
      <rPr>
        <sz val="11"/>
        <rFont val="Aptos Narrow"/>
        <family val="2"/>
      </rPr>
      <t xml:space="preserve"> (decrease), no concentration-dependency</t>
    </r>
    <r>
      <rPr>
        <sz val="11"/>
        <rFont val="Aptos Narrow"/>
        <family val="2"/>
        <scheme val="minor"/>
      </rPr>
      <t xml:space="preserve">; medium w/o serum; RIA (T); viability (adenylate kinase activity assay): no cytotox. up to 1% &amp; 48-h exposure; solutions of glycophosate (2% or 7.2 g/l of glycophosate final = app. 42,586 µM, thus 0.0001% = appr. 2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) </t>
    </r>
  </si>
  <si>
    <t>Ketoconazole</t>
  </si>
  <si>
    <r>
      <t xml:space="preserve">0.05-2.5 μM (6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(decrease), data fot T not provided</t>
    </r>
    <r>
      <rPr>
        <sz val="11"/>
        <rFont val="Aptos Narrow"/>
        <family val="2"/>
        <scheme val="minor"/>
      </rPr>
      <t>; medium w/ 2% Ultroser SF; LC/MS (T&amp;A4); viability (MTT assay)</t>
    </r>
  </si>
  <si>
    <r>
      <t xml:space="preserve">20 </t>
    </r>
    <r>
      <rPr>
        <sz val="11"/>
        <rFont val="Aptos Narrow"/>
        <family val="2"/>
      </rPr>
      <t>µM (48 h): clear and significant decrease in T&amp;E2&amp;P4</t>
    </r>
    <r>
      <rPr>
        <sz val="11"/>
        <rFont val="Aptos Narrow"/>
        <family val="2"/>
        <scheme val="minor"/>
      </rPr>
      <t>; medium w/ 2.5% Nu-serum; ELISA (T, P4/P5, E2) - the antibody to P4 exhibited 61% cross-reactivity with P5 ; viability (the Live/Dead kit)</t>
    </r>
  </si>
  <si>
    <r>
      <t xml:space="preserve">0.01-5 </t>
    </r>
    <r>
      <rPr>
        <sz val="11"/>
        <rFont val="Aptos Narrow"/>
        <family val="2"/>
      </rPr>
      <t>µM (48 h): a clear decrease in T (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0.1 µM) &amp;E2 (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µM), while P4 increased at a peak conc. of 1 µM, followed by a decrease at higher conc.</t>
    </r>
    <r>
      <rPr>
        <sz val="11"/>
        <rFont val="Aptos Narrow"/>
        <family val="2"/>
        <scheme val="minor"/>
      </rPr>
      <t>; medium w/ 2.5% Nu-serum; ELISA (T, P4/P5, E2) - the antibody to P4 exhibited 61% cross-reactivity with P5; cytotoxic conc. not included (MTT assay)</t>
    </r>
  </si>
  <si>
    <r>
      <t xml:space="preserve">0.01-100 μM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>1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(decrease)</t>
    </r>
    <r>
      <rPr>
        <sz val="11"/>
        <rFont val="Aptos Narrow"/>
        <family val="2"/>
        <scheme val="minor"/>
      </rPr>
      <t>; medium w/ 2.5% Nu-serum; ELISA (T&amp;E2); viability (MTT assay)</t>
    </r>
  </si>
  <si>
    <r>
      <t xml:space="preserve">0.01-10 μM (48 h): effective con. </t>
    </r>
    <r>
      <rPr>
        <sz val="11"/>
        <rFont val="Symbol"/>
        <family val="1"/>
        <charset val="2"/>
      </rPr>
      <t>³0.05</t>
    </r>
    <r>
      <rPr>
        <sz val="11"/>
        <rFont val="Aptos Narrow"/>
        <family val="2"/>
      </rPr>
      <t xml:space="preserve"> µM for T &amp; 1 µM for E2</t>
    </r>
    <r>
      <rPr>
        <sz val="11"/>
        <rFont val="Aptos Narrow"/>
        <family val="2"/>
        <scheme val="minor"/>
      </rPr>
      <t>; medium w/ 5% Nu-serum; ELISA (T&amp;E2); cytotoxic conc. (MTT assay)  excluded</t>
    </r>
  </si>
  <si>
    <r>
      <t xml:space="preserve">0.1-30 μM (48 h): effective con. </t>
    </r>
    <r>
      <rPr>
        <sz val="11"/>
        <rFont val="Symbol"/>
        <family val="1"/>
        <charset val="2"/>
      </rPr>
      <t>³0.1</t>
    </r>
    <r>
      <rPr>
        <sz val="11"/>
        <rFont val="Aptos Narrow"/>
        <family val="2"/>
      </rPr>
      <t xml:space="preserve"> µM for T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 µM for E2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 (increase)</t>
    </r>
    <r>
      <rPr>
        <sz val="11"/>
        <rFont val="Aptos Narrow"/>
        <family val="2"/>
        <scheme val="minor"/>
      </rPr>
      <t xml:space="preserve">; medium w/ 2.5% Nu-serum; ELISA (T&amp;E2&amp;P4); viability (resazurin assay): 30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cytotox.</t>
    </r>
  </si>
  <si>
    <r>
      <t xml:space="preserve">0.0001-100 μM (48 h): Lab 1 - LOEC = 1 </t>
    </r>
    <r>
      <rPr>
        <sz val="11"/>
        <rFont val="Aptos Narrow"/>
        <family val="2"/>
      </rPr>
      <t>µM for T &amp; 10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</si>
  <si>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 </t>
    </r>
    <r>
      <rPr>
        <sz val="11"/>
        <rFont val="Aptos Narrow"/>
        <family val="2"/>
      </rPr>
      <t>µM for T &amp; 10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</si>
  <si>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0.001-10 </t>
    </r>
    <r>
      <rPr>
        <sz val="11"/>
        <rFont val="Aptos Narrow"/>
        <family val="2"/>
      </rPr>
      <t xml:space="preserve">µM (72 h): EC50 = 0.3 µM for A4 &amp; T and 0.6 µM for E2 (0.8 for E1), no effect for P4; medium w/ 5% Nu-serum; </t>
    </r>
    <r>
      <rPr>
        <sz val="11"/>
        <rFont val="Aptos Narrow"/>
        <family val="2"/>
        <scheme val="minor"/>
      </rPr>
      <t>GC-MS (T, P4, A4, E2, E1); no cytotoxicity (Alamar Blue viability assay)</t>
    </r>
  </si>
  <si>
    <r>
      <t xml:space="preserve">10 μM (24-72 h): </t>
    </r>
    <r>
      <rPr>
        <sz val="11"/>
        <rFont val="Aptos Narrow"/>
        <family val="2"/>
      </rPr>
      <t xml:space="preserve">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24-72 h - effect did decrease with time</t>
    </r>
    <r>
      <rPr>
        <sz val="11"/>
        <rFont val="Aptos Narrow"/>
        <family val="2"/>
        <scheme val="minor"/>
      </rPr>
      <t>; medium w/ 0.1% BSA; RIA (T); viability (MTT assay): no cytotox.</t>
    </r>
  </si>
  <si>
    <r>
      <t xml:space="preserve">0.03-10 µM (48 h): LOEC = 1 </t>
    </r>
    <r>
      <rPr>
        <sz val="11"/>
        <rFont val="Aptos Narrow"/>
        <family val="2"/>
      </rPr>
      <t xml:space="preserve">µM for E2 &amp; 0.03-0.1 µM for T; </t>
    </r>
    <r>
      <rPr>
        <sz val="11"/>
        <rFont val="Aptos Narrow"/>
        <family val="2"/>
        <scheme val="minor"/>
      </rPr>
      <t>medium w/ 2.5% Nu-serum; ELISA (T &amp; E2); non-cytotoxic concentrations (&lt; 20% cytotoxicity, WST-1 assay)</t>
    </r>
  </si>
  <si>
    <t>5 μM (48 h); medium with/ 2.5% NU-serum; GC-MS/MS &amp; UPLC ToF-MS (both T&amp;E2&amp;A4&amp;P4); cytotoxic conc. ( WST-1 and ATPlite assays) excluded; E1 also measured</t>
  </si>
  <si>
    <t>5 μM (72 h):  decrease in T&amp;A4, P4 - not determined; medium w/ 5% FCS;  LC-MS/MS (T&amp;P4&amp;A4); no cytotoxicity associated with tested concentrations; both H295R cell line and its clone HAC15 were tested</t>
  </si>
  <si>
    <r>
      <t xml:space="preserve">0.01-20 μM (24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in forskolin-stimulated cells (10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  <r>
      <rPr>
        <sz val="11"/>
        <rFont val="Aptos Narrow"/>
        <family val="2"/>
        <scheme val="minor"/>
      </rPr>
      <t>; medium with/ 2.5% NU-serum; HPLC/ESI-MS (A4); cytotoxic conc. (MTT assay) excluded</t>
    </r>
  </si>
  <si>
    <t>10 μM (24&amp;48 h):  decrease in T; medium w/o serum;  RIA (T)</t>
  </si>
  <si>
    <r>
      <t>0-100 μM (48 h): EC</t>
    </r>
    <r>
      <rPr>
        <vertAlign val="subscript"/>
        <sz val="11"/>
        <rFont val="Aptos Narrow"/>
        <family val="2"/>
        <charset val="238"/>
        <scheme val="minor"/>
      </rPr>
      <t>50 =</t>
    </r>
    <r>
      <rPr>
        <sz val="11"/>
        <rFont val="Aptos Narrow"/>
        <family val="2"/>
        <scheme val="minor"/>
      </rPr>
      <t xml:space="preserve"> 0</t>
    </r>
    <r>
      <rPr>
        <sz val="11"/>
        <rFont val="Aptos Narrow"/>
        <family val="2"/>
      </rPr>
      <t xml:space="preserve">.32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&amp; 1.02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 (decrease) in forskolin-stimulated cells (10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M), no effect on P4&amp;E2</t>
    </r>
    <r>
      <rPr>
        <sz val="11"/>
        <rFont val="Aptos Narrow"/>
        <family val="2"/>
        <scheme val="minor"/>
      </rPr>
      <t xml:space="preserve">; medium with/ 2.5% Nu-serum; HPLC-MS/MS (A4&amp;T&amp;P4&amp;E2); viability (MTT assay); HTS-H295R set-up: cells were first preincubated with FSK (10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 followed by 48-h exposure to chemicals of interest in a 96-well plate; E1 also measured</t>
    </r>
  </si>
  <si>
    <t>8.2 nM - 2 µM; effects on P4 (increase), E2 (decrease) at max concentration only; medium w/ 2.5% NuSerum; HPLC/MS-MS (T&amp;E2&amp;P4&amp;A4); viability measured (MTT assay); estrone was also measured</t>
  </si>
  <si>
    <r>
      <rPr>
        <sz val="11"/>
        <color rgb="FF000000"/>
        <rFont val="Aptos Narrow"/>
        <family val="2"/>
        <scheme val="minor"/>
      </rPr>
      <t>0.001-10 μM (48 h):  EC</t>
    </r>
    <r>
      <rPr>
        <vertAlign val="subscript"/>
        <sz val="11"/>
        <color rgb="FF000000"/>
        <rFont val="Aptos Narrow"/>
        <family val="2"/>
        <scheme val="minor"/>
      </rPr>
      <t>50</t>
    </r>
    <r>
      <rPr>
        <sz val="11"/>
        <color rgb="FF000000"/>
        <rFont val="Aptos Narrow"/>
        <family val="2"/>
        <scheme val="minor"/>
      </rPr>
      <t xml:space="preserve"> 0.28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P4 (increase - not at the highest concentrations) &amp;  0.064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A4 &amp; 0.041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T (decrease), E2 not determined</t>
    </r>
    <r>
      <rPr>
        <sz val="11"/>
        <color rgb="FF000000"/>
        <rFont val="Aptos Narrow"/>
        <family val="2"/>
        <scheme val="minor"/>
      </rPr>
      <t xml:space="preserve">; medium w/ 2.5% Nu-serum;  LC-MS/MS (T&amp;E2&amp;P4&amp;A4); viability (resazurin assay): wells with viability </t>
    </r>
    <r>
      <rPr>
        <sz val="11"/>
        <color rgb="FF000000"/>
        <rFont val="Aptos Narrow"/>
        <family val="2"/>
      </rPr>
      <t xml:space="preserve">&lt; </t>
    </r>
    <r>
      <rPr>
        <sz val="11"/>
        <color rgb="FF000000"/>
        <rFont val="Aptos Narrow"/>
        <family val="2"/>
        <scheme val="minor"/>
      </rPr>
      <t xml:space="preserve">80% of the solvent control was excluded; FSK (1 &amp; 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M) and prochloraz (0.1 &amp; 1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M) included as positive controls for quality control according to OECD quideline</t>
    </r>
    <r>
      <rPr>
        <sz val="11"/>
        <color rgb="FF000000"/>
        <rFont val="Aptos Narrow"/>
        <family val="2"/>
        <scheme val="minor"/>
      </rPr>
      <t>; E1 also measured</t>
    </r>
  </si>
  <si>
    <t>5 μM (72 h):  decrease in T&amp;A4 &amp; increase in P4; medium w/ 5% FCS;  LC-MS/MS (T&amp;P4&amp;A4); no cytotoxicity associated with tested concentrations; both H295R cell line and its clone HAC15 were tested</t>
  </si>
  <si>
    <r>
      <rPr>
        <sz val="11"/>
        <rFont val="Symbol"/>
        <family val="1"/>
        <charset val="2"/>
      </rPr>
      <t>±</t>
    </r>
    <r>
      <rPr>
        <sz val="11"/>
        <rFont val="Aptos Narrow"/>
        <family val="2"/>
      </rPr>
      <t>FSK</t>
    </r>
  </si>
  <si>
    <r>
      <t xml:space="preserve">2 &amp; 20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(1-3 h): increased basal P4 production, also FSK (5 </t>
    </r>
    <r>
      <rPr>
        <sz val="11"/>
        <rFont val="Aptos Narrow"/>
        <family val="2"/>
      </rPr>
      <t>µ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>)-stimulated; serum-free medium;  VITROS Eci - competitive chemiluminescent immunoassay  (P4)</t>
    </r>
  </si>
  <si>
    <t>monkey (age not specified)</t>
  </si>
  <si>
    <r>
      <t xml:space="preserve">0.003- 32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(0.01-60.21 </t>
    </r>
    <r>
      <rPr>
        <sz val="11"/>
        <rFont val="Aptos Narrow"/>
        <family val="2"/>
        <scheme val="minor"/>
      </rPr>
      <t>µM) (2-h exposure+1-h co-exposure w/ hCG):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= 0.34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(decrease);</t>
    </r>
    <r>
      <rPr>
        <sz val="11"/>
        <rFont val="Aptos Narrow"/>
        <family val="2"/>
        <scheme val="minor"/>
      </rPr>
      <t xml:space="preserve"> serum-free medium w/ 0.1% BSA;  RIA (T); viability (Trypan blue dye exclusion assay)</t>
    </r>
  </si>
  <si>
    <r>
      <t xml:space="preserve">0.05-25 µM (2 h): effective con. - </t>
    </r>
    <r>
      <rPr>
        <sz val="11"/>
        <rFont val="Calibri"/>
        <family val="2"/>
        <charset val="238"/>
      </rPr>
      <t xml:space="preserve">≥0.25 </t>
    </r>
    <r>
      <rPr>
        <sz val="11"/>
        <rFont val="Symbol"/>
        <family val="1"/>
        <charset val="2"/>
      </rPr>
      <t>m</t>
    </r>
    <r>
      <rPr>
        <sz val="9.35"/>
        <rFont val="Calibri"/>
        <family val="2"/>
        <charset val="238"/>
      </rPr>
      <t>M</t>
    </r>
    <r>
      <rPr>
        <sz val="11"/>
        <rFont val="Aptos Narrow"/>
        <family val="2"/>
        <scheme val="minor"/>
      </rPr>
      <t xml:space="preserve"> (decrease) in stimulated cells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serum-free medium;  RIA (T); ketoconazole reversibly inhibited the sequence between LH binding and pregnenolone production and also inhibits testicular C-17-C-20, lyase activity</t>
    </r>
  </si>
  <si>
    <r>
      <rPr>
        <sz val="11"/>
        <color rgb="FF000000"/>
        <rFont val="Aptos Narrow"/>
        <family val="2"/>
      </rPr>
      <t xml:space="preserve">0.5- 10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g/mL (0.94-18.82 µM) (3 h): effective con. -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Aptos Narrow"/>
        <family val="2"/>
      </rPr>
      <t xml:space="preserve">0.9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T (decrease) but only in stimulated cells; serum-free medium;  RIA (T); viability (trypan blue exclusion assay)</t>
    </r>
  </si>
  <si>
    <r>
      <t xml:space="preserve">0.003- 32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(0.01-60.21 </t>
    </r>
    <r>
      <rPr>
        <sz val="11"/>
        <rFont val="Aptos Narrow"/>
        <family val="2"/>
        <scheme val="minor"/>
      </rPr>
      <t>µM) (2-h exposure+1-h co-exposure w/ hCG):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= 0.66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(decrease);</t>
    </r>
    <r>
      <rPr>
        <sz val="11"/>
        <rFont val="Aptos Narrow"/>
        <family val="2"/>
        <scheme val="minor"/>
      </rPr>
      <t xml:space="preserve"> serum-free medium w/ 0.1% BSA;  RIA (T); viability (Trypan blue dye exclusion assay)</t>
    </r>
  </si>
  <si>
    <t>pig (neonatalneonatal/early postnatal: 2-4-w)</t>
  </si>
  <si>
    <r>
      <t xml:space="preserve">0.02-100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0.2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(increase)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 for P4 in hCG-stimulated cells</t>
    </r>
    <r>
      <rPr>
        <sz val="11"/>
        <rFont val="Aptos Narrow"/>
        <family val="2"/>
        <scheme val="minor"/>
      </rPr>
      <t>; medium w/ 0.1% FBS;  RIA  (T&amp;P4); viability (MTT assay) - no cytotox.</t>
    </r>
  </si>
  <si>
    <r>
      <t xml:space="preserve">0.1-10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g/ml (0.2 µM to 19 µM)  (3 h): effective con. - all tested (decrease)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0.2% BSA;  RIA (T)</t>
    </r>
  </si>
  <si>
    <t>rat (adult: 10-w)</t>
  </si>
  <si>
    <t>rat (adult: 3-m)</t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</si>
  <si>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(18.8 </t>
    </r>
    <r>
      <rPr>
        <sz val="11"/>
        <rFont val="Aptos Narrow"/>
        <family val="2"/>
        <scheme val="minor"/>
      </rPr>
      <t xml:space="preserve">µM) (4 h): </t>
    </r>
    <r>
      <rPr>
        <sz val="11"/>
        <rFont val="Aptos Narrow"/>
        <family val="2"/>
      </rPr>
      <t>decrease in T;</t>
    </r>
    <r>
      <rPr>
        <sz val="11"/>
        <rFont val="Aptos Narrow"/>
        <family val="2"/>
        <scheme val="minor"/>
      </rPr>
      <t xml:space="preserve"> serum-free medium w/ 0.1% BSA;  RIA (T); viability (Trypan blue dye exclusion assay)</t>
    </r>
  </si>
  <si>
    <t>rat (peripubertal / young adult: 200 g)</t>
  </si>
  <si>
    <r>
      <t xml:space="preserve">0.1- 2 µM (0.5-h exposure+2-h co-exposure w/ or w/o hCG): effective con.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</t>
    </r>
    <r>
      <rPr>
        <sz val="11"/>
        <rFont val="Aptos Narrow"/>
        <family val="2"/>
        <scheme val="minor"/>
      </rPr>
      <t xml:space="preserve"> T (decrease) in both non- and stimulated cells with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= 0.2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M;</t>
    </r>
    <r>
      <rPr>
        <sz val="11"/>
        <rFont val="Aptos Narrow"/>
        <family val="2"/>
        <scheme val="minor"/>
      </rPr>
      <t xml:space="preserve"> serum-free medium;  RIA (T); Ketoconazole inhibited cholesterol-side-chain-cleavage enzyme (mitochondrial) and C-l 7,20 lyase (microsomal)</t>
    </r>
  </si>
  <si>
    <t>human (adult: mean age of 79.8 y)</t>
  </si>
  <si>
    <t xml:space="preserve">10 μM (24&amp;48 h):  decrease in T; medium w/o serum;  RIA (T); donors: prostate cancer patients </t>
  </si>
  <si>
    <t>10 μM (24&amp;48 h): decrease in T after 24&amp;48 h, decrease in A4&amp;increase in P4 after 24 h; medium w/o serum; RIA (T)  &amp; GC-MS/MS (T&amp;P4&amp;A4); increase in the number of apoptotic germ cells; donors: prostate cancer patients</t>
  </si>
  <si>
    <t>4 μM (24-72 h): decrease after 48 and 72 h in non-stimulated cells; medium w/o serum; RIA (T); viability (histochemistry)</t>
  </si>
  <si>
    <t>10 μM (24-72 h):  decrease in T - time-dependent manner; medium w/o serum;  RIA (T)</t>
  </si>
  <si>
    <r>
      <t xml:space="preserve">0.1-100 μM (6 h): effective con. at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</t>
    </r>
    <r>
      <rPr>
        <sz val="11"/>
        <rFont val="Aptos Narrow"/>
        <family val="2"/>
        <scheme val="minor"/>
      </rPr>
      <t>; medium w/o serum; RIA (T - intracellular&amp;in medium)</t>
    </r>
  </si>
  <si>
    <r>
      <t xml:space="preserve">0.01-10 μM (3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(decrease), no effect on E2</t>
    </r>
    <r>
      <rPr>
        <sz val="11"/>
        <rFont val="Aptos Narrow"/>
        <family val="2"/>
        <scheme val="minor"/>
      </rPr>
      <t>; medium w/o serum; RIA (T&amp;E2); viability (Trypan blue dye exclusion assay)</t>
    </r>
  </si>
  <si>
    <t>rat (fetal: 18-gd)</t>
  </si>
  <si>
    <t>3 μM (72 h): decrease in T, no effect on P4; medium w/o serum; RIA (T&amp;P4); authors report that decreases in T synthesis were not due to cytotoxicity as progesterone levels remained unchanged</t>
  </si>
  <si>
    <r>
      <t xml:space="preserve">3-300 </t>
    </r>
    <r>
      <rPr>
        <sz val="11"/>
        <rFont val="Aptos Narrow"/>
        <family val="2"/>
      </rPr>
      <t xml:space="preserve">µM (4 h): effective conc. </t>
    </r>
    <r>
      <rPr>
        <sz val="11"/>
        <rFont val="Symbol"/>
        <family val="1"/>
        <charset val="2"/>
      </rPr>
      <t>³10</t>
    </r>
    <r>
      <rPr>
        <sz val="11"/>
        <rFont val="Aptos Narrow"/>
        <family val="2"/>
      </rPr>
      <t xml:space="preserve">0 µM increased </t>
    </r>
    <r>
      <rPr>
        <sz val="11"/>
        <rFont val="Aptos Narrow"/>
        <family val="2"/>
        <scheme val="minor"/>
      </rPr>
      <t xml:space="preserve">T levels when applied alone, but a decrease was observed under hCG stimulation (only 100 µM was tested in this condition); medium w/ 10% FBS; EIA (T); non-cytotoxic conc. (MTT assay) </t>
    </r>
  </si>
  <si>
    <r>
      <t xml:space="preserve">1-100 μM (24-72 h): LOEC =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48 h,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24&amp;48 h - effect did decrease with time (no effect after 72 h)</t>
    </r>
    <r>
      <rPr>
        <sz val="11"/>
        <rFont val="Aptos Narrow"/>
        <family val="2"/>
        <scheme val="minor"/>
      </rPr>
      <t>; medium w/ 0.1% BSA; RIA (T); viability (MTT assay): no cytotox.</t>
    </r>
  </si>
  <si>
    <r>
      <t xml:space="preserve">0.25-25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all conc. increased E2 &amp; at 2.5&amp;25 </t>
    </r>
    <r>
      <rPr>
        <sz val="11"/>
        <rFont val="Aptos Narrow"/>
        <family val="2"/>
      </rPr>
      <t>µM, T decreased</t>
    </r>
    <r>
      <rPr>
        <sz val="11"/>
        <rFont val="Aptos Narrow"/>
        <family val="2"/>
        <scheme val="minor"/>
      </rPr>
      <t xml:space="preserve">; medium w/ 2.5% Nu-serum;  ELISA (T&amp;E2), cytotoxic con. (CCK-8 reagent) excluded </t>
    </r>
  </si>
  <si>
    <r>
      <t xml:space="preserve">0.3-1000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(24-h exposure&amp;2.5-h incubation w/ hCG in serum-free medium): effective con. - 3 </t>
    </r>
    <r>
      <rPr>
        <sz val="11"/>
        <rFont val="Aptos Narrow"/>
        <family val="2"/>
      </rPr>
      <t>µM, 10 µM &amp; 1 mM for P4 (decrease) - no clear concentration-response</t>
    </r>
    <r>
      <rPr>
        <sz val="11"/>
        <rFont val="Aptos Narrow"/>
        <family val="2"/>
        <scheme val="minor"/>
      </rPr>
      <t>; medium w/ 15% HS;  RIA (P4), viability (MTT assay): 30&amp;100 mM cytotox.</t>
    </r>
  </si>
  <si>
    <t>+db-cAMP</t>
  </si>
  <si>
    <r>
      <rPr>
        <sz val="11"/>
        <color rgb="FF000000"/>
        <rFont val="Aptos Narrow"/>
        <family val="2"/>
        <scheme val="minor"/>
      </rPr>
      <t xml:space="preserve">10 μM (48-h exposure+2-h incubation w/ db-cAMP in fresh serum-free medium) - </t>
    </r>
    <r>
      <rPr>
        <sz val="11"/>
        <color rgb="FF000000"/>
        <rFont val="Aptos Narrow"/>
        <family val="2"/>
      </rPr>
      <t>decrease in P</t>
    </r>
    <r>
      <rPr>
        <sz val="11"/>
        <color rgb="FF000000"/>
        <rFont val="Aptos Narrow"/>
        <family val="2"/>
        <scheme val="minor"/>
      </rPr>
      <t>; medium w/ 15% HS; RIA (P4)</t>
    </r>
  </si>
  <si>
    <r>
      <t xml:space="preserve">1-1000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(24-h exposure&amp;6-h coexposure w/ LH in fresh serum-free medium):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  <scheme val="minor"/>
      </rPr>
      <t>30 µM</t>
    </r>
    <r>
      <rPr>
        <sz val="11"/>
        <rFont val="Aptos Narrow"/>
        <family val="2"/>
      </rPr>
      <t xml:space="preserve"> for P4 (decrease)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 for T (decrease) with EC</t>
    </r>
    <r>
      <rPr>
        <vertAlign val="subscript"/>
        <sz val="11"/>
        <rFont val="Aptos Narrow"/>
        <family val="2"/>
      </rPr>
      <t>50</t>
    </r>
    <r>
      <rPr>
        <sz val="11"/>
        <rFont val="Aptos Narrow"/>
        <family val="2"/>
      </rPr>
      <t xml:space="preserve"> = 4.1 μM; medium w/o se</t>
    </r>
    <r>
      <rPr>
        <sz val="11"/>
        <rFont val="Aptos Narrow"/>
        <family val="2"/>
        <scheme val="minor"/>
      </rPr>
      <t xml:space="preserve">rum;  ELISA (T&amp;P4), viability (ATPlite luminescence assay&amp;protein measurement): 300&amp;1000 </t>
    </r>
    <r>
      <rPr>
        <sz val="11"/>
        <rFont val="Aptos Narrow"/>
        <family val="2"/>
      </rPr>
      <t>µM declined protein amount</t>
    </r>
  </si>
  <si>
    <r>
      <t xml:space="preserve">0.1-100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effective con. 100 µM in stimulated cells for P4 (decrease); medium w/ 15% FBS;  ELISA (P4), cytotoxic con. (MTT assay): 1 mM after 24&amp;48 h;  amount of MEHP was stable over the 24 h </t>
    </r>
  </si>
  <si>
    <r>
      <t xml:space="preserve">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(24-h exposure&amp;6-h incubation w/ LH in fresh serum-free medium):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 for T (decrease) with EC</t>
    </r>
    <r>
      <rPr>
        <vertAlign val="subscript"/>
        <sz val="11"/>
        <rFont val="Aptos Narrow"/>
        <family val="2"/>
      </rPr>
      <t>50</t>
    </r>
    <r>
      <rPr>
        <sz val="11"/>
        <rFont val="Aptos Narrow"/>
        <family val="2"/>
      </rPr>
      <t xml:space="preserve"> = 4 μM; medium w/o se</t>
    </r>
    <r>
      <rPr>
        <sz val="11"/>
        <rFont val="Aptos Narrow"/>
        <family val="2"/>
        <scheme val="minor"/>
      </rPr>
      <t>rum;  ELISA (T), viability (ATPlite luminescence assay&amp;protein measurement): no cytotox.</t>
    </r>
  </si>
  <si>
    <r>
      <t xml:space="preserve">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(24-h exposure&amp;2-h incubation w/ LH in fresh serum-free medium):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200 µM for P4 (decrease); medium w/ 15% HS</t>
    </r>
    <r>
      <rPr>
        <sz val="11"/>
        <rFont val="Aptos Narrow"/>
        <family val="2"/>
        <scheme val="minor"/>
      </rPr>
      <t>;  RIA (P4), viability (MTT assay): no cytotox.</t>
    </r>
  </si>
  <si>
    <r>
      <t xml:space="preserve">0.01-100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>(48-h exposure &amp; 2-h incubation w/ or w/o hCG): decrease in P4 only in stimulated cells; serum-free medium w/ 1% Nutridoma SP; RIA (P4); viability (MTT assay): no cytotox.</t>
    </r>
  </si>
  <si>
    <r>
      <t xml:space="preserve">0.001-100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(48-h exposure &amp; 2-h incubation w/ hCG in serum-free medium): effective con. - 100 </t>
    </r>
    <r>
      <rPr>
        <sz val="11"/>
        <rFont val="Aptos Narrow"/>
        <family val="2"/>
      </rPr>
      <t>µM (decrease) in stimulated cells</t>
    </r>
    <r>
      <rPr>
        <sz val="11"/>
        <rFont val="Aptos Narrow"/>
        <family val="2"/>
        <scheme val="minor"/>
      </rPr>
      <t>; medium w/ 5% HS &amp; 2.5% FBS; RIA (P4); viability (MTT assay): no cytotox.</t>
    </r>
  </si>
  <si>
    <r>
      <t xml:space="preserve">10-300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(24 h): effective con. - 100 &amp; 300 </t>
    </r>
    <r>
      <rPr>
        <sz val="11"/>
        <rFont val="Aptos Narrow"/>
        <family val="2"/>
      </rPr>
      <t>µM (increase) in non-stimulated cells</t>
    </r>
    <r>
      <rPr>
        <sz val="11"/>
        <rFont val="Aptos Narrow"/>
        <family val="2"/>
        <scheme val="minor"/>
      </rPr>
      <t>; medium w/ 15% HS; ELISA (P4); viability (MTT assay): no cytotox.</t>
    </r>
  </si>
  <si>
    <r>
      <t xml:space="preserve">10-300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(24-h exposure+2-h incubation w/ LH in fresh medium): effective con. - </t>
    </r>
    <r>
      <rPr>
        <sz val="11"/>
        <rFont val="Symbol"/>
        <family val="1"/>
        <charset val="2"/>
      </rPr>
      <t>³</t>
    </r>
    <r>
      <rPr>
        <sz val="9.35"/>
        <rFont val="Aptos Narrow"/>
        <family val="2"/>
      </rPr>
      <t>100</t>
    </r>
    <r>
      <rPr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</rPr>
      <t>µM (decrease) in stimulated cells</t>
    </r>
    <r>
      <rPr>
        <sz val="11"/>
        <rFont val="Aptos Narrow"/>
        <family val="2"/>
        <scheme val="minor"/>
      </rPr>
      <t>; medium w/ 15% HS; ELISA (P4); viability (MTT assay): no cytotox.</t>
    </r>
  </si>
  <si>
    <r>
      <t xml:space="preserve">10-100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(8-24-h): effective con. -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25</t>
    </r>
    <r>
      <rPr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</rPr>
      <t xml:space="preserve">µM after </t>
    </r>
    <r>
      <rPr>
        <sz val="11"/>
        <rFont val="Symbol"/>
        <family val="1"/>
        <charset val="2"/>
      </rPr>
      <t>³12-</t>
    </r>
    <r>
      <rPr>
        <sz val="11"/>
        <rFont val="Aptos Narrow"/>
        <family val="2"/>
        <scheme val="minor"/>
      </rPr>
      <t>h exposure for</t>
    </r>
    <r>
      <rPr>
        <sz val="11"/>
        <rFont val="Aptos Narrow"/>
        <family val="2"/>
      </rPr>
      <t xml:space="preserve"> T &amp; P4 (increase) in non-stimulated cells &amp; 100 µM (24-h exposure+4-h incubation w/ hCG in fresh medium): decrease in P4</t>
    </r>
    <r>
      <rPr>
        <sz val="11"/>
        <rFont val="Aptos Narrow"/>
        <family val="2"/>
        <scheme val="minor"/>
      </rPr>
      <t>; medium w/o serum; DELFIA  (T&amp;P4); viability (MTT assay): no cytotox.</t>
    </r>
  </si>
  <si>
    <r>
      <t xml:space="preserve">10&amp;100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h+4 h incubation in medium w/ 0.1 BSA and hCG): effective con. 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on T (increase),</t>
    </r>
    <r>
      <rPr>
        <sz val="11"/>
        <rFont val="Aptos Narrow"/>
        <family val="2"/>
        <scheme val="minor"/>
      </rPr>
      <t xml:space="preserve"> no effect on A4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10% FBS;  LC-ESI-MS/MS (T&amp;A4); viability (MTT assay): only non-cytotox. con. included</t>
    </r>
  </si>
  <si>
    <r>
      <t xml:space="preserve">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(20 h+4 h incubation w/ or w/o hCG): effective only in stimulated cells (decrease), no effect on T&amp;P4 in non-stimulated cells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DC-FBS;  ELISA (T&amp;P4); viability (MTT assay): no cytotox.</t>
    </r>
  </si>
  <si>
    <t>dog (from adolescent to adult: 6-36-m)</t>
  </si>
  <si>
    <r>
      <t xml:space="preserve">200&amp;800 μM (18 h): effective con. - 200&amp;800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- </t>
    </r>
    <r>
      <rPr>
        <sz val="11"/>
        <rFont val="Aptos Narrow"/>
        <family val="2"/>
        <scheme val="minor"/>
      </rPr>
      <t xml:space="preserve">increase in T only in non-stimulated cells, no effect in hCG-stimulated cells - just 800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non-significantky inhibit hCG-induced T secretion; medium w/o serum w/ 0.1% BSA; EIA (T); no cytotox.; donors: normal &amp; cryptorchid dogs; the absence of differences  in T secretions between scrotal and retained testes</t>
    </r>
  </si>
  <si>
    <t>mouse (adolescent: 1-m) - 2 strains</t>
  </si>
  <si>
    <r>
      <t xml:space="preserve">1-90 μM (48 h): effective con. - 90 </t>
    </r>
    <r>
      <rPr>
        <sz val="11"/>
        <rFont val="Aptos Narrow"/>
        <family val="2"/>
      </rPr>
      <t>µM (increase) in non-stimulated cells but no effect on stimulated cells in both mouse genotypes</t>
    </r>
    <r>
      <rPr>
        <sz val="11"/>
        <rFont val="Aptos Narrow"/>
        <family val="2"/>
        <scheme val="minor"/>
      </rPr>
      <t>; medium w/o serum; RIA (T); viability:  stimulated reduction of WST-1 into formazan &amp; reduced ATP synthesis, but without affecting number of LCs</t>
    </r>
  </si>
  <si>
    <t>rat (adolescent: 40-d)</t>
  </si>
  <si>
    <t>+hCG/db-cAMP</t>
  </si>
  <si>
    <t>10-250 μM (24-h exposure+24-h co-exposure w/ LH): effective con. - 250 µM (decrease); medium w/o serum w/ 0.5% BSA and low amount of LH; RIA (T); no cytotox.; 5α-androstane-3α,17b-diol also decreased</t>
  </si>
  <si>
    <t>rat (adolescent: 49-d)</t>
  </si>
  <si>
    <r>
      <t xml:space="preserve">0.001-10000 μM (18 h w/ or w/o LH): effective con. - 100&amp;1000 </t>
    </r>
    <r>
      <rPr>
        <sz val="11"/>
        <rFont val="Aptos Narrow"/>
        <family val="2"/>
      </rPr>
      <t>µM (increase) &amp; 10000 µM (decrease) in stimulated cells &amp; 1000 µM (increase) in non-stimulated cells</t>
    </r>
    <r>
      <rPr>
        <sz val="11"/>
        <rFont val="Aptos Narrow"/>
        <family val="2"/>
        <scheme val="minor"/>
      </rPr>
      <t>; medium w/o serum w/ 0.5% BSA and low amount of LH; RIA (T); viability (Trypan blue exclusion assay): no cytotox.</t>
    </r>
  </si>
  <si>
    <t>rat (adult: 2-4-m)</t>
  </si>
  <si>
    <r>
      <t xml:space="preserve">0.1-300 μM (24-h exposure &amp; 14 days) - effective con. </t>
    </r>
    <r>
      <rPr>
        <sz val="11"/>
        <rFont val="Calibri"/>
        <family val="2"/>
      </rPr>
      <t>≥</t>
    </r>
    <r>
      <rPr>
        <sz val="9.35"/>
        <rFont val="Aptos Narrow"/>
        <family val="2"/>
      </rPr>
      <t>100</t>
    </r>
    <r>
      <rPr>
        <sz val="11"/>
        <rFont val="Aptos Narrow"/>
        <family val="2"/>
        <scheme val="minor"/>
      </rPr>
      <t xml:space="preserve"> </t>
    </r>
    <r>
      <rPr>
        <sz val="11"/>
        <rFont val="Aptos Narrow"/>
        <family val="2"/>
      </rPr>
      <t xml:space="preserve">µM after 24-h (decrease) in freshly isolated cells &amp; cells incubated for 14 d &amp; 1&amp;10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after 14-d exposure (decrease)</t>
    </r>
    <r>
      <rPr>
        <sz val="11"/>
        <rFont val="Aptos Narrow"/>
        <family val="2"/>
        <scheme val="minor"/>
      </rPr>
      <t>; medium w/o serum but w/ LH alone or additional factors for longer incubation (insulin, PDGFAA, Lipo, and HS); RIA (T); no cytotox.</t>
    </r>
  </si>
  <si>
    <t>rat (adult: 300 g)</t>
  </si>
  <si>
    <r>
      <t xml:space="preserve">10 μM (48-h exposure+2-h incubation w/ hCG in fresh serum-free medium) - </t>
    </r>
    <r>
      <rPr>
        <sz val="11"/>
        <rFont val="Aptos Narrow"/>
        <family val="2"/>
      </rPr>
      <t>decrease in T</t>
    </r>
    <r>
      <rPr>
        <sz val="11"/>
        <rFont val="Aptos Narrow"/>
        <family val="2"/>
        <scheme val="minor"/>
      </rPr>
      <t>; medium not clearly specified; RIA (T)</t>
    </r>
  </si>
  <si>
    <t xml:space="preserve">rat (adult: 49-pnd) </t>
  </si>
  <si>
    <r>
      <t xml:space="preserve">2-2000 μM (3-24 h): effective con. - 20&amp;200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3&amp;6 h (</t>
    </r>
    <r>
      <rPr>
        <sz val="11"/>
        <rFont val="Aptos Narrow"/>
        <family val="2"/>
        <scheme val="minor"/>
      </rPr>
      <t>increase) in adult LCs; medium w/o serum w/ 0.1% BSA; RIA (T); no cytotox.; viability - no cytotox.; androsterone and 3a-DIOL were measured in progenitor LCs and immature LCs, respectively - no obvious concentration and time-dependent responses between MEHP exposure and androgen production</t>
    </r>
  </si>
  <si>
    <t>10-250 μM (24-h exposure+24-h co-exposure w/ LH): effective con. - 250 µM (decrease); medium w/o serum w/ 0.5% BSA and low amount of LH; RIA (T); no cytotox.</t>
  </si>
  <si>
    <t>rat (adult: 6-8-w)</t>
  </si>
  <si>
    <r>
      <t xml:space="preserve">10-1000 μM (0-3 h w/ LH): effective con. - 300&amp;1000 </t>
    </r>
    <r>
      <rPr>
        <sz val="11"/>
        <rFont val="Aptos Narrow"/>
        <family val="2"/>
      </rPr>
      <t>µM (decrease)</t>
    </r>
    <r>
      <rPr>
        <sz val="11"/>
        <rFont val="Aptos Narrow"/>
        <family val="2"/>
        <scheme val="minor"/>
      </rPr>
      <t>; medium w/o serum; RIA (T); viability (electron microscopy)</t>
    </r>
  </si>
  <si>
    <r>
      <t xml:space="preserve">1&amp;10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>(3 weeks): decrease in T at both con. and time points; medium w/ 5% FBS but w/ LH; LC-MS/MS (T&amp;5α-androstanediol); viability (ATP assay): no cytotox., but inhibiting stem LC differentiation</t>
    </r>
  </si>
  <si>
    <t>rat (neonatal/juvenile: 20-pnd)</t>
  </si>
  <si>
    <r>
      <t xml:space="preserve">100&amp;250 μM (24-h exposure+24-h co-exposure w/ hCG): effective con. - 100&amp;250 </t>
    </r>
    <r>
      <rPr>
        <sz val="11"/>
        <rFont val="Aptos Narrow"/>
        <family val="2"/>
      </rPr>
      <t xml:space="preserve">µM (increase) in non-stimulated progenitor Leydig cells and 250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(decrease) in hCG-stimulated cells</t>
    </r>
    <r>
      <rPr>
        <sz val="11"/>
        <rFont val="Aptos Narrow"/>
        <family val="2"/>
        <scheme val="minor"/>
      </rPr>
      <t>; medium w/o serum; RIA (T+5α-androstane-3α,17b-diol); no cytotox.</t>
    </r>
  </si>
  <si>
    <r>
      <rPr>
        <sz val="11"/>
        <color rgb="FF000000"/>
        <rFont val="Aptos Narrow"/>
        <family val="2"/>
        <scheme val="minor"/>
      </rPr>
      <t xml:space="preserve">10 μM (48-h exposure+2-h incubation in fresh serum-free medium) - </t>
    </r>
    <r>
      <rPr>
        <sz val="11"/>
        <color rgb="FF000000"/>
        <rFont val="Aptos Narrow"/>
        <family val="2"/>
      </rPr>
      <t>decrease in P</t>
    </r>
    <r>
      <rPr>
        <sz val="11"/>
        <color rgb="FF000000"/>
        <rFont val="Aptos Narrow"/>
        <family val="2"/>
        <scheme val="minor"/>
      </rPr>
      <t>; medium w/ 10% HS; RIA (P4)</t>
    </r>
  </si>
  <si>
    <r>
      <t xml:space="preserve">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1 µM for T (decrease) with EC</t>
    </r>
    <r>
      <rPr>
        <vertAlign val="subscript"/>
        <sz val="11"/>
        <rFont val="Aptos Narrow"/>
        <family val="2"/>
      </rPr>
      <t>50</t>
    </r>
    <r>
      <rPr>
        <sz val="11"/>
        <rFont val="Aptos Narrow"/>
        <family val="2"/>
      </rPr>
      <t xml:space="preserve"> = 6 μM; medium w/o se</t>
    </r>
    <r>
      <rPr>
        <sz val="11"/>
        <rFont val="Aptos Narrow"/>
        <family val="2"/>
        <scheme val="minor"/>
      </rPr>
      <t>rum;  ELISA (T), viability (ATPlite luminescence assay&amp;protein measurement): no cytotox.</t>
    </r>
  </si>
  <si>
    <r>
      <t xml:space="preserve">10&amp;100 μM (24&amp;48 h): effective con. 10&amp;100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- </t>
    </r>
    <r>
      <rPr>
        <sz val="11"/>
        <rFont val="Aptos Narrow"/>
        <family val="2"/>
        <scheme val="minor"/>
      </rPr>
      <t xml:space="preserve">decrease in T after 24 h, but this effect disappeared after 48 h &amp; effective con. 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-</t>
    </r>
    <r>
      <rPr>
        <sz val="11"/>
        <rFont val="Aptos Narrow"/>
        <family val="2"/>
        <scheme val="minor"/>
      </rPr>
      <t xml:space="preserve"> decrease in A4&amp;P4 after 24 h; medium w/o serum; RIA (T)  &amp; GC-MS/MS (T&amp;P4&amp;A4); any alteration in cell morphology; donors: prostate cancer patients; only 5.7% of added MEHP detected in the explants (0.3% in the culture plate, 94% in the medium, 4.7% in the insert plate)</t>
    </r>
  </si>
  <si>
    <t>1-100 μM (24-72 h): no effect on both non- or stimulated cells; medium w/o serum; RIA (T); viability (histochemistry)</t>
  </si>
  <si>
    <r>
      <t xml:space="preserve">0.1 &amp; 1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(72 h+3 h incubation w/ or w/o LH in serum-free medium): no effect on non- or stimulated cells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- not-specified; ELISA (T)</t>
    </r>
  </si>
  <si>
    <r>
      <t xml:space="preserve">1-100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(24-72 h+3 h incubation w/ or w/o LH in serum-free medium): effective con.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in stimulated cells at 24-72 h and 1-100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in </t>
    </r>
    <r>
      <rPr>
        <sz val="11"/>
        <rFont val="Aptos Narrow"/>
        <family val="2"/>
      </rPr>
      <t>non-stimulated cells at 72 h (decrease);</t>
    </r>
    <r>
      <rPr>
        <sz val="11"/>
        <rFont val="Aptos Narrow"/>
        <family val="2"/>
        <scheme val="minor"/>
      </rPr>
      <t xml:space="preserve"> medium w/o serum; RIA (T);  decreases gonocyte number, prolifiration and increasis their apoptosis at 10 and/or 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, no effect on Leydig or Sertoli cell number, but chenged morphology of Sertoli cells; one-half of the volume of the culture/exposure medium refreshed every 24 h;  0.4% of added DEHP at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presented within the testes after 72 h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</si>
  <si>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(24-72 h): decrease in non-stimulated cells after 24-72 h and stimulated cells at the end of exposure (72-75 h) ; culture medium not specified;  ELISA (T); a decrease in germ cell numbers, but no change in Sertoli cell counts. However, Sertoli cell proliferation was reduced, with no clear effects observed on Leydig cells</t>
    </r>
  </si>
  <si>
    <t>rat (fetal: 15-gd)</t>
  </si>
  <si>
    <r>
      <t xml:space="preserve">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>(72-h): decrease in T; medium w/o serum; EIA (T); viability (histochemistry)</t>
    </r>
  </si>
  <si>
    <t xml:space="preserve">rat (fetal: 20-gd) </t>
  </si>
  <si>
    <r>
      <t xml:space="preserve">1&amp;100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 xml:space="preserve">(24-h exposure &amp; 72-h co-exposure w/ or w/o hCG): effective con. - 1&amp;100 </t>
    </r>
    <r>
      <rPr>
        <sz val="11"/>
        <rFont val="Aptos Narrow"/>
        <family val="2"/>
      </rPr>
      <t>µM (decrease) in stimulated cells</t>
    </r>
    <r>
      <rPr>
        <sz val="11"/>
        <rFont val="Aptos Narrow"/>
        <family val="2"/>
        <scheme val="minor"/>
      </rPr>
      <t>; medium w/ 5% HS &amp; 2.5% FBS; RIA (T); viability (histochemistry): induced the formation of multinucleated germ cells, much larger than normal gonocytes; no effect on cell proliferation</t>
    </r>
  </si>
  <si>
    <r>
      <t xml:space="preserve">1&amp;10 </t>
    </r>
    <r>
      <rPr>
        <sz val="11"/>
        <rFont val="Aptos Narrow"/>
        <family val="2"/>
      </rPr>
      <t xml:space="preserve">µM </t>
    </r>
    <r>
      <rPr>
        <sz val="11"/>
        <rFont val="Aptos Narrow"/>
        <family val="2"/>
        <scheme val="minor"/>
      </rPr>
      <t>(up to 14 days): decrease in T at both con. and time points; medium w/o serum but w/ LH; LC-MS/MS (T&amp;5α-androstanediol); viability (ATP assay): no cytotox., but inhibiting stem LC differentiation</t>
    </r>
  </si>
  <si>
    <r>
      <t xml:space="preserve">1-100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(up to 8 w): effective con. 1&amp;5&amp;100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(</t>
    </r>
    <r>
      <rPr>
        <sz val="11"/>
        <rFont val="Aptos Narrow"/>
        <family val="2"/>
        <scheme val="minor"/>
      </rPr>
      <t>decrease) - time- and concentration-dependent effects during differentation &amp; on adult-like LCs (after differentation), reversible; serum-free medium w/ LH;  ELISA (T); no cytotoxicity</t>
    </r>
  </si>
  <si>
    <r>
      <t xml:space="preserve">200 μM (24 h):  decrease; medium w/ 2.5% FBS &amp; 5% HS; ELISA (T); viability (CCK8 assay):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cytotox. (10% decrease at 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</si>
  <si>
    <r>
      <t xml:space="preserve">200 μM (24 h):  decrease; medium w/ 2.5% FBS &amp; 5% HS; ELISA (T); viability (CCK8 assay &amp; trypan blue staining):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cytotox. (20% decrease in cell number at 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</si>
  <si>
    <t>200 μM (24 h):  decrease; medium w/ 2.5% FBS &amp; 5% HS; CMIA (T); viability: limited</t>
  </si>
  <si>
    <r>
      <t xml:space="preserve">200-800 μM (24 h):  effective con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</t>
    </r>
    <r>
      <rPr>
        <sz val="11"/>
        <rFont val="Aptos Narrow"/>
        <family val="2"/>
        <scheme val="minor"/>
      </rPr>
      <t xml:space="preserve">decrease); medium w/ 10% FBS; ELISA (T); viability (CCK8):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(20% decrease at 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</si>
  <si>
    <r>
      <t xml:space="preserve">200 μM (72 h):  decrease; medium w/ 5% FBS &amp; 10% HS; CMIA (T); viability (CCK8):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(10% decrease at 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- shifting them to G2 phase - inducing senescence)</t>
    </r>
  </si>
  <si>
    <t>Miconazole</t>
  </si>
  <si>
    <r>
      <t xml:space="preserve">0.1-30 μM (48 h): effective con. </t>
    </r>
    <r>
      <rPr>
        <sz val="11"/>
        <rFont val="Symbol"/>
        <family val="1"/>
        <charset val="2"/>
      </rPr>
      <t>³0.1</t>
    </r>
    <r>
      <rPr>
        <sz val="11"/>
        <rFont val="Aptos Narrow"/>
        <family val="2"/>
      </rPr>
      <t xml:space="preserve"> µM for T &amp; E2 (decrease) &amp; </t>
    </r>
    <r>
      <rPr>
        <sz val="11"/>
        <rFont val="Calibri"/>
        <family val="2"/>
        <charset val="238"/>
      </rPr>
      <t>≥0.</t>
    </r>
    <r>
      <rPr>
        <sz val="11"/>
        <rFont val="Aptos Narrow"/>
        <family val="2"/>
      </rPr>
      <t xml:space="preserve">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 (increase)</t>
    </r>
    <r>
      <rPr>
        <sz val="11"/>
        <rFont val="Aptos Narrow"/>
        <family val="2"/>
        <scheme val="minor"/>
      </rPr>
      <t xml:space="preserve">; medium w/ 2.5% Nu-serum; ELISA (T&amp;E2&amp;P4); viability (resazurin assay): 30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cytotox.</t>
    </r>
  </si>
  <si>
    <r>
      <t>0.001-10 μM (48 h): 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0.19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P4 (increase) &amp;  0.042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 &amp; 0.045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&amp; 0.21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 xml:space="preserve">M for E2 </t>
    </r>
    <r>
      <rPr>
        <sz val="11"/>
        <rFont val="Aptos Narrow"/>
        <family val="2"/>
      </rPr>
      <t>(decrease)</t>
    </r>
    <r>
      <rPr>
        <sz val="11"/>
        <rFont val="Aptos Narrow"/>
        <family val="2"/>
        <scheme val="minor"/>
      </rPr>
      <t xml:space="preserve">; medium w/ 2.5% Nu-serum;  LC-MS/MS (T&amp;E2&amp;P4&amp;A4); viability (resazurin assay): wells with viability </t>
    </r>
    <r>
      <rPr>
        <sz val="11"/>
        <rFont val="Aptos Narrow"/>
        <family val="2"/>
      </rPr>
      <t xml:space="preserve">&lt; </t>
    </r>
    <r>
      <rPr>
        <sz val="11"/>
        <rFont val="Aptos Narrow"/>
        <family val="2"/>
        <scheme val="minor"/>
      </rPr>
      <t xml:space="preserve">80% of the solvent control was excluded (1&amp;10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cytotox.)</t>
    </r>
    <r>
      <rPr>
        <sz val="11"/>
        <rFont val="Aptos Narrow"/>
        <family val="2"/>
        <scheme val="minor"/>
      </rPr>
      <t xml:space="preserve">; FSK (1 &amp;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M) and prochloraz (0.1 &amp;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 included as positive controls for quality control according to OECD quideline</t>
    </r>
    <r>
      <rPr>
        <sz val="11"/>
        <rFont val="Aptos Narrow"/>
        <family val="2"/>
        <scheme val="minor"/>
      </rPr>
      <t>; E1 also measured</t>
    </r>
  </si>
  <si>
    <r>
      <t xml:space="preserve">20 μM (0.5-h exposure+6-h stimulation w/ db-cAMP):  </t>
    </r>
    <r>
      <rPr>
        <sz val="11"/>
        <rFont val="Aptos Narrow"/>
        <family val="2"/>
        <scheme val="minor"/>
      </rPr>
      <t>decrease; serum-free medium; RIA (P4)</t>
    </r>
  </si>
  <si>
    <r>
      <t xml:space="preserve">10-100 μM (2&amp;4 h): 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for P4 (decrease, inducing a parallel decrease in total protein amount); serum-free medium; RIA (P4); viability (protein amount, microscopy): after 4 h, treated cells  exhibited numerous membrane blebs; StAR identified as a target</t>
    </r>
  </si>
  <si>
    <r>
      <t xml:space="preserve">0.1- 10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 (0.24-24.03</t>
    </r>
    <r>
      <rPr>
        <sz val="11"/>
        <rFont val="Aptos Narrow"/>
        <family val="2"/>
        <scheme val="minor"/>
      </rPr>
      <t xml:space="preserve"> µM) (3 h): effective con. - </t>
    </r>
    <r>
      <rPr>
        <sz val="11"/>
        <rFont val="Calibri"/>
        <family val="2"/>
        <charset val="238"/>
      </rPr>
      <t>≥2.4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</t>
    </r>
    <r>
      <rPr>
        <sz val="11"/>
        <rFont val="Aptos Narrow"/>
        <family val="2"/>
        <scheme val="minor"/>
      </rPr>
      <t xml:space="preserve">in non-stimulated and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1.2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 M in </t>
    </r>
    <r>
      <rPr>
        <sz val="11"/>
        <rFont val="Aptos Narrow"/>
        <family val="2"/>
        <scheme val="minor"/>
      </rPr>
      <t>stimulated cells for T (decrease)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serum-free medium;  RIA (T); viability (trypan blue exclusion assay)</t>
    </r>
  </si>
  <si>
    <t>Mifepristone (RU 486)</t>
  </si>
  <si>
    <r>
      <t xml:space="preserve">0.0001-100 μM (48 h): Lab 1 - LOEC = 0.1 </t>
    </r>
    <r>
      <rPr>
        <sz val="11"/>
        <rFont val="Aptos Narrow"/>
        <family val="2"/>
      </rPr>
      <t>µM for T &amp;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</si>
  <si>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t>0.41-100 μM (48 h) - HT H295R;   LOEC = 0.41 µM for P (increase); "one concentration was positive (3.33 µM) for T↑, but this did not meet the criteria for a positive hitcall.; medium w/ 2.5% NuSerum; HPLC/MS-MS (T&amp;E2&amp;P4&amp;A4); viability measured (MTT assay); estrone was also measured</t>
  </si>
  <si>
    <t>10-300 μM (6 h):  no effect on T; medium w/o serum; RIA (T - intracellular&amp;in medium)</t>
  </si>
  <si>
    <t>1 μM (21 days):  no effect on T; medium w/o serum but w/ LH and additional factors; IMMULITE® 2000 Immunoassay System and Total Testosterone Kit (T); viability: no change in cell number</t>
  </si>
  <si>
    <t>Prochloraz</t>
  </si>
  <si>
    <r>
      <t xml:space="preserve">0.1-30 </t>
    </r>
    <r>
      <rPr>
        <sz val="11"/>
        <rFont val="Aptos Narrow"/>
        <family val="2"/>
      </rPr>
      <t xml:space="preserve">µM (4 h): no conc. affected </t>
    </r>
    <r>
      <rPr>
        <sz val="11"/>
        <rFont val="Aptos Narrow"/>
        <family val="2"/>
        <scheme val="minor"/>
      </rPr>
      <t xml:space="preserve">T levels when applied alone, but a decrease was observed under hCG stimulation (only 30 µM was tested in this condition); medium w/ 10% FBS; EIA (T); non-cytotoxic conc. (MTT assay) </t>
    </r>
  </si>
  <si>
    <r>
      <t xml:space="preserve">0.01-3 </t>
    </r>
    <r>
      <rPr>
        <sz val="11"/>
        <rFont val="Aptos Narrow"/>
        <family val="2"/>
      </rPr>
      <t xml:space="preserve">µM (48 h): effective con.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0.1 µM for E2 (decrease) &amp;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0.1 µM for P4 (increase)</t>
    </r>
    <r>
      <rPr>
        <sz val="11"/>
        <rFont val="Aptos Narrow"/>
        <family val="2"/>
        <scheme val="minor"/>
      </rPr>
      <t>; medium w/ 2% Nu-serum&amp;1.25% BSA; FIA (T, P4, E2); viability (resazurin assay): no cytotox.</t>
    </r>
  </si>
  <si>
    <r>
      <t xml:space="preserve">0.005-1 </t>
    </r>
    <r>
      <rPr>
        <sz val="11"/>
        <rFont val="Aptos Narrow"/>
        <family val="2"/>
      </rPr>
      <t>µM (48 h): a clear decrease in T (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0.01 µM) &amp; E2 (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0.1 µM), while P4 increased (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>0.05 µM)</t>
    </r>
    <r>
      <rPr>
        <sz val="11"/>
        <rFont val="Aptos Narrow"/>
        <family val="2"/>
        <scheme val="minor"/>
      </rPr>
      <t>; medium w/ 2.5% Nu-serum; ELISA (T, P4/P5, E2) - the antibody to P4 exhibited 61% cross-reactivity with P5; cytotoxic conc. not included (MTT assay)</t>
    </r>
  </si>
  <si>
    <r>
      <t xml:space="preserve">0.001-5 μM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>0.1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(decrease)</t>
    </r>
    <r>
      <rPr>
        <sz val="11"/>
        <rFont val="Aptos Narrow"/>
        <family val="2"/>
        <scheme val="minor"/>
      </rPr>
      <t>; medium w/ 2.5% Nu-serum; ELISA (T&amp;E2); viability (MTT assay)</t>
    </r>
  </si>
  <si>
    <r>
      <t xml:space="preserve">0.01-10 μM (24 h): effective con. </t>
    </r>
    <r>
      <rPr>
        <sz val="11"/>
        <rFont val="Calibri"/>
        <family val="2"/>
        <charset val="238"/>
      </rPr>
      <t>≥</t>
    </r>
    <r>
      <rPr>
        <sz val="9.35"/>
        <rFont val="Aptos Narrow"/>
        <family val="2"/>
      </rPr>
      <t>0.01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 (increase)</t>
    </r>
    <r>
      <rPr>
        <sz val="11"/>
        <rFont val="Aptos Narrow"/>
        <family val="2"/>
        <scheme val="minor"/>
      </rPr>
      <t>; ELISA (P4); viability ( CellTiter 96® AQueos One Solution Reagent assay): no cytotoxicity</t>
    </r>
  </si>
  <si>
    <r>
      <t xml:space="preserve">3 </t>
    </r>
    <r>
      <rPr>
        <sz val="11"/>
        <rFont val="Aptos Narrow"/>
        <family val="2"/>
      </rPr>
      <t>µM (48 h); medium w/ 2.5% NU-serum; ELISA (T, E2)</t>
    </r>
  </si>
  <si>
    <r>
      <t xml:space="preserve">0.01-5 μM (48 h): effective con. </t>
    </r>
    <r>
      <rPr>
        <sz val="11"/>
        <rFont val="Symbol"/>
        <family val="1"/>
        <charset val="2"/>
      </rPr>
      <t>³0.01</t>
    </r>
    <r>
      <rPr>
        <sz val="11"/>
        <rFont val="Aptos Narrow"/>
        <family val="2"/>
      </rPr>
      <t xml:space="preserve"> µM for T &amp; 0.1 µM for E2</t>
    </r>
    <r>
      <rPr>
        <sz val="11"/>
        <rFont val="Aptos Narrow"/>
        <family val="2"/>
        <scheme val="minor"/>
      </rPr>
      <t>; medium w/ 5% Nu-serum; ELISA (T&amp;E2); cytotoxic conc. (MTT assay)  excluded</t>
    </r>
  </si>
  <si>
    <r>
      <t xml:space="preserve">0.01-3 μM (48 h): effective con. </t>
    </r>
    <r>
      <rPr>
        <sz val="11"/>
        <rFont val="Symbol"/>
        <family val="1"/>
        <charset val="2"/>
      </rPr>
      <t>³0.01</t>
    </r>
    <r>
      <rPr>
        <sz val="11"/>
        <rFont val="Aptos Narrow"/>
        <family val="2"/>
      </rPr>
      <t xml:space="preserve"> µM for T &amp; E2 (decrease) &amp; </t>
    </r>
    <r>
      <rPr>
        <sz val="11"/>
        <rFont val="Calibri"/>
        <family val="2"/>
        <charset val="238"/>
      </rPr>
      <t>≥0.01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 (increase)</t>
    </r>
    <r>
      <rPr>
        <sz val="11"/>
        <rFont val="Aptos Narrow"/>
        <family val="2"/>
        <scheme val="minor"/>
      </rPr>
      <t xml:space="preserve">; medium w/ 2.5% Nu-serum; ELISA (T&amp;E2&amp;P4); viability (resazurin assay): &gt;3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cytotox.</t>
    </r>
  </si>
  <si>
    <t>0.3 &amp; 3 μM (48 h): decreased in T&amp;E2&amp;P4 (values specified for T only. For E2 and P4: "in accordance with previous findings") - It was used alongside forskolin as a quality control for each cell batch; medium w/ 2.5% Nu-serum; RIA (T&amp;E2&amp;P4); cytotoxic conc. (alamarBlue assay)  excluded</t>
  </si>
  <si>
    <r>
      <t xml:space="preserve">0.0001-100 μM (48 h): Lab 1 - LOEC = 0.0001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</si>
  <si>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0.1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</si>
  <si>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3 - LOEC = 0.0001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RIA (T&amp;E2); conc. with viability &lt; 80% excluded</t>
    </r>
  </si>
  <si>
    <r>
      <t xml:space="preserve">0.0001-100 μM (48 h): Lab 4 - LOEC = 0.01 </t>
    </r>
    <r>
      <rPr>
        <sz val="11"/>
        <rFont val="Aptos Narrow"/>
        <family val="2"/>
      </rPr>
      <t>µM for T &amp; 0.01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</si>
  <si>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6 - LOEC = 0.01 </t>
    </r>
    <r>
      <rPr>
        <sz val="11"/>
        <rFont val="Aptos Narrow"/>
        <family val="2"/>
      </rPr>
      <t>µM for T &amp; 0.01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</si>
  <si>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0.01-3 μM (48 h): Lab 1 - LOEC = 0.01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</si>
  <si>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r>
      <t xml:space="preserve">0.01-3 μM (48 h): Lab 2 - LOEC = 0.03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ELISA (T&amp;E2); cytotoxic conc. (MTT assay) excluded</t>
    </r>
  </si>
  <si>
    <r>
      <t xml:space="preserve">0.01-3 μM (48 h): Lab 3 - LOEC = 0.03 </t>
    </r>
    <r>
      <rPr>
        <sz val="11"/>
        <rFont val="Aptos Narrow"/>
        <family val="2"/>
      </rPr>
      <t>µM for T &amp; 0.1 µM for E2</t>
    </r>
    <r>
      <rPr>
        <sz val="11"/>
        <rFont val="Aptos Narrow"/>
        <family val="2"/>
        <scheme val="minor"/>
      </rPr>
      <t>; medium w/ 2.5% Nu-serum; RIA (T&amp;E2); cytotoxic conc. ( Live/ dead kit) excluded</t>
    </r>
  </si>
  <si>
    <r>
      <t xml:space="preserve">0.01-3 μM (48 h): Lab 4 - LOEC = 0.01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</si>
  <si>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r>
      <t xml:space="preserve">0.01-13 μM (48 h): Lab 5 - LOEC = 0.03 </t>
    </r>
    <r>
      <rPr>
        <sz val="11"/>
        <rFont val="Aptos Narrow"/>
        <family val="2"/>
      </rPr>
      <t>µM for T &amp; 0.3 µM for E2</t>
    </r>
    <r>
      <rPr>
        <sz val="11"/>
        <rFont val="Aptos Narrow"/>
        <family val="2"/>
        <scheme val="minor"/>
      </rPr>
      <t>; medium w/ 2.5% Nu-serum; ELISA (T&amp;E2); cytotoxic conc. ( Live/ dead kit) excluded</t>
    </r>
  </si>
  <si>
    <r>
      <t xml:space="preserve">0.001-10 </t>
    </r>
    <r>
      <rPr>
        <sz val="11"/>
        <rFont val="Aptos Narrow"/>
        <family val="2"/>
      </rPr>
      <t>µM (72 h): EC50 = 0.2 µM for P4 &amp; 0.06 µM for A4, no clear trend for T and E2  (decrease for E1 with EC50 = 0.1 µ</t>
    </r>
    <r>
      <rPr>
        <sz val="9.35"/>
        <rFont val="Aptos Narrow"/>
        <family val="2"/>
      </rPr>
      <t>M</t>
    </r>
    <r>
      <rPr>
        <sz val="11"/>
        <rFont val="Aptos Narrow"/>
        <family val="2"/>
      </rPr>
      <t xml:space="preserve">); medium w/ 5% Nu-serum; </t>
    </r>
    <r>
      <rPr>
        <sz val="11"/>
        <rFont val="Aptos Narrow"/>
        <family val="2"/>
        <scheme val="minor"/>
      </rPr>
      <t>GC-MS (T, P4, A4, E2, E1); no cytotoxicity (Alamar Blue viability assay)</t>
    </r>
  </si>
  <si>
    <r>
      <t xml:space="preserve">0.001-10 μM (48 h) for EIA and 5 </t>
    </r>
    <r>
      <rPr>
        <sz val="11"/>
        <rFont val="Aptos Narrow"/>
        <family val="2"/>
      </rPr>
      <t>µM (48 h) for GC-MS/MS &amp; UPLC ToF-MS</t>
    </r>
    <r>
      <rPr>
        <sz val="11"/>
        <rFont val="Aptos Narrow"/>
        <family val="2"/>
        <scheme val="minor"/>
      </rPr>
      <t xml:space="preserve">:  effective con.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0.01 µM for T, </t>
    </r>
    <r>
      <rPr>
        <sz val="11"/>
        <rFont val="Symbol"/>
        <family val="1"/>
        <charset val="2"/>
      </rPr>
      <t>³</t>
    </r>
    <r>
      <rPr>
        <sz val="11"/>
        <rFont val="Aptos Narrow"/>
        <family val="2"/>
      </rPr>
      <t xml:space="preserve">0.01 µM for E2 &amp; </t>
    </r>
    <r>
      <rPr>
        <sz val="11"/>
        <rFont val="Symbol"/>
        <family val="1"/>
        <charset val="2"/>
      </rPr>
      <t>³0.</t>
    </r>
    <r>
      <rPr>
        <sz val="11"/>
        <rFont val="Aptos Narrow"/>
        <family val="2"/>
      </rPr>
      <t>1 µM for P4 (measured by EIA), similar results observed using chromatography-based methods</t>
    </r>
    <r>
      <rPr>
        <sz val="11"/>
        <rFont val="Aptos Narrow"/>
        <family val="2"/>
        <scheme val="minor"/>
      </rPr>
      <t>; medium with/ 2.5% NU-serum; EIA (T, E2, P4) - 61% cross-reactivity of the P4 antibody with P5&amp;GC-MS/MS &amp; UPLC ToF-MS (both T&amp;E2&amp;A4&amp;P4); cytotoxic conc. ( WST-1 and ATPlite assays) excluded; E1 also measured</t>
    </r>
  </si>
  <si>
    <r>
      <t>0.01-1 µM (48 h): EC</t>
    </r>
    <r>
      <rPr>
        <vertAlign val="subscript"/>
        <sz val="11"/>
        <rFont val="Aptos Narrow"/>
        <family val="2"/>
        <scheme val="minor"/>
      </rPr>
      <t>50</t>
    </r>
    <r>
      <rPr>
        <sz val="11"/>
        <rFont val="Aptos Narrow"/>
        <family val="2"/>
        <scheme val="minor"/>
      </rPr>
      <t xml:space="preserve"> = 0.01-0.04 </t>
    </r>
    <r>
      <rPr>
        <sz val="11"/>
        <rFont val="Aptos Narrow"/>
        <family val="2"/>
      </rPr>
      <t xml:space="preserve">µM for T &amp; 0.04-0.13 µM for E2 (decreases) &amp; 0.3 µM for </t>
    </r>
    <r>
      <rPr>
        <sz val="11"/>
        <rFont val="Aptos Narrow"/>
        <family val="2"/>
        <scheme val="minor"/>
      </rPr>
      <t>P4 (increase)</t>
    </r>
    <r>
      <rPr>
        <sz val="11"/>
        <rFont val="Aptos Narrow"/>
        <family val="2"/>
      </rPr>
      <t xml:space="preserve">; </t>
    </r>
    <r>
      <rPr>
        <sz val="11"/>
        <rFont val="Aptos Narrow"/>
        <family val="2"/>
        <scheme val="minor"/>
      </rPr>
      <t>medium w/ 2.5% Nu-serum; LC-MS/MS (T&amp;P4&amp;E2) &amp; DELFIA (P4&amp;E2&amp;T); cytotoxicity measured (MTT assay), data not provided; E1 also measured</t>
    </r>
  </si>
  <si>
    <r>
      <t xml:space="preserve">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used as a model inhibitor; medium w/ 2.5% Nu-serum;  LC–MS/MS (E2&amp;T)</t>
    </r>
  </si>
  <si>
    <r>
      <t xml:space="preserve">4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(30 h): used as a model inhibitor, but increased P4; medium w/ 2.5% Nu-serum; MULTI-SPOT ECL (P4&amp;T), cytotoxic con. (Cell Titer Glo kit) excluded</t>
    </r>
  </si>
  <si>
    <t>1 &amp; 3 μM (24 h):  no effect; medium w/ 1% stripped FBS; ELISA (E2); no decrease in viability (RTCA), E1 decreased (no effect on E3); E1/E3 also measured</t>
  </si>
  <si>
    <r>
      <t xml:space="preserve">0.001-5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(48 h): Lab 1 - with EC50 = 0.06–0.58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&amp; 0.07–0.16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</t>
    </r>
    <r>
      <rPr>
        <sz val="11"/>
        <rFont val="Aptos Narrow"/>
        <family val="2"/>
        <scheme val="minor"/>
      </rPr>
      <t>; medium w/ 2.5% Nu-serum; LC-MS/MS (E2&amp;T), cytotoxic con. (CellTiter 96 Aqueous One SolutionCell Proliferation Assay Kit) excluded (&gt; 80% cell viability)</t>
    </r>
  </si>
  <si>
    <r>
      <rPr>
        <sz val="11"/>
        <color rgb="FF000000"/>
        <rFont val="Aptos Narrow"/>
        <family val="2"/>
        <scheme val="minor"/>
      </rPr>
      <t xml:space="preserve">0.001-5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</t>
    </r>
    <r>
      <rPr>
        <sz val="11"/>
        <color rgb="FF000000"/>
        <rFont val="Aptos Narrow"/>
        <family val="2"/>
        <scheme val="minor"/>
      </rPr>
      <t xml:space="preserve"> (48 h): Lab 2 - with EC50 = 0.06–0.58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T &amp; 0.08–0.30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E2</t>
    </r>
    <r>
      <rPr>
        <sz val="11"/>
        <color rgb="FF000000"/>
        <rFont val="Aptos Narrow"/>
        <family val="2"/>
        <scheme val="minor"/>
      </rPr>
      <t>; medium w/ 2.5% Nu-serum; LC-MS/MS (E2&amp;T), cytotoxic con. (CellTiter 96 Aqueous One SolutionCell Proliferation Assay Kit) excluded (&gt; 80% cell viability)</t>
    </r>
  </si>
  <si>
    <r>
      <t xml:space="preserve">0.1 &amp; 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0.1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e</t>
    </r>
    <r>
      <rPr>
        <sz val="11"/>
        <rFont val="Aptos Narrow"/>
        <family val="2"/>
        <scheme val="minor"/>
      </rPr>
      <t xml:space="preserve">ffective conc. only for T; medium w/ 2.5% Nu-serum;  ELISA (E2) &amp; RIA (free T), cytotoxic con. (CellTiter 96 Aqueous One SolutionCell Proliferation Assay Kit) excluded </t>
    </r>
  </si>
  <si>
    <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all hormone levels decreased, except for P4, which increased; medium w/ 2.5% Nu-serum;  LC-MS/MS (A4&amp;T&amp;P4) &amp; EIA (E2), cytotoxic con. (WST-1 or the ATPlite assays) excluded </t>
    </r>
  </si>
  <si>
    <r>
      <t>0-10 μM (48 h): EC</t>
    </r>
    <r>
      <rPr>
        <vertAlign val="subscript"/>
        <sz val="11"/>
        <rFont val="Aptos Narrow"/>
        <family val="2"/>
        <charset val="238"/>
        <scheme val="minor"/>
      </rPr>
      <t>50 =</t>
    </r>
    <r>
      <rPr>
        <sz val="11"/>
        <rFont val="Aptos Narrow"/>
        <family val="2"/>
        <scheme val="minor"/>
      </rPr>
      <t xml:space="preserve"> 0</t>
    </r>
    <r>
      <rPr>
        <sz val="11"/>
        <rFont val="Aptos Narrow"/>
        <family val="2"/>
      </rPr>
      <t xml:space="preserve">.17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T&amp;A4 &amp; 0.12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for E2</t>
    </r>
    <r>
      <rPr>
        <sz val="11"/>
        <rFont val="Aptos Narrow"/>
        <family val="2"/>
      </rPr>
      <t xml:space="preserve"> (decrease) &amp; 0.18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for P4</t>
    </r>
    <r>
      <rPr>
        <sz val="11"/>
        <rFont val="Aptos Narrow"/>
        <family val="2"/>
      </rPr>
      <t xml:space="preserve"> (increase) in FSK-stimulated cells, no effect on P4&amp;E2</t>
    </r>
    <r>
      <rPr>
        <sz val="11"/>
        <rFont val="Aptos Narrow"/>
        <family val="2"/>
        <scheme val="minor"/>
      </rPr>
      <t xml:space="preserve">; medium with/ 2.5% Nu-serum; HPLC-MS/MS (A4&amp;T&amp;P4&amp;E2); viability (MTT assay); HTS-H295R set-up: cells were first preincubated with FSK (10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 followed by 48-h exposure to chemicals of interest in a 96-well plate; E1 also measured</t>
    </r>
  </si>
  <si>
    <r>
      <t xml:space="preserve">0.01-10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effective con. 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T&amp;A4 and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E2, P4 increased from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to 0.3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M, followed by a continuous decline up to the solvent control</t>
    </r>
    <r>
      <rPr>
        <sz val="11"/>
        <rFont val="Aptos Narrow"/>
        <family val="2"/>
        <scheme val="minor"/>
      </rPr>
      <t>; medium w/ 2.5% Nu-serum;  GC-MS/MS (A4&amp;P4&amp;T&amp;E2), cytotoxic con. (CCK-8) excluded; E1 also measured</t>
    </r>
  </si>
  <si>
    <r>
      <t xml:space="preserve">0.001-1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 xml:space="preserve">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0.001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E2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A4&amp;T &amp; </t>
    </r>
    <r>
      <rPr>
        <sz val="11"/>
        <rFont val="Calibri"/>
        <family val="2"/>
        <charset val="238"/>
      </rPr>
      <t>≥0.0</t>
    </r>
    <r>
      <rPr>
        <sz val="11"/>
        <rFont val="Aptos Narrow"/>
        <family val="2"/>
      </rPr>
      <t xml:space="preserve">1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P4</t>
    </r>
    <r>
      <rPr>
        <sz val="11"/>
        <rFont val="Aptos Narrow"/>
        <family val="2"/>
        <scheme val="minor"/>
      </rPr>
      <t>; serum-free medium;  LC-MS/MS (A4&amp;P4&amp;T&amp;E2), cytotoxic con. (resazurin assay) excluded; E1 also mesured</t>
    </r>
  </si>
  <si>
    <r>
      <rPr>
        <sz val="11"/>
        <color rgb="FF000000"/>
        <rFont val="Aptos Narrow"/>
        <family val="2"/>
      </rPr>
      <t>3 μM; data not shown; medium w/ 2.5% NuSerum; ELISA (T&amp;E2); viability measured (MTT assay); slight &amp; not concentration-dependent increase (1.4×</t>
    </r>
    <r>
      <rPr>
        <sz val="9.35"/>
        <color rgb="FF000000"/>
        <rFont val="Aptos Narrow"/>
        <family val="2"/>
      </rPr>
      <t>)</t>
    </r>
    <r>
      <rPr>
        <sz val="11"/>
        <color rgb="FF000000"/>
        <rFont val="Aptos Narrow"/>
        <family val="2"/>
      </rPr>
      <t xml:space="preserve"> for T</t>
    </r>
  </si>
  <si>
    <r>
      <t xml:space="preserve">1 nM-1 μM (48 h) - HT H295R:  LOEC = 0.012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A4, T (decrease) &amp; </t>
    </r>
    <r>
      <rPr>
        <sz val="11"/>
        <rFont val="Aptos Narrow"/>
        <family val="2"/>
        <scheme val="minor"/>
      </rPr>
      <t xml:space="preserve">0.12 </t>
    </r>
    <r>
      <rPr>
        <sz val="11"/>
        <rFont val="Aptos Narrow"/>
        <family val="2"/>
      </rPr>
      <t>µM for P (increase), E2 (decrease)</t>
    </r>
    <r>
      <rPr>
        <sz val="11"/>
        <rFont val="Aptos Narrow"/>
        <family val="2"/>
        <scheme val="minor"/>
      </rPr>
      <t>; medium w/ 2.5% NuSerum; HPLC/MS-MS (T&amp;E2&amp;P4&amp;A4); viability measured (MTT assay); estrone was also measured</t>
    </r>
  </si>
  <si>
    <r>
      <rPr>
        <sz val="11"/>
        <color rgb="FF000000"/>
        <rFont val="Aptos Narrow"/>
        <family val="2"/>
      </rPr>
      <t xml:space="preserve">4.1 nM-1 μM (48 h) - HT H295R:  LOEC = 0.012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A4, T (decrease) &amp; 0.12 µM for P (increase), E2 (decrease); medium w/ 2.5% NuSerum; HPLC/MS-MS (T&amp;E2&amp;P4&amp;A4); viability measured (MTT assay); estrone was also measured</t>
    </r>
  </si>
  <si>
    <r>
      <t xml:space="preserve">1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used as a model inhibitor; medium w/ 2.5% Nu-serum;  UHPLC-MS/MS (A4&amp;P4), cytotoxic con. (XTT assay) excluded </t>
    </r>
  </si>
  <si>
    <r>
      <t xml:space="preserve">1 &amp; 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(48 h): both conc. effective for T and none for E2; medium w/ 2.5% Nu-serum;  ELISA (T&amp;E2), cytotoxic con. (CCK-8 reagent) excluded </t>
    </r>
  </si>
  <si>
    <r>
      <t xml:space="preserve">0.1 &amp; 1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T&amp;A4&amp;E2 decreased</t>
    </r>
    <r>
      <rPr>
        <sz val="11"/>
        <rFont val="Aptos Narrow"/>
        <family val="2"/>
      </rPr>
      <t xml:space="preserve"> &amp; P4 increased</t>
    </r>
    <r>
      <rPr>
        <sz val="11"/>
        <rFont val="Aptos Narrow"/>
        <family val="2"/>
        <scheme val="minor"/>
      </rPr>
      <t>; medium w/ 5% FBS;  LC-MS/MS  (T&amp;E2&amp;A4&amp;P4), cytotoxic con. (MTT assay) excluded; E1/E2 also measured</t>
    </r>
  </si>
  <si>
    <r>
      <t xml:space="preserve">1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T&amp;A4 decreased</t>
    </r>
    <r>
      <rPr>
        <sz val="11"/>
        <rFont val="Aptos Narrow"/>
        <family val="2"/>
      </rPr>
      <t xml:space="preserve"> &amp; P4 increased &amp; E2 not affected</t>
    </r>
    <r>
      <rPr>
        <sz val="11"/>
        <rFont val="Aptos Narrow"/>
        <family val="2"/>
        <scheme val="minor"/>
      </rPr>
      <t xml:space="preserve">; medium w/ 2.5% Nu-serum;  UHPLC-MS  (untargeted profiling: P4&amp;T&amp;E2&amp;A4); viability (MTT assay): up to 10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 no cytotox.</t>
    </r>
    <r>
      <rPr>
        <sz val="11"/>
        <rFont val="Aptos Narrow"/>
        <family val="2"/>
        <scheme val="minor"/>
      </rPr>
      <t>; E1 also measured</t>
    </r>
  </si>
  <si>
    <r>
      <t xml:space="preserve">1 &amp; 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h): used as a model inhibitor (both conc. effective), medium w/ 2.5% Nu-serum;  ELISA  (T&amp;E2)</t>
    </r>
  </si>
  <si>
    <t>1 μM (48 h):  medium w/ 2.5% Nu-serum;  UHPLC-MS/MS (P4&amp;A4); viability (XTT assay)</t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</si>
  <si>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(48 h): decrease in T</t>
    </r>
    <r>
      <rPr>
        <sz val="11"/>
        <rFont val="Aptos Narrow"/>
        <family val="2"/>
      </rPr>
      <t>;</t>
    </r>
    <r>
      <rPr>
        <sz val="11"/>
        <rFont val="Aptos Narrow"/>
        <family val="2"/>
        <scheme val="minor"/>
      </rPr>
      <t xml:space="preserve"> medium w/ 15% FBS;  RIA (T); viability (MTT assay)</t>
    </r>
  </si>
  <si>
    <r>
      <t xml:space="preserve">6.25-100 </t>
    </r>
    <r>
      <rPr>
        <sz val="11"/>
        <rFont val="Aptos Narrow"/>
        <family val="2"/>
      </rPr>
      <t xml:space="preserve">µM (48-h exposure+3-h incubation w/ or w/o hCG): effective con.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6.25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(decrease) in non-stimulated cells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50 µM (decrease) in stimulated cells for P4 </t>
    </r>
    <r>
      <rPr>
        <sz val="11"/>
        <rFont val="Aptos Narrow"/>
        <family val="2"/>
        <scheme val="minor"/>
      </rPr>
      <t>; medium not specified; FIA (P4); viability (resazurin assay)</t>
    </r>
  </si>
  <si>
    <r>
      <t xml:space="preserve">1.13 mg/L (3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M) (48 h): decrease in T&amp;E2 in LH-stimulated cells; medium w/ 10% Nu-serum;  ELISA  (T&amp;E2); viability (WST-1 assay) </t>
    </r>
  </si>
  <si>
    <t>Spironolactone</t>
  </si>
  <si>
    <r>
      <t xml:space="preserve">0.0001-100 μM (48 h): Lab 1 - LOEC = 1 </t>
    </r>
    <r>
      <rPr>
        <sz val="11"/>
        <rFont val="Aptos Narrow"/>
        <family val="2"/>
      </rPr>
      <t>µM for T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</si>
  <si>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1 </t>
    </r>
    <r>
      <rPr>
        <sz val="11"/>
        <rFont val="Aptos Narrow"/>
        <family val="2"/>
      </rPr>
      <t>µM for T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</si>
  <si>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150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  <r>
      <rPr>
        <sz val="11"/>
        <rFont val="Aptos Narrow"/>
        <family val="2"/>
        <scheme val="minor"/>
      </rPr>
      <t xml:space="preserve"> (30 h): TC10 (10% unspecified cytotoxicity); medium w/ 2.5% Nu-serum; MULTI-SPOT ECL (P4&amp;T), cytotoxic con. (Cell Titer Glo kit) excluded</t>
    </r>
  </si>
  <si>
    <t>0.041 - 10 μM (48 h); medium w/ 2.5% NuSerum; HPLC/MS-MS (T&amp;E2&amp;P4&amp;A4); viability measured (MTT assay); estrone was also measured</t>
  </si>
  <si>
    <t>pig (neonatal/early postnatal: 2-4-w)</t>
  </si>
  <si>
    <r>
      <t xml:space="preserve">0.25-250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(4 h): effective con. </t>
    </r>
    <r>
      <rPr>
        <sz val="11"/>
        <rFont val="Calibri"/>
        <family val="2"/>
        <charset val="238"/>
      </rPr>
      <t>≥25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(increase) for P4 in hCG-stimulated cells</t>
    </r>
    <r>
      <rPr>
        <sz val="11"/>
        <rFont val="Aptos Narrow"/>
        <family val="2"/>
        <scheme val="minor"/>
      </rPr>
      <t>; medium w/ 0.1% FBS;  RIA  (T&amp;P4); viability (MTT assay) - no cytotox.</t>
    </r>
  </si>
  <si>
    <t>Trilostane</t>
  </si>
  <si>
    <r>
      <t xml:space="preserve">0.0001-100 μM (48 h): Lab 1 - LOEC = 0.1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</si>
  <si>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2 - LOEC = 0.01 </t>
    </r>
    <r>
      <rPr>
        <sz val="11"/>
        <rFont val="Aptos Narrow"/>
        <family val="2"/>
      </rPr>
      <t>µM for T &amp; 100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</si>
  <si>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4 - LOEC = 1 </t>
    </r>
    <r>
      <rPr>
        <sz val="11"/>
        <rFont val="Aptos Narrow"/>
        <family val="2"/>
      </rPr>
      <t>µM for T &amp;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</si>
  <si>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r>
      <t xml:space="preserve">0.0001-100 μM (48 h): Lab 6 - LOEC = 0.01 </t>
    </r>
    <r>
      <rPr>
        <sz val="11"/>
        <rFont val="Aptos Narrow"/>
        <family val="2"/>
      </rPr>
      <t>µM for T &amp; 1 µM for E2</t>
    </r>
    <r>
      <rPr>
        <sz val="11"/>
        <rFont val="Aptos Narrow"/>
        <family val="2"/>
        <scheme val="minor"/>
      </rPr>
      <t>; medium w/ 2.5% Nu-serum; ELISA (T&amp;E2); conc. with viability &lt; 80% excluded</t>
    </r>
  </si>
  <si>
    <t>10 μM (48 h): decrease; medium w/ 2.5% Ultroser G; ELISA (A4)</t>
  </si>
  <si>
    <t>5 μM (48 h): decrease in T&amp;E2&amp;P4&amp;A4; medium with/ 2.5% NU-serum; GC-MS/MS &amp; UPLC ToF-MS (both T&amp;E2&amp;A4&amp;P4); cytotoxic conc. ( WST-1 and ATPlite assays) excluded; E1 also measured</t>
  </si>
  <si>
    <t xml:space="preserve">10 μM (24 h); medium with/ 2.5% FBS and 5% HS; EIA (T); viability (CCK-8 assay) </t>
  </si>
  <si>
    <t>Vinclozolin</t>
  </si>
  <si>
    <r>
      <rPr>
        <sz val="11"/>
        <color rgb="FF000000"/>
        <rFont val="Aptos Narrow"/>
        <family val="2"/>
        <scheme val="minor"/>
      </rPr>
      <t xml:space="preserve">1-500 </t>
    </r>
    <r>
      <rPr>
        <sz val="11"/>
        <color rgb="FF000000"/>
        <rFont val="Aptos Narrow"/>
        <family val="2"/>
      </rPr>
      <t>µM (48 h): a clear</t>
    </r>
    <r>
      <rPr>
        <b/>
        <sz val="11"/>
        <color rgb="FFFF0000"/>
        <rFont val="Aptos Narrow"/>
        <family val="2"/>
      </rPr>
      <t xml:space="preserve"> </t>
    </r>
    <r>
      <rPr>
        <sz val="11"/>
        <color rgb="FF000000"/>
        <rFont val="Aptos Narrow"/>
        <family val="2"/>
      </rPr>
      <t>decrease in T &amp; P4 (</t>
    </r>
    <r>
      <rPr>
        <sz val="11"/>
        <color rgb="FF000000"/>
        <rFont val="Symbol"/>
        <family val="1"/>
        <charset val="2"/>
      </rPr>
      <t>³30-100</t>
    </r>
    <r>
      <rPr>
        <sz val="11"/>
        <color rgb="FF000000"/>
        <rFont val="Aptos Narrow"/>
        <family val="2"/>
      </rPr>
      <t xml:space="preserve"> µM), while E2 increased (</t>
    </r>
    <r>
      <rPr>
        <sz val="11"/>
        <color rgb="FF000000"/>
        <rFont val="Symbol"/>
        <family val="1"/>
        <charset val="2"/>
      </rPr>
      <t>³100</t>
    </r>
    <r>
      <rPr>
        <sz val="11"/>
        <color rgb="FF000000"/>
        <rFont val="Aptos Narrow"/>
        <family val="2"/>
      </rPr>
      <t xml:space="preserve"> µM)</t>
    </r>
    <r>
      <rPr>
        <sz val="11"/>
        <color rgb="FF000000"/>
        <rFont val="Aptos Narrow"/>
        <family val="2"/>
        <scheme val="minor"/>
      </rPr>
      <t xml:space="preserve">; medium w/ 2.5% Nu-serum; ELISA (T, P4/P5, E2) - the antibody to P4 exhibited 61% cross-reactivity with P5; minor decrease in cell viability (up to 30%) in conc. </t>
    </r>
    <r>
      <rPr>
        <sz val="11"/>
        <color rgb="FF000000"/>
        <rFont val="Symbol"/>
        <family val="1"/>
        <charset val="2"/>
      </rPr>
      <t>³</t>
    </r>
    <r>
      <rPr>
        <sz val="11"/>
        <color rgb="FF000000"/>
        <rFont val="Aptos Narrow"/>
        <family val="2"/>
      </rPr>
      <t>100 µM</t>
    </r>
    <r>
      <rPr>
        <sz val="11"/>
        <color rgb="FF000000"/>
        <rFont val="Aptos Narrow"/>
        <family val="2"/>
        <scheme val="minor"/>
      </rPr>
      <t xml:space="preserve"> (MTT assay)</t>
    </r>
  </si>
  <si>
    <r>
      <t xml:space="preserve">0.1-1,000 μM (48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>100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for T (decrease) &amp;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100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 (increase)</t>
    </r>
    <r>
      <rPr>
        <sz val="11"/>
        <rFont val="Aptos Narrow"/>
        <family val="2"/>
        <scheme val="minor"/>
      </rPr>
      <t>; medium w/ 2.5% Nu-serum; ELISA (T&amp;E2); viability (MTT assay)</t>
    </r>
  </si>
  <si>
    <r>
      <t xml:space="preserve">0.3-100 µM (48 h): LOEC = 10-30 </t>
    </r>
    <r>
      <rPr>
        <sz val="11"/>
        <rFont val="Aptos Narrow"/>
        <family val="2"/>
      </rPr>
      <t xml:space="preserve">µM for E2 &amp; 0.3 µM for T; </t>
    </r>
    <r>
      <rPr>
        <sz val="11"/>
        <rFont val="Aptos Narrow"/>
        <family val="2"/>
        <scheme val="minor"/>
      </rPr>
      <t>medium w/ 2.5% Nu-serum; ELISA (T &amp; E2); non-cytotoxic concentrations (&lt; 20% cytotoxicity, WST-1 assay)</t>
    </r>
  </si>
  <si>
    <r>
      <t xml:space="preserve">0.3-300 µM (48 h): effective non. 100&amp;300 </t>
    </r>
    <r>
      <rPr>
        <sz val="11"/>
        <rFont val="Aptos Narrow"/>
        <family val="2"/>
      </rPr>
      <t xml:space="preserve">µM for E2 (increase) &amp; for T (decrease); </t>
    </r>
    <r>
      <rPr>
        <sz val="11"/>
        <rFont val="Aptos Narrow"/>
        <family val="2"/>
        <scheme val="minor"/>
      </rPr>
      <t xml:space="preserve">medium w/ 2.5% Nu-serum; ELISA (T &amp; E2); viability (WST-1 assay): a weak reduction at 100&amp;300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</si>
  <si>
    <r>
      <t xml:space="preserve">0.01-1 µM (48 h): </t>
    </r>
    <r>
      <rPr>
        <sz val="11"/>
        <rFont val="Aptos Narrow"/>
        <family val="2"/>
      </rPr>
      <t xml:space="preserve">no effect on P4 &amp; T &amp; E2; </t>
    </r>
    <r>
      <rPr>
        <sz val="11"/>
        <rFont val="Aptos Narrow"/>
        <family val="2"/>
        <scheme val="minor"/>
      </rPr>
      <t>medium w/ 2.5% Nu-serum; LC-MS/MS (T&amp;P4&amp;E2) &amp; DELFIA (P4&amp;E2&amp;T); cytotoxicity measured (MTT assay), data not provided; E1 also measured</t>
    </r>
  </si>
  <si>
    <r>
      <t xml:space="preserve">0-30 μM (48 h):  LOEC = 3 </t>
    </r>
    <r>
      <rPr>
        <sz val="11"/>
        <rFont val="Aptos Narrow"/>
        <family val="2"/>
      </rPr>
      <t>µM for T&amp;P4 &amp; 10 µM for A4&amp;E2</t>
    </r>
    <r>
      <rPr>
        <sz val="11"/>
        <rFont val="Aptos Narrow"/>
        <family val="2"/>
        <scheme val="minor"/>
      </rPr>
      <t>; medium w/ 2.5% NuSerum; UPLC-MS/MS (T&amp;P4&amp;A4) &amp; ELISA (E2); viability measured (Live/Dead Viability/Cytotoxicity kit); E1 also measured</t>
    </r>
  </si>
  <si>
    <t>Zearalenone</t>
  </si>
  <si>
    <r>
      <t xml:space="preserve">0.01-100 μM (48 h): effective con. </t>
    </r>
    <r>
      <rPr>
        <sz val="11"/>
        <rFont val="Calibri"/>
        <family val="2"/>
        <charset val="238"/>
      </rPr>
      <t>100</t>
    </r>
    <r>
      <rPr>
        <sz val="11"/>
        <rFont val="Aptos Narrow"/>
        <family val="2"/>
        <scheme val="minor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E2&amp;T&amp;P4 (decrease)</t>
    </r>
    <r>
      <rPr>
        <sz val="11"/>
        <rFont val="Aptos Narrow"/>
        <family val="2"/>
        <scheme val="minor"/>
      </rPr>
      <t xml:space="preserve">; medium w/ 2.5% Nu-serum; RIA (T&amp;E2&amp;P4); viability (alamarBlue assay): cytotox. at 100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</si>
  <si>
    <r>
      <rPr>
        <sz val="11"/>
        <color rgb="FF000000"/>
        <rFont val="Aptos Narrow"/>
        <family val="2"/>
        <scheme val="minor"/>
      </rPr>
      <t xml:space="preserve">0.03-30 µM (48 h): LOEC = 0.3-3 </t>
    </r>
    <r>
      <rPr>
        <sz val="11"/>
        <color rgb="FF000000"/>
        <rFont val="Aptos Narrow"/>
        <family val="2"/>
      </rPr>
      <t xml:space="preserve">µM for E2 &amp; 0.3 µM for T (increase); </t>
    </r>
    <r>
      <rPr>
        <sz val="11"/>
        <color rgb="FF000000"/>
        <rFont val="Aptos Narrow"/>
        <family val="2"/>
        <scheme val="minor"/>
      </rPr>
      <t>medium w/ 2.5% Nu-serum; ELISA (T &amp; E2); non-cytotoxic concentrations (&lt; 20% cytotoxicity, WST-1 assay)</t>
    </r>
  </si>
  <si>
    <t>0.41 - 33 μM (48 h); Two concentratations positive for A4 (increase) but did not meet the evaluation criteria; medium w/ 2.5% NuSerum; HPLC/MS-MS (T&amp;E2&amp;P4&amp;A4); viability measured (MTT assay); estrone was also measured</t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</si>
  <si>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  <scheme val="minor"/>
      </rPr>
      <t>FSK</t>
    </r>
  </si>
  <si>
    <r>
      <t xml:space="preserve">10 μM (6 h): decrease in P4 only in FSK-stimulated cells; medium with/ 15% HS; ELISA (P4); viability  (CellTiter assay): up to 10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  <scheme val="minor"/>
      </rPr>
      <t>M non-cytotoxic</t>
    </r>
  </si>
  <si>
    <r>
      <rPr>
        <sz val="11"/>
        <color rgb="FF000000"/>
        <rFont val="Aptos Narrow"/>
        <family val="2"/>
        <scheme val="minor"/>
      </rPr>
      <t xml:space="preserve">0.1-16 μM (48 h): effective con. - 16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 xml:space="preserve">M for P4 (increase) &amp; </t>
    </r>
    <r>
      <rPr>
        <sz val="11"/>
        <color rgb="FF000000"/>
        <rFont val="Calibri"/>
        <family val="2"/>
      </rPr>
      <t>≥</t>
    </r>
    <r>
      <rPr>
        <sz val="11"/>
        <color rgb="FF000000"/>
        <rFont val="Aptos Narrow"/>
        <family val="2"/>
      </rPr>
      <t xml:space="preserve">8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T (decrease)</t>
    </r>
    <r>
      <rPr>
        <sz val="11"/>
        <color rgb="FF000000"/>
        <rFont val="Aptos Narrow"/>
        <family val="2"/>
        <scheme val="minor"/>
      </rPr>
      <t>; medium with/ 5% DC-FBS; ELISA (T&amp;P4); viability  (MTT assay)</t>
    </r>
  </si>
  <si>
    <t>MLTC1</t>
  </si>
  <si>
    <r>
      <t xml:space="preserve">5-50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 (16-157</t>
    </r>
    <r>
      <rPr>
        <sz val="11"/>
        <rFont val="Aptos Narrow"/>
        <family val="2"/>
        <scheme val="minor"/>
      </rPr>
      <t xml:space="preserve"> μM) (12-h exposure+6-h stimulated w/hCG): effective con. -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  <scheme val="minor"/>
      </rPr>
      <t xml:space="preserve">32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for T (decrease)</t>
    </r>
    <r>
      <rPr>
        <sz val="11"/>
        <rFont val="Aptos Narrow"/>
        <family val="2"/>
        <scheme val="minor"/>
      </rPr>
      <t xml:space="preserve">; medium with/ 10% FBS; ELISA (T); viability  (CCK-8 assay): decreasing viability from 5 to 200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(20% decrease at 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g/mL)</t>
    </r>
  </si>
  <si>
    <t>mouse (adult: 2-3-w</t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</si>
  <si>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(24-48 h): decrease in T after 24&amp;48 h; medium w/ 10% FBS;  ELISA (T);  mouse model for the circadian clock evaluation (PER2::LUC knock-in mice )</t>
    </r>
  </si>
  <si>
    <t>mouse (adult: 60-90-d)</t>
  </si>
  <si>
    <r>
      <rPr>
        <sz val="11"/>
        <color rgb="FF000000"/>
        <rFont val="Aptos Narrow"/>
        <family val="2"/>
        <scheme val="minor"/>
      </rPr>
      <t xml:space="preserve">0.01-100 </t>
    </r>
    <r>
      <rPr>
        <sz val="11"/>
        <color rgb="FF000000"/>
        <rFont val="Aptos Narrow"/>
        <family val="2"/>
      </rPr>
      <t>µ</t>
    </r>
    <r>
      <rPr>
        <sz val="11"/>
        <color rgb="FF000000"/>
        <rFont val="Aptos Narrow"/>
        <family val="2"/>
        <scheme val="minor"/>
      </rPr>
      <t xml:space="preserve">M (24 h): effective con. </t>
    </r>
    <r>
      <rPr>
        <sz val="11"/>
        <color rgb="FF000000"/>
        <rFont val="Calibri"/>
        <family val="2"/>
      </rPr>
      <t>≥0.01</t>
    </r>
    <r>
      <rPr>
        <sz val="11"/>
        <color rgb="FF000000"/>
        <rFont val="Aptos Narrow"/>
        <family val="2"/>
      </rPr>
      <t xml:space="preserve"> </t>
    </r>
    <r>
      <rPr>
        <sz val="11"/>
        <color rgb="FF000000"/>
        <rFont val="Symbol"/>
        <family val="1"/>
        <charset val="2"/>
      </rPr>
      <t>m</t>
    </r>
    <r>
      <rPr>
        <sz val="11"/>
        <color rgb="FF000000"/>
        <rFont val="Aptos Narrow"/>
        <family val="2"/>
      </rPr>
      <t>M for T (decrease) in hCG-stimulated cells</t>
    </r>
    <r>
      <rPr>
        <sz val="11"/>
        <color rgb="FF000000"/>
        <rFont val="Aptos Narrow"/>
        <family val="2"/>
        <scheme val="minor"/>
      </rPr>
      <t>; serum-free medium w/ hCG;  RIA (T); viability (trypan blue dye-exclusion assay) - no cytotox. (&lt;10%)</t>
    </r>
  </si>
  <si>
    <t>mouse (late adolescent/adult: 5-8-w)</t>
  </si>
  <si>
    <t>+hCG/+cAMP</t>
  </si>
  <si>
    <r>
      <t xml:space="preserve">1-20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g/mL (3.2</t>
    </r>
    <r>
      <rPr>
        <sz val="11"/>
        <rFont val="Aptos Narrow"/>
        <family val="2"/>
        <scheme val="minor"/>
      </rPr>
      <t xml:space="preserve">-64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M) (1-24 h): effective con. 2.5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after 24 h in hCG-stimulated cells &amp; after 1 h for cAMP-stimulated cells  (decrease), </t>
    </r>
    <r>
      <rPr>
        <sz val="11"/>
        <rFont val="Aptos Narrow"/>
        <family val="2"/>
        <scheme val="minor"/>
      </rPr>
      <t xml:space="preserve"> </t>
    </r>
    <r>
      <rPr>
        <sz val="11"/>
        <rFont val="Calibri"/>
        <family val="2"/>
        <charset val="238"/>
      </rPr>
      <t>≥10</t>
    </r>
    <r>
      <rPr>
        <sz val="11"/>
        <rFont val="Aptos Narrow"/>
        <family val="2"/>
      </rPr>
      <t xml:space="preserve">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g/mL after 24 h in hCG-stimulated cells  &amp; </t>
    </r>
    <r>
      <rPr>
        <sz val="11"/>
        <rFont val="Calibri"/>
        <family val="2"/>
        <charset val="238"/>
      </rPr>
      <t xml:space="preserve">≥1 </t>
    </r>
    <r>
      <rPr>
        <sz val="11"/>
        <rFont val="Symbol"/>
        <family val="1"/>
        <charset val="2"/>
      </rPr>
      <t>m</t>
    </r>
    <r>
      <rPr>
        <sz val="11"/>
        <rFont val="Calibri"/>
        <family val="2"/>
        <charset val="238"/>
      </rPr>
      <t xml:space="preserve">g/mL after 24 h in cAMP-stimulated cells </t>
    </r>
    <r>
      <rPr>
        <sz val="11"/>
        <rFont val="Aptos Narrow"/>
        <family val="2"/>
      </rPr>
      <t>(decrease)</t>
    </r>
    <r>
      <rPr>
        <sz val="11"/>
        <rFont val="Aptos Narrow"/>
        <family val="2"/>
        <scheme val="minor"/>
      </rPr>
      <t>; medium w/ 10% FCS;  ELISA (T)</t>
    </r>
  </si>
  <si>
    <t>pig (late neonatal/pre-weaning: 15-20-d)</t>
  </si>
  <si>
    <r>
      <t xml:space="preserve">50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>M (24 h): decrease in T&amp;P4; medium w/ 10% FBS;  RIA or ELISA - not clear from the paper (T&amp;P4); viability (CCK-8 assay): concentration dependent decline with EC</t>
    </r>
    <r>
      <rPr>
        <vertAlign val="subscript"/>
        <sz val="11"/>
        <rFont val="Aptos Narrow"/>
        <family val="2"/>
        <charset val="238"/>
        <scheme val="minor"/>
      </rPr>
      <t>50</t>
    </r>
    <r>
      <rPr>
        <sz val="11"/>
        <rFont val="Aptos Narrow"/>
        <family val="2"/>
        <scheme val="minor"/>
      </rPr>
      <t xml:space="preserve"> = 50 </t>
    </r>
    <r>
      <rPr>
        <sz val="11"/>
        <rFont val="Symbol"/>
        <family val="1"/>
        <charset val="2"/>
      </rPr>
      <t>m</t>
    </r>
    <r>
      <rPr>
        <sz val="9.35"/>
        <rFont val="Aptos Narrow"/>
        <family val="2"/>
      </rPr>
      <t>M</t>
    </r>
  </si>
  <si>
    <t>rat (late juvenile/early adolescent: 35-d)</t>
  </si>
  <si>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  <scheme val="minor"/>
      </rPr>
      <t>LH/</t>
    </r>
    <r>
      <rPr>
        <sz val="11"/>
        <rFont val="Calibri"/>
        <family val="2"/>
        <charset val="238"/>
      </rPr>
      <t>±</t>
    </r>
    <r>
      <rPr>
        <sz val="11"/>
        <rFont val="Aptos Narrow"/>
        <family val="2"/>
      </rPr>
      <t>8-Br-cAMP</t>
    </r>
  </si>
  <si>
    <r>
      <t xml:space="preserve">0.05-50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(3&amp;24 h): effective con.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0.05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24 h (decrease) with EC</t>
    </r>
    <r>
      <rPr>
        <vertAlign val="subscript"/>
        <sz val="11"/>
        <rFont val="Aptos Narrow"/>
        <family val="2"/>
        <charset val="238"/>
      </rPr>
      <t>50</t>
    </r>
    <r>
      <rPr>
        <sz val="11"/>
        <rFont val="Aptos Narrow"/>
        <family val="2"/>
      </rPr>
      <t xml:space="preserve"> = 0.65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in non-stimulated cells &amp; </t>
    </r>
    <r>
      <rPr>
        <sz val="11"/>
        <rFont val="Aptos Narrow"/>
        <family val="2"/>
        <scheme val="minor"/>
      </rPr>
      <t xml:space="preserve">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3 h in non-stimulated and hCG- and 8-Br-cAMP stimulated cells (decrease)</t>
    </r>
    <r>
      <rPr>
        <sz val="11"/>
        <rFont val="Aptos Narrow"/>
        <family val="2"/>
        <scheme val="minor"/>
      </rPr>
      <t>; serum-free medium;  RIA (T&amp;DIOL)</t>
    </r>
  </si>
  <si>
    <r>
      <t xml:space="preserve">10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(24-48 h): decrease in T after 48 h; medium w/ 2.5% FBS &amp; 5% HS;  ELISA (T);  viability (CCK-8 assay):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20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after 48 h were cytotox.</t>
    </r>
  </si>
  <si>
    <r>
      <t xml:space="preserve">25 </t>
    </r>
    <r>
      <rPr>
        <sz val="11"/>
        <rFont val="Aptos Narrow"/>
        <family val="2"/>
      </rPr>
      <t>µ</t>
    </r>
    <r>
      <rPr>
        <sz val="11"/>
        <rFont val="Aptos Narrow"/>
        <family val="2"/>
        <scheme val="minor"/>
      </rPr>
      <t xml:space="preserve">M (24 h): decrease in T; medium w/ 10% FBS;  ELISA (T);  viability (CCK-8 assay): </t>
    </r>
    <r>
      <rPr>
        <sz val="11"/>
        <rFont val="Calibri"/>
        <family val="2"/>
        <charset val="238"/>
      </rPr>
      <t>≥</t>
    </r>
    <r>
      <rPr>
        <sz val="11"/>
        <rFont val="Aptos Narrow"/>
        <family val="2"/>
      </rPr>
      <t xml:space="preserve">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 cytotox. with EC</t>
    </r>
    <r>
      <rPr>
        <vertAlign val="subscript"/>
        <sz val="11"/>
        <rFont val="Aptos Narrow"/>
        <family val="2"/>
        <charset val="238"/>
      </rPr>
      <t>50</t>
    </r>
    <r>
      <rPr>
        <sz val="11"/>
        <rFont val="Aptos Narrow"/>
        <family val="2"/>
      </rPr>
      <t xml:space="preserve"> = 50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 xml:space="preserve">M (20% decrease at 25 </t>
    </r>
    <r>
      <rPr>
        <sz val="11"/>
        <rFont val="Symbol"/>
        <family val="1"/>
        <charset val="2"/>
      </rPr>
      <t>m</t>
    </r>
    <r>
      <rPr>
        <sz val="11"/>
        <rFont val="Aptos Narrow"/>
        <family val="2"/>
      </rPr>
      <t>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</si>
</sst>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11"/>
      <name val="Symbol"/>
      <family val="1"/>
      <charset val="2"/>
    </font>
    <font>
      <sz val="9.35"/>
      <name val="Aptos Narrow"/>
      <family val="2"/>
    </font>
    <font>
      <u/>
      <sz val="11"/>
      <color theme="7" tint="-0.249977111117893"/>
      <name val="Aptos Narrow"/>
      <family val="2"/>
      <scheme val="minor"/>
    </font>
    <font>
      <sz val="11"/>
      <name val="Calibri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u/>
      <sz val="11"/>
      <color theme="1"/>
      <name val="Aptos Narrow"/>
      <family val="2"/>
      <charset val="238"/>
      <scheme val="minor"/>
    </font>
    <font>
      <sz val="11"/>
      <color theme="1"/>
      <name val="Symbol"/>
      <family val="1"/>
      <charset val="2"/>
    </font>
    <font>
      <sz val="11"/>
      <color theme="1"/>
      <name val="Aptos Narrow"/>
      <family val="2"/>
    </font>
    <font>
      <sz val="11"/>
      <name val="Aptos Narrow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ptos Narrow"/>
      <family val="1"/>
      <charset val="2"/>
      <scheme val="minor"/>
    </font>
    <font>
      <sz val="11"/>
      <name val="Aptos Narrow"/>
      <family val="1"/>
      <charset val="2"/>
    </font>
    <font>
      <vertAlign val="subscript"/>
      <sz val="11"/>
      <name val="Aptos Narrow"/>
      <family val="2"/>
      <scheme val="minor"/>
    </font>
    <font>
      <vertAlign val="subscript"/>
      <sz val="11"/>
      <name val="Aptos Narrow"/>
      <family val="2"/>
      <charset val="238"/>
      <scheme val="minor"/>
    </font>
    <font>
      <vertAlign val="subscript"/>
      <sz val="11"/>
      <name val="Aptos Narrow"/>
      <family val="2"/>
      <charset val="238"/>
    </font>
    <font>
      <sz val="9.35"/>
      <name val="Calibri"/>
      <family val="2"/>
      <charset val="238"/>
    </font>
    <font>
      <vertAlign val="subscript"/>
      <sz val="11"/>
      <name val="Aptos Narrow"/>
      <family val="2"/>
    </font>
    <font>
      <sz val="11"/>
      <name val="Calibri"/>
      <family val="2"/>
    </font>
    <font>
      <sz val="11"/>
      <color rgb="FF000000"/>
      <name val="Aptos Narrow"/>
      <family val="2"/>
    </font>
    <font>
      <sz val="11"/>
      <color rgb="FF000000"/>
      <name val="Symbol"/>
      <family val="1"/>
      <charset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9.35"/>
      <color rgb="FF000000"/>
      <name val="Aptos Narrow"/>
      <family val="2"/>
    </font>
    <font>
      <b/>
      <sz val="11"/>
      <color rgb="FFFF0000"/>
      <name val="Aptos Narrow"/>
      <family val="2"/>
      <scheme val="minor"/>
    </font>
    <font>
      <vertAlign val="subscript"/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11"/>
      <color theme="1"/>
      <name val="Aptos Narrow"/>
      <family val="2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</font>
    <font>
      <sz val="11"/>
      <color theme="1"/>
      <name val="Aptos Narrow"/>
      <family val="2"/>
      <charset val="238"/>
    </font>
    <font>
      <sz val="11"/>
      <color theme="3" tint="0.249977111117893"/>
      <name val="Aptos Narrow"/>
      <family val="2"/>
    </font>
    <font>
      <u/>
      <sz val="11"/>
      <color theme="3" tint="0.249977111117893"/>
      <name val="Aptos Narrow"/>
      <family val="2"/>
      <scheme val="minor"/>
    </font>
    <font>
      <u/>
      <sz val="11"/>
      <color theme="3" tint="0.249977111117893"/>
      <name val="Aptos Narrow"/>
      <family val="2"/>
    </font>
    <font>
      <sz val="7.7"/>
      <name val="Aptos Narrow"/>
      <family val="2"/>
    </font>
    <font>
      <b/>
      <sz val="11"/>
      <color rgb="FF000000"/>
      <name val="Aptos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gradientFill degree="45">
        <stop position="0">
          <color rgb="FF00B050"/>
        </stop>
        <stop position="1">
          <color rgb="FFFF0000"/>
        </stop>
      </gradientFill>
    </fill>
    <fill>
      <patternFill patternType="solid">
        <fgColor rgb="FFFFFF00"/>
        <bgColor indexed="64"/>
      </patternFill>
    </fill>
    <fill>
      <gradientFill degree="45">
        <stop position="0">
          <color theme="0" tint="-0.34900967436750391"/>
        </stop>
        <stop position="1">
          <color rgb="FFFF0000"/>
        </stop>
      </gradientFill>
    </fill>
    <fill>
      <gradientFill degree="45">
        <stop position="0">
          <color rgb="FF00B050"/>
        </stop>
        <stop position="1">
          <color theme="0" tint="-0.34900967436750391"/>
        </stop>
      </gradientFill>
    </fill>
    <fill>
      <patternFill patternType="solid">
        <fgColor theme="0" tint="-0.3499862666707357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gradientFill degree="45">
        <stop position="0">
          <color theme="2" tint="-0.25098422193060094"/>
        </stop>
        <stop position="1">
          <color rgb="FFFF0000"/>
        </stop>
      </gradient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theme="4" tint="0.39997558519241921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15" applyNumberFormat="0"/>
  </cellStyleXfs>
  <cellXfs count="106">
    <xf numFmtId="0" fontId="0" fillId="0" borderId="0" xfId="0"/>
    <xf numFmtId="0" fontId="6" fillId="0" borderId="0" xfId="0" applyFont="1" applyAlignment="1">
      <alignment horizontal="left"/>
    </xf>
    <xf numFmtId="0" fontId="2" fillId="0" borderId="0" xfId="0" applyFont="1"/>
    <xf numFmtId="0" fontId="0" fillId="0" borderId="1" xfId="0" applyBorder="1"/>
    <xf numFmtId="0" fontId="2" fillId="4" borderId="1" xfId="0" applyFont="1" applyFill="1" applyBorder="1"/>
    <xf numFmtId="0" fontId="6" fillId="3" borderId="1" xfId="0" applyFont="1" applyFill="1" applyBorder="1"/>
    <xf numFmtId="0" fontId="6" fillId="0" borderId="1" xfId="0" applyFont="1" applyBorder="1"/>
    <xf numFmtId="0" fontId="6" fillId="0" borderId="0" xfId="0" applyFont="1"/>
    <xf numFmtId="0" fontId="2" fillId="0" borderId="1" xfId="0" applyFont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6" borderId="1" xfId="0" applyFill="1" applyBorder="1"/>
    <xf numFmtId="0" fontId="3" fillId="0" borderId="0" xfId="1" applyAlignment="1">
      <alignment horizontal="left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left" wrapText="1"/>
    </xf>
    <xf numFmtId="0" fontId="10" fillId="0" borderId="0" xfId="1" applyFont="1" applyFill="1" applyAlignment="1">
      <alignment horizontal="left"/>
    </xf>
    <xf numFmtId="0" fontId="12" fillId="0" borderId="0" xfId="0" applyFont="1"/>
    <xf numFmtId="0" fontId="13" fillId="0" borderId="0" xfId="0" applyFont="1"/>
    <xf numFmtId="0" fontId="0" fillId="7" borderId="0" xfId="0" applyFill="1"/>
    <xf numFmtId="0" fontId="16" fillId="0" borderId="0" xfId="0" applyFont="1"/>
    <xf numFmtId="0" fontId="8" fillId="0" borderId="0" xfId="0" applyFont="1"/>
    <xf numFmtId="0" fontId="3" fillId="0" borderId="0" xfId="1" applyFill="1" applyAlignment="1">
      <alignment horizontal="left"/>
    </xf>
    <xf numFmtId="0" fontId="18" fillId="0" borderId="0" xfId="0" applyFont="1"/>
    <xf numFmtId="0" fontId="6" fillId="0" borderId="0" xfId="0" quotePrefix="1" applyFont="1"/>
    <xf numFmtId="0" fontId="19" fillId="0" borderId="0" xfId="0" applyFont="1"/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4" borderId="2" xfId="0" applyFill="1" applyBorder="1"/>
    <xf numFmtId="0" fontId="0" fillId="3" borderId="2" xfId="0" applyFill="1" applyBorder="1"/>
    <xf numFmtId="0" fontId="0" fillId="6" borderId="2" xfId="0" applyFill="1" applyBorder="1"/>
    <xf numFmtId="0" fontId="0" fillId="0" borderId="2" xfId="0" applyBorder="1"/>
    <xf numFmtId="0" fontId="1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8" borderId="1" xfId="0" applyFill="1" applyBorder="1"/>
    <xf numFmtId="0" fontId="0" fillId="9" borderId="1" xfId="0" applyFill="1" applyBorder="1"/>
    <xf numFmtId="0" fontId="0" fillId="0" borderId="0" xfId="0" applyAlignment="1">
      <alignment wrapText="1"/>
    </xf>
    <xf numFmtId="0" fontId="0" fillId="10" borderId="2" xfId="0" applyFill="1" applyBorder="1"/>
    <xf numFmtId="0" fontId="0" fillId="9" borderId="2" xfId="0" applyFill="1" applyBorder="1"/>
    <xf numFmtId="0" fontId="0" fillId="8" borderId="2" xfId="0" applyFill="1" applyBorder="1"/>
    <xf numFmtId="0" fontId="0" fillId="12" borderId="1" xfId="0" applyFill="1" applyBorder="1"/>
    <xf numFmtId="0" fontId="0" fillId="11" borderId="1" xfId="0" applyFill="1" applyBorder="1"/>
    <xf numFmtId="0" fontId="26" fillId="0" borderId="0" xfId="0" applyFont="1"/>
    <xf numFmtId="0" fontId="0" fillId="13" borderId="1" xfId="0" applyFill="1" applyBorder="1"/>
    <xf numFmtId="0" fontId="2" fillId="12" borderId="1" xfId="0" applyFont="1" applyFill="1" applyBorder="1"/>
    <xf numFmtId="0" fontId="2" fillId="3" borderId="1" xfId="0" applyFont="1" applyFill="1" applyBorder="1"/>
    <xf numFmtId="0" fontId="29" fillId="0" borderId="0" xfId="0" applyFont="1"/>
    <xf numFmtId="0" fontId="15" fillId="0" borderId="0" xfId="2" applyFont="1"/>
    <xf numFmtId="0" fontId="15" fillId="0" borderId="12" xfId="2" applyFont="1" applyBorder="1" applyAlignment="1" applyProtection="1">
      <alignment horizontal="center" vertical="center" wrapText="1"/>
      <protection locked="0"/>
    </xf>
    <xf numFmtId="0" fontId="15" fillId="0" borderId="13" xfId="2" applyFont="1" applyBorder="1" applyAlignment="1" applyProtection="1">
      <alignment horizontal="center" vertical="center" wrapText="1"/>
      <protection locked="0"/>
    </xf>
    <xf numFmtId="0" fontId="15" fillId="0" borderId="14" xfId="2" applyFont="1" applyBorder="1" applyAlignment="1" applyProtection="1">
      <alignment horizontal="center" vertical="center" wrapText="1"/>
      <protection locked="0"/>
    </xf>
    <xf numFmtId="0" fontId="15" fillId="0" borderId="15" xfId="2" applyFont="1" applyBorder="1" applyAlignment="1">
      <alignment horizontal="left"/>
    </xf>
    <xf numFmtId="0" fontId="15" fillId="0" borderId="15" xfId="2" applyFont="1" applyBorder="1"/>
    <xf numFmtId="0" fontId="15" fillId="0" borderId="16" xfId="4" applyFont="1" applyBorder="1"/>
    <xf numFmtId="0" fontId="15" fillId="0" borderId="15" xfId="4" applyFont="1"/>
    <xf numFmtId="0" fontId="15" fillId="0" borderId="17" xfId="4" applyFont="1" applyBorder="1"/>
    <xf numFmtId="0" fontId="36" fillId="0" borderId="15" xfId="2" applyFont="1" applyBorder="1"/>
    <xf numFmtId="0" fontId="15" fillId="0" borderId="18" xfId="2" quotePrefix="1" applyFont="1" applyBorder="1" applyAlignment="1">
      <alignment horizontal="left"/>
    </xf>
    <xf numFmtId="0" fontId="15" fillId="0" borderId="18" xfId="2" applyFont="1" applyBorder="1"/>
    <xf numFmtId="0" fontId="15" fillId="0" borderId="17" xfId="2" applyFont="1" applyBorder="1"/>
    <xf numFmtId="0" fontId="36" fillId="0" borderId="17" xfId="2" applyFont="1" applyBorder="1"/>
    <xf numFmtId="0" fontId="37" fillId="0" borderId="15" xfId="2" applyFont="1" applyBorder="1"/>
    <xf numFmtId="0" fontId="15" fillId="0" borderId="0" xfId="4" applyFont="1" applyBorder="1"/>
    <xf numFmtId="0" fontId="1" fillId="0" borderId="0" xfId="2"/>
    <xf numFmtId="0" fontId="15" fillId="0" borderId="15" xfId="2" applyFont="1" applyBorder="1" applyAlignment="1">
      <alignment horizontal="right"/>
    </xf>
    <xf numFmtId="0" fontId="34" fillId="0" borderId="15" xfId="2" applyFont="1" applyBorder="1"/>
    <xf numFmtId="0" fontId="34" fillId="0" borderId="15" xfId="4" applyFont="1"/>
    <xf numFmtId="0" fontId="17" fillId="0" borderId="0" xfId="0" applyFont="1"/>
    <xf numFmtId="0" fontId="39" fillId="0" borderId="15" xfId="3" applyFont="1" applyBorder="1"/>
    <xf numFmtId="0" fontId="40" fillId="0" borderId="18" xfId="3" applyFont="1" applyBorder="1"/>
    <xf numFmtId="0" fontId="40" fillId="0" borderId="15" xfId="3" applyFont="1" applyBorder="1"/>
    <xf numFmtId="0" fontId="39" fillId="0" borderId="0" xfId="3" applyFont="1" applyBorder="1"/>
    <xf numFmtId="0" fontId="39" fillId="0" borderId="15" xfId="3" applyFont="1" applyBorder="1" applyAlignment="1">
      <alignment horizontal="left"/>
    </xf>
    <xf numFmtId="0" fontId="38" fillId="0" borderId="15" xfId="2" applyFont="1" applyBorder="1"/>
    <xf numFmtId="0" fontId="38" fillId="0" borderId="0" xfId="2" applyFont="1"/>
    <xf numFmtId="0" fontId="1" fillId="0" borderId="0" xfId="0" applyFont="1"/>
    <xf numFmtId="0" fontId="29" fillId="12" borderId="1" xfId="0" applyFont="1" applyFill="1" applyBorder="1"/>
    <xf numFmtId="0" fontId="2" fillId="5" borderId="1" xfId="0" applyFont="1" applyFill="1" applyBorder="1"/>
    <xf numFmtId="0" fontId="4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4" fillId="16" borderId="7" xfId="2" applyFont="1" applyFill="1" applyBorder="1" applyAlignment="1" applyProtection="1">
      <alignment horizontal="center" vertical="center" wrapText="1"/>
      <protection locked="0"/>
    </xf>
    <xf numFmtId="0" fontId="34" fillId="16" borderId="0" xfId="2" applyFont="1" applyFill="1" applyAlignment="1" applyProtection="1">
      <alignment horizontal="center" vertical="center" wrapText="1"/>
      <protection locked="0"/>
    </xf>
    <xf numFmtId="0" fontId="34" fillId="16" borderId="8" xfId="2" applyFont="1" applyFill="1" applyBorder="1" applyAlignment="1" applyProtection="1">
      <alignment horizontal="center" vertical="center" wrapText="1"/>
      <protection locked="0"/>
    </xf>
    <xf numFmtId="0" fontId="34" fillId="17" borderId="7" xfId="2" applyFont="1" applyFill="1" applyBorder="1" applyAlignment="1" applyProtection="1">
      <alignment horizontal="center" vertical="center" wrapText="1"/>
      <protection locked="0"/>
    </xf>
    <xf numFmtId="0" fontId="34" fillId="17" borderId="0" xfId="2" applyFont="1" applyFill="1" applyAlignment="1" applyProtection="1">
      <alignment horizontal="center" vertical="center" wrapText="1"/>
      <protection locked="0"/>
    </xf>
    <xf numFmtId="0" fontId="34" fillId="17" borderId="8" xfId="2" applyFont="1" applyFill="1" applyBorder="1" applyAlignment="1" applyProtection="1">
      <alignment horizontal="center" vertical="center" wrapText="1"/>
      <protection locked="0"/>
    </xf>
    <xf numFmtId="0" fontId="7" fillId="0" borderId="5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5" fillId="0" borderId="4" xfId="2" applyFont="1" applyBorder="1" applyAlignment="1" applyProtection="1">
      <alignment horizontal="center" vertical="center" wrapText="1"/>
      <protection locked="0"/>
    </xf>
    <xf numFmtId="0" fontId="15" fillId="0" borderId="10" xfId="2" applyFont="1" applyBorder="1" applyAlignment="1" applyProtection="1">
      <alignment horizontal="center" vertical="center" wrapText="1"/>
      <protection locked="0"/>
    </xf>
    <xf numFmtId="0" fontId="15" fillId="0" borderId="6" xfId="2" applyFont="1" applyBorder="1" applyAlignment="1" applyProtection="1">
      <alignment horizontal="center" vertical="center" wrapText="1"/>
      <protection locked="0"/>
    </xf>
    <xf numFmtId="0" fontId="15" fillId="0" borderId="11" xfId="2" applyFont="1" applyBorder="1" applyAlignment="1" applyProtection="1">
      <alignment horizontal="center" vertical="center" wrapText="1"/>
      <protection locked="0"/>
    </xf>
    <xf numFmtId="0" fontId="34" fillId="14" borderId="7" xfId="2" applyFont="1" applyFill="1" applyBorder="1" applyAlignment="1" applyProtection="1">
      <alignment horizontal="center" vertical="center" wrapText="1"/>
      <protection locked="0"/>
    </xf>
    <xf numFmtId="0" fontId="34" fillId="14" borderId="0" xfId="2" applyFont="1" applyFill="1" applyAlignment="1" applyProtection="1">
      <alignment horizontal="center" vertical="center" wrapText="1"/>
      <protection locked="0"/>
    </xf>
    <xf numFmtId="0" fontId="34" fillId="14" borderId="8" xfId="2" applyFont="1" applyFill="1" applyBorder="1" applyAlignment="1" applyProtection="1">
      <alignment horizontal="center" vertical="center" wrapText="1"/>
      <protection locked="0"/>
    </xf>
    <xf numFmtId="0" fontId="34" fillId="15" borderId="7" xfId="2" applyFont="1" applyFill="1" applyBorder="1" applyAlignment="1" applyProtection="1">
      <alignment horizontal="center" vertical="center" wrapText="1"/>
      <protection locked="0"/>
    </xf>
    <xf numFmtId="0" fontId="34" fillId="15" borderId="0" xfId="2" applyFont="1" applyFill="1" applyAlignment="1" applyProtection="1">
      <alignment horizontal="center" vertical="center" wrapText="1"/>
      <protection locked="0"/>
    </xf>
    <xf numFmtId="0" fontId="34" fillId="15" borderId="8" xfId="2" applyFont="1" applyFill="1" applyBorder="1" applyAlignment="1" applyProtection="1">
      <alignment horizontal="center" vertical="center" wrapText="1"/>
      <protection locked="0"/>
    </xf>
    <xf numFmtId="0" fontId="38" fillId="0" borderId="3" xfId="2" applyFont="1" applyBorder="1" applyAlignment="1">
      <alignment horizontal="center" vertical="center" wrapText="1"/>
    </xf>
    <xf numFmtId="0" fontId="38" fillId="0" borderId="9" xfId="2" applyFont="1" applyBorder="1" applyAlignment="1">
      <alignment horizontal="center" vertical="center" wrapText="1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0" borderId="10" xfId="2" applyFont="1" applyBorder="1" applyAlignment="1" applyProtection="1">
      <alignment horizontal="center" vertical="center" wrapText="1"/>
      <protection locked="0"/>
    </xf>
  </cellXfs>
  <cellStyles count="5">
    <cellStyle name="Hyperlink" xfId="1" builtinId="8"/>
    <cellStyle name="Hyperlink 2" xfId="3" xr:uid="{6D16936B-FDB2-41F2-BAD7-E2519BC8FB34}"/>
    <cellStyle name="Normal" xfId="0" builtinId="0"/>
    <cellStyle name="Normal 2" xfId="2" xr:uid="{64B840BF-A8B3-4438-8CFF-CCE9F4CA1B33}"/>
    <cellStyle name="Styl 1" xfId="4" xr:uid="{1AD3E347-1F1B-4CFB-AE16-0327D1E0F9B2}"/>
  </cellStyles>
  <dxfs count="11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ncbi.nlm.nih.gov/pubmed/6320571" TargetMode="External"/><Relationship Id="rId1" Type="http://schemas.openxmlformats.org/officeDocument/2006/relationships/hyperlink" Target="https://pubmed.ncbi.nlm.nih.gov/372966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11E4A-D38C-46D0-8357-C1ADB05CA334}">
  <sheetPr>
    <tabColor theme="2" tint="-9.9978637043366805E-2"/>
  </sheetPr>
  <dimension ref="A1:C94"/>
  <sheetViews>
    <sheetView topLeftCell="A25" zoomScale="69" zoomScaleNormal="80" workbookViewId="0">
      <selection activeCell="B32" sqref="B32"/>
    </sheetView>
  </sheetViews>
  <sheetFormatPr defaultRowHeight="15"/>
  <cols>
    <col min="1" max="1" width="13.140625" customWidth="1"/>
    <col min="2" max="2" width="83.140625" customWidth="1"/>
    <col min="3" max="3" width="8.85546875" style="71"/>
  </cols>
  <sheetData>
    <row r="1" spans="1:2">
      <c r="A1" s="18" t="s">
        <v>0</v>
      </c>
    </row>
    <row r="2" spans="1:2">
      <c r="A2" s="31"/>
      <c r="B2" s="17" t="s">
        <v>1</v>
      </c>
    </row>
    <row r="3" spans="1:2">
      <c r="A3" s="32"/>
      <c r="B3" s="17" t="s">
        <v>2</v>
      </c>
    </row>
    <row r="4" spans="1:2">
      <c r="A4" s="41"/>
      <c r="B4" s="17" t="s">
        <v>3</v>
      </c>
    </row>
    <row r="5" spans="1:2">
      <c r="A5" s="33"/>
      <c r="B5" s="82" t="s">
        <v>4</v>
      </c>
    </row>
    <row r="6" spans="1:2">
      <c r="A6" s="43"/>
      <c r="B6" s="83"/>
    </row>
    <row r="7" spans="1:2">
      <c r="A7" s="42"/>
      <c r="B7" s="83"/>
    </row>
    <row r="8" spans="1:2">
      <c r="A8" s="34"/>
      <c r="B8" s="35" t="s">
        <v>5</v>
      </c>
    </row>
    <row r="9" spans="1:2">
      <c r="B9" s="35"/>
    </row>
    <row r="10" spans="1:2">
      <c r="A10" s="18" t="s">
        <v>6</v>
      </c>
      <c r="B10" s="36"/>
    </row>
    <row r="11" spans="1:2">
      <c r="A11" s="71" t="s">
        <v>7</v>
      </c>
      <c r="B11" t="s">
        <v>8</v>
      </c>
    </row>
    <row r="12" spans="1:2">
      <c r="A12" s="71" t="s">
        <v>9</v>
      </c>
      <c r="B12" t="s">
        <v>10</v>
      </c>
    </row>
    <row r="13" spans="1:2">
      <c r="A13" s="17" t="s">
        <v>11</v>
      </c>
      <c r="B13" t="s">
        <v>12</v>
      </c>
    </row>
    <row r="14" spans="1:2">
      <c r="A14" s="71" t="s">
        <v>13</v>
      </c>
      <c r="B14" t="s">
        <v>14</v>
      </c>
    </row>
    <row r="15" spans="1:2">
      <c r="A15" s="71" t="s">
        <v>15</v>
      </c>
      <c r="B15" t="s">
        <v>16</v>
      </c>
    </row>
    <row r="16" spans="1:2">
      <c r="A16" s="71" t="s">
        <v>17</v>
      </c>
      <c r="B16" t="s">
        <v>18</v>
      </c>
    </row>
    <row r="17" spans="1:2">
      <c r="A17" s="17" t="s">
        <v>19</v>
      </c>
      <c r="B17" t="s">
        <v>20</v>
      </c>
    </row>
    <row r="18" spans="1:2">
      <c r="A18" s="79" t="s">
        <v>21</v>
      </c>
      <c r="B18" t="s">
        <v>22</v>
      </c>
    </row>
    <row r="19" spans="1:2">
      <c r="A19" s="71" t="s">
        <v>23</v>
      </c>
      <c r="B19" t="s">
        <v>24</v>
      </c>
    </row>
    <row r="20" spans="1:2">
      <c r="A20" s="71" t="s">
        <v>25</v>
      </c>
      <c r="B20" t="s">
        <v>26</v>
      </c>
    </row>
    <row r="21" spans="1:2">
      <c r="A21" s="71" t="s">
        <v>27</v>
      </c>
      <c r="B21" t="s">
        <v>28</v>
      </c>
    </row>
    <row r="22" spans="1:2">
      <c r="A22" s="71" t="s">
        <v>29</v>
      </c>
      <c r="B22" t="s">
        <v>30</v>
      </c>
    </row>
    <row r="23" spans="1:2">
      <c r="A23" s="17" t="s">
        <v>31</v>
      </c>
      <c r="B23" t="s">
        <v>32</v>
      </c>
    </row>
    <row r="24" spans="1:2">
      <c r="A24" s="17" t="s">
        <v>33</v>
      </c>
      <c r="B24" t="s">
        <v>34</v>
      </c>
    </row>
    <row r="25" spans="1:2">
      <c r="A25" s="17" t="s">
        <v>35</v>
      </c>
      <c r="B25" t="s">
        <v>36</v>
      </c>
    </row>
    <row r="26" spans="1:2">
      <c r="A26" s="17" t="s">
        <v>37</v>
      </c>
      <c r="B26" t="s">
        <v>38</v>
      </c>
    </row>
    <row r="27" spans="1:2">
      <c r="A27" s="71" t="s">
        <v>39</v>
      </c>
      <c r="B27" t="s">
        <v>40</v>
      </c>
    </row>
    <row r="28" spans="1:2">
      <c r="A28" s="71" t="s">
        <v>41</v>
      </c>
      <c r="B28" t="s">
        <v>42</v>
      </c>
    </row>
    <row r="29" spans="1:2">
      <c r="A29" s="17" t="s">
        <v>43</v>
      </c>
      <c r="B29" t="s">
        <v>44</v>
      </c>
    </row>
    <row r="30" spans="1:2">
      <c r="A30" s="17" t="s">
        <v>45</v>
      </c>
      <c r="B30" t="s">
        <v>46</v>
      </c>
    </row>
    <row r="31" spans="1:2">
      <c r="A31" s="71" t="s">
        <v>47</v>
      </c>
      <c r="B31" t="s">
        <v>48</v>
      </c>
    </row>
    <row r="32" spans="1:2">
      <c r="A32" s="71" t="s">
        <v>49</v>
      </c>
      <c r="B32" t="s">
        <v>50</v>
      </c>
    </row>
    <row r="33" spans="1:2">
      <c r="A33" s="71" t="s">
        <v>51</v>
      </c>
      <c r="B33" t="s">
        <v>52</v>
      </c>
    </row>
    <row r="34" spans="1:2">
      <c r="A34" s="17" t="s">
        <v>53</v>
      </c>
      <c r="B34" t="s">
        <v>54</v>
      </c>
    </row>
    <row r="35" spans="1:2">
      <c r="A35" s="17" t="s">
        <v>55</v>
      </c>
      <c r="B35" t="s">
        <v>56</v>
      </c>
    </row>
    <row r="36" spans="1:2">
      <c r="A36" s="17" t="s">
        <v>57</v>
      </c>
      <c r="B36" t="s">
        <v>56</v>
      </c>
    </row>
    <row r="37" spans="1:2">
      <c r="A37" s="17" t="s">
        <v>58</v>
      </c>
      <c r="B37" t="s">
        <v>59</v>
      </c>
    </row>
    <row r="38" spans="1:2">
      <c r="A38" s="17" t="s">
        <v>60</v>
      </c>
      <c r="B38" t="s">
        <v>61</v>
      </c>
    </row>
    <row r="39" spans="1:2">
      <c r="A39" s="71" t="s">
        <v>62</v>
      </c>
      <c r="B39" t="s">
        <v>63</v>
      </c>
    </row>
    <row r="40" spans="1:2">
      <c r="A40" s="71" t="s">
        <v>64</v>
      </c>
      <c r="B40" t="s">
        <v>65</v>
      </c>
    </row>
    <row r="41" spans="1:2">
      <c r="A41" s="71" t="s">
        <v>66</v>
      </c>
      <c r="B41" t="s">
        <v>67</v>
      </c>
    </row>
    <row r="42" spans="1:2">
      <c r="A42" s="71" t="s">
        <v>68</v>
      </c>
      <c r="B42" t="s">
        <v>69</v>
      </c>
    </row>
    <row r="43" spans="1:2">
      <c r="A43" s="17" t="s">
        <v>70</v>
      </c>
      <c r="B43" t="s">
        <v>71</v>
      </c>
    </row>
    <row r="44" spans="1:2">
      <c r="A44" s="79" t="s">
        <v>72</v>
      </c>
      <c r="B44" t="s">
        <v>73</v>
      </c>
    </row>
    <row r="45" spans="1:2">
      <c r="A45" s="17" t="s">
        <v>74</v>
      </c>
      <c r="B45" t="s">
        <v>75</v>
      </c>
    </row>
    <row r="46" spans="1:2">
      <c r="A46" s="17" t="s">
        <v>76</v>
      </c>
      <c r="B46" t="s">
        <v>77</v>
      </c>
    </row>
    <row r="47" spans="1:2">
      <c r="A47" s="17" t="s">
        <v>78</v>
      </c>
      <c r="B47" t="s">
        <v>79</v>
      </c>
    </row>
    <row r="48" spans="1:2">
      <c r="A48" s="17" t="s">
        <v>80</v>
      </c>
      <c r="B48" t="s">
        <v>81</v>
      </c>
    </row>
    <row r="49" spans="1:2">
      <c r="A49" s="17" t="s">
        <v>82</v>
      </c>
      <c r="B49" t="s">
        <v>83</v>
      </c>
    </row>
    <row r="50" spans="1:2">
      <c r="A50" s="17" t="s">
        <v>84</v>
      </c>
      <c r="B50" t="s">
        <v>85</v>
      </c>
    </row>
    <row r="51" spans="1:2">
      <c r="A51" s="17" t="s">
        <v>86</v>
      </c>
      <c r="B51" t="s">
        <v>87</v>
      </c>
    </row>
    <row r="52" spans="1:2">
      <c r="A52" s="17" t="s">
        <v>88</v>
      </c>
      <c r="B52" t="s">
        <v>89</v>
      </c>
    </row>
    <row r="53" spans="1:2">
      <c r="A53" s="17" t="s">
        <v>90</v>
      </c>
      <c r="B53" t="s">
        <v>91</v>
      </c>
    </row>
    <row r="54" spans="1:2">
      <c r="A54" s="17" t="s">
        <v>92</v>
      </c>
      <c r="B54" t="s">
        <v>93</v>
      </c>
    </row>
    <row r="55" spans="1:2">
      <c r="A55" s="17" t="s">
        <v>94</v>
      </c>
      <c r="B55" t="s">
        <v>95</v>
      </c>
    </row>
    <row r="56" spans="1:2">
      <c r="A56" s="17" t="s">
        <v>96</v>
      </c>
      <c r="B56" s="37" t="s">
        <v>97</v>
      </c>
    </row>
    <row r="57" spans="1:2">
      <c r="A57" s="17" t="s">
        <v>98</v>
      </c>
      <c r="B57" t="s">
        <v>99</v>
      </c>
    </row>
    <row r="58" spans="1:2">
      <c r="A58" s="17" t="s">
        <v>100</v>
      </c>
      <c r="B58" t="s">
        <v>101</v>
      </c>
    </row>
    <row r="59" spans="1:2">
      <c r="A59" s="17" t="s">
        <v>102</v>
      </c>
      <c r="B59" t="s">
        <v>103</v>
      </c>
    </row>
    <row r="60" spans="1:2">
      <c r="A60" s="17" t="s">
        <v>104</v>
      </c>
      <c r="B60" t="s">
        <v>105</v>
      </c>
    </row>
    <row r="61" spans="1:2">
      <c r="A61" s="17" t="s">
        <v>106</v>
      </c>
      <c r="B61" t="s">
        <v>107</v>
      </c>
    </row>
    <row r="62" spans="1:2">
      <c r="A62" s="17" t="s">
        <v>108</v>
      </c>
      <c r="B62" t="s">
        <v>109</v>
      </c>
    </row>
    <row r="63" spans="1:2">
      <c r="A63" s="17" t="s">
        <v>110</v>
      </c>
      <c r="B63" t="s">
        <v>111</v>
      </c>
    </row>
    <row r="64" spans="1:2">
      <c r="A64" s="71" t="s">
        <v>112</v>
      </c>
      <c r="B64" t="s">
        <v>113</v>
      </c>
    </row>
    <row r="65" spans="1:2">
      <c r="A65" s="71" t="s">
        <v>114</v>
      </c>
      <c r="B65" t="s">
        <v>115</v>
      </c>
    </row>
    <row r="66" spans="1:2">
      <c r="A66" s="17" t="s">
        <v>116</v>
      </c>
      <c r="B66" t="s">
        <v>117</v>
      </c>
    </row>
    <row r="67" spans="1:2">
      <c r="A67" s="17" t="s">
        <v>118</v>
      </c>
      <c r="B67" t="s">
        <v>119</v>
      </c>
    </row>
    <row r="68" spans="1:2">
      <c r="A68" s="17" t="s">
        <v>120</v>
      </c>
      <c r="B68" t="s">
        <v>121</v>
      </c>
    </row>
    <row r="69" spans="1:2">
      <c r="A69" s="17" t="s">
        <v>122</v>
      </c>
      <c r="B69" t="s">
        <v>123</v>
      </c>
    </row>
    <row r="70" spans="1:2">
      <c r="A70" s="17" t="s">
        <v>124</v>
      </c>
      <c r="B70" t="s">
        <v>125</v>
      </c>
    </row>
    <row r="71" spans="1:2">
      <c r="A71" s="17" t="s">
        <v>126</v>
      </c>
      <c r="B71" t="s">
        <v>127</v>
      </c>
    </row>
    <row r="72" spans="1:2">
      <c r="A72" s="17" t="s">
        <v>128</v>
      </c>
      <c r="B72" t="s">
        <v>129</v>
      </c>
    </row>
    <row r="73" spans="1:2">
      <c r="A73" s="17" t="s">
        <v>130</v>
      </c>
      <c r="B73" t="s">
        <v>131</v>
      </c>
    </row>
    <row r="74" spans="1:2">
      <c r="A74" s="17" t="s">
        <v>132</v>
      </c>
      <c r="B74" t="s">
        <v>133</v>
      </c>
    </row>
    <row r="75" spans="1:2">
      <c r="A75" s="17" t="s">
        <v>134</v>
      </c>
      <c r="B75" t="s">
        <v>135</v>
      </c>
    </row>
    <row r="76" spans="1:2">
      <c r="A76" s="17" t="s">
        <v>136</v>
      </c>
      <c r="B76" t="s">
        <v>137</v>
      </c>
    </row>
    <row r="77" spans="1:2">
      <c r="A77" s="17" t="s">
        <v>138</v>
      </c>
      <c r="B77" t="s">
        <v>139</v>
      </c>
    </row>
    <row r="78" spans="1:2">
      <c r="A78" s="17" t="s">
        <v>140</v>
      </c>
      <c r="B78" t="s">
        <v>141</v>
      </c>
    </row>
    <row r="79" spans="1:2">
      <c r="A79" s="71" t="s">
        <v>142</v>
      </c>
      <c r="B79" t="s">
        <v>143</v>
      </c>
    </row>
    <row r="80" spans="1:2">
      <c r="A80" s="17" t="s">
        <v>144</v>
      </c>
      <c r="B80" t="s">
        <v>145</v>
      </c>
    </row>
    <row r="81" spans="1:2">
      <c r="A81" s="17" t="s">
        <v>146</v>
      </c>
      <c r="B81" t="s">
        <v>147</v>
      </c>
    </row>
    <row r="82" spans="1:2">
      <c r="A82" s="71" t="s">
        <v>148</v>
      </c>
      <c r="B82" t="s">
        <v>149</v>
      </c>
    </row>
    <row r="83" spans="1:2">
      <c r="A83" s="71" t="s">
        <v>150</v>
      </c>
      <c r="B83" t="s">
        <v>151</v>
      </c>
    </row>
    <row r="84" spans="1:2">
      <c r="A84" s="71" t="s">
        <v>152</v>
      </c>
      <c r="B84" t="s">
        <v>153</v>
      </c>
    </row>
    <row r="85" spans="1:2">
      <c r="A85" s="71" t="s">
        <v>154</v>
      </c>
      <c r="B85" t="s">
        <v>155</v>
      </c>
    </row>
    <row r="86" spans="1:2">
      <c r="A86" s="71" t="s">
        <v>156</v>
      </c>
      <c r="B86" t="s">
        <v>157</v>
      </c>
    </row>
    <row r="87" spans="1:2">
      <c r="A87" s="17" t="s">
        <v>158</v>
      </c>
      <c r="B87" s="79" t="s">
        <v>159</v>
      </c>
    </row>
    <row r="88" spans="1:2">
      <c r="A88" s="71" t="s">
        <v>160</v>
      </c>
      <c r="B88" t="s">
        <v>161</v>
      </c>
    </row>
    <row r="89" spans="1:2">
      <c r="A89" s="17" t="s">
        <v>162</v>
      </c>
      <c r="B89" t="s">
        <v>163</v>
      </c>
    </row>
    <row r="90" spans="1:2">
      <c r="A90" s="17" t="s">
        <v>164</v>
      </c>
      <c r="B90" t="s">
        <v>165</v>
      </c>
    </row>
    <row r="91" spans="1:2">
      <c r="A91" s="17" t="s">
        <v>166</v>
      </c>
      <c r="B91" t="s">
        <v>167</v>
      </c>
    </row>
    <row r="92" spans="1:2">
      <c r="A92" s="71" t="s">
        <v>168</v>
      </c>
      <c r="B92" t="s">
        <v>169</v>
      </c>
    </row>
    <row r="93" spans="1:2">
      <c r="A93" s="71"/>
    </row>
    <row r="94" spans="1:2">
      <c r="A94" s="71"/>
    </row>
  </sheetData>
  <sortState xmlns:xlrd2="http://schemas.microsoft.com/office/spreadsheetml/2017/richdata2" ref="A11:C92">
    <sortCondition ref="A11:A92"/>
  </sortState>
  <mergeCells count="1">
    <mergeCell ref="B5:B7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A99B9-FF92-4835-B6B4-78D166DF3698}">
  <sheetPr>
    <tabColor theme="5" tint="0.59999389629810485"/>
  </sheetPr>
  <dimension ref="A1:AN309"/>
  <sheetViews>
    <sheetView zoomScale="70" zoomScaleNormal="70" workbookViewId="0">
      <selection activeCell="M17" sqref="M17"/>
    </sheetView>
  </sheetViews>
  <sheetFormatPr defaultColWidth="8.85546875" defaultRowHeight="15"/>
  <cols>
    <col min="1" max="1" width="8.85546875" style="78"/>
    <col min="2" max="2" width="25.140625" style="51" customWidth="1"/>
    <col min="3" max="3" width="11.7109375" style="51" customWidth="1"/>
    <col min="4" max="4" width="10.28515625" style="51" customWidth="1"/>
    <col min="5" max="5" width="8.85546875" style="51"/>
    <col min="6" max="6" width="12.140625" style="51" customWidth="1"/>
    <col min="7" max="7" width="21.140625" style="51" customWidth="1"/>
    <col min="8" max="8" width="12.42578125" style="51" customWidth="1"/>
    <col min="9" max="9" width="33.85546875" style="51" customWidth="1"/>
    <col min="10" max="10" width="25.5703125" style="51" customWidth="1"/>
    <col min="11" max="13" width="8.85546875" style="51"/>
    <col min="14" max="14" width="11.5703125" style="51" customWidth="1"/>
    <col min="15" max="15" width="10.140625" style="51" customWidth="1"/>
    <col min="16" max="18" width="8.85546875" style="51"/>
    <col min="19" max="19" width="10.28515625" style="51" customWidth="1"/>
    <col min="20" max="16384" width="8.85546875" style="51"/>
  </cols>
  <sheetData>
    <row r="1" spans="1:40" ht="18" customHeight="1">
      <c r="A1" s="102" t="s">
        <v>170</v>
      </c>
      <c r="B1" s="104" t="s">
        <v>171</v>
      </c>
      <c r="C1" s="92" t="s">
        <v>172</v>
      </c>
      <c r="D1" s="92" t="s">
        <v>173</v>
      </c>
      <c r="E1" s="92" t="s">
        <v>174</v>
      </c>
      <c r="F1" s="90" t="s">
        <v>175</v>
      </c>
      <c r="G1" s="90" t="s">
        <v>176</v>
      </c>
      <c r="H1" s="92" t="s">
        <v>177</v>
      </c>
      <c r="I1" s="92" t="s">
        <v>178</v>
      </c>
      <c r="J1" s="94" t="s">
        <v>179</v>
      </c>
      <c r="K1" s="96" t="s">
        <v>180</v>
      </c>
      <c r="L1" s="97"/>
      <c r="M1" s="97"/>
      <c r="N1" s="97"/>
      <c r="O1" s="98"/>
      <c r="P1" s="99" t="s">
        <v>181</v>
      </c>
      <c r="Q1" s="100"/>
      <c r="R1" s="100"/>
      <c r="S1" s="100"/>
      <c r="T1" s="100"/>
      <c r="U1" s="100"/>
      <c r="V1" s="101"/>
      <c r="W1" s="84" t="s">
        <v>182</v>
      </c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6"/>
      <c r="AK1" s="87" t="s">
        <v>183</v>
      </c>
      <c r="AL1" s="88"/>
      <c r="AM1" s="88"/>
      <c r="AN1" s="89"/>
    </row>
    <row r="2" spans="1:40" ht="38.25" customHeight="1" thickBot="1">
      <c r="A2" s="103"/>
      <c r="B2" s="105"/>
      <c r="C2" s="93"/>
      <c r="D2" s="93"/>
      <c r="E2" s="93"/>
      <c r="F2" s="91"/>
      <c r="G2" s="91"/>
      <c r="H2" s="93"/>
      <c r="I2" s="93"/>
      <c r="J2" s="95"/>
      <c r="K2" s="52" t="s">
        <v>184</v>
      </c>
      <c r="L2" s="53" t="s">
        <v>128</v>
      </c>
      <c r="M2" s="53" t="s">
        <v>185</v>
      </c>
      <c r="N2" s="53" t="s">
        <v>186</v>
      </c>
      <c r="O2" s="54" t="s">
        <v>187</v>
      </c>
      <c r="P2" s="52" t="s">
        <v>47</v>
      </c>
      <c r="Q2" s="53" t="s">
        <v>49</v>
      </c>
      <c r="R2" s="53" t="s">
        <v>51</v>
      </c>
      <c r="S2" s="53" t="s">
        <v>188</v>
      </c>
      <c r="T2" s="53" t="s">
        <v>189</v>
      </c>
      <c r="U2" s="53" t="s">
        <v>114</v>
      </c>
      <c r="V2" s="54" t="s">
        <v>154</v>
      </c>
      <c r="W2" s="52" t="s">
        <v>138</v>
      </c>
      <c r="X2" s="53" t="s">
        <v>136</v>
      </c>
      <c r="Y2" s="53" t="s">
        <v>190</v>
      </c>
      <c r="Z2" s="53" t="s">
        <v>191</v>
      </c>
      <c r="AA2" s="53" t="s">
        <v>23</v>
      </c>
      <c r="AB2" s="53" t="s">
        <v>158</v>
      </c>
      <c r="AC2" s="53" t="s">
        <v>192</v>
      </c>
      <c r="AD2" s="53" t="s">
        <v>68</v>
      </c>
      <c r="AE2" s="53" t="s">
        <v>9</v>
      </c>
      <c r="AF2" s="53" t="s">
        <v>7</v>
      </c>
      <c r="AG2" s="53" t="s">
        <v>25</v>
      </c>
      <c r="AH2" s="53" t="s">
        <v>29</v>
      </c>
      <c r="AI2" s="53" t="s">
        <v>66</v>
      </c>
      <c r="AJ2" s="54" t="s">
        <v>17</v>
      </c>
      <c r="AK2" s="52" t="s">
        <v>156</v>
      </c>
      <c r="AL2" s="53" t="s">
        <v>160</v>
      </c>
      <c r="AM2" s="53" t="s">
        <v>193</v>
      </c>
      <c r="AN2" s="54" t="s">
        <v>194</v>
      </c>
    </row>
    <row r="3" spans="1:40">
      <c r="A3" s="72" t="str">
        <f>HYPERLINK("https://www.ncbi.nlm.nih.gov/pubmed/31398257","31398257")</f>
        <v>31398257</v>
      </c>
      <c r="B3" s="55" t="s">
        <v>195</v>
      </c>
      <c r="C3" s="56" t="s">
        <v>196</v>
      </c>
      <c r="D3" s="56" t="s">
        <v>197</v>
      </c>
      <c r="E3" s="56" t="s">
        <v>198</v>
      </c>
      <c r="F3" s="56" t="s">
        <v>199</v>
      </c>
      <c r="G3" s="56" t="s">
        <v>200</v>
      </c>
      <c r="H3" s="56" t="s">
        <v>13</v>
      </c>
      <c r="I3" s="56" t="s">
        <v>201</v>
      </c>
      <c r="J3" s="56" t="s">
        <v>202</v>
      </c>
      <c r="K3" s="57">
        <v>1</v>
      </c>
      <c r="L3" s="58">
        <v>0</v>
      </c>
      <c r="M3" s="58">
        <v>1</v>
      </c>
      <c r="N3" s="58">
        <v>0</v>
      </c>
      <c r="O3" s="59">
        <v>1</v>
      </c>
      <c r="P3" s="57">
        <v>1</v>
      </c>
      <c r="Q3" s="58">
        <v>1</v>
      </c>
      <c r="R3" s="58">
        <v>0</v>
      </c>
      <c r="S3" s="58">
        <v>0</v>
      </c>
      <c r="T3" s="58">
        <v>1</v>
      </c>
      <c r="U3" s="58">
        <v>1</v>
      </c>
      <c r="V3" s="59">
        <v>0</v>
      </c>
      <c r="W3" s="57">
        <v>0</v>
      </c>
      <c r="X3" s="58">
        <v>1</v>
      </c>
      <c r="Y3" s="58">
        <v>0</v>
      </c>
      <c r="Z3" s="58">
        <v>1</v>
      </c>
      <c r="AA3" s="58">
        <v>0</v>
      </c>
      <c r="AB3" s="58">
        <v>1</v>
      </c>
      <c r="AC3" s="58">
        <v>0</v>
      </c>
      <c r="AD3" s="58">
        <v>0</v>
      </c>
      <c r="AE3" s="58">
        <v>0</v>
      </c>
      <c r="AF3" s="58">
        <v>0</v>
      </c>
      <c r="AG3" s="58">
        <v>0</v>
      </c>
      <c r="AH3" s="58">
        <v>0</v>
      </c>
      <c r="AI3" s="58">
        <v>0</v>
      </c>
      <c r="AJ3" s="59">
        <v>0</v>
      </c>
      <c r="AK3" s="57">
        <v>1</v>
      </c>
      <c r="AL3" s="58">
        <v>0</v>
      </c>
      <c r="AM3" s="58">
        <v>0</v>
      </c>
      <c r="AN3" s="59">
        <v>0</v>
      </c>
    </row>
    <row r="4" spans="1:40">
      <c r="A4" s="72" t="str">
        <f>HYPERLINK("https://www.ncbi.nlm.nih.gov/pubmed/25340537","25340537")</f>
        <v>25340537</v>
      </c>
      <c r="B4" s="55" t="s">
        <v>195</v>
      </c>
      <c r="C4" s="60" t="s">
        <v>203</v>
      </c>
      <c r="D4" s="56" t="s">
        <v>204</v>
      </c>
      <c r="E4" s="56" t="s">
        <v>205</v>
      </c>
      <c r="F4" s="56" t="s">
        <v>206</v>
      </c>
      <c r="G4" s="56" t="s">
        <v>207</v>
      </c>
      <c r="H4" s="56" t="s">
        <v>13</v>
      </c>
      <c r="I4" s="56" t="s">
        <v>208</v>
      </c>
      <c r="J4" s="56" t="s">
        <v>142</v>
      </c>
      <c r="K4" s="57">
        <v>0</v>
      </c>
      <c r="L4" s="58">
        <v>0</v>
      </c>
      <c r="M4" s="58">
        <v>1</v>
      </c>
      <c r="N4" s="58">
        <v>0</v>
      </c>
      <c r="O4" s="59">
        <v>1</v>
      </c>
      <c r="P4" s="57">
        <v>1</v>
      </c>
      <c r="Q4" s="58">
        <v>1</v>
      </c>
      <c r="R4" s="58">
        <v>0</v>
      </c>
      <c r="S4" s="58">
        <v>0</v>
      </c>
      <c r="T4" s="58">
        <v>0</v>
      </c>
      <c r="U4" s="58">
        <v>1</v>
      </c>
      <c r="V4" s="59">
        <v>0</v>
      </c>
      <c r="W4" s="57">
        <v>0</v>
      </c>
      <c r="X4" s="58">
        <v>1</v>
      </c>
      <c r="Y4" s="58">
        <v>0</v>
      </c>
      <c r="Z4" s="58">
        <v>0</v>
      </c>
      <c r="AA4" s="58">
        <v>0</v>
      </c>
      <c r="AB4" s="58">
        <v>1</v>
      </c>
      <c r="AC4" s="58">
        <v>0</v>
      </c>
      <c r="AD4" s="58">
        <v>0</v>
      </c>
      <c r="AE4" s="58">
        <v>0</v>
      </c>
      <c r="AF4" s="58">
        <v>0</v>
      </c>
      <c r="AG4" s="58">
        <v>0</v>
      </c>
      <c r="AH4" s="58">
        <v>0</v>
      </c>
      <c r="AI4" s="58">
        <v>0</v>
      </c>
      <c r="AJ4" s="59">
        <v>0</v>
      </c>
      <c r="AK4" s="57">
        <v>1</v>
      </c>
      <c r="AL4" s="58">
        <v>0</v>
      </c>
      <c r="AM4" s="58">
        <v>0</v>
      </c>
      <c r="AN4" s="59">
        <v>0</v>
      </c>
    </row>
    <row r="5" spans="1:40">
      <c r="A5" s="72" t="str">
        <f>HYPERLINK("https://www.ncbi.nlm.nih.gov/pubmed/32735821","32735821")</f>
        <v>32735821</v>
      </c>
      <c r="B5" s="55" t="s">
        <v>195</v>
      </c>
      <c r="C5" s="60" t="s">
        <v>203</v>
      </c>
      <c r="D5" s="56" t="s">
        <v>204</v>
      </c>
      <c r="E5" s="56" t="s">
        <v>198</v>
      </c>
      <c r="F5" s="56" t="s">
        <v>209</v>
      </c>
      <c r="G5" s="56" t="s">
        <v>210</v>
      </c>
      <c r="H5" s="56" t="s">
        <v>13</v>
      </c>
      <c r="I5" s="56" t="s">
        <v>211</v>
      </c>
      <c r="J5" s="56" t="s">
        <v>142</v>
      </c>
      <c r="K5" s="57">
        <v>0</v>
      </c>
      <c r="L5" s="58">
        <v>1</v>
      </c>
      <c r="M5" s="58">
        <v>0</v>
      </c>
      <c r="N5" s="58">
        <v>1</v>
      </c>
      <c r="O5" s="59">
        <v>1</v>
      </c>
      <c r="P5" s="57">
        <v>0</v>
      </c>
      <c r="Q5" s="58">
        <v>1</v>
      </c>
      <c r="R5" s="58">
        <v>0</v>
      </c>
      <c r="S5" s="58">
        <v>0</v>
      </c>
      <c r="T5" s="58">
        <v>1</v>
      </c>
      <c r="U5" s="58">
        <v>1</v>
      </c>
      <c r="V5" s="59">
        <v>0</v>
      </c>
      <c r="W5" s="57">
        <v>0</v>
      </c>
      <c r="X5" s="58">
        <v>0</v>
      </c>
      <c r="Y5" s="58">
        <v>0</v>
      </c>
      <c r="Z5" s="58">
        <v>0</v>
      </c>
      <c r="AA5" s="58">
        <v>0</v>
      </c>
      <c r="AB5" s="58">
        <v>1</v>
      </c>
      <c r="AC5" s="58">
        <v>0</v>
      </c>
      <c r="AD5" s="58">
        <v>0</v>
      </c>
      <c r="AE5" s="58">
        <v>0</v>
      </c>
      <c r="AF5" s="58">
        <v>0</v>
      </c>
      <c r="AG5" s="58">
        <v>0</v>
      </c>
      <c r="AH5" s="58">
        <v>0</v>
      </c>
      <c r="AI5" s="58">
        <v>0</v>
      </c>
      <c r="AJ5" s="59">
        <v>0</v>
      </c>
      <c r="AK5" s="57">
        <v>1</v>
      </c>
      <c r="AL5" s="58">
        <v>0</v>
      </c>
      <c r="AM5" s="58">
        <v>0</v>
      </c>
      <c r="AN5" s="59">
        <v>1</v>
      </c>
    </row>
    <row r="6" spans="1:40">
      <c r="A6" s="73" t="str">
        <f>HYPERLINK("https://www.ncbi.nlm.nih.gov/pubmed/1645279","1645279")</f>
        <v>1645279</v>
      </c>
      <c r="B6" s="61" t="s">
        <v>195</v>
      </c>
      <c r="C6" s="62" t="s">
        <v>196</v>
      </c>
      <c r="D6" s="62" t="s">
        <v>204</v>
      </c>
      <c r="E6" s="62" t="s">
        <v>212</v>
      </c>
      <c r="F6" s="62" t="s">
        <v>213</v>
      </c>
      <c r="G6" s="62" t="s">
        <v>214</v>
      </c>
      <c r="H6" s="62" t="s">
        <v>13</v>
      </c>
      <c r="I6" s="62" t="s">
        <v>201</v>
      </c>
      <c r="J6" s="62" t="s">
        <v>142</v>
      </c>
      <c r="K6" s="57">
        <v>0</v>
      </c>
      <c r="L6" s="58">
        <v>1</v>
      </c>
      <c r="M6" s="58">
        <v>1</v>
      </c>
      <c r="N6" s="58">
        <v>0</v>
      </c>
      <c r="O6" s="59">
        <v>1</v>
      </c>
      <c r="P6" s="57">
        <v>0</v>
      </c>
      <c r="Q6" s="58">
        <v>0</v>
      </c>
      <c r="R6" s="58">
        <v>0</v>
      </c>
      <c r="S6" s="58">
        <v>0</v>
      </c>
      <c r="T6" s="58">
        <v>0</v>
      </c>
      <c r="U6" s="58">
        <v>0</v>
      </c>
      <c r="V6" s="59">
        <v>0</v>
      </c>
      <c r="W6" s="57">
        <v>1</v>
      </c>
      <c r="X6" s="58">
        <v>0</v>
      </c>
      <c r="Y6" s="58">
        <v>0</v>
      </c>
      <c r="Z6" s="58">
        <v>0</v>
      </c>
      <c r="AA6" s="58">
        <v>0</v>
      </c>
      <c r="AB6" s="58">
        <v>1</v>
      </c>
      <c r="AC6" s="58">
        <v>0</v>
      </c>
      <c r="AD6" s="58">
        <v>0</v>
      </c>
      <c r="AE6" s="58">
        <v>0</v>
      </c>
      <c r="AF6" s="58">
        <v>0</v>
      </c>
      <c r="AG6" s="58">
        <v>0</v>
      </c>
      <c r="AH6" s="58">
        <v>0</v>
      </c>
      <c r="AI6" s="58">
        <v>0</v>
      </c>
      <c r="AJ6" s="59">
        <v>0</v>
      </c>
      <c r="AK6" s="57">
        <v>0</v>
      </c>
      <c r="AL6" s="58">
        <v>0</v>
      </c>
      <c r="AM6" s="58">
        <v>0</v>
      </c>
      <c r="AN6" s="59">
        <v>0</v>
      </c>
    </row>
    <row r="7" spans="1:40">
      <c r="A7" s="72" t="str">
        <f>HYPERLINK("https://www.ncbi.nlm.nih.gov/pubmed/25677926","25677926")</f>
        <v>25677926</v>
      </c>
      <c r="B7" s="55" t="s">
        <v>195</v>
      </c>
      <c r="C7" s="56" t="s">
        <v>196</v>
      </c>
      <c r="D7" s="56" t="s">
        <v>204</v>
      </c>
      <c r="E7" s="56" t="s">
        <v>205</v>
      </c>
      <c r="F7" s="56" t="s">
        <v>213</v>
      </c>
      <c r="G7" s="56" t="s">
        <v>215</v>
      </c>
      <c r="H7" s="56" t="s">
        <v>13</v>
      </c>
      <c r="I7" s="56" t="s">
        <v>201</v>
      </c>
      <c r="J7" s="56" t="s">
        <v>142</v>
      </c>
      <c r="K7" s="57">
        <v>1</v>
      </c>
      <c r="L7" s="58">
        <v>0</v>
      </c>
      <c r="M7" s="58">
        <v>0</v>
      </c>
      <c r="N7" s="58">
        <v>0</v>
      </c>
      <c r="O7" s="59">
        <v>0</v>
      </c>
      <c r="P7" s="57">
        <v>1</v>
      </c>
      <c r="Q7" s="58">
        <v>1</v>
      </c>
      <c r="R7" s="58">
        <v>0</v>
      </c>
      <c r="S7" s="58">
        <v>0</v>
      </c>
      <c r="T7" s="58">
        <v>0</v>
      </c>
      <c r="U7" s="58">
        <v>1</v>
      </c>
      <c r="V7" s="59">
        <v>0</v>
      </c>
      <c r="W7" s="57">
        <v>0</v>
      </c>
      <c r="X7" s="58">
        <v>0</v>
      </c>
      <c r="Y7" s="58">
        <v>0</v>
      </c>
      <c r="Z7" s="58">
        <v>0</v>
      </c>
      <c r="AA7" s="58">
        <v>0</v>
      </c>
      <c r="AB7" s="58">
        <v>1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9">
        <v>0</v>
      </c>
      <c r="AK7" s="57">
        <v>1</v>
      </c>
      <c r="AL7" s="58">
        <v>0</v>
      </c>
      <c r="AM7" s="58">
        <v>0</v>
      </c>
      <c r="AN7" s="59">
        <v>0</v>
      </c>
    </row>
    <row r="8" spans="1:40">
      <c r="A8" s="72" t="str">
        <f>HYPERLINK("https://www.ncbi.nlm.nih.gov/pubmed/25677926","25677926")</f>
        <v>25677926</v>
      </c>
      <c r="B8" s="55" t="s">
        <v>195</v>
      </c>
      <c r="C8" s="56" t="s">
        <v>196</v>
      </c>
      <c r="D8" s="56" t="s">
        <v>204</v>
      </c>
      <c r="E8" s="56" t="s">
        <v>205</v>
      </c>
      <c r="F8" s="56" t="s">
        <v>213</v>
      </c>
      <c r="G8" s="56" t="s">
        <v>215</v>
      </c>
      <c r="H8" s="56" t="s">
        <v>13</v>
      </c>
      <c r="I8" s="56" t="s">
        <v>201</v>
      </c>
      <c r="J8" s="56" t="s">
        <v>142</v>
      </c>
      <c r="K8" s="57">
        <v>1</v>
      </c>
      <c r="L8" s="58">
        <v>0</v>
      </c>
      <c r="M8" s="58">
        <v>0</v>
      </c>
      <c r="N8" s="58">
        <v>0</v>
      </c>
      <c r="O8" s="59">
        <v>0</v>
      </c>
      <c r="P8" s="57">
        <v>1</v>
      </c>
      <c r="Q8" s="58">
        <v>1</v>
      </c>
      <c r="R8" s="58">
        <v>0</v>
      </c>
      <c r="S8" s="58">
        <v>0</v>
      </c>
      <c r="T8" s="58">
        <v>0</v>
      </c>
      <c r="U8" s="58">
        <v>1</v>
      </c>
      <c r="V8" s="59">
        <v>0</v>
      </c>
      <c r="W8" s="57">
        <v>0</v>
      </c>
      <c r="X8" s="58">
        <v>0</v>
      </c>
      <c r="Y8" s="58">
        <v>0</v>
      </c>
      <c r="Z8" s="58">
        <v>0</v>
      </c>
      <c r="AA8" s="58">
        <v>0</v>
      </c>
      <c r="AB8" s="58">
        <v>1</v>
      </c>
      <c r="AC8" s="58">
        <v>0</v>
      </c>
      <c r="AD8" s="58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9">
        <v>0</v>
      </c>
      <c r="AK8" s="57">
        <v>1</v>
      </c>
      <c r="AL8" s="58">
        <v>0</v>
      </c>
      <c r="AM8" s="58">
        <v>0</v>
      </c>
      <c r="AN8" s="59">
        <v>0</v>
      </c>
    </row>
    <row r="9" spans="1:40">
      <c r="A9" s="72" t="str">
        <f>HYPERLINK("https://www.ncbi.nlm.nih.gov/pubmed/18583092","18583092")</f>
        <v>18583092</v>
      </c>
      <c r="B9" s="55" t="s">
        <v>195</v>
      </c>
      <c r="C9" s="56" t="s">
        <v>196</v>
      </c>
      <c r="D9" s="56" t="s">
        <v>204</v>
      </c>
      <c r="E9" s="56" t="s">
        <v>212</v>
      </c>
      <c r="F9" s="56" t="s">
        <v>213</v>
      </c>
      <c r="G9" s="56" t="s">
        <v>215</v>
      </c>
      <c r="H9" s="56" t="s">
        <v>13</v>
      </c>
      <c r="I9" s="56" t="s">
        <v>216</v>
      </c>
      <c r="J9" s="56" t="s">
        <v>142</v>
      </c>
      <c r="K9" s="57">
        <v>1</v>
      </c>
      <c r="L9" s="58">
        <v>1</v>
      </c>
      <c r="M9" s="58">
        <v>1</v>
      </c>
      <c r="N9" s="58">
        <v>1</v>
      </c>
      <c r="O9" s="59">
        <v>0</v>
      </c>
      <c r="P9" s="57">
        <v>0</v>
      </c>
      <c r="Q9" s="58">
        <v>0</v>
      </c>
      <c r="R9" s="58">
        <v>0</v>
      </c>
      <c r="S9" s="58">
        <v>0</v>
      </c>
      <c r="T9" s="58">
        <v>0</v>
      </c>
      <c r="U9" s="58">
        <v>0</v>
      </c>
      <c r="V9" s="59">
        <v>1</v>
      </c>
      <c r="W9" s="57">
        <v>1</v>
      </c>
      <c r="X9" s="58">
        <v>0</v>
      </c>
      <c r="Y9" s="58">
        <v>0</v>
      </c>
      <c r="Z9" s="58">
        <v>0</v>
      </c>
      <c r="AA9" s="58">
        <v>0</v>
      </c>
      <c r="AB9" s="58">
        <v>1</v>
      </c>
      <c r="AC9" s="58">
        <v>0</v>
      </c>
      <c r="AD9" s="58">
        <v>0</v>
      </c>
      <c r="AE9" s="58">
        <v>0</v>
      </c>
      <c r="AF9" s="58">
        <v>0</v>
      </c>
      <c r="AG9" s="58">
        <v>0</v>
      </c>
      <c r="AH9" s="58">
        <v>0</v>
      </c>
      <c r="AI9" s="58">
        <v>0</v>
      </c>
      <c r="AJ9" s="59">
        <v>1</v>
      </c>
      <c r="AK9" s="57">
        <v>1</v>
      </c>
      <c r="AL9" s="58">
        <v>0</v>
      </c>
      <c r="AM9" s="58">
        <v>1</v>
      </c>
      <c r="AN9" s="59">
        <v>0</v>
      </c>
    </row>
    <row r="10" spans="1:40">
      <c r="A10" s="72" t="str">
        <f>HYPERLINK("https://www.ncbi.nlm.nih.gov/pubmed/21752447","21752447")</f>
        <v>21752447</v>
      </c>
      <c r="B10" s="55" t="s">
        <v>195</v>
      </c>
      <c r="C10" s="56" t="s">
        <v>196</v>
      </c>
      <c r="D10" s="56" t="s">
        <v>204</v>
      </c>
      <c r="E10" s="56" t="s">
        <v>217</v>
      </c>
      <c r="F10" s="56" t="s">
        <v>213</v>
      </c>
      <c r="G10" s="56" t="s">
        <v>218</v>
      </c>
      <c r="H10" s="56" t="s">
        <v>13</v>
      </c>
      <c r="I10" s="56" t="s">
        <v>219</v>
      </c>
      <c r="J10" s="63" t="s">
        <v>82</v>
      </c>
      <c r="K10" s="58">
        <v>0</v>
      </c>
      <c r="L10" s="58">
        <v>0</v>
      </c>
      <c r="M10" s="58">
        <v>0</v>
      </c>
      <c r="N10" s="58">
        <v>0</v>
      </c>
      <c r="O10" s="59">
        <v>0</v>
      </c>
      <c r="P10" s="57">
        <v>0</v>
      </c>
      <c r="Q10" s="58">
        <v>0</v>
      </c>
      <c r="R10" s="58">
        <v>0</v>
      </c>
      <c r="S10" s="58">
        <v>0</v>
      </c>
      <c r="T10" s="58">
        <v>0</v>
      </c>
      <c r="U10" s="58">
        <v>0</v>
      </c>
      <c r="V10" s="59">
        <v>0</v>
      </c>
      <c r="W10" s="57">
        <v>0</v>
      </c>
      <c r="X10" s="58">
        <v>0</v>
      </c>
      <c r="Y10" s="58">
        <v>0</v>
      </c>
      <c r="Z10" s="58">
        <v>0</v>
      </c>
      <c r="AA10" s="58">
        <v>0</v>
      </c>
      <c r="AB10" s="58">
        <v>1</v>
      </c>
      <c r="AC10" s="58">
        <v>0</v>
      </c>
      <c r="AD10" s="58">
        <v>0</v>
      </c>
      <c r="AE10" s="58">
        <v>0</v>
      </c>
      <c r="AF10" s="58">
        <v>0</v>
      </c>
      <c r="AG10" s="58">
        <v>0</v>
      </c>
      <c r="AH10" s="58">
        <v>0</v>
      </c>
      <c r="AI10" s="58">
        <v>0</v>
      </c>
      <c r="AJ10" s="59">
        <v>0</v>
      </c>
      <c r="AK10" s="57">
        <v>0</v>
      </c>
      <c r="AL10" s="58">
        <v>0</v>
      </c>
      <c r="AM10" s="58">
        <v>0</v>
      </c>
      <c r="AN10" s="59">
        <v>0</v>
      </c>
    </row>
    <row r="11" spans="1:40">
      <c r="A11" s="72" t="str">
        <f>HYPERLINK("https://www.ncbi.nlm.nih.gov/pubmed/24512812","24512812")</f>
        <v>24512812</v>
      </c>
      <c r="B11" s="55" t="s">
        <v>195</v>
      </c>
      <c r="C11" s="56" t="s">
        <v>196</v>
      </c>
      <c r="D11" s="56" t="s">
        <v>204</v>
      </c>
      <c r="E11" s="56" t="s">
        <v>205</v>
      </c>
      <c r="F11" s="56" t="s">
        <v>213</v>
      </c>
      <c r="G11" s="56" t="s">
        <v>218</v>
      </c>
      <c r="H11" s="56" t="s">
        <v>13</v>
      </c>
      <c r="I11" s="56" t="s">
        <v>208</v>
      </c>
      <c r="J11" s="63" t="s">
        <v>84</v>
      </c>
      <c r="K11" s="58">
        <v>1</v>
      </c>
      <c r="L11" s="58">
        <v>0</v>
      </c>
      <c r="M11" s="58">
        <v>1</v>
      </c>
      <c r="N11" s="58">
        <v>0</v>
      </c>
      <c r="O11" s="59">
        <v>0</v>
      </c>
      <c r="P11" s="57">
        <v>1</v>
      </c>
      <c r="Q11" s="58">
        <v>1</v>
      </c>
      <c r="R11" s="58">
        <v>0</v>
      </c>
      <c r="S11" s="58">
        <v>0</v>
      </c>
      <c r="T11" s="58">
        <v>1</v>
      </c>
      <c r="U11" s="58">
        <v>1</v>
      </c>
      <c r="V11" s="59">
        <v>0</v>
      </c>
      <c r="W11" s="57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1</v>
      </c>
      <c r="AC11" s="58">
        <v>0</v>
      </c>
      <c r="AD11" s="58">
        <v>0</v>
      </c>
      <c r="AE11" s="58">
        <v>0</v>
      </c>
      <c r="AF11" s="58">
        <v>0</v>
      </c>
      <c r="AG11" s="58">
        <v>0</v>
      </c>
      <c r="AH11" s="58">
        <v>0</v>
      </c>
      <c r="AI11" s="58">
        <v>0</v>
      </c>
      <c r="AJ11" s="59">
        <v>0</v>
      </c>
      <c r="AK11" s="57">
        <v>1</v>
      </c>
      <c r="AL11" s="58">
        <v>0</v>
      </c>
      <c r="AM11" s="58">
        <v>0</v>
      </c>
      <c r="AN11" s="59">
        <v>0</v>
      </c>
    </row>
    <row r="12" spans="1:40">
      <c r="A12" s="72" t="str">
        <f>HYPERLINK("https://www.ncbi.nlm.nih.gov/pubmed/10363120","10363120")</f>
        <v>10363120</v>
      </c>
      <c r="B12" s="55" t="s">
        <v>195</v>
      </c>
      <c r="C12" s="56" t="s">
        <v>196</v>
      </c>
      <c r="D12" s="56" t="s">
        <v>204</v>
      </c>
      <c r="E12" s="56" t="s">
        <v>220</v>
      </c>
      <c r="F12" s="56" t="s">
        <v>213</v>
      </c>
      <c r="G12" s="56" t="s">
        <v>214</v>
      </c>
      <c r="H12" s="56" t="s">
        <v>13</v>
      </c>
      <c r="I12" s="56" t="s">
        <v>201</v>
      </c>
      <c r="J12" s="63" t="s">
        <v>142</v>
      </c>
      <c r="K12" s="58">
        <v>1</v>
      </c>
      <c r="L12" s="58">
        <v>0</v>
      </c>
      <c r="M12" s="58">
        <v>0</v>
      </c>
      <c r="N12" s="58">
        <v>0</v>
      </c>
      <c r="O12" s="59">
        <v>1</v>
      </c>
      <c r="P12" s="57">
        <v>0</v>
      </c>
      <c r="Q12" s="58">
        <v>0</v>
      </c>
      <c r="R12" s="58">
        <v>0</v>
      </c>
      <c r="S12" s="58">
        <v>0</v>
      </c>
      <c r="T12" s="58">
        <v>0</v>
      </c>
      <c r="U12" s="58">
        <v>0</v>
      </c>
      <c r="V12" s="59">
        <v>0</v>
      </c>
      <c r="W12" s="57">
        <v>0</v>
      </c>
      <c r="X12" s="58">
        <v>0</v>
      </c>
      <c r="Y12" s="58">
        <v>0</v>
      </c>
      <c r="Z12" s="58">
        <v>0</v>
      </c>
      <c r="AA12" s="58">
        <v>0</v>
      </c>
      <c r="AB12" s="58">
        <v>1</v>
      </c>
      <c r="AC12" s="58">
        <v>0</v>
      </c>
      <c r="AD12" s="58">
        <v>0</v>
      </c>
      <c r="AE12" s="58">
        <v>0</v>
      </c>
      <c r="AF12" s="58">
        <v>0</v>
      </c>
      <c r="AG12" s="58">
        <v>0</v>
      </c>
      <c r="AH12" s="58">
        <v>0</v>
      </c>
      <c r="AI12" s="58">
        <v>0</v>
      </c>
      <c r="AJ12" s="59">
        <v>0</v>
      </c>
      <c r="AK12" s="57">
        <v>0</v>
      </c>
      <c r="AL12" s="58">
        <v>0</v>
      </c>
      <c r="AM12" s="58">
        <v>0</v>
      </c>
      <c r="AN12" s="59">
        <v>0</v>
      </c>
    </row>
    <row r="13" spans="1:40">
      <c r="A13" s="72" t="str">
        <f>HYPERLINK("https://www.ncbi.nlm.nih.gov/pubmed/17161578","17161578")</f>
        <v>17161578</v>
      </c>
      <c r="B13" s="55" t="s">
        <v>195</v>
      </c>
      <c r="C13" s="56" t="s">
        <v>196</v>
      </c>
      <c r="D13" s="56" t="s">
        <v>204</v>
      </c>
      <c r="E13" s="56" t="s">
        <v>205</v>
      </c>
      <c r="F13" s="56" t="s">
        <v>213</v>
      </c>
      <c r="G13" s="56" t="s">
        <v>214</v>
      </c>
      <c r="H13" s="56" t="s">
        <v>13</v>
      </c>
      <c r="I13" s="56" t="s">
        <v>201</v>
      </c>
      <c r="J13" s="63" t="s">
        <v>142</v>
      </c>
      <c r="K13" s="58">
        <v>1</v>
      </c>
      <c r="L13" s="58">
        <v>0</v>
      </c>
      <c r="M13" s="58">
        <v>0</v>
      </c>
      <c r="N13" s="58">
        <v>0</v>
      </c>
      <c r="O13" s="59">
        <v>0</v>
      </c>
      <c r="P13" s="57">
        <v>1</v>
      </c>
      <c r="Q13" s="58">
        <v>0</v>
      </c>
      <c r="R13" s="58">
        <v>0</v>
      </c>
      <c r="S13" s="58">
        <v>0</v>
      </c>
      <c r="T13" s="58">
        <v>0</v>
      </c>
      <c r="U13" s="58">
        <v>1</v>
      </c>
      <c r="V13" s="59">
        <v>0</v>
      </c>
      <c r="W13" s="57">
        <v>0</v>
      </c>
      <c r="X13" s="58">
        <v>0</v>
      </c>
      <c r="Y13" s="58">
        <v>0</v>
      </c>
      <c r="Z13" s="58">
        <v>0</v>
      </c>
      <c r="AA13" s="58">
        <v>0</v>
      </c>
      <c r="AB13" s="58">
        <v>1</v>
      </c>
      <c r="AC13" s="58">
        <v>0</v>
      </c>
      <c r="AD13" s="58">
        <v>0</v>
      </c>
      <c r="AE13" s="58">
        <v>0</v>
      </c>
      <c r="AF13" s="58">
        <v>0</v>
      </c>
      <c r="AG13" s="58">
        <v>0</v>
      </c>
      <c r="AH13" s="58">
        <v>0</v>
      </c>
      <c r="AI13" s="58">
        <v>0</v>
      </c>
      <c r="AJ13" s="59">
        <v>0</v>
      </c>
      <c r="AK13" s="57">
        <v>1</v>
      </c>
      <c r="AL13" s="58">
        <v>0</v>
      </c>
      <c r="AM13" s="58">
        <v>0</v>
      </c>
      <c r="AN13" s="59">
        <v>0</v>
      </c>
    </row>
    <row r="14" spans="1:40">
      <c r="A14" s="72" t="str">
        <f>HYPERLINK("https://www.ncbi.nlm.nih.gov/pubmed/27590779","27590779")</f>
        <v>27590779</v>
      </c>
      <c r="B14" s="55" t="s">
        <v>195</v>
      </c>
      <c r="C14" s="56" t="s">
        <v>196</v>
      </c>
      <c r="D14" s="56" t="s">
        <v>204</v>
      </c>
      <c r="E14" s="56" t="s">
        <v>205</v>
      </c>
      <c r="F14" s="56" t="s">
        <v>213</v>
      </c>
      <c r="G14" s="56" t="s">
        <v>214</v>
      </c>
      <c r="H14" s="56" t="s">
        <v>13</v>
      </c>
      <c r="I14" s="56" t="s">
        <v>221</v>
      </c>
      <c r="J14" s="63" t="s">
        <v>142</v>
      </c>
      <c r="K14" s="58">
        <v>0</v>
      </c>
      <c r="L14" s="58">
        <v>0</v>
      </c>
      <c r="M14" s="58">
        <v>0</v>
      </c>
      <c r="N14" s="58">
        <v>0</v>
      </c>
      <c r="O14" s="59">
        <v>0</v>
      </c>
      <c r="P14" s="57">
        <v>0</v>
      </c>
      <c r="Q14" s="58">
        <v>0</v>
      </c>
      <c r="R14" s="58">
        <v>0</v>
      </c>
      <c r="S14" s="58">
        <v>0</v>
      </c>
      <c r="T14" s="58">
        <v>0</v>
      </c>
      <c r="U14" s="58">
        <v>0</v>
      </c>
      <c r="V14" s="59">
        <v>0</v>
      </c>
      <c r="W14" s="57">
        <v>0</v>
      </c>
      <c r="X14" s="58">
        <v>0</v>
      </c>
      <c r="Y14" s="58">
        <v>0</v>
      </c>
      <c r="Z14" s="58">
        <v>0</v>
      </c>
      <c r="AA14" s="58">
        <v>0</v>
      </c>
      <c r="AB14" s="58">
        <v>1</v>
      </c>
      <c r="AC14" s="58">
        <v>1</v>
      </c>
      <c r="AD14" s="58">
        <v>1</v>
      </c>
      <c r="AE14" s="58">
        <v>0</v>
      </c>
      <c r="AF14" s="58">
        <v>0</v>
      </c>
      <c r="AG14" s="58">
        <v>0</v>
      </c>
      <c r="AH14" s="58">
        <v>0</v>
      </c>
      <c r="AI14" s="58">
        <v>0</v>
      </c>
      <c r="AJ14" s="59">
        <v>0</v>
      </c>
      <c r="AK14" s="57">
        <v>0</v>
      </c>
      <c r="AL14" s="58">
        <v>0</v>
      </c>
      <c r="AM14" s="58">
        <v>0</v>
      </c>
      <c r="AN14" s="59">
        <v>0</v>
      </c>
    </row>
    <row r="15" spans="1:40">
      <c r="A15" s="72" t="str">
        <f>HYPERLINK("https://www.ncbi.nlm.nih.gov/pubmed/33148124","33148124")</f>
        <v>33148124</v>
      </c>
      <c r="B15" s="55" t="s">
        <v>195</v>
      </c>
      <c r="C15" s="56" t="s">
        <v>196</v>
      </c>
      <c r="D15" s="56" t="s">
        <v>197</v>
      </c>
      <c r="E15" s="56" t="s">
        <v>205</v>
      </c>
      <c r="F15" s="56" t="s">
        <v>213</v>
      </c>
      <c r="G15" s="56" t="s">
        <v>214</v>
      </c>
      <c r="H15" s="56" t="s">
        <v>13</v>
      </c>
      <c r="I15" s="56" t="s">
        <v>211</v>
      </c>
      <c r="J15" s="63" t="s">
        <v>84</v>
      </c>
      <c r="K15" s="58">
        <v>0</v>
      </c>
      <c r="L15" s="58">
        <v>0</v>
      </c>
      <c r="M15" s="58">
        <v>0</v>
      </c>
      <c r="N15" s="58">
        <v>0</v>
      </c>
      <c r="O15" s="59">
        <v>0</v>
      </c>
      <c r="P15" s="57">
        <v>1</v>
      </c>
      <c r="Q15" s="58">
        <v>0</v>
      </c>
      <c r="R15" s="58">
        <v>0</v>
      </c>
      <c r="S15" s="58">
        <v>0</v>
      </c>
      <c r="T15" s="58">
        <v>0</v>
      </c>
      <c r="U15" s="58">
        <v>1</v>
      </c>
      <c r="V15" s="59">
        <v>0</v>
      </c>
      <c r="W15" s="57">
        <v>0</v>
      </c>
      <c r="X15" s="58">
        <v>0</v>
      </c>
      <c r="Y15" s="58">
        <v>0</v>
      </c>
      <c r="Z15" s="58">
        <v>0</v>
      </c>
      <c r="AA15" s="58">
        <v>0</v>
      </c>
      <c r="AB15" s="58">
        <v>1</v>
      </c>
      <c r="AC15" s="58">
        <v>0</v>
      </c>
      <c r="AD15" s="58">
        <v>0</v>
      </c>
      <c r="AE15" s="58">
        <v>0</v>
      </c>
      <c r="AF15" s="58">
        <v>0</v>
      </c>
      <c r="AG15" s="58">
        <v>0</v>
      </c>
      <c r="AH15" s="58">
        <v>0</v>
      </c>
      <c r="AI15" s="58">
        <v>0</v>
      </c>
      <c r="AJ15" s="59">
        <v>0</v>
      </c>
      <c r="AK15" s="57">
        <v>1</v>
      </c>
      <c r="AL15" s="58">
        <v>0</v>
      </c>
      <c r="AM15" s="58">
        <v>0</v>
      </c>
      <c r="AN15" s="59">
        <v>0</v>
      </c>
    </row>
    <row r="16" spans="1:40">
      <c r="A16" s="74" t="str">
        <f>HYPERLINK("https://www.ncbi.nlm.nih.gov/pubmed/1955071","1955071")</f>
        <v>1955071</v>
      </c>
      <c r="B16" s="55" t="s">
        <v>195</v>
      </c>
      <c r="C16" s="56" t="s">
        <v>196</v>
      </c>
      <c r="D16" s="56" t="s">
        <v>204</v>
      </c>
      <c r="E16" s="56" t="s">
        <v>212</v>
      </c>
      <c r="F16" s="56" t="s">
        <v>213</v>
      </c>
      <c r="G16" s="56" t="s">
        <v>214</v>
      </c>
      <c r="H16" s="56" t="s">
        <v>13</v>
      </c>
      <c r="I16" s="56" t="s">
        <v>201</v>
      </c>
      <c r="J16" s="63" t="s">
        <v>142</v>
      </c>
      <c r="K16" s="58">
        <v>1</v>
      </c>
      <c r="L16" s="58">
        <v>0</v>
      </c>
      <c r="M16" s="58">
        <v>1</v>
      </c>
      <c r="N16" s="58">
        <v>0</v>
      </c>
      <c r="O16" s="59">
        <v>1</v>
      </c>
      <c r="P16" s="57">
        <v>0</v>
      </c>
      <c r="Q16" s="58">
        <v>0</v>
      </c>
      <c r="R16" s="58">
        <v>0</v>
      </c>
      <c r="S16" s="58">
        <v>0</v>
      </c>
      <c r="T16" s="58">
        <v>0</v>
      </c>
      <c r="U16" s="58">
        <v>0</v>
      </c>
      <c r="V16" s="59">
        <v>0</v>
      </c>
      <c r="W16" s="57">
        <v>0</v>
      </c>
      <c r="X16" s="58">
        <v>0</v>
      </c>
      <c r="Y16" s="58">
        <v>0</v>
      </c>
      <c r="Z16" s="58">
        <v>0</v>
      </c>
      <c r="AA16" s="58">
        <v>0</v>
      </c>
      <c r="AB16" s="58">
        <v>1</v>
      </c>
      <c r="AC16" s="58">
        <v>0</v>
      </c>
      <c r="AD16" s="58">
        <v>0</v>
      </c>
      <c r="AE16" s="58">
        <v>0</v>
      </c>
      <c r="AF16" s="58">
        <v>0</v>
      </c>
      <c r="AG16" s="58">
        <v>0</v>
      </c>
      <c r="AH16" s="58">
        <v>0</v>
      </c>
      <c r="AI16" s="58">
        <v>0</v>
      </c>
      <c r="AJ16" s="59">
        <v>0</v>
      </c>
      <c r="AK16" s="57">
        <v>0</v>
      </c>
      <c r="AL16" s="58">
        <v>0</v>
      </c>
      <c r="AM16" s="58">
        <v>0</v>
      </c>
      <c r="AN16" s="59">
        <v>0</v>
      </c>
    </row>
    <row r="17" spans="1:40">
      <c r="A17" s="74" t="str">
        <f>HYPERLINK("https://www.ncbi.nlm.nih.gov/pubmed/2840013","2840013")</f>
        <v>2840013</v>
      </c>
      <c r="B17" s="55" t="s">
        <v>195</v>
      </c>
      <c r="C17" s="56" t="s">
        <v>196</v>
      </c>
      <c r="D17" s="56" t="s">
        <v>204</v>
      </c>
      <c r="E17" s="56" t="s">
        <v>212</v>
      </c>
      <c r="F17" s="56" t="s">
        <v>213</v>
      </c>
      <c r="G17" s="56" t="s">
        <v>214</v>
      </c>
      <c r="H17" s="56" t="s">
        <v>13</v>
      </c>
      <c r="I17" s="56" t="s">
        <v>222</v>
      </c>
      <c r="J17" s="63" t="s">
        <v>142</v>
      </c>
      <c r="K17" s="58">
        <v>1</v>
      </c>
      <c r="L17" s="58">
        <v>0</v>
      </c>
      <c r="M17" s="58">
        <v>0</v>
      </c>
      <c r="N17" s="58">
        <v>0</v>
      </c>
      <c r="O17" s="59">
        <v>0</v>
      </c>
      <c r="P17" s="57">
        <v>0</v>
      </c>
      <c r="Q17" s="58">
        <v>0</v>
      </c>
      <c r="R17" s="58">
        <v>0</v>
      </c>
      <c r="S17" s="58">
        <v>0</v>
      </c>
      <c r="T17" s="58">
        <v>0</v>
      </c>
      <c r="U17" s="58">
        <v>0</v>
      </c>
      <c r="V17" s="59">
        <v>0</v>
      </c>
      <c r="W17" s="57">
        <v>0</v>
      </c>
      <c r="X17" s="58">
        <v>0</v>
      </c>
      <c r="Y17" s="58">
        <v>0</v>
      </c>
      <c r="Z17" s="58">
        <v>0</v>
      </c>
      <c r="AA17" s="58">
        <v>0</v>
      </c>
      <c r="AB17" s="58">
        <v>1</v>
      </c>
      <c r="AC17" s="58">
        <v>0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0</v>
      </c>
      <c r="AJ17" s="59">
        <v>0</v>
      </c>
      <c r="AK17" s="57">
        <v>0</v>
      </c>
      <c r="AL17" s="58">
        <v>0</v>
      </c>
      <c r="AM17" s="58">
        <v>0</v>
      </c>
      <c r="AN17" s="59">
        <v>0</v>
      </c>
    </row>
    <row r="18" spans="1:40">
      <c r="A18" s="74" t="str">
        <f>HYPERLINK("https://www.ncbi.nlm.nih.gov/pubmed/2981068","2981068")</f>
        <v>2981068</v>
      </c>
      <c r="B18" s="55" t="s">
        <v>195</v>
      </c>
      <c r="C18" s="56" t="s">
        <v>196</v>
      </c>
      <c r="D18" s="56" t="s">
        <v>204</v>
      </c>
      <c r="E18" s="56" t="s">
        <v>212</v>
      </c>
      <c r="F18" s="56" t="s">
        <v>213</v>
      </c>
      <c r="G18" s="56" t="s">
        <v>214</v>
      </c>
      <c r="H18" s="56" t="s">
        <v>13</v>
      </c>
      <c r="I18" s="56" t="s">
        <v>201</v>
      </c>
      <c r="J18" s="63" t="s">
        <v>142</v>
      </c>
      <c r="K18" s="58">
        <v>0</v>
      </c>
      <c r="L18" s="58">
        <v>0</v>
      </c>
      <c r="M18" s="58">
        <v>1</v>
      </c>
      <c r="N18" s="58">
        <v>0</v>
      </c>
      <c r="O18" s="59">
        <v>1</v>
      </c>
      <c r="P18" s="57">
        <v>0</v>
      </c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9">
        <v>0</v>
      </c>
      <c r="W18" s="57">
        <v>1</v>
      </c>
      <c r="X18" s="58">
        <v>0</v>
      </c>
      <c r="Y18" s="58">
        <v>0</v>
      </c>
      <c r="Z18" s="58">
        <v>0</v>
      </c>
      <c r="AA18" s="58">
        <v>0</v>
      </c>
      <c r="AB18" s="58">
        <v>1</v>
      </c>
      <c r="AC18" s="58">
        <v>0</v>
      </c>
      <c r="AD18" s="58">
        <v>0</v>
      </c>
      <c r="AE18" s="58">
        <v>0</v>
      </c>
      <c r="AF18" s="58">
        <v>0</v>
      </c>
      <c r="AG18" s="58">
        <v>0</v>
      </c>
      <c r="AH18" s="58">
        <v>0</v>
      </c>
      <c r="AI18" s="58">
        <v>0</v>
      </c>
      <c r="AJ18" s="59">
        <v>0</v>
      </c>
      <c r="AK18" s="57">
        <v>0</v>
      </c>
      <c r="AL18" s="58">
        <v>0</v>
      </c>
      <c r="AM18" s="58">
        <v>0</v>
      </c>
      <c r="AN18" s="59">
        <v>0</v>
      </c>
    </row>
    <row r="19" spans="1:40">
      <c r="A19" s="74" t="str">
        <f>HYPERLINK("https://www.ncbi.nlm.nih.gov/pubmed/3017932","3017932")</f>
        <v>3017932</v>
      </c>
      <c r="B19" s="55" t="s">
        <v>195</v>
      </c>
      <c r="C19" s="56" t="s">
        <v>196</v>
      </c>
      <c r="D19" s="56" t="s">
        <v>204</v>
      </c>
      <c r="E19" s="56" t="s">
        <v>212</v>
      </c>
      <c r="F19" s="56" t="s">
        <v>213</v>
      </c>
      <c r="G19" s="56" t="s">
        <v>214</v>
      </c>
      <c r="H19" s="56" t="s">
        <v>13</v>
      </c>
      <c r="I19" s="56" t="s">
        <v>201</v>
      </c>
      <c r="J19" s="63" t="s">
        <v>142</v>
      </c>
      <c r="K19" s="58">
        <v>1</v>
      </c>
      <c r="L19" s="58">
        <v>0</v>
      </c>
      <c r="M19" s="58">
        <v>0</v>
      </c>
      <c r="N19" s="58">
        <v>0</v>
      </c>
      <c r="O19" s="59">
        <v>1</v>
      </c>
      <c r="P19" s="57">
        <v>0</v>
      </c>
      <c r="Q19" s="58">
        <v>0</v>
      </c>
      <c r="R19" s="58">
        <v>0</v>
      </c>
      <c r="S19" s="58">
        <v>0</v>
      </c>
      <c r="T19" s="58">
        <v>0</v>
      </c>
      <c r="U19" s="58">
        <v>0</v>
      </c>
      <c r="V19" s="59">
        <v>0</v>
      </c>
      <c r="W19" s="57">
        <v>0</v>
      </c>
      <c r="X19" s="58">
        <v>0</v>
      </c>
      <c r="Y19" s="58">
        <v>0</v>
      </c>
      <c r="Z19" s="58">
        <v>0</v>
      </c>
      <c r="AA19" s="58">
        <v>0</v>
      </c>
      <c r="AB19" s="58">
        <v>1</v>
      </c>
      <c r="AC19" s="58">
        <v>0</v>
      </c>
      <c r="AD19" s="58">
        <v>0</v>
      </c>
      <c r="AE19" s="58">
        <v>0</v>
      </c>
      <c r="AF19" s="58">
        <v>0</v>
      </c>
      <c r="AG19" s="58">
        <v>0</v>
      </c>
      <c r="AH19" s="58">
        <v>0</v>
      </c>
      <c r="AI19" s="58">
        <v>0</v>
      </c>
      <c r="AJ19" s="59">
        <v>0</v>
      </c>
      <c r="AK19" s="57">
        <v>0</v>
      </c>
      <c r="AL19" s="58">
        <v>0</v>
      </c>
      <c r="AM19" s="58">
        <v>0</v>
      </c>
      <c r="AN19" s="59">
        <v>0</v>
      </c>
    </row>
    <row r="20" spans="1:40">
      <c r="A20" s="74" t="str">
        <f>HYPERLINK("https://www.ncbi.nlm.nih.gov/pubmed/3188813","3188813")</f>
        <v>3188813</v>
      </c>
      <c r="B20" s="55" t="s">
        <v>195</v>
      </c>
      <c r="C20" s="56" t="s">
        <v>196</v>
      </c>
      <c r="D20" s="56" t="s">
        <v>204</v>
      </c>
      <c r="E20" s="56" t="s">
        <v>212</v>
      </c>
      <c r="F20" s="56" t="s">
        <v>213</v>
      </c>
      <c r="G20" s="56" t="s">
        <v>214</v>
      </c>
      <c r="H20" s="56" t="s">
        <v>13</v>
      </c>
      <c r="I20" s="56" t="s">
        <v>201</v>
      </c>
      <c r="J20" s="63" t="s">
        <v>142</v>
      </c>
      <c r="K20" s="58">
        <v>0</v>
      </c>
      <c r="L20" s="58">
        <v>1</v>
      </c>
      <c r="M20" s="58">
        <v>0</v>
      </c>
      <c r="N20" s="58">
        <v>0</v>
      </c>
      <c r="O20" s="59">
        <v>1</v>
      </c>
      <c r="P20" s="57">
        <v>0</v>
      </c>
      <c r="Q20" s="58">
        <v>0</v>
      </c>
      <c r="R20" s="58">
        <v>0</v>
      </c>
      <c r="S20" s="58">
        <v>0</v>
      </c>
      <c r="T20" s="58">
        <v>0</v>
      </c>
      <c r="U20" s="58">
        <v>0</v>
      </c>
      <c r="V20" s="59">
        <v>0</v>
      </c>
      <c r="W20" s="57">
        <v>0</v>
      </c>
      <c r="X20" s="58">
        <v>0</v>
      </c>
      <c r="Y20" s="58">
        <v>0</v>
      </c>
      <c r="Z20" s="58">
        <v>0</v>
      </c>
      <c r="AA20" s="58">
        <v>0</v>
      </c>
      <c r="AB20" s="58">
        <v>1</v>
      </c>
      <c r="AC20" s="58">
        <v>0</v>
      </c>
      <c r="AD20" s="58">
        <v>0</v>
      </c>
      <c r="AE20" s="58">
        <v>0</v>
      </c>
      <c r="AF20" s="58">
        <v>0</v>
      </c>
      <c r="AG20" s="58">
        <v>0</v>
      </c>
      <c r="AH20" s="58">
        <v>0</v>
      </c>
      <c r="AI20" s="58">
        <v>0</v>
      </c>
      <c r="AJ20" s="59">
        <v>0</v>
      </c>
      <c r="AK20" s="57">
        <v>0</v>
      </c>
      <c r="AL20" s="58">
        <v>0</v>
      </c>
      <c r="AM20" s="58">
        <v>0</v>
      </c>
      <c r="AN20" s="59">
        <v>0</v>
      </c>
    </row>
    <row r="21" spans="1:40">
      <c r="A21" s="74" t="str">
        <f>HYPERLINK("https://www.ncbi.nlm.nih.gov/pubmed/6316065","6316065")</f>
        <v>6316065</v>
      </c>
      <c r="B21" s="55" t="s">
        <v>195</v>
      </c>
      <c r="C21" s="56" t="s">
        <v>196</v>
      </c>
      <c r="D21" s="56" t="s">
        <v>204</v>
      </c>
      <c r="E21" s="56" t="s">
        <v>212</v>
      </c>
      <c r="F21" s="56" t="s">
        <v>213</v>
      </c>
      <c r="G21" s="56" t="s">
        <v>214</v>
      </c>
      <c r="H21" s="56" t="s">
        <v>13</v>
      </c>
      <c r="I21" s="56" t="s">
        <v>201</v>
      </c>
      <c r="J21" s="64" t="s">
        <v>223</v>
      </c>
      <c r="K21" s="58">
        <v>1</v>
      </c>
      <c r="L21" s="58">
        <v>0</v>
      </c>
      <c r="M21" s="58">
        <v>1</v>
      </c>
      <c r="N21" s="58">
        <v>0</v>
      </c>
      <c r="O21" s="58">
        <v>1</v>
      </c>
      <c r="P21" s="57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9">
        <v>0</v>
      </c>
      <c r="W21" s="57">
        <v>0</v>
      </c>
      <c r="X21" s="58">
        <v>0</v>
      </c>
      <c r="Y21" s="58">
        <v>0</v>
      </c>
      <c r="Z21" s="58">
        <v>0</v>
      </c>
      <c r="AA21" s="58">
        <v>0</v>
      </c>
      <c r="AB21" s="58">
        <v>1</v>
      </c>
      <c r="AC21" s="58">
        <v>0</v>
      </c>
      <c r="AD21" s="58">
        <v>0</v>
      </c>
      <c r="AE21" s="58">
        <v>0</v>
      </c>
      <c r="AF21" s="58">
        <v>0</v>
      </c>
      <c r="AG21" s="58">
        <v>0</v>
      </c>
      <c r="AH21" s="58">
        <v>0</v>
      </c>
      <c r="AI21" s="58">
        <v>0</v>
      </c>
      <c r="AJ21" s="59">
        <v>0</v>
      </c>
      <c r="AK21" s="57">
        <v>0</v>
      </c>
      <c r="AL21" s="58">
        <v>0</v>
      </c>
      <c r="AM21" s="58">
        <v>0</v>
      </c>
      <c r="AN21" s="59">
        <v>0</v>
      </c>
    </row>
    <row r="22" spans="1:40">
      <c r="A22" s="74" t="str">
        <f>HYPERLINK("https://www.ncbi.nlm.nih.gov/pubmed/7588282","7588282")</f>
        <v>7588282</v>
      </c>
      <c r="B22" s="55" t="s">
        <v>195</v>
      </c>
      <c r="C22" s="56" t="s">
        <v>196</v>
      </c>
      <c r="D22" s="56" t="s">
        <v>204</v>
      </c>
      <c r="E22" s="56" t="s">
        <v>212</v>
      </c>
      <c r="F22" s="56" t="s">
        <v>213</v>
      </c>
      <c r="G22" s="56" t="s">
        <v>214</v>
      </c>
      <c r="H22" s="56" t="s">
        <v>13</v>
      </c>
      <c r="I22" s="56" t="s">
        <v>201</v>
      </c>
      <c r="J22" s="63" t="s">
        <v>142</v>
      </c>
      <c r="K22" s="58">
        <v>0</v>
      </c>
      <c r="L22" s="58">
        <v>1</v>
      </c>
      <c r="M22" s="58">
        <v>0</v>
      </c>
      <c r="N22" s="58">
        <v>0</v>
      </c>
      <c r="O22" s="59">
        <v>1</v>
      </c>
      <c r="P22" s="57">
        <v>0</v>
      </c>
      <c r="Q22" s="58">
        <v>0</v>
      </c>
      <c r="R22" s="58">
        <v>0</v>
      </c>
      <c r="S22" s="58">
        <v>0</v>
      </c>
      <c r="T22" s="58">
        <v>0</v>
      </c>
      <c r="U22" s="58">
        <v>0</v>
      </c>
      <c r="V22" s="59">
        <v>0</v>
      </c>
      <c r="W22" s="57">
        <v>0</v>
      </c>
      <c r="X22" s="58">
        <v>0</v>
      </c>
      <c r="Y22" s="58">
        <v>0</v>
      </c>
      <c r="Z22" s="58">
        <v>0</v>
      </c>
      <c r="AA22" s="58">
        <v>0</v>
      </c>
      <c r="AB22" s="58">
        <v>1</v>
      </c>
      <c r="AC22" s="58">
        <v>0</v>
      </c>
      <c r="AD22" s="58">
        <v>0</v>
      </c>
      <c r="AE22" s="58">
        <v>0</v>
      </c>
      <c r="AF22" s="58">
        <v>0</v>
      </c>
      <c r="AG22" s="58">
        <v>0</v>
      </c>
      <c r="AH22" s="58">
        <v>0</v>
      </c>
      <c r="AI22" s="58">
        <v>0</v>
      </c>
      <c r="AJ22" s="59">
        <v>0</v>
      </c>
      <c r="AK22" s="57">
        <v>0</v>
      </c>
      <c r="AL22" s="58">
        <v>0</v>
      </c>
      <c r="AM22" s="58">
        <v>0</v>
      </c>
      <c r="AN22" s="59">
        <v>0</v>
      </c>
    </row>
    <row r="23" spans="1:40">
      <c r="A23" s="72" t="str">
        <f>HYPERLINK("https://www.ncbi.nlm.nih.gov/pubmed/7589908","7589908")</f>
        <v>7589908</v>
      </c>
      <c r="B23" s="55" t="s">
        <v>195</v>
      </c>
      <c r="C23" s="56" t="s">
        <v>196</v>
      </c>
      <c r="D23" s="56" t="s">
        <v>204</v>
      </c>
      <c r="E23" s="56" t="s">
        <v>212</v>
      </c>
      <c r="F23" s="56" t="s">
        <v>213</v>
      </c>
      <c r="G23" s="56" t="s">
        <v>214</v>
      </c>
      <c r="H23" s="56" t="s">
        <v>13</v>
      </c>
      <c r="I23" s="56" t="s">
        <v>224</v>
      </c>
      <c r="J23" s="63" t="s">
        <v>142</v>
      </c>
      <c r="K23" s="58">
        <v>1</v>
      </c>
      <c r="L23" s="58">
        <v>1</v>
      </c>
      <c r="M23" s="58">
        <v>0</v>
      </c>
      <c r="N23" s="58">
        <v>0</v>
      </c>
      <c r="O23" s="59">
        <v>0</v>
      </c>
      <c r="P23" s="57">
        <v>0</v>
      </c>
      <c r="Q23" s="58">
        <v>0</v>
      </c>
      <c r="R23" s="58">
        <v>0</v>
      </c>
      <c r="S23" s="58">
        <v>0</v>
      </c>
      <c r="T23" s="58">
        <v>0</v>
      </c>
      <c r="U23" s="58">
        <v>0</v>
      </c>
      <c r="V23" s="59">
        <v>0</v>
      </c>
      <c r="W23" s="57">
        <v>0</v>
      </c>
      <c r="X23" s="58">
        <v>0</v>
      </c>
      <c r="Y23" s="58">
        <v>0</v>
      </c>
      <c r="Z23" s="58">
        <v>0</v>
      </c>
      <c r="AA23" s="58">
        <v>0</v>
      </c>
      <c r="AB23" s="58">
        <v>1</v>
      </c>
      <c r="AC23" s="58">
        <v>0</v>
      </c>
      <c r="AD23" s="58">
        <v>0</v>
      </c>
      <c r="AE23" s="58">
        <v>0</v>
      </c>
      <c r="AF23" s="58">
        <v>0</v>
      </c>
      <c r="AG23" s="58">
        <v>0</v>
      </c>
      <c r="AH23" s="58">
        <v>0</v>
      </c>
      <c r="AI23" s="58">
        <v>0</v>
      </c>
      <c r="AJ23" s="59">
        <v>0</v>
      </c>
      <c r="AK23" s="57">
        <v>0</v>
      </c>
      <c r="AL23" s="58">
        <v>0</v>
      </c>
      <c r="AM23" s="58">
        <v>0</v>
      </c>
      <c r="AN23" s="59">
        <v>0</v>
      </c>
    </row>
    <row r="24" spans="1:40">
      <c r="A24" s="72" t="str">
        <f>HYPERLINK("https://www.ncbi.nlm.nih.gov/pubmed/8519345","8519345")</f>
        <v>8519345</v>
      </c>
      <c r="B24" s="55" t="s">
        <v>195</v>
      </c>
      <c r="C24" s="56" t="s">
        <v>196</v>
      </c>
      <c r="D24" s="56" t="s">
        <v>204</v>
      </c>
      <c r="E24" s="56" t="s">
        <v>212</v>
      </c>
      <c r="F24" s="56" t="s">
        <v>213</v>
      </c>
      <c r="G24" s="56" t="s">
        <v>214</v>
      </c>
      <c r="H24" s="56" t="s">
        <v>13</v>
      </c>
      <c r="I24" s="56" t="s">
        <v>201</v>
      </c>
      <c r="J24" s="63" t="s">
        <v>142</v>
      </c>
      <c r="K24" s="58">
        <v>0</v>
      </c>
      <c r="L24" s="58">
        <v>1</v>
      </c>
      <c r="M24" s="58">
        <v>0</v>
      </c>
      <c r="N24" s="58">
        <v>0</v>
      </c>
      <c r="O24" s="59">
        <v>0</v>
      </c>
      <c r="P24" s="57">
        <v>0</v>
      </c>
      <c r="Q24" s="58">
        <v>0</v>
      </c>
      <c r="R24" s="58">
        <v>0</v>
      </c>
      <c r="S24" s="58">
        <v>0</v>
      </c>
      <c r="T24" s="58">
        <v>0</v>
      </c>
      <c r="U24" s="58">
        <v>0</v>
      </c>
      <c r="V24" s="59">
        <v>0</v>
      </c>
      <c r="W24" s="57">
        <v>0</v>
      </c>
      <c r="X24" s="58">
        <v>0</v>
      </c>
      <c r="Y24" s="58">
        <v>0</v>
      </c>
      <c r="Z24" s="58">
        <v>0</v>
      </c>
      <c r="AA24" s="58">
        <v>0</v>
      </c>
      <c r="AB24" s="58">
        <v>1</v>
      </c>
      <c r="AC24" s="58">
        <v>0</v>
      </c>
      <c r="AD24" s="58">
        <v>0</v>
      </c>
      <c r="AE24" s="58">
        <v>0</v>
      </c>
      <c r="AF24" s="58">
        <v>0</v>
      </c>
      <c r="AG24" s="58">
        <v>0</v>
      </c>
      <c r="AH24" s="58">
        <v>0</v>
      </c>
      <c r="AI24" s="58">
        <v>0</v>
      </c>
      <c r="AJ24" s="59">
        <v>0</v>
      </c>
      <c r="AK24" s="57">
        <v>0</v>
      </c>
      <c r="AL24" s="58">
        <v>0</v>
      </c>
      <c r="AM24" s="58">
        <v>0</v>
      </c>
      <c r="AN24" s="59">
        <v>0</v>
      </c>
    </row>
    <row r="25" spans="1:40">
      <c r="A25" s="72" t="str">
        <f>HYPERLINK("https://www.ncbi.nlm.nih.gov/pubmed/8735605","8735605")</f>
        <v>8735605</v>
      </c>
      <c r="B25" s="55" t="s">
        <v>195</v>
      </c>
      <c r="C25" s="56" t="s">
        <v>196</v>
      </c>
      <c r="D25" s="56" t="s">
        <v>204</v>
      </c>
      <c r="E25" s="56" t="s">
        <v>212</v>
      </c>
      <c r="F25" s="56" t="s">
        <v>213</v>
      </c>
      <c r="G25" s="56" t="s">
        <v>214</v>
      </c>
      <c r="H25" s="56" t="s">
        <v>13</v>
      </c>
      <c r="I25" s="56" t="s">
        <v>201</v>
      </c>
      <c r="J25" s="63" t="s">
        <v>142</v>
      </c>
      <c r="K25" s="58">
        <v>0</v>
      </c>
      <c r="L25" s="58">
        <v>1</v>
      </c>
      <c r="M25" s="58">
        <v>0</v>
      </c>
      <c r="N25" s="58">
        <v>0</v>
      </c>
      <c r="O25" s="59">
        <v>1</v>
      </c>
      <c r="P25" s="57">
        <v>0</v>
      </c>
      <c r="Q25" s="58">
        <v>0</v>
      </c>
      <c r="R25" s="58">
        <v>0</v>
      </c>
      <c r="S25" s="58">
        <v>0</v>
      </c>
      <c r="T25" s="58">
        <v>0</v>
      </c>
      <c r="U25" s="58">
        <v>0</v>
      </c>
      <c r="V25" s="59">
        <v>0</v>
      </c>
      <c r="W25" s="57">
        <v>0</v>
      </c>
      <c r="X25" s="58">
        <v>0</v>
      </c>
      <c r="Y25" s="58">
        <v>0</v>
      </c>
      <c r="Z25" s="58">
        <v>0</v>
      </c>
      <c r="AA25" s="58">
        <v>0</v>
      </c>
      <c r="AB25" s="58">
        <v>1</v>
      </c>
      <c r="AC25" s="58">
        <v>0</v>
      </c>
      <c r="AD25" s="58">
        <v>0</v>
      </c>
      <c r="AE25" s="58">
        <v>0</v>
      </c>
      <c r="AF25" s="58">
        <v>0</v>
      </c>
      <c r="AG25" s="58">
        <v>0</v>
      </c>
      <c r="AH25" s="58">
        <v>0</v>
      </c>
      <c r="AI25" s="58">
        <v>0</v>
      </c>
      <c r="AJ25" s="59">
        <v>0</v>
      </c>
      <c r="AK25" s="57">
        <v>0</v>
      </c>
      <c r="AL25" s="58">
        <v>0</v>
      </c>
      <c r="AM25" s="58">
        <v>0</v>
      </c>
      <c r="AN25" s="59">
        <v>0</v>
      </c>
    </row>
    <row r="26" spans="1:40">
      <c r="A26" s="72" t="str">
        <f>HYPERLINK("https://www.ncbi.nlm.nih.gov/pubmed/9886754","9886754")</f>
        <v>9886754</v>
      </c>
      <c r="B26" s="55" t="s">
        <v>195</v>
      </c>
      <c r="C26" s="56" t="s">
        <v>196</v>
      </c>
      <c r="D26" s="56" t="s">
        <v>204</v>
      </c>
      <c r="E26" s="56" t="s">
        <v>212</v>
      </c>
      <c r="F26" s="56" t="s">
        <v>213</v>
      </c>
      <c r="G26" s="56" t="s">
        <v>214</v>
      </c>
      <c r="H26" s="56" t="s">
        <v>13</v>
      </c>
      <c r="I26" s="56" t="s">
        <v>201</v>
      </c>
      <c r="J26" s="63" t="s">
        <v>142</v>
      </c>
      <c r="K26" s="58">
        <v>1</v>
      </c>
      <c r="L26" s="58">
        <v>0</v>
      </c>
      <c r="M26" s="58">
        <v>1</v>
      </c>
      <c r="N26" s="58">
        <v>0</v>
      </c>
      <c r="O26" s="59">
        <v>1</v>
      </c>
      <c r="P26" s="57">
        <v>0</v>
      </c>
      <c r="Q26" s="58">
        <v>0</v>
      </c>
      <c r="R26" s="58">
        <v>0</v>
      </c>
      <c r="S26" s="58">
        <v>0</v>
      </c>
      <c r="T26" s="58">
        <v>0</v>
      </c>
      <c r="U26" s="58">
        <v>0</v>
      </c>
      <c r="V26" s="59">
        <v>0</v>
      </c>
      <c r="W26" s="57">
        <v>0</v>
      </c>
      <c r="X26" s="58">
        <v>0</v>
      </c>
      <c r="Y26" s="58">
        <v>0</v>
      </c>
      <c r="Z26" s="58">
        <v>0</v>
      </c>
      <c r="AA26" s="58">
        <v>0</v>
      </c>
      <c r="AB26" s="58">
        <v>1</v>
      </c>
      <c r="AC26" s="58">
        <v>0</v>
      </c>
      <c r="AD26" s="58">
        <v>0</v>
      </c>
      <c r="AE26" s="58">
        <v>0</v>
      </c>
      <c r="AF26" s="58">
        <v>0</v>
      </c>
      <c r="AG26" s="58">
        <v>0</v>
      </c>
      <c r="AH26" s="58">
        <v>0</v>
      </c>
      <c r="AI26" s="58">
        <v>0</v>
      </c>
      <c r="AJ26" s="59">
        <v>0</v>
      </c>
      <c r="AK26" s="57">
        <v>0</v>
      </c>
      <c r="AL26" s="58">
        <v>0</v>
      </c>
      <c r="AM26" s="58">
        <v>0</v>
      </c>
      <c r="AN26" s="59">
        <v>0</v>
      </c>
    </row>
    <row r="27" spans="1:40">
      <c r="A27" s="72" t="str">
        <f>HYPERLINK("https://www.ncbi.nlm.nih.gov/pubmed/10928947","10928947")</f>
        <v>10928947</v>
      </c>
      <c r="B27" s="55" t="s">
        <v>195</v>
      </c>
      <c r="C27" s="56" t="s">
        <v>196</v>
      </c>
      <c r="D27" s="56" t="s">
        <v>204</v>
      </c>
      <c r="E27" s="56" t="s">
        <v>212</v>
      </c>
      <c r="F27" s="56" t="s">
        <v>213</v>
      </c>
      <c r="G27" s="56" t="s">
        <v>214</v>
      </c>
      <c r="H27" s="56" t="s">
        <v>13</v>
      </c>
      <c r="I27" s="56" t="s">
        <v>201</v>
      </c>
      <c r="J27" s="63" t="s">
        <v>142</v>
      </c>
      <c r="K27" s="58">
        <v>1</v>
      </c>
      <c r="L27" s="58">
        <v>0</v>
      </c>
      <c r="M27" s="58">
        <v>1</v>
      </c>
      <c r="N27" s="58">
        <v>0</v>
      </c>
      <c r="O27" s="58">
        <v>1</v>
      </c>
      <c r="P27" s="57">
        <v>0</v>
      </c>
      <c r="Q27" s="58">
        <v>0</v>
      </c>
      <c r="R27" s="58">
        <v>0</v>
      </c>
      <c r="S27" s="58">
        <v>0</v>
      </c>
      <c r="T27" s="58">
        <v>0</v>
      </c>
      <c r="U27" s="58">
        <v>0</v>
      </c>
      <c r="V27" s="59">
        <v>0</v>
      </c>
      <c r="W27" s="57">
        <v>0</v>
      </c>
      <c r="X27" s="58">
        <v>0</v>
      </c>
      <c r="Y27" s="58">
        <v>0</v>
      </c>
      <c r="Z27" s="58">
        <v>0</v>
      </c>
      <c r="AA27" s="58">
        <v>0</v>
      </c>
      <c r="AB27" s="58">
        <v>1</v>
      </c>
      <c r="AC27" s="58">
        <v>0</v>
      </c>
      <c r="AD27" s="58">
        <v>0</v>
      </c>
      <c r="AE27" s="58">
        <v>0</v>
      </c>
      <c r="AF27" s="58">
        <v>0</v>
      </c>
      <c r="AG27" s="58">
        <v>0</v>
      </c>
      <c r="AH27" s="58">
        <v>0</v>
      </c>
      <c r="AI27" s="58">
        <v>0</v>
      </c>
      <c r="AJ27" s="59">
        <v>0</v>
      </c>
      <c r="AK27" s="57">
        <v>0</v>
      </c>
      <c r="AL27" s="58">
        <v>0</v>
      </c>
      <c r="AM27" s="58">
        <v>0</v>
      </c>
      <c r="AN27" s="59">
        <v>0</v>
      </c>
    </row>
    <row r="28" spans="1:40">
      <c r="A28" s="72" t="str">
        <f>HYPERLINK("https://www.ncbi.nlm.nih.gov/pubmed/11135360","11135360")</f>
        <v>11135360</v>
      </c>
      <c r="B28" s="55" t="s">
        <v>195</v>
      </c>
      <c r="C28" s="56" t="s">
        <v>196</v>
      </c>
      <c r="D28" s="56" t="s">
        <v>204</v>
      </c>
      <c r="E28" s="56" t="s">
        <v>212</v>
      </c>
      <c r="F28" s="56" t="s">
        <v>213</v>
      </c>
      <c r="G28" s="56" t="s">
        <v>214</v>
      </c>
      <c r="H28" s="56" t="s">
        <v>13</v>
      </c>
      <c r="I28" s="56" t="s">
        <v>201</v>
      </c>
      <c r="J28" s="63" t="s">
        <v>142</v>
      </c>
      <c r="K28" s="58">
        <v>1</v>
      </c>
      <c r="L28" s="58">
        <v>0</v>
      </c>
      <c r="M28" s="58">
        <v>1</v>
      </c>
      <c r="N28" s="58">
        <v>1</v>
      </c>
      <c r="O28" s="58">
        <v>1</v>
      </c>
      <c r="P28" s="57">
        <v>0</v>
      </c>
      <c r="Q28" s="58">
        <v>0</v>
      </c>
      <c r="R28" s="58">
        <v>0</v>
      </c>
      <c r="S28" s="58">
        <v>0</v>
      </c>
      <c r="T28" s="58">
        <v>0</v>
      </c>
      <c r="U28" s="58">
        <v>0</v>
      </c>
      <c r="V28" s="59">
        <v>0</v>
      </c>
      <c r="W28" s="57">
        <v>0</v>
      </c>
      <c r="X28" s="58">
        <v>0</v>
      </c>
      <c r="Y28" s="58">
        <v>0</v>
      </c>
      <c r="Z28" s="58">
        <v>0</v>
      </c>
      <c r="AA28" s="58">
        <v>0</v>
      </c>
      <c r="AB28" s="58">
        <v>1</v>
      </c>
      <c r="AC28" s="58">
        <v>0</v>
      </c>
      <c r="AD28" s="58">
        <v>0</v>
      </c>
      <c r="AE28" s="58">
        <v>0</v>
      </c>
      <c r="AF28" s="58">
        <v>0</v>
      </c>
      <c r="AG28" s="58">
        <v>0</v>
      </c>
      <c r="AH28" s="58">
        <v>0</v>
      </c>
      <c r="AI28" s="58">
        <v>0</v>
      </c>
      <c r="AJ28" s="59">
        <v>0</v>
      </c>
      <c r="AK28" s="57">
        <v>0</v>
      </c>
      <c r="AL28" s="58">
        <v>0</v>
      </c>
      <c r="AM28" s="58">
        <v>0</v>
      </c>
      <c r="AN28" s="59">
        <v>0</v>
      </c>
    </row>
    <row r="29" spans="1:40">
      <c r="A29" s="72" t="str">
        <f>HYPERLINK("https://www.ncbi.nlm.nih.gov/pubmed/11500963","11500963")</f>
        <v>11500963</v>
      </c>
      <c r="B29" s="55" t="s">
        <v>195</v>
      </c>
      <c r="C29" s="56" t="s">
        <v>196</v>
      </c>
      <c r="D29" s="56" t="s">
        <v>204</v>
      </c>
      <c r="E29" s="56" t="s">
        <v>212</v>
      </c>
      <c r="F29" s="56" t="s">
        <v>213</v>
      </c>
      <c r="G29" s="56" t="s">
        <v>214</v>
      </c>
      <c r="H29" s="56" t="s">
        <v>13</v>
      </c>
      <c r="I29" s="56" t="s">
        <v>201</v>
      </c>
      <c r="J29" s="63" t="s">
        <v>142</v>
      </c>
      <c r="K29" s="58">
        <v>1</v>
      </c>
      <c r="L29" s="58">
        <v>0</v>
      </c>
      <c r="M29" s="58">
        <v>1</v>
      </c>
      <c r="N29" s="58">
        <v>1</v>
      </c>
      <c r="O29" s="59">
        <v>1</v>
      </c>
      <c r="P29" s="57">
        <v>1</v>
      </c>
      <c r="Q29" s="58">
        <v>0</v>
      </c>
      <c r="R29" s="58">
        <v>0</v>
      </c>
      <c r="S29" s="58">
        <v>0</v>
      </c>
      <c r="T29" s="58">
        <v>0</v>
      </c>
      <c r="U29" s="58">
        <v>0</v>
      </c>
      <c r="V29" s="59">
        <v>0</v>
      </c>
      <c r="W29" s="57">
        <v>0</v>
      </c>
      <c r="X29" s="58">
        <v>0</v>
      </c>
      <c r="Y29" s="58">
        <v>0</v>
      </c>
      <c r="Z29" s="58">
        <v>0</v>
      </c>
      <c r="AA29" s="58">
        <v>0</v>
      </c>
      <c r="AB29" s="58">
        <v>1</v>
      </c>
      <c r="AC29" s="58">
        <v>0</v>
      </c>
      <c r="AD29" s="58">
        <v>0</v>
      </c>
      <c r="AE29" s="58">
        <v>0</v>
      </c>
      <c r="AF29" s="58">
        <v>0</v>
      </c>
      <c r="AG29" s="58">
        <v>0</v>
      </c>
      <c r="AH29" s="58">
        <v>0</v>
      </c>
      <c r="AI29" s="58">
        <v>0</v>
      </c>
      <c r="AJ29" s="59">
        <v>0</v>
      </c>
      <c r="AK29" s="57">
        <v>1</v>
      </c>
      <c r="AL29" s="58">
        <v>0</v>
      </c>
      <c r="AM29" s="58">
        <v>0</v>
      </c>
      <c r="AN29" s="59">
        <v>0</v>
      </c>
    </row>
    <row r="30" spans="1:40">
      <c r="A30" s="72" t="str">
        <f>HYPERLINK("https://www.ncbi.nlm.nih.gov/pubmed/12072389","12072389")</f>
        <v>12072389</v>
      </c>
      <c r="B30" s="55" t="s">
        <v>195</v>
      </c>
      <c r="C30" s="56" t="s">
        <v>196</v>
      </c>
      <c r="D30" s="56" t="s">
        <v>204</v>
      </c>
      <c r="E30" s="56" t="s">
        <v>212</v>
      </c>
      <c r="F30" s="56" t="s">
        <v>213</v>
      </c>
      <c r="G30" s="56" t="s">
        <v>214</v>
      </c>
      <c r="H30" s="56" t="s">
        <v>13</v>
      </c>
      <c r="I30" s="56" t="s">
        <v>208</v>
      </c>
      <c r="J30" s="63" t="s">
        <v>142</v>
      </c>
      <c r="K30" s="58">
        <v>1</v>
      </c>
      <c r="L30" s="58">
        <v>0</v>
      </c>
      <c r="M30" s="58">
        <v>0</v>
      </c>
      <c r="N30" s="58">
        <v>0</v>
      </c>
      <c r="O30" s="58">
        <v>0</v>
      </c>
      <c r="P30" s="57">
        <v>0</v>
      </c>
      <c r="Q30" s="58">
        <v>0</v>
      </c>
      <c r="R30" s="58">
        <v>0</v>
      </c>
      <c r="S30" s="58">
        <v>0</v>
      </c>
      <c r="T30" s="58">
        <v>0</v>
      </c>
      <c r="U30" s="58">
        <v>0</v>
      </c>
      <c r="V30" s="59">
        <v>0</v>
      </c>
      <c r="W30" s="57">
        <v>0</v>
      </c>
      <c r="X30" s="58">
        <v>0</v>
      </c>
      <c r="Y30" s="58">
        <v>0</v>
      </c>
      <c r="Z30" s="58">
        <v>0</v>
      </c>
      <c r="AA30" s="58">
        <v>0</v>
      </c>
      <c r="AB30" s="58">
        <v>1</v>
      </c>
      <c r="AC30" s="58">
        <v>0</v>
      </c>
      <c r="AD30" s="58">
        <v>0</v>
      </c>
      <c r="AE30" s="58">
        <v>0</v>
      </c>
      <c r="AF30" s="58">
        <v>0</v>
      </c>
      <c r="AG30" s="58">
        <v>0</v>
      </c>
      <c r="AH30" s="58">
        <v>0</v>
      </c>
      <c r="AI30" s="58">
        <v>0</v>
      </c>
      <c r="AJ30" s="59">
        <v>0</v>
      </c>
      <c r="AK30" s="57">
        <v>0</v>
      </c>
      <c r="AL30" s="58">
        <v>0</v>
      </c>
      <c r="AM30" s="58">
        <v>0</v>
      </c>
      <c r="AN30" s="59">
        <v>0</v>
      </c>
    </row>
    <row r="31" spans="1:40">
      <c r="A31" s="72" t="str">
        <f>HYPERLINK("https://www.ncbi.nlm.nih.gov/pubmed/14605012","14605012")</f>
        <v>14605012</v>
      </c>
      <c r="B31" s="55" t="s">
        <v>195</v>
      </c>
      <c r="C31" s="56" t="s">
        <v>196</v>
      </c>
      <c r="D31" s="56" t="s">
        <v>204</v>
      </c>
      <c r="E31" s="56" t="s">
        <v>212</v>
      </c>
      <c r="F31" s="56" t="s">
        <v>213</v>
      </c>
      <c r="G31" s="56" t="s">
        <v>214</v>
      </c>
      <c r="H31" s="56" t="s">
        <v>13</v>
      </c>
      <c r="I31" s="56" t="s">
        <v>224</v>
      </c>
      <c r="J31" s="63" t="s">
        <v>142</v>
      </c>
      <c r="K31" s="58">
        <v>0</v>
      </c>
      <c r="L31" s="58">
        <v>1</v>
      </c>
      <c r="M31" s="58">
        <v>0</v>
      </c>
      <c r="N31" s="58">
        <v>0</v>
      </c>
      <c r="O31" s="58">
        <v>0</v>
      </c>
      <c r="P31" s="57">
        <v>0</v>
      </c>
      <c r="Q31" s="58">
        <v>1</v>
      </c>
      <c r="R31" s="58">
        <v>0</v>
      </c>
      <c r="S31" s="58">
        <v>0</v>
      </c>
      <c r="T31" s="58">
        <v>0</v>
      </c>
      <c r="U31" s="58">
        <v>0</v>
      </c>
      <c r="V31" s="59">
        <v>0</v>
      </c>
      <c r="W31" s="57">
        <v>0</v>
      </c>
      <c r="X31" s="58">
        <v>0</v>
      </c>
      <c r="Y31" s="58">
        <v>0</v>
      </c>
      <c r="Z31" s="58">
        <v>0</v>
      </c>
      <c r="AA31" s="58">
        <v>0</v>
      </c>
      <c r="AB31" s="58">
        <v>1</v>
      </c>
      <c r="AC31" s="58">
        <v>1</v>
      </c>
      <c r="AD31" s="58">
        <v>0</v>
      </c>
      <c r="AE31" s="58">
        <v>0</v>
      </c>
      <c r="AF31" s="58">
        <v>0</v>
      </c>
      <c r="AG31" s="58">
        <v>0</v>
      </c>
      <c r="AH31" s="58">
        <v>0</v>
      </c>
      <c r="AI31" s="58">
        <v>0</v>
      </c>
      <c r="AJ31" s="59">
        <v>0</v>
      </c>
      <c r="AK31" s="57">
        <v>1</v>
      </c>
      <c r="AL31" s="58">
        <v>0</v>
      </c>
      <c r="AM31" s="58">
        <v>0</v>
      </c>
      <c r="AN31" s="59">
        <v>0</v>
      </c>
    </row>
    <row r="32" spans="1:40">
      <c r="A32" s="72" t="str">
        <f>HYPERLINK("https://www.ncbi.nlm.nih.gov/pubmed/14635199","14635199")</f>
        <v>14635199</v>
      </c>
      <c r="B32" s="55" t="s">
        <v>195</v>
      </c>
      <c r="C32" s="56" t="s">
        <v>196</v>
      </c>
      <c r="D32" s="56" t="s">
        <v>204</v>
      </c>
      <c r="E32" s="56" t="s">
        <v>212</v>
      </c>
      <c r="F32" s="56" t="s">
        <v>213</v>
      </c>
      <c r="G32" s="56" t="s">
        <v>214</v>
      </c>
      <c r="H32" s="56" t="s">
        <v>13</v>
      </c>
      <c r="I32" s="56" t="s">
        <v>201</v>
      </c>
      <c r="J32" s="56" t="s">
        <v>142</v>
      </c>
      <c r="K32" s="57">
        <v>1</v>
      </c>
      <c r="L32" s="58">
        <v>0</v>
      </c>
      <c r="M32" s="58">
        <v>1</v>
      </c>
      <c r="N32" s="58">
        <v>1</v>
      </c>
      <c r="O32" s="59">
        <v>1</v>
      </c>
      <c r="P32" s="57">
        <v>1</v>
      </c>
      <c r="Q32" s="58">
        <v>0</v>
      </c>
      <c r="R32" s="58">
        <v>0</v>
      </c>
      <c r="S32" s="58">
        <v>0</v>
      </c>
      <c r="T32" s="58">
        <v>0</v>
      </c>
      <c r="U32" s="58">
        <v>0</v>
      </c>
      <c r="V32" s="59">
        <v>0</v>
      </c>
      <c r="W32" s="57">
        <v>0</v>
      </c>
      <c r="X32" s="58">
        <v>0</v>
      </c>
      <c r="Y32" s="58">
        <v>0</v>
      </c>
      <c r="Z32" s="58">
        <v>0</v>
      </c>
      <c r="AA32" s="58">
        <v>0</v>
      </c>
      <c r="AB32" s="58">
        <v>1</v>
      </c>
      <c r="AC32" s="58">
        <v>0</v>
      </c>
      <c r="AD32" s="58">
        <v>0</v>
      </c>
      <c r="AE32" s="58">
        <v>0</v>
      </c>
      <c r="AF32" s="58">
        <v>0</v>
      </c>
      <c r="AG32" s="58">
        <v>0</v>
      </c>
      <c r="AH32" s="58">
        <v>0</v>
      </c>
      <c r="AI32" s="58">
        <v>0</v>
      </c>
      <c r="AJ32" s="59">
        <v>0</v>
      </c>
      <c r="AK32" s="57">
        <v>1</v>
      </c>
      <c r="AL32" s="58">
        <v>0</v>
      </c>
      <c r="AM32" s="58">
        <v>0</v>
      </c>
      <c r="AN32" s="59">
        <v>0</v>
      </c>
    </row>
    <row r="33" spans="1:40">
      <c r="A33" s="72" t="str">
        <f>HYPERLINK("https://www.ncbi.nlm.nih.gov/pubmed/15680312","15680312")</f>
        <v>15680312</v>
      </c>
      <c r="B33" s="55" t="s">
        <v>195</v>
      </c>
      <c r="C33" s="56" t="s">
        <v>196</v>
      </c>
      <c r="D33" s="56" t="s">
        <v>204</v>
      </c>
      <c r="E33" s="56" t="s">
        <v>212</v>
      </c>
      <c r="F33" s="56" t="s">
        <v>213</v>
      </c>
      <c r="G33" s="56" t="s">
        <v>214</v>
      </c>
      <c r="H33" s="56" t="s">
        <v>13</v>
      </c>
      <c r="I33" s="56" t="s">
        <v>224</v>
      </c>
      <c r="J33" s="63" t="s">
        <v>142</v>
      </c>
      <c r="K33" s="58">
        <v>1</v>
      </c>
      <c r="L33" s="58">
        <v>0</v>
      </c>
      <c r="M33" s="58">
        <v>0</v>
      </c>
      <c r="N33" s="58">
        <v>1</v>
      </c>
      <c r="O33" s="59">
        <v>0</v>
      </c>
      <c r="P33" s="58">
        <v>0</v>
      </c>
      <c r="Q33" s="58">
        <v>0</v>
      </c>
      <c r="R33" s="58">
        <v>0</v>
      </c>
      <c r="S33" s="58">
        <v>0</v>
      </c>
      <c r="T33" s="58">
        <v>0</v>
      </c>
      <c r="U33" s="58">
        <v>0</v>
      </c>
      <c r="V33" s="59">
        <v>0</v>
      </c>
      <c r="W33" s="57">
        <v>0</v>
      </c>
      <c r="X33" s="58">
        <v>0</v>
      </c>
      <c r="Y33" s="58">
        <v>0</v>
      </c>
      <c r="Z33" s="58">
        <v>0</v>
      </c>
      <c r="AA33" s="58">
        <v>0</v>
      </c>
      <c r="AB33" s="58">
        <v>1</v>
      </c>
      <c r="AC33" s="58">
        <v>0</v>
      </c>
      <c r="AD33" s="58">
        <v>0</v>
      </c>
      <c r="AE33" s="58">
        <v>0</v>
      </c>
      <c r="AF33" s="58">
        <v>0</v>
      </c>
      <c r="AG33" s="58">
        <v>0</v>
      </c>
      <c r="AH33" s="58">
        <v>0</v>
      </c>
      <c r="AI33" s="58">
        <v>0</v>
      </c>
      <c r="AJ33" s="59">
        <v>0</v>
      </c>
      <c r="AK33" s="57">
        <v>0</v>
      </c>
      <c r="AL33" s="58">
        <v>0</v>
      </c>
      <c r="AM33" s="58">
        <v>0</v>
      </c>
      <c r="AN33" s="59">
        <v>0</v>
      </c>
    </row>
    <row r="34" spans="1:40">
      <c r="A34" s="72" t="str">
        <f>HYPERLINK("https://www.ncbi.nlm.nih.gov/pubmed/16130272","16130272")</f>
        <v>16130272</v>
      </c>
      <c r="B34" s="55" t="s">
        <v>195</v>
      </c>
      <c r="C34" s="56" t="s">
        <v>196</v>
      </c>
      <c r="D34" s="56" t="s">
        <v>204</v>
      </c>
      <c r="E34" s="56" t="s">
        <v>212</v>
      </c>
      <c r="F34" s="56" t="s">
        <v>213</v>
      </c>
      <c r="G34" s="56" t="s">
        <v>214</v>
      </c>
      <c r="H34" s="56" t="s">
        <v>13</v>
      </c>
      <c r="I34" s="56" t="s">
        <v>201</v>
      </c>
      <c r="J34" s="63" t="s">
        <v>142</v>
      </c>
      <c r="K34" s="58">
        <v>0</v>
      </c>
      <c r="L34" s="58">
        <v>1</v>
      </c>
      <c r="M34" s="58">
        <v>0</v>
      </c>
      <c r="N34" s="58">
        <v>0</v>
      </c>
      <c r="O34" s="59">
        <v>1</v>
      </c>
      <c r="P34" s="57">
        <v>0</v>
      </c>
      <c r="Q34" s="58">
        <v>0</v>
      </c>
      <c r="R34" s="58">
        <v>0</v>
      </c>
      <c r="S34" s="58">
        <v>0</v>
      </c>
      <c r="T34" s="58">
        <v>0</v>
      </c>
      <c r="U34" s="58">
        <v>0</v>
      </c>
      <c r="V34" s="59">
        <v>0</v>
      </c>
      <c r="W34" s="57">
        <v>0</v>
      </c>
      <c r="X34" s="58">
        <v>0</v>
      </c>
      <c r="Y34" s="58">
        <v>0</v>
      </c>
      <c r="Z34" s="58">
        <v>1</v>
      </c>
      <c r="AA34" s="58">
        <v>0</v>
      </c>
      <c r="AB34" s="58">
        <v>1</v>
      </c>
      <c r="AC34" s="58">
        <v>0</v>
      </c>
      <c r="AD34" s="58">
        <v>0</v>
      </c>
      <c r="AE34" s="58">
        <v>0</v>
      </c>
      <c r="AF34" s="58">
        <v>0</v>
      </c>
      <c r="AG34" s="58">
        <v>0</v>
      </c>
      <c r="AH34" s="58">
        <v>0</v>
      </c>
      <c r="AI34" s="58">
        <v>0</v>
      </c>
      <c r="AJ34" s="59">
        <v>0</v>
      </c>
      <c r="AK34" s="57">
        <v>0</v>
      </c>
      <c r="AL34" s="58">
        <v>0</v>
      </c>
      <c r="AM34" s="58">
        <v>0</v>
      </c>
      <c r="AN34" s="59">
        <v>0</v>
      </c>
    </row>
    <row r="35" spans="1:40">
      <c r="A35" s="72" t="str">
        <f>HYPERLINK("https://www.ncbi.nlm.nih.gov/pubmed/18559981","18559981")</f>
        <v>18559981</v>
      </c>
      <c r="B35" s="55" t="s">
        <v>195</v>
      </c>
      <c r="C35" s="56" t="s">
        <v>196</v>
      </c>
      <c r="D35" s="56" t="s">
        <v>204</v>
      </c>
      <c r="E35" s="56" t="s">
        <v>212</v>
      </c>
      <c r="F35" s="56" t="s">
        <v>213</v>
      </c>
      <c r="G35" s="56" t="s">
        <v>214</v>
      </c>
      <c r="H35" s="56" t="s">
        <v>13</v>
      </c>
      <c r="I35" s="56" t="s">
        <v>201</v>
      </c>
      <c r="J35" s="63" t="s">
        <v>142</v>
      </c>
      <c r="K35" s="58">
        <v>1</v>
      </c>
      <c r="L35" s="58">
        <v>0</v>
      </c>
      <c r="M35" s="58">
        <v>1</v>
      </c>
      <c r="N35" s="58">
        <v>0</v>
      </c>
      <c r="O35" s="59">
        <v>1</v>
      </c>
      <c r="P35" s="57">
        <v>1</v>
      </c>
      <c r="Q35" s="58">
        <v>0</v>
      </c>
      <c r="R35" s="58">
        <v>0</v>
      </c>
      <c r="S35" s="58">
        <v>0</v>
      </c>
      <c r="T35" s="58">
        <v>0</v>
      </c>
      <c r="U35" s="58">
        <v>0</v>
      </c>
      <c r="V35" s="59">
        <v>0</v>
      </c>
      <c r="W35" s="57">
        <v>1</v>
      </c>
      <c r="X35" s="58">
        <v>0</v>
      </c>
      <c r="Y35" s="58">
        <v>0</v>
      </c>
      <c r="Z35" s="58">
        <v>0</v>
      </c>
      <c r="AA35" s="58">
        <v>0</v>
      </c>
      <c r="AB35" s="58">
        <v>1</v>
      </c>
      <c r="AC35" s="58">
        <v>0</v>
      </c>
      <c r="AD35" s="58">
        <v>0</v>
      </c>
      <c r="AE35" s="58">
        <v>0</v>
      </c>
      <c r="AF35" s="58">
        <v>0</v>
      </c>
      <c r="AG35" s="58">
        <v>0</v>
      </c>
      <c r="AH35" s="58">
        <v>0</v>
      </c>
      <c r="AI35" s="58">
        <v>0</v>
      </c>
      <c r="AJ35" s="59">
        <v>0</v>
      </c>
      <c r="AK35" s="57">
        <v>1</v>
      </c>
      <c r="AL35" s="58">
        <v>0</v>
      </c>
      <c r="AM35" s="58">
        <v>0</v>
      </c>
      <c r="AN35" s="59">
        <v>0</v>
      </c>
    </row>
    <row r="36" spans="1:40">
      <c r="A36" s="72" t="str">
        <f>HYPERLINK("https://www.ncbi.nlm.nih.gov/pubmed/18583092","18583092")</f>
        <v>18583092</v>
      </c>
      <c r="B36" s="55" t="s">
        <v>195</v>
      </c>
      <c r="C36" s="56" t="s">
        <v>196</v>
      </c>
      <c r="D36" s="56" t="s">
        <v>204</v>
      </c>
      <c r="E36" s="56" t="s">
        <v>212</v>
      </c>
      <c r="F36" s="56" t="s">
        <v>213</v>
      </c>
      <c r="G36" s="56" t="s">
        <v>214</v>
      </c>
      <c r="H36" s="56" t="s">
        <v>13</v>
      </c>
      <c r="I36" s="56" t="s">
        <v>216</v>
      </c>
      <c r="J36" s="63" t="s">
        <v>142</v>
      </c>
      <c r="K36" s="58">
        <v>1</v>
      </c>
      <c r="L36" s="58">
        <v>1</v>
      </c>
      <c r="M36" s="58">
        <v>1</v>
      </c>
      <c r="N36" s="58">
        <v>1</v>
      </c>
      <c r="O36" s="58">
        <v>0</v>
      </c>
      <c r="P36" s="57">
        <v>0</v>
      </c>
      <c r="Q36" s="58">
        <v>0</v>
      </c>
      <c r="R36" s="58">
        <v>0</v>
      </c>
      <c r="S36" s="58">
        <v>0</v>
      </c>
      <c r="T36" s="58">
        <v>0</v>
      </c>
      <c r="U36" s="58">
        <v>0</v>
      </c>
      <c r="V36" s="59">
        <v>1</v>
      </c>
      <c r="W36" s="57">
        <v>1</v>
      </c>
      <c r="X36" s="58">
        <v>0</v>
      </c>
      <c r="Y36" s="58">
        <v>0</v>
      </c>
      <c r="Z36" s="58">
        <v>0</v>
      </c>
      <c r="AA36" s="58">
        <v>0</v>
      </c>
      <c r="AB36" s="58">
        <v>1</v>
      </c>
      <c r="AC36" s="58">
        <v>0</v>
      </c>
      <c r="AD36" s="58">
        <v>0</v>
      </c>
      <c r="AE36" s="58">
        <v>0</v>
      </c>
      <c r="AF36" s="58">
        <v>0</v>
      </c>
      <c r="AG36" s="58">
        <v>0</v>
      </c>
      <c r="AH36" s="58">
        <v>0</v>
      </c>
      <c r="AI36" s="58">
        <v>0</v>
      </c>
      <c r="AJ36" s="59">
        <v>1</v>
      </c>
      <c r="AK36" s="57">
        <v>1</v>
      </c>
      <c r="AL36" s="58">
        <v>0</v>
      </c>
      <c r="AM36" s="58">
        <v>1</v>
      </c>
      <c r="AN36" s="59">
        <v>0</v>
      </c>
    </row>
    <row r="37" spans="1:40">
      <c r="A37" s="72" t="str">
        <f>HYPERLINK("https://www.ncbi.nlm.nih.gov/pubmed/20432242","20432242")</f>
        <v>20432242</v>
      </c>
      <c r="B37" s="55" t="s">
        <v>195</v>
      </c>
      <c r="C37" s="56" t="s">
        <v>196</v>
      </c>
      <c r="D37" s="56" t="s">
        <v>204</v>
      </c>
      <c r="E37" s="56" t="s">
        <v>212</v>
      </c>
      <c r="F37" s="56" t="s">
        <v>213</v>
      </c>
      <c r="G37" s="56" t="s">
        <v>214</v>
      </c>
      <c r="H37" s="56" t="s">
        <v>13</v>
      </c>
      <c r="I37" s="56" t="s">
        <v>201</v>
      </c>
      <c r="J37" s="63" t="s">
        <v>142</v>
      </c>
      <c r="K37" s="58">
        <v>0</v>
      </c>
      <c r="L37" s="58">
        <v>0</v>
      </c>
      <c r="M37" s="58">
        <v>0</v>
      </c>
      <c r="N37" s="58">
        <v>0</v>
      </c>
      <c r="O37" s="58">
        <v>1</v>
      </c>
      <c r="P37" s="57">
        <v>1</v>
      </c>
      <c r="Q37" s="58">
        <v>0</v>
      </c>
      <c r="R37" s="58">
        <v>0</v>
      </c>
      <c r="S37" s="58">
        <v>0</v>
      </c>
      <c r="T37" s="58">
        <v>0</v>
      </c>
      <c r="U37" s="58">
        <v>0</v>
      </c>
      <c r="V37" s="59">
        <v>0</v>
      </c>
      <c r="W37" s="57">
        <v>1</v>
      </c>
      <c r="X37" s="58">
        <v>0</v>
      </c>
      <c r="Y37" s="58">
        <v>0</v>
      </c>
      <c r="Z37" s="58">
        <v>0</v>
      </c>
      <c r="AA37" s="58">
        <v>0</v>
      </c>
      <c r="AB37" s="58">
        <v>1</v>
      </c>
      <c r="AC37" s="58">
        <v>0</v>
      </c>
      <c r="AD37" s="58">
        <v>0</v>
      </c>
      <c r="AE37" s="58">
        <v>0</v>
      </c>
      <c r="AF37" s="58">
        <v>0</v>
      </c>
      <c r="AG37" s="58">
        <v>0</v>
      </c>
      <c r="AH37" s="58">
        <v>0</v>
      </c>
      <c r="AI37" s="58">
        <v>0</v>
      </c>
      <c r="AJ37" s="59">
        <v>0</v>
      </c>
      <c r="AK37" s="57">
        <v>1</v>
      </c>
      <c r="AL37" s="58">
        <v>0</v>
      </c>
      <c r="AM37" s="58">
        <v>0</v>
      </c>
      <c r="AN37" s="59">
        <v>0</v>
      </c>
    </row>
    <row r="38" spans="1:40">
      <c r="A38" s="72" t="str">
        <f>HYPERLINK("https://www.ncbi.nlm.nih.gov/pubmed/22200534","22200534")</f>
        <v>22200534</v>
      </c>
      <c r="B38" s="55" t="s">
        <v>195</v>
      </c>
      <c r="C38" s="56" t="s">
        <v>196</v>
      </c>
      <c r="D38" s="56" t="s">
        <v>204</v>
      </c>
      <c r="E38" s="56" t="s">
        <v>212</v>
      </c>
      <c r="F38" s="56" t="s">
        <v>213</v>
      </c>
      <c r="G38" s="56" t="s">
        <v>214</v>
      </c>
      <c r="H38" s="56" t="s">
        <v>13</v>
      </c>
      <c r="I38" s="56" t="s">
        <v>201</v>
      </c>
      <c r="J38" s="63" t="s">
        <v>142</v>
      </c>
      <c r="K38" s="57">
        <v>0</v>
      </c>
      <c r="L38" s="58">
        <v>0</v>
      </c>
      <c r="M38" s="58">
        <v>0</v>
      </c>
      <c r="N38" s="58">
        <v>0</v>
      </c>
      <c r="O38" s="59">
        <v>0</v>
      </c>
      <c r="P38" s="57">
        <v>0</v>
      </c>
      <c r="Q38" s="58">
        <v>0</v>
      </c>
      <c r="R38" s="58">
        <v>1</v>
      </c>
      <c r="S38" s="58">
        <v>0</v>
      </c>
      <c r="T38" s="58">
        <v>0</v>
      </c>
      <c r="U38" s="58">
        <v>1</v>
      </c>
      <c r="V38" s="59">
        <v>0</v>
      </c>
      <c r="W38" s="57">
        <v>0</v>
      </c>
      <c r="X38" s="58">
        <v>0</v>
      </c>
      <c r="Y38" s="58">
        <v>0</v>
      </c>
      <c r="Z38" s="58">
        <v>0</v>
      </c>
      <c r="AA38" s="58">
        <v>0</v>
      </c>
      <c r="AB38" s="58">
        <v>1</v>
      </c>
      <c r="AC38" s="58">
        <v>0</v>
      </c>
      <c r="AD38" s="58">
        <v>0</v>
      </c>
      <c r="AE38" s="58">
        <v>0</v>
      </c>
      <c r="AF38" s="58">
        <v>0</v>
      </c>
      <c r="AG38" s="58">
        <v>0</v>
      </c>
      <c r="AH38" s="58">
        <v>0</v>
      </c>
      <c r="AI38" s="58">
        <v>0</v>
      </c>
      <c r="AJ38" s="59">
        <v>0</v>
      </c>
      <c r="AK38" s="58">
        <v>0</v>
      </c>
      <c r="AL38" s="58">
        <v>0</v>
      </c>
      <c r="AM38" s="58">
        <v>0</v>
      </c>
      <c r="AN38" s="59">
        <v>0</v>
      </c>
    </row>
    <row r="39" spans="1:40">
      <c r="A39" s="72" t="str">
        <f>HYPERLINK("https://www.ncbi.nlm.nih.gov/pubmed/22525294","22525294")</f>
        <v>22525294</v>
      </c>
      <c r="B39" s="55" t="s">
        <v>195</v>
      </c>
      <c r="C39" s="56" t="s">
        <v>196</v>
      </c>
      <c r="D39" s="56" t="s">
        <v>204</v>
      </c>
      <c r="E39" s="56" t="s">
        <v>212</v>
      </c>
      <c r="F39" s="56" t="s">
        <v>213</v>
      </c>
      <c r="G39" s="56" t="s">
        <v>214</v>
      </c>
      <c r="H39" s="56" t="s">
        <v>13</v>
      </c>
      <c r="I39" s="56" t="s">
        <v>219</v>
      </c>
      <c r="J39" s="63" t="s">
        <v>142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7">
        <v>1</v>
      </c>
      <c r="Q39" s="58">
        <v>1</v>
      </c>
      <c r="R39" s="58">
        <v>0</v>
      </c>
      <c r="S39" s="58">
        <v>0</v>
      </c>
      <c r="T39" s="58">
        <v>1</v>
      </c>
      <c r="U39" s="58">
        <v>1</v>
      </c>
      <c r="V39" s="59">
        <v>0</v>
      </c>
      <c r="W39" s="57">
        <v>0</v>
      </c>
      <c r="X39" s="58">
        <v>0</v>
      </c>
      <c r="Y39" s="58">
        <v>0</v>
      </c>
      <c r="Z39" s="58">
        <v>0</v>
      </c>
      <c r="AA39" s="58">
        <v>0</v>
      </c>
      <c r="AB39" s="58">
        <v>1</v>
      </c>
      <c r="AC39" s="58">
        <v>0</v>
      </c>
      <c r="AD39" s="58">
        <v>0</v>
      </c>
      <c r="AE39" s="58">
        <v>0</v>
      </c>
      <c r="AF39" s="58">
        <v>0</v>
      </c>
      <c r="AG39" s="58">
        <v>0</v>
      </c>
      <c r="AH39" s="58">
        <v>0</v>
      </c>
      <c r="AI39" s="58">
        <v>0</v>
      </c>
      <c r="AJ39" s="59">
        <v>0</v>
      </c>
      <c r="AK39" s="58">
        <v>1</v>
      </c>
      <c r="AL39" s="58">
        <v>0</v>
      </c>
      <c r="AM39" s="58">
        <v>0</v>
      </c>
      <c r="AN39" s="59">
        <v>0</v>
      </c>
    </row>
    <row r="40" spans="1:40">
      <c r="A40" s="72" t="str">
        <f>HYPERLINK("https://www.ncbi.nlm.nih.gov/pubmed/23347875","23347875")</f>
        <v>23347875</v>
      </c>
      <c r="B40" s="55" t="s">
        <v>195</v>
      </c>
      <c r="C40" s="56" t="s">
        <v>196</v>
      </c>
      <c r="D40" s="56" t="s">
        <v>204</v>
      </c>
      <c r="E40" s="56" t="s">
        <v>212</v>
      </c>
      <c r="F40" s="56" t="s">
        <v>213</v>
      </c>
      <c r="G40" s="56" t="s">
        <v>214</v>
      </c>
      <c r="H40" s="56" t="s">
        <v>13</v>
      </c>
      <c r="I40" s="56" t="s">
        <v>201</v>
      </c>
      <c r="J40" s="63" t="s">
        <v>142</v>
      </c>
      <c r="K40" s="58">
        <v>1</v>
      </c>
      <c r="L40" s="58">
        <v>0</v>
      </c>
      <c r="M40" s="58">
        <v>0</v>
      </c>
      <c r="N40" s="58">
        <v>1</v>
      </c>
      <c r="O40" s="58">
        <v>1</v>
      </c>
      <c r="P40" s="57">
        <v>1</v>
      </c>
      <c r="Q40" s="58">
        <v>1</v>
      </c>
      <c r="R40" s="58">
        <v>0</v>
      </c>
      <c r="S40" s="58">
        <v>0</v>
      </c>
      <c r="T40" s="58">
        <v>1</v>
      </c>
      <c r="U40" s="58">
        <v>1</v>
      </c>
      <c r="V40" s="59">
        <v>0</v>
      </c>
      <c r="W40" s="57">
        <v>0</v>
      </c>
      <c r="X40" s="58">
        <v>1</v>
      </c>
      <c r="Y40" s="58">
        <v>0</v>
      </c>
      <c r="Z40" s="58">
        <v>0</v>
      </c>
      <c r="AA40" s="58">
        <v>0</v>
      </c>
      <c r="AB40" s="58">
        <v>1</v>
      </c>
      <c r="AC40" s="58">
        <v>0</v>
      </c>
      <c r="AD40" s="58">
        <v>1</v>
      </c>
      <c r="AE40" s="58">
        <v>0</v>
      </c>
      <c r="AF40" s="58">
        <v>0</v>
      </c>
      <c r="AG40" s="58">
        <v>0</v>
      </c>
      <c r="AH40" s="58">
        <v>0</v>
      </c>
      <c r="AI40" s="58">
        <v>0</v>
      </c>
      <c r="AJ40" s="59">
        <v>0</v>
      </c>
      <c r="AK40" s="58">
        <v>1</v>
      </c>
      <c r="AL40" s="58">
        <v>1</v>
      </c>
      <c r="AM40" s="58">
        <v>0</v>
      </c>
      <c r="AN40" s="59">
        <v>0</v>
      </c>
    </row>
    <row r="41" spans="1:40">
      <c r="A41" s="72" t="str">
        <f>HYPERLINK("https://www.ncbi.nlm.nih.gov/pubmed/25891800","25891800")</f>
        <v>25891800</v>
      </c>
      <c r="B41" s="55" t="s">
        <v>195</v>
      </c>
      <c r="C41" s="56" t="s">
        <v>196</v>
      </c>
      <c r="D41" s="56" t="s">
        <v>204</v>
      </c>
      <c r="E41" s="56" t="s">
        <v>212</v>
      </c>
      <c r="F41" s="56" t="s">
        <v>213</v>
      </c>
      <c r="G41" s="56" t="s">
        <v>214</v>
      </c>
      <c r="H41" s="56" t="s">
        <v>13</v>
      </c>
      <c r="I41" s="56" t="s">
        <v>224</v>
      </c>
      <c r="J41" s="63" t="s">
        <v>142</v>
      </c>
      <c r="K41" s="57">
        <v>0</v>
      </c>
      <c r="L41" s="58">
        <v>0</v>
      </c>
      <c r="M41" s="58">
        <v>0</v>
      </c>
      <c r="N41" s="58">
        <v>0</v>
      </c>
      <c r="O41" s="59">
        <v>0</v>
      </c>
      <c r="P41" s="58">
        <v>0</v>
      </c>
      <c r="Q41" s="58">
        <v>0</v>
      </c>
      <c r="R41" s="58">
        <v>0</v>
      </c>
      <c r="S41" s="58">
        <v>0</v>
      </c>
      <c r="T41" s="58">
        <v>0</v>
      </c>
      <c r="U41" s="58">
        <v>0</v>
      </c>
      <c r="V41" s="59">
        <v>0</v>
      </c>
      <c r="W41" s="57">
        <v>0</v>
      </c>
      <c r="X41" s="58">
        <v>0</v>
      </c>
      <c r="Y41" s="58">
        <v>0</v>
      </c>
      <c r="Z41" s="58">
        <v>0</v>
      </c>
      <c r="AA41" s="58">
        <v>0</v>
      </c>
      <c r="AB41" s="58">
        <v>1</v>
      </c>
      <c r="AC41" s="58">
        <v>0</v>
      </c>
      <c r="AD41" s="58">
        <v>0</v>
      </c>
      <c r="AE41" s="58">
        <v>0</v>
      </c>
      <c r="AF41" s="58">
        <v>0</v>
      </c>
      <c r="AG41" s="58">
        <v>0</v>
      </c>
      <c r="AH41" s="58">
        <v>0</v>
      </c>
      <c r="AI41" s="58">
        <v>0</v>
      </c>
      <c r="AJ41" s="59">
        <v>0</v>
      </c>
      <c r="AK41" s="58">
        <v>0</v>
      </c>
      <c r="AL41" s="58">
        <v>0</v>
      </c>
      <c r="AM41" s="58">
        <v>0</v>
      </c>
      <c r="AN41" s="59">
        <v>0</v>
      </c>
    </row>
    <row r="42" spans="1:40">
      <c r="A42" s="72" t="str">
        <f>HYPERLINK("https://www.ncbi.nlm.nih.gov/pubmed/29702242","29702242")</f>
        <v>29702242</v>
      </c>
      <c r="B42" s="55" t="s">
        <v>195</v>
      </c>
      <c r="C42" s="56" t="s">
        <v>196</v>
      </c>
      <c r="D42" s="56" t="s">
        <v>197</v>
      </c>
      <c r="E42" s="56" t="s">
        <v>212</v>
      </c>
      <c r="F42" s="56" t="s">
        <v>213</v>
      </c>
      <c r="G42" s="56" t="s">
        <v>214</v>
      </c>
      <c r="H42" s="56" t="s">
        <v>13</v>
      </c>
      <c r="I42" s="56" t="s">
        <v>201</v>
      </c>
      <c r="J42" s="63" t="s">
        <v>142</v>
      </c>
      <c r="K42" s="57">
        <v>0</v>
      </c>
      <c r="L42" s="58">
        <v>1</v>
      </c>
      <c r="M42" s="58">
        <v>1</v>
      </c>
      <c r="N42" s="58">
        <v>1</v>
      </c>
      <c r="O42" s="59">
        <v>0</v>
      </c>
      <c r="P42" s="58">
        <v>1</v>
      </c>
      <c r="Q42" s="58">
        <v>1</v>
      </c>
      <c r="R42" s="58">
        <v>0</v>
      </c>
      <c r="S42" s="58">
        <v>0</v>
      </c>
      <c r="T42" s="58">
        <v>0</v>
      </c>
      <c r="U42" s="58">
        <v>1</v>
      </c>
      <c r="V42" s="59">
        <v>0</v>
      </c>
      <c r="W42" s="57">
        <v>0</v>
      </c>
      <c r="X42" s="58">
        <v>0</v>
      </c>
      <c r="Y42" s="58">
        <v>0</v>
      </c>
      <c r="Z42" s="58">
        <v>0</v>
      </c>
      <c r="AA42" s="58">
        <v>0</v>
      </c>
      <c r="AB42" s="58">
        <v>1</v>
      </c>
      <c r="AC42" s="58">
        <v>0</v>
      </c>
      <c r="AD42" s="58">
        <v>0</v>
      </c>
      <c r="AE42" s="58">
        <v>0</v>
      </c>
      <c r="AF42" s="58">
        <v>0</v>
      </c>
      <c r="AG42" s="58">
        <v>0</v>
      </c>
      <c r="AH42" s="58">
        <v>0</v>
      </c>
      <c r="AI42" s="58">
        <v>0</v>
      </c>
      <c r="AJ42" s="59">
        <v>0</v>
      </c>
      <c r="AK42" s="58">
        <v>1</v>
      </c>
      <c r="AL42" s="58">
        <v>0</v>
      </c>
      <c r="AM42" s="58">
        <v>0</v>
      </c>
      <c r="AN42" s="59">
        <v>0</v>
      </c>
    </row>
    <row r="43" spans="1:40">
      <c r="A43" s="72" t="str">
        <f>HYPERLINK("https://www.ncbi.nlm.nih.gov/pubmed/23670170","23670170")</f>
        <v>23670170</v>
      </c>
      <c r="B43" s="55" t="s">
        <v>195</v>
      </c>
      <c r="C43" s="56" t="s">
        <v>196</v>
      </c>
      <c r="D43" s="56" t="s">
        <v>225</v>
      </c>
      <c r="E43" s="56" t="s">
        <v>198</v>
      </c>
      <c r="F43" s="56" t="s">
        <v>213</v>
      </c>
      <c r="G43" s="56" t="s">
        <v>214</v>
      </c>
      <c r="H43" s="56" t="s">
        <v>226</v>
      </c>
      <c r="I43" s="56" t="s">
        <v>201</v>
      </c>
      <c r="J43" s="63" t="s">
        <v>142</v>
      </c>
      <c r="K43" s="58">
        <v>0</v>
      </c>
      <c r="L43" s="58">
        <v>0</v>
      </c>
      <c r="M43" s="58">
        <v>0</v>
      </c>
      <c r="N43" s="58">
        <v>0</v>
      </c>
      <c r="O43" s="59">
        <v>0</v>
      </c>
      <c r="P43" s="57">
        <v>1</v>
      </c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9">
        <v>0</v>
      </c>
      <c r="W43" s="57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0</v>
      </c>
      <c r="AG43" s="58">
        <v>0</v>
      </c>
      <c r="AH43" s="58">
        <v>0</v>
      </c>
      <c r="AI43" s="58">
        <v>0</v>
      </c>
      <c r="AJ43" s="59">
        <v>0</v>
      </c>
      <c r="AK43" s="58">
        <v>0</v>
      </c>
      <c r="AL43" s="58">
        <v>0</v>
      </c>
      <c r="AM43" s="58">
        <v>0</v>
      </c>
      <c r="AN43" s="59">
        <v>0</v>
      </c>
    </row>
    <row r="44" spans="1:40">
      <c r="A44" s="72" t="str">
        <f>HYPERLINK("https://www.ncbi.nlm.nih.gov/pubmed/28482050","28482050")</f>
        <v>28482050</v>
      </c>
      <c r="B44" s="55" t="s">
        <v>195</v>
      </c>
      <c r="C44" s="56" t="s">
        <v>196</v>
      </c>
      <c r="D44" s="56" t="s">
        <v>204</v>
      </c>
      <c r="E44" s="56" t="s">
        <v>198</v>
      </c>
      <c r="F44" s="56" t="s">
        <v>213</v>
      </c>
      <c r="G44" s="56" t="s">
        <v>214</v>
      </c>
      <c r="H44" s="56" t="s">
        <v>226</v>
      </c>
      <c r="I44" s="56" t="s">
        <v>201</v>
      </c>
      <c r="J44" s="63" t="s">
        <v>142</v>
      </c>
      <c r="K44" s="58">
        <v>1</v>
      </c>
      <c r="L44" s="58">
        <v>0</v>
      </c>
      <c r="M44" s="58">
        <v>0</v>
      </c>
      <c r="N44" s="58">
        <v>0</v>
      </c>
      <c r="O44" s="59">
        <v>0</v>
      </c>
      <c r="P44" s="58">
        <v>0</v>
      </c>
      <c r="Q44" s="58">
        <v>0</v>
      </c>
      <c r="R44" s="58">
        <v>0</v>
      </c>
      <c r="S44" s="58">
        <v>0</v>
      </c>
      <c r="T44" s="58">
        <v>0</v>
      </c>
      <c r="U44" s="58">
        <v>0</v>
      </c>
      <c r="V44" s="59">
        <v>0</v>
      </c>
      <c r="W44" s="57">
        <v>0</v>
      </c>
      <c r="X44" s="58">
        <v>0</v>
      </c>
      <c r="Y44" s="58">
        <v>0</v>
      </c>
      <c r="Z44" s="58">
        <v>0</v>
      </c>
      <c r="AA44" s="58">
        <v>0</v>
      </c>
      <c r="AB44" s="58">
        <v>1</v>
      </c>
      <c r="AC44" s="58">
        <v>0</v>
      </c>
      <c r="AD44" s="58">
        <v>0</v>
      </c>
      <c r="AE44" s="58">
        <v>0</v>
      </c>
      <c r="AF44" s="58">
        <v>0</v>
      </c>
      <c r="AG44" s="58">
        <v>0</v>
      </c>
      <c r="AH44" s="58">
        <v>0</v>
      </c>
      <c r="AI44" s="58">
        <v>0</v>
      </c>
      <c r="AJ44" s="59">
        <v>0</v>
      </c>
      <c r="AK44" s="58">
        <v>0</v>
      </c>
      <c r="AL44" s="58">
        <v>0</v>
      </c>
      <c r="AM44" s="58">
        <v>0</v>
      </c>
      <c r="AN44" s="59">
        <v>0</v>
      </c>
    </row>
    <row r="45" spans="1:40">
      <c r="A45" s="72" t="str">
        <f>HYPERLINK("https://www.ncbi.nlm.nih.gov/pubmed/9928669","9928669")</f>
        <v>9928669</v>
      </c>
      <c r="B45" s="55" t="s">
        <v>195</v>
      </c>
      <c r="C45" s="56" t="s">
        <v>196</v>
      </c>
      <c r="D45" s="56" t="s">
        <v>204</v>
      </c>
      <c r="E45" s="56" t="s">
        <v>212</v>
      </c>
      <c r="F45" s="56" t="s">
        <v>213</v>
      </c>
      <c r="G45" s="56" t="s">
        <v>214</v>
      </c>
      <c r="H45" s="56" t="s">
        <v>226</v>
      </c>
      <c r="I45" s="56" t="s">
        <v>227</v>
      </c>
      <c r="J45" s="63" t="s">
        <v>142</v>
      </c>
      <c r="K45" s="58">
        <v>1</v>
      </c>
      <c r="L45" s="58">
        <v>0</v>
      </c>
      <c r="M45" s="58">
        <v>0</v>
      </c>
      <c r="N45" s="58">
        <v>0</v>
      </c>
      <c r="O45" s="59">
        <v>0</v>
      </c>
      <c r="P45" s="58">
        <v>0</v>
      </c>
      <c r="Q45" s="58">
        <v>0</v>
      </c>
      <c r="R45" s="58">
        <v>0</v>
      </c>
      <c r="S45" s="58">
        <v>0</v>
      </c>
      <c r="T45" s="58">
        <v>0</v>
      </c>
      <c r="U45" s="58">
        <v>0</v>
      </c>
      <c r="V45" s="59">
        <v>0</v>
      </c>
      <c r="W45" s="58">
        <v>0</v>
      </c>
      <c r="X45" s="58">
        <v>0</v>
      </c>
      <c r="Y45" s="58">
        <v>0</v>
      </c>
      <c r="Z45" s="58">
        <v>0</v>
      </c>
      <c r="AA45" s="58">
        <v>0</v>
      </c>
      <c r="AB45" s="58">
        <v>1</v>
      </c>
      <c r="AC45" s="58">
        <v>1</v>
      </c>
      <c r="AD45" s="58">
        <v>0</v>
      </c>
      <c r="AE45" s="58">
        <v>0</v>
      </c>
      <c r="AF45" s="58">
        <v>0</v>
      </c>
      <c r="AG45" s="58">
        <v>0</v>
      </c>
      <c r="AH45" s="58">
        <v>0</v>
      </c>
      <c r="AI45" s="58">
        <v>0</v>
      </c>
      <c r="AJ45" s="59">
        <v>0</v>
      </c>
      <c r="AK45" s="58">
        <v>0</v>
      </c>
      <c r="AL45" s="58">
        <v>0</v>
      </c>
      <c r="AM45" s="58">
        <v>0</v>
      </c>
      <c r="AN45" s="59">
        <v>0</v>
      </c>
    </row>
    <row r="46" spans="1:40">
      <c r="A46" s="72" t="str">
        <f>HYPERLINK("https://www.ncbi.nlm.nih.gov/pubmed/19897028","19897028")</f>
        <v>19897028</v>
      </c>
      <c r="B46" s="55" t="s">
        <v>195</v>
      </c>
      <c r="C46" s="56" t="s">
        <v>196</v>
      </c>
      <c r="D46" s="56" t="s">
        <v>204</v>
      </c>
      <c r="E46" s="56" t="s">
        <v>212</v>
      </c>
      <c r="F46" s="56" t="s">
        <v>213</v>
      </c>
      <c r="G46" s="56" t="s">
        <v>214</v>
      </c>
      <c r="H46" s="56" t="s">
        <v>226</v>
      </c>
      <c r="I46" s="56" t="s">
        <v>201</v>
      </c>
      <c r="J46" s="63" t="s">
        <v>142</v>
      </c>
      <c r="K46" s="58">
        <v>1</v>
      </c>
      <c r="L46" s="58">
        <v>0</v>
      </c>
      <c r="M46" s="58">
        <v>0</v>
      </c>
      <c r="N46" s="58">
        <v>0</v>
      </c>
      <c r="O46" s="59">
        <v>0</v>
      </c>
      <c r="P46" s="57">
        <v>0</v>
      </c>
      <c r="Q46" s="58">
        <v>0</v>
      </c>
      <c r="R46" s="58">
        <v>0</v>
      </c>
      <c r="S46" s="58">
        <v>0</v>
      </c>
      <c r="T46" s="58">
        <v>0</v>
      </c>
      <c r="U46" s="58">
        <v>0</v>
      </c>
      <c r="V46" s="59">
        <v>0</v>
      </c>
      <c r="W46" s="57">
        <v>0</v>
      </c>
      <c r="X46" s="58">
        <v>0</v>
      </c>
      <c r="Y46" s="58">
        <v>0</v>
      </c>
      <c r="Z46" s="58">
        <v>0</v>
      </c>
      <c r="AA46" s="58">
        <v>0</v>
      </c>
      <c r="AB46" s="58">
        <v>1</v>
      </c>
      <c r="AC46" s="58">
        <v>0</v>
      </c>
      <c r="AD46" s="58">
        <v>0</v>
      </c>
      <c r="AE46" s="58">
        <v>0</v>
      </c>
      <c r="AF46" s="58">
        <v>0</v>
      </c>
      <c r="AG46" s="58">
        <v>0</v>
      </c>
      <c r="AH46" s="58">
        <v>0</v>
      </c>
      <c r="AI46" s="58">
        <v>0</v>
      </c>
      <c r="AJ46" s="59">
        <v>0</v>
      </c>
      <c r="AK46" s="58">
        <v>0</v>
      </c>
      <c r="AL46" s="58">
        <v>0</v>
      </c>
      <c r="AM46" s="58">
        <v>0</v>
      </c>
      <c r="AN46" s="59">
        <v>0</v>
      </c>
    </row>
    <row r="47" spans="1:40">
      <c r="A47" s="72" t="str">
        <f>HYPERLINK("https://www.ncbi.nlm.nih.gov/pubmed/24030937","24030937")</f>
        <v>24030937</v>
      </c>
      <c r="B47" s="55" t="s">
        <v>195</v>
      </c>
      <c r="C47" s="56" t="s">
        <v>196</v>
      </c>
      <c r="D47" s="56" t="s">
        <v>204</v>
      </c>
      <c r="E47" s="56" t="s">
        <v>198</v>
      </c>
      <c r="F47" s="56" t="s">
        <v>213</v>
      </c>
      <c r="G47" s="56" t="s">
        <v>228</v>
      </c>
      <c r="H47" s="56" t="s">
        <v>226</v>
      </c>
      <c r="I47" s="56" t="s">
        <v>201</v>
      </c>
      <c r="J47" s="63" t="s">
        <v>142</v>
      </c>
      <c r="K47" s="58">
        <v>1</v>
      </c>
      <c r="L47" s="58">
        <v>0</v>
      </c>
      <c r="M47" s="58">
        <v>0</v>
      </c>
      <c r="N47" s="58">
        <v>0</v>
      </c>
      <c r="O47" s="59">
        <v>0</v>
      </c>
      <c r="P47" s="57">
        <v>0</v>
      </c>
      <c r="Q47" s="58">
        <v>0</v>
      </c>
      <c r="R47" s="58">
        <v>0</v>
      </c>
      <c r="S47" s="58">
        <v>0</v>
      </c>
      <c r="T47" s="58">
        <v>0</v>
      </c>
      <c r="U47" s="58">
        <v>0</v>
      </c>
      <c r="V47" s="59">
        <v>0</v>
      </c>
      <c r="W47" s="57">
        <v>0</v>
      </c>
      <c r="X47" s="58">
        <v>0</v>
      </c>
      <c r="Y47" s="58">
        <v>0</v>
      </c>
      <c r="Z47" s="58">
        <v>0</v>
      </c>
      <c r="AA47" s="58">
        <v>0</v>
      </c>
      <c r="AB47" s="58">
        <v>1</v>
      </c>
      <c r="AC47" s="58">
        <v>0</v>
      </c>
      <c r="AD47" s="58">
        <v>0</v>
      </c>
      <c r="AE47" s="58">
        <v>0</v>
      </c>
      <c r="AF47" s="58">
        <v>0</v>
      </c>
      <c r="AG47" s="58">
        <v>0</v>
      </c>
      <c r="AH47" s="58">
        <v>0</v>
      </c>
      <c r="AI47" s="58">
        <v>0</v>
      </c>
      <c r="AJ47" s="59">
        <v>0</v>
      </c>
      <c r="AK47" s="58">
        <v>0</v>
      </c>
      <c r="AL47" s="58">
        <v>0</v>
      </c>
      <c r="AM47" s="58">
        <v>0</v>
      </c>
      <c r="AN47" s="59">
        <v>0</v>
      </c>
    </row>
    <row r="48" spans="1:40">
      <c r="A48" s="72" t="str">
        <f>HYPERLINK("https://www.ncbi.nlm.nih.gov/pubmed/25706302","25706302")</f>
        <v>25706302</v>
      </c>
      <c r="B48" s="55" t="s">
        <v>195</v>
      </c>
      <c r="C48" s="56" t="s">
        <v>196</v>
      </c>
      <c r="D48" s="56" t="s">
        <v>204</v>
      </c>
      <c r="E48" s="56" t="s">
        <v>198</v>
      </c>
      <c r="F48" s="56" t="s">
        <v>213</v>
      </c>
      <c r="G48" s="56" t="s">
        <v>228</v>
      </c>
      <c r="H48" s="56" t="s">
        <v>226</v>
      </c>
      <c r="I48" s="56" t="s">
        <v>201</v>
      </c>
      <c r="J48" s="63" t="s">
        <v>142</v>
      </c>
      <c r="K48" s="58">
        <v>1</v>
      </c>
      <c r="L48" s="58">
        <v>1</v>
      </c>
      <c r="M48" s="58">
        <v>0</v>
      </c>
      <c r="N48" s="58">
        <v>0</v>
      </c>
      <c r="O48" s="58">
        <v>0</v>
      </c>
      <c r="P48" s="57">
        <v>0</v>
      </c>
      <c r="Q48" s="58">
        <v>0</v>
      </c>
      <c r="R48" s="58">
        <v>0</v>
      </c>
      <c r="S48" s="58">
        <v>0</v>
      </c>
      <c r="T48" s="58">
        <v>0</v>
      </c>
      <c r="U48" s="58">
        <v>0</v>
      </c>
      <c r="V48" s="59">
        <v>0</v>
      </c>
      <c r="W48" s="57">
        <v>0</v>
      </c>
      <c r="X48" s="58">
        <v>0</v>
      </c>
      <c r="Y48" s="58">
        <v>0</v>
      </c>
      <c r="Z48" s="58">
        <v>0</v>
      </c>
      <c r="AA48" s="58">
        <v>0</v>
      </c>
      <c r="AB48" s="58">
        <v>1</v>
      </c>
      <c r="AC48" s="58">
        <v>0</v>
      </c>
      <c r="AD48" s="58">
        <v>0</v>
      </c>
      <c r="AE48" s="58">
        <v>0</v>
      </c>
      <c r="AF48" s="58">
        <v>0</v>
      </c>
      <c r="AG48" s="58">
        <v>0</v>
      </c>
      <c r="AH48" s="58">
        <v>0</v>
      </c>
      <c r="AI48" s="58">
        <v>0</v>
      </c>
      <c r="AJ48" s="59">
        <v>0</v>
      </c>
      <c r="AK48" s="58">
        <v>0</v>
      </c>
      <c r="AL48" s="58">
        <v>0</v>
      </c>
      <c r="AM48" s="58">
        <v>0</v>
      </c>
      <c r="AN48" s="59">
        <v>0</v>
      </c>
    </row>
    <row r="49" spans="1:40">
      <c r="A49" s="72" t="str">
        <f>HYPERLINK("https://www.ncbi.nlm.nih.gov/pubmed/16979278","16979278")</f>
        <v>16979278</v>
      </c>
      <c r="B49" s="55" t="s">
        <v>195</v>
      </c>
      <c r="C49" s="56" t="s">
        <v>196</v>
      </c>
      <c r="D49" s="56" t="s">
        <v>204</v>
      </c>
      <c r="E49" s="56" t="s">
        <v>212</v>
      </c>
      <c r="F49" s="56" t="s">
        <v>213</v>
      </c>
      <c r="G49" s="56" t="s">
        <v>228</v>
      </c>
      <c r="H49" s="56" t="s">
        <v>226</v>
      </c>
      <c r="I49" s="56" t="s">
        <v>201</v>
      </c>
      <c r="J49" s="63" t="s">
        <v>84</v>
      </c>
      <c r="K49" s="58">
        <v>0</v>
      </c>
      <c r="L49" s="58">
        <v>1</v>
      </c>
      <c r="M49" s="58">
        <v>0</v>
      </c>
      <c r="N49" s="58">
        <v>0</v>
      </c>
      <c r="O49" s="59">
        <v>0</v>
      </c>
      <c r="P49" s="57">
        <v>0</v>
      </c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9">
        <v>0</v>
      </c>
      <c r="W49" s="57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1</v>
      </c>
      <c r="AC49" s="58">
        <v>0</v>
      </c>
      <c r="AD49" s="58">
        <v>0</v>
      </c>
      <c r="AE49" s="58">
        <v>0</v>
      </c>
      <c r="AF49" s="58">
        <v>0</v>
      </c>
      <c r="AG49" s="58">
        <v>0</v>
      </c>
      <c r="AH49" s="58">
        <v>0</v>
      </c>
      <c r="AI49" s="58">
        <v>0</v>
      </c>
      <c r="AJ49" s="59">
        <v>0</v>
      </c>
      <c r="AK49" s="58">
        <v>0</v>
      </c>
      <c r="AL49" s="58">
        <v>0</v>
      </c>
      <c r="AM49" s="58">
        <v>0</v>
      </c>
      <c r="AN49" s="59">
        <v>0</v>
      </c>
    </row>
    <row r="50" spans="1:40">
      <c r="A50" s="72" t="str">
        <f>HYPERLINK("https://www.ncbi.nlm.nih.gov/pubmed/25706302","25706302")</f>
        <v>25706302</v>
      </c>
      <c r="B50" s="55" t="s">
        <v>195</v>
      </c>
      <c r="C50" s="56" t="s">
        <v>196</v>
      </c>
      <c r="D50" s="56" t="s">
        <v>204</v>
      </c>
      <c r="E50" s="56" t="s">
        <v>212</v>
      </c>
      <c r="F50" s="56" t="s">
        <v>213</v>
      </c>
      <c r="G50" s="56" t="s">
        <v>228</v>
      </c>
      <c r="H50" s="56" t="s">
        <v>226</v>
      </c>
      <c r="I50" s="56" t="s">
        <v>201</v>
      </c>
      <c r="J50" s="63" t="s">
        <v>142</v>
      </c>
      <c r="K50" s="58">
        <v>0</v>
      </c>
      <c r="L50" s="58">
        <v>0</v>
      </c>
      <c r="M50" s="58">
        <v>0</v>
      </c>
      <c r="N50" s="58">
        <v>0</v>
      </c>
      <c r="O50" s="59">
        <v>0</v>
      </c>
      <c r="P50" s="58">
        <v>0</v>
      </c>
      <c r="Q50" s="58">
        <v>0</v>
      </c>
      <c r="R50" s="58">
        <v>0</v>
      </c>
      <c r="S50" s="58">
        <v>0</v>
      </c>
      <c r="T50" s="58">
        <v>0</v>
      </c>
      <c r="U50" s="58">
        <v>0</v>
      </c>
      <c r="V50" s="59">
        <v>0</v>
      </c>
      <c r="W50" s="57">
        <v>0</v>
      </c>
      <c r="X50" s="58">
        <v>0</v>
      </c>
      <c r="Y50" s="58">
        <v>0</v>
      </c>
      <c r="Z50" s="58">
        <v>0</v>
      </c>
      <c r="AA50" s="58">
        <v>0</v>
      </c>
      <c r="AB50" s="58">
        <v>1</v>
      </c>
      <c r="AC50" s="58">
        <v>0</v>
      </c>
      <c r="AD50" s="58">
        <v>0</v>
      </c>
      <c r="AE50" s="58">
        <v>0</v>
      </c>
      <c r="AF50" s="58">
        <v>0</v>
      </c>
      <c r="AG50" s="58">
        <v>0</v>
      </c>
      <c r="AH50" s="58">
        <v>0</v>
      </c>
      <c r="AI50" s="58">
        <v>0</v>
      </c>
      <c r="AJ50" s="59">
        <v>0</v>
      </c>
      <c r="AK50" s="58">
        <v>0</v>
      </c>
      <c r="AL50" s="58">
        <v>0</v>
      </c>
      <c r="AM50" s="58">
        <v>0</v>
      </c>
      <c r="AN50" s="59">
        <v>0</v>
      </c>
    </row>
    <row r="51" spans="1:40">
      <c r="A51" s="72" t="str">
        <f>HYPERLINK("https://www.ncbi.nlm.nih.gov/pubmed/25706302","25706302")</f>
        <v>25706302</v>
      </c>
      <c r="B51" s="55" t="s">
        <v>195</v>
      </c>
      <c r="C51" s="56" t="s">
        <v>196</v>
      </c>
      <c r="D51" s="56" t="s">
        <v>204</v>
      </c>
      <c r="E51" s="56" t="s">
        <v>212</v>
      </c>
      <c r="F51" s="56" t="s">
        <v>213</v>
      </c>
      <c r="G51" s="56" t="s">
        <v>228</v>
      </c>
      <c r="H51" s="56" t="s">
        <v>226</v>
      </c>
      <c r="I51" s="56" t="s">
        <v>201</v>
      </c>
      <c r="J51" s="63" t="s">
        <v>142</v>
      </c>
      <c r="K51" s="58">
        <v>0</v>
      </c>
      <c r="L51" s="58">
        <v>0</v>
      </c>
      <c r="M51" s="58">
        <v>0</v>
      </c>
      <c r="N51" s="58">
        <v>0</v>
      </c>
      <c r="O51" s="59">
        <v>0</v>
      </c>
      <c r="P51" s="58">
        <v>0</v>
      </c>
      <c r="Q51" s="58">
        <v>0</v>
      </c>
      <c r="R51" s="58">
        <v>0</v>
      </c>
      <c r="S51" s="58">
        <v>0</v>
      </c>
      <c r="T51" s="58">
        <v>0</v>
      </c>
      <c r="U51" s="58">
        <v>0</v>
      </c>
      <c r="V51" s="59">
        <v>0</v>
      </c>
      <c r="W51" s="57">
        <v>0</v>
      </c>
      <c r="X51" s="58">
        <v>0</v>
      </c>
      <c r="Y51" s="58">
        <v>0</v>
      </c>
      <c r="Z51" s="58">
        <v>0</v>
      </c>
      <c r="AA51" s="58">
        <v>0</v>
      </c>
      <c r="AB51" s="58">
        <v>1</v>
      </c>
      <c r="AC51" s="58">
        <v>0</v>
      </c>
      <c r="AD51" s="58">
        <v>0</v>
      </c>
      <c r="AE51" s="58">
        <v>0</v>
      </c>
      <c r="AF51" s="58">
        <v>0</v>
      </c>
      <c r="AG51" s="58">
        <v>0</v>
      </c>
      <c r="AH51" s="58">
        <v>0</v>
      </c>
      <c r="AI51" s="58">
        <v>0</v>
      </c>
      <c r="AJ51" s="59">
        <v>0</v>
      </c>
      <c r="AK51" s="58">
        <v>0</v>
      </c>
      <c r="AL51" s="58">
        <v>0</v>
      </c>
      <c r="AM51" s="58">
        <v>0</v>
      </c>
      <c r="AN51" s="59">
        <v>0</v>
      </c>
    </row>
    <row r="52" spans="1:40">
      <c r="A52" s="72" t="str">
        <f>HYPERLINK("https://www.ncbi.nlm.nih.gov/pubmed/21624456","21624456")</f>
        <v>21624456</v>
      </c>
      <c r="B52" s="55" t="s">
        <v>195</v>
      </c>
      <c r="C52" s="56" t="s">
        <v>196</v>
      </c>
      <c r="D52" s="56" t="s">
        <v>204</v>
      </c>
      <c r="E52" s="56" t="s">
        <v>212</v>
      </c>
      <c r="F52" s="56" t="s">
        <v>213</v>
      </c>
      <c r="G52" s="56" t="s">
        <v>228</v>
      </c>
      <c r="H52" s="56" t="s">
        <v>226</v>
      </c>
      <c r="I52" s="56" t="s">
        <v>201</v>
      </c>
      <c r="J52" s="63" t="s">
        <v>142</v>
      </c>
      <c r="K52" s="58">
        <v>0</v>
      </c>
      <c r="L52" s="58">
        <v>0</v>
      </c>
      <c r="M52" s="58">
        <v>0</v>
      </c>
      <c r="N52" s="58">
        <v>0</v>
      </c>
      <c r="O52" s="59">
        <v>0</v>
      </c>
      <c r="P52" s="57">
        <v>1</v>
      </c>
      <c r="Q52" s="58">
        <v>1</v>
      </c>
      <c r="R52" s="58">
        <v>0</v>
      </c>
      <c r="S52" s="58">
        <v>0</v>
      </c>
      <c r="T52" s="58">
        <v>0</v>
      </c>
      <c r="U52" s="58">
        <v>1</v>
      </c>
      <c r="V52" s="59">
        <v>0</v>
      </c>
      <c r="W52" s="57">
        <v>0</v>
      </c>
      <c r="X52" s="58">
        <v>0</v>
      </c>
      <c r="Y52" s="58">
        <v>0</v>
      </c>
      <c r="Z52" s="58">
        <v>0</v>
      </c>
      <c r="AA52" s="58">
        <v>0</v>
      </c>
      <c r="AB52" s="58">
        <v>1</v>
      </c>
      <c r="AC52" s="58">
        <v>0</v>
      </c>
      <c r="AD52" s="58">
        <v>0</v>
      </c>
      <c r="AE52" s="58">
        <v>0</v>
      </c>
      <c r="AF52" s="58">
        <v>0</v>
      </c>
      <c r="AG52" s="58">
        <v>0</v>
      </c>
      <c r="AH52" s="58">
        <v>0</v>
      </c>
      <c r="AI52" s="58">
        <v>0</v>
      </c>
      <c r="AJ52" s="59">
        <v>0</v>
      </c>
      <c r="AK52" s="58">
        <v>1</v>
      </c>
      <c r="AL52" s="58">
        <v>0</v>
      </c>
      <c r="AM52" s="58">
        <v>0</v>
      </c>
      <c r="AN52" s="59">
        <v>0</v>
      </c>
    </row>
    <row r="53" spans="1:40">
      <c r="A53" s="72" t="str">
        <f>HYPERLINK("https://www.ncbi.nlm.nih.gov/pubmed/23284716","23284716")</f>
        <v>23284716</v>
      </c>
      <c r="B53" s="55" t="s">
        <v>195</v>
      </c>
      <c r="C53" s="56" t="s">
        <v>196</v>
      </c>
      <c r="D53" s="56" t="s">
        <v>204</v>
      </c>
      <c r="E53" s="56" t="s">
        <v>198</v>
      </c>
      <c r="F53" s="56" t="s">
        <v>213</v>
      </c>
      <c r="G53" s="56" t="s">
        <v>228</v>
      </c>
      <c r="H53" s="56" t="s">
        <v>229</v>
      </c>
      <c r="I53" s="56" t="s">
        <v>201</v>
      </c>
      <c r="J53" s="63" t="s">
        <v>142</v>
      </c>
      <c r="K53" s="58">
        <v>0</v>
      </c>
      <c r="L53" s="58">
        <v>0</v>
      </c>
      <c r="M53" s="58">
        <v>0</v>
      </c>
      <c r="N53" s="58">
        <v>0</v>
      </c>
      <c r="O53" s="59">
        <v>0</v>
      </c>
      <c r="P53" s="57">
        <v>0</v>
      </c>
      <c r="Q53" s="58">
        <v>0</v>
      </c>
      <c r="R53" s="58">
        <v>0</v>
      </c>
      <c r="S53" s="58">
        <v>0</v>
      </c>
      <c r="T53" s="58">
        <v>0</v>
      </c>
      <c r="U53" s="58">
        <v>0</v>
      </c>
      <c r="V53" s="59">
        <v>0</v>
      </c>
      <c r="W53" s="57">
        <v>0</v>
      </c>
      <c r="X53" s="58">
        <v>0</v>
      </c>
      <c r="Y53" s="58">
        <v>0</v>
      </c>
      <c r="Z53" s="58">
        <v>0</v>
      </c>
      <c r="AA53" s="58">
        <v>0</v>
      </c>
      <c r="AB53" s="58">
        <v>1</v>
      </c>
      <c r="AC53" s="58">
        <v>0</v>
      </c>
      <c r="AD53" s="58">
        <v>0</v>
      </c>
      <c r="AE53" s="58">
        <v>0</v>
      </c>
      <c r="AF53" s="58">
        <v>0</v>
      </c>
      <c r="AG53" s="58">
        <v>0</v>
      </c>
      <c r="AH53" s="58">
        <v>0</v>
      </c>
      <c r="AI53" s="58">
        <v>0</v>
      </c>
      <c r="AJ53" s="59">
        <v>0</v>
      </c>
      <c r="AK53" s="58">
        <v>0</v>
      </c>
      <c r="AL53" s="58">
        <v>0</v>
      </c>
      <c r="AM53" s="58">
        <v>0</v>
      </c>
      <c r="AN53" s="59">
        <v>0</v>
      </c>
    </row>
    <row r="54" spans="1:40">
      <c r="A54" s="72" t="str">
        <f>HYPERLINK("https://www.ncbi.nlm.nih.gov/pubmed/23284716","23284716")</f>
        <v>23284716</v>
      </c>
      <c r="B54" s="55" t="s">
        <v>195</v>
      </c>
      <c r="C54" s="56" t="s">
        <v>196</v>
      </c>
      <c r="D54" s="56" t="s">
        <v>204</v>
      </c>
      <c r="E54" s="56" t="s">
        <v>205</v>
      </c>
      <c r="F54" s="56" t="s">
        <v>213</v>
      </c>
      <c r="G54" s="56" t="s">
        <v>228</v>
      </c>
      <c r="H54" s="56" t="s">
        <v>229</v>
      </c>
      <c r="I54" s="56" t="s">
        <v>201</v>
      </c>
      <c r="J54" s="63" t="s">
        <v>142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7">
        <v>0</v>
      </c>
      <c r="Q54" s="58">
        <v>0</v>
      </c>
      <c r="R54" s="58">
        <v>0</v>
      </c>
      <c r="S54" s="58">
        <v>0</v>
      </c>
      <c r="T54" s="58">
        <v>0</v>
      </c>
      <c r="U54" s="58">
        <v>0</v>
      </c>
      <c r="V54" s="59">
        <v>0</v>
      </c>
      <c r="W54" s="57">
        <v>0</v>
      </c>
      <c r="X54" s="58">
        <v>0</v>
      </c>
      <c r="Y54" s="58">
        <v>0</v>
      </c>
      <c r="Z54" s="58">
        <v>0</v>
      </c>
      <c r="AA54" s="58">
        <v>0</v>
      </c>
      <c r="AB54" s="58">
        <v>1</v>
      </c>
      <c r="AC54" s="58">
        <v>0</v>
      </c>
      <c r="AD54" s="58">
        <v>0</v>
      </c>
      <c r="AE54" s="58">
        <v>0</v>
      </c>
      <c r="AF54" s="58">
        <v>0</v>
      </c>
      <c r="AG54" s="58">
        <v>0</v>
      </c>
      <c r="AH54" s="58">
        <v>0</v>
      </c>
      <c r="AI54" s="58">
        <v>0</v>
      </c>
      <c r="AJ54" s="59">
        <v>0</v>
      </c>
      <c r="AK54" s="58">
        <v>0</v>
      </c>
      <c r="AL54" s="58">
        <v>0</v>
      </c>
      <c r="AM54" s="58">
        <v>0</v>
      </c>
      <c r="AN54" s="59">
        <v>0</v>
      </c>
    </row>
    <row r="55" spans="1:40">
      <c r="A55" s="72" t="str">
        <f>HYPERLINK("https://www.ncbi.nlm.nih.gov/pubmed/17888624","17888624")</f>
        <v>17888624</v>
      </c>
      <c r="B55" s="55" t="s">
        <v>195</v>
      </c>
      <c r="C55" s="56" t="s">
        <v>196</v>
      </c>
      <c r="D55" s="56" t="s">
        <v>204</v>
      </c>
      <c r="E55" s="56" t="s">
        <v>212</v>
      </c>
      <c r="F55" s="56" t="s">
        <v>213</v>
      </c>
      <c r="G55" s="56" t="s">
        <v>228</v>
      </c>
      <c r="H55" s="56" t="s">
        <v>229</v>
      </c>
      <c r="I55" s="56" t="s">
        <v>224</v>
      </c>
      <c r="J55" s="63" t="s">
        <v>60</v>
      </c>
      <c r="K55" s="58">
        <v>0</v>
      </c>
      <c r="L55" s="58">
        <v>0</v>
      </c>
      <c r="M55" s="58">
        <v>0</v>
      </c>
      <c r="N55" s="58">
        <v>0</v>
      </c>
      <c r="O55" s="59">
        <v>0</v>
      </c>
      <c r="P55" s="57">
        <v>0</v>
      </c>
      <c r="Q55" s="58">
        <v>0</v>
      </c>
      <c r="R55" s="58">
        <v>0</v>
      </c>
      <c r="S55" s="58">
        <v>0</v>
      </c>
      <c r="T55" s="58">
        <v>0</v>
      </c>
      <c r="U55" s="58">
        <v>0</v>
      </c>
      <c r="V55" s="59">
        <v>0</v>
      </c>
      <c r="W55" s="57">
        <v>0</v>
      </c>
      <c r="X55" s="58">
        <v>1</v>
      </c>
      <c r="Y55" s="58">
        <v>0</v>
      </c>
      <c r="Z55" s="58">
        <v>0</v>
      </c>
      <c r="AA55" s="58">
        <v>0</v>
      </c>
      <c r="AB55" s="58">
        <v>1</v>
      </c>
      <c r="AC55" s="58">
        <v>0</v>
      </c>
      <c r="AD55" s="58">
        <v>0</v>
      </c>
      <c r="AE55" s="58">
        <v>0</v>
      </c>
      <c r="AF55" s="58">
        <v>0</v>
      </c>
      <c r="AG55" s="58">
        <v>0</v>
      </c>
      <c r="AH55" s="58">
        <v>0</v>
      </c>
      <c r="AI55" s="58">
        <v>0</v>
      </c>
      <c r="AJ55" s="59">
        <v>0</v>
      </c>
      <c r="AK55" s="58">
        <v>1</v>
      </c>
      <c r="AL55" s="58">
        <v>0</v>
      </c>
      <c r="AM55" s="58">
        <v>0</v>
      </c>
      <c r="AN55" s="59">
        <v>0</v>
      </c>
    </row>
    <row r="56" spans="1:40">
      <c r="A56" s="72" t="str">
        <f>HYPERLINK("https://www.ncbi.nlm.nih.gov/pubmed/19165384","19165384")</f>
        <v>19165384</v>
      </c>
      <c r="B56" s="55" t="s">
        <v>195</v>
      </c>
      <c r="C56" s="56" t="s">
        <v>196</v>
      </c>
      <c r="D56" s="56" t="s">
        <v>204</v>
      </c>
      <c r="E56" s="56" t="s">
        <v>212</v>
      </c>
      <c r="F56" s="56" t="s">
        <v>213</v>
      </c>
      <c r="G56" s="56" t="s">
        <v>228</v>
      </c>
      <c r="H56" s="56" t="s">
        <v>229</v>
      </c>
      <c r="I56" s="56" t="s">
        <v>201</v>
      </c>
      <c r="J56" s="63" t="s">
        <v>142</v>
      </c>
      <c r="K56" s="58">
        <v>0</v>
      </c>
      <c r="L56" s="58">
        <v>1</v>
      </c>
      <c r="M56" s="58">
        <v>0</v>
      </c>
      <c r="N56" s="58">
        <v>0</v>
      </c>
      <c r="O56" s="59">
        <v>0</v>
      </c>
      <c r="P56" s="57">
        <v>1</v>
      </c>
      <c r="Q56" s="58">
        <v>1</v>
      </c>
      <c r="R56" s="58">
        <v>0</v>
      </c>
      <c r="S56" s="58">
        <v>0</v>
      </c>
      <c r="T56" s="58">
        <v>0</v>
      </c>
      <c r="U56" s="58">
        <v>0</v>
      </c>
      <c r="V56" s="59">
        <v>0</v>
      </c>
      <c r="W56" s="57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1</v>
      </c>
      <c r="AC56" s="58">
        <v>0</v>
      </c>
      <c r="AD56" s="58">
        <v>0</v>
      </c>
      <c r="AE56" s="58">
        <v>0</v>
      </c>
      <c r="AF56" s="58">
        <v>0</v>
      </c>
      <c r="AG56" s="58">
        <v>0</v>
      </c>
      <c r="AH56" s="58">
        <v>0</v>
      </c>
      <c r="AI56" s="58">
        <v>0</v>
      </c>
      <c r="AJ56" s="59">
        <v>0</v>
      </c>
      <c r="AK56" s="58">
        <v>1</v>
      </c>
      <c r="AL56" s="58">
        <v>0</v>
      </c>
      <c r="AM56" s="58">
        <v>0</v>
      </c>
      <c r="AN56" s="59">
        <v>0</v>
      </c>
    </row>
    <row r="57" spans="1:40">
      <c r="A57" s="72" t="str">
        <f>HYPERLINK("https://www.ncbi.nlm.nih.gov/pubmed/19167474","19167474")</f>
        <v>19167474</v>
      </c>
      <c r="B57" s="55" t="s">
        <v>195</v>
      </c>
      <c r="C57" s="56" t="s">
        <v>196</v>
      </c>
      <c r="D57" s="56" t="s">
        <v>204</v>
      </c>
      <c r="E57" s="56" t="s">
        <v>212</v>
      </c>
      <c r="F57" s="56" t="s">
        <v>213</v>
      </c>
      <c r="G57" s="56" t="s">
        <v>228</v>
      </c>
      <c r="H57" s="56" t="s">
        <v>229</v>
      </c>
      <c r="I57" s="56" t="s">
        <v>201</v>
      </c>
      <c r="J57" s="56" t="s">
        <v>142</v>
      </c>
      <c r="K57" s="57">
        <v>0</v>
      </c>
      <c r="L57" s="58">
        <v>0</v>
      </c>
      <c r="M57" s="58">
        <v>0</v>
      </c>
      <c r="N57" s="58">
        <v>0</v>
      </c>
      <c r="O57" s="59">
        <v>0</v>
      </c>
      <c r="P57" s="58">
        <v>0</v>
      </c>
      <c r="Q57" s="58">
        <v>0</v>
      </c>
      <c r="R57" s="58">
        <v>0</v>
      </c>
      <c r="S57" s="58">
        <v>0</v>
      </c>
      <c r="T57" s="58">
        <v>0</v>
      </c>
      <c r="U57" s="58">
        <v>0</v>
      </c>
      <c r="V57" s="59">
        <v>0</v>
      </c>
      <c r="W57" s="57">
        <v>0</v>
      </c>
      <c r="X57" s="58">
        <v>1</v>
      </c>
      <c r="Y57" s="58">
        <v>0</v>
      </c>
      <c r="Z57" s="58">
        <v>0</v>
      </c>
      <c r="AA57" s="58">
        <v>0</v>
      </c>
      <c r="AB57" s="58">
        <v>1</v>
      </c>
      <c r="AC57" s="58">
        <v>0</v>
      </c>
      <c r="AD57" s="58">
        <v>0</v>
      </c>
      <c r="AE57" s="58">
        <v>0</v>
      </c>
      <c r="AF57" s="58">
        <v>0</v>
      </c>
      <c r="AG57" s="58">
        <v>0</v>
      </c>
      <c r="AH57" s="58">
        <v>0</v>
      </c>
      <c r="AI57" s="58">
        <v>0</v>
      </c>
      <c r="AJ57" s="59">
        <v>0</v>
      </c>
      <c r="AK57" s="58">
        <v>0</v>
      </c>
      <c r="AL57" s="58">
        <v>0</v>
      </c>
      <c r="AM57" s="58">
        <v>0</v>
      </c>
      <c r="AN57" s="59">
        <v>0</v>
      </c>
    </row>
    <row r="58" spans="1:40">
      <c r="A58" s="72" t="str">
        <f>HYPERLINK("https://www.ncbi.nlm.nih.gov/pubmed/19440488","19440488")</f>
        <v>19440488</v>
      </c>
      <c r="B58" s="55" t="s">
        <v>195</v>
      </c>
      <c r="C58" s="56" t="s">
        <v>196</v>
      </c>
      <c r="D58" s="56" t="s">
        <v>204</v>
      </c>
      <c r="E58" s="56" t="s">
        <v>212</v>
      </c>
      <c r="F58" s="56" t="s">
        <v>213</v>
      </c>
      <c r="G58" s="56" t="s">
        <v>228</v>
      </c>
      <c r="H58" s="56" t="s">
        <v>229</v>
      </c>
      <c r="I58" s="56" t="s">
        <v>201</v>
      </c>
      <c r="J58" s="56" t="s">
        <v>142</v>
      </c>
      <c r="K58" s="57">
        <v>0</v>
      </c>
      <c r="L58" s="58">
        <v>1</v>
      </c>
      <c r="M58" s="58">
        <v>0</v>
      </c>
      <c r="N58" s="58">
        <v>0</v>
      </c>
      <c r="O58" s="58">
        <v>0</v>
      </c>
      <c r="P58" s="57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9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1</v>
      </c>
      <c r="AC58" s="58">
        <v>0</v>
      </c>
      <c r="AD58" s="58">
        <v>0</v>
      </c>
      <c r="AE58" s="58">
        <v>0</v>
      </c>
      <c r="AF58" s="58">
        <v>0</v>
      </c>
      <c r="AG58" s="58">
        <v>0</v>
      </c>
      <c r="AH58" s="58">
        <v>0</v>
      </c>
      <c r="AI58" s="58">
        <v>0</v>
      </c>
      <c r="AJ58" s="59">
        <v>0</v>
      </c>
      <c r="AK58" s="58">
        <v>0</v>
      </c>
      <c r="AL58" s="58">
        <v>0</v>
      </c>
      <c r="AM58" s="58">
        <v>0</v>
      </c>
      <c r="AN58" s="59">
        <v>0</v>
      </c>
    </row>
    <row r="59" spans="1:40">
      <c r="A59" s="72" t="str">
        <f>HYPERLINK("https://www.ncbi.nlm.nih.gov/pubmed/23284716","23284716")</f>
        <v>23284716</v>
      </c>
      <c r="B59" s="55" t="s">
        <v>195</v>
      </c>
      <c r="C59" s="56" t="s">
        <v>196</v>
      </c>
      <c r="D59" s="56" t="s">
        <v>204</v>
      </c>
      <c r="E59" s="56" t="s">
        <v>212</v>
      </c>
      <c r="F59" s="56" t="s">
        <v>213</v>
      </c>
      <c r="G59" s="56" t="s">
        <v>228</v>
      </c>
      <c r="H59" s="56" t="s">
        <v>229</v>
      </c>
      <c r="I59" s="56" t="s">
        <v>201</v>
      </c>
      <c r="J59" s="56" t="s">
        <v>142</v>
      </c>
      <c r="K59" s="57">
        <v>0</v>
      </c>
      <c r="L59" s="58">
        <v>0</v>
      </c>
      <c r="M59" s="58">
        <v>0</v>
      </c>
      <c r="N59" s="58">
        <v>0</v>
      </c>
      <c r="O59" s="58">
        <v>0</v>
      </c>
      <c r="P59" s="57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9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1</v>
      </c>
      <c r="AC59" s="58">
        <v>0</v>
      </c>
      <c r="AD59" s="58">
        <v>0</v>
      </c>
      <c r="AE59" s="58">
        <v>0</v>
      </c>
      <c r="AF59" s="58">
        <v>0</v>
      </c>
      <c r="AG59" s="58">
        <v>0</v>
      </c>
      <c r="AH59" s="58">
        <v>0</v>
      </c>
      <c r="AI59" s="58">
        <v>0</v>
      </c>
      <c r="AJ59" s="59">
        <v>0</v>
      </c>
      <c r="AK59" s="58">
        <v>0</v>
      </c>
      <c r="AL59" s="58">
        <v>0</v>
      </c>
      <c r="AM59" s="58">
        <v>0</v>
      </c>
      <c r="AN59" s="59">
        <v>0</v>
      </c>
    </row>
    <row r="60" spans="1:40">
      <c r="A60" s="72" t="str">
        <f>HYPERLINK("https://www.ncbi.nlm.nih.gov/pubmed/27423704","27423704")</f>
        <v>27423704</v>
      </c>
      <c r="B60" s="55" t="s">
        <v>195</v>
      </c>
      <c r="C60" s="56" t="s">
        <v>196</v>
      </c>
      <c r="D60" s="56" t="s">
        <v>204</v>
      </c>
      <c r="E60" s="56" t="s">
        <v>212</v>
      </c>
      <c r="F60" s="56" t="s">
        <v>213</v>
      </c>
      <c r="G60" s="56" t="s">
        <v>228</v>
      </c>
      <c r="H60" s="56" t="s">
        <v>229</v>
      </c>
      <c r="I60" s="56" t="s">
        <v>230</v>
      </c>
      <c r="J60" s="56" t="s">
        <v>142</v>
      </c>
      <c r="K60" s="57">
        <v>1</v>
      </c>
      <c r="L60" s="58">
        <v>0</v>
      </c>
      <c r="M60" s="58">
        <v>0</v>
      </c>
      <c r="N60" s="58">
        <v>0</v>
      </c>
      <c r="O60" s="59">
        <v>0</v>
      </c>
      <c r="P60" s="57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9">
        <v>0</v>
      </c>
      <c r="W60" s="57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1</v>
      </c>
      <c r="AC60" s="58">
        <v>0</v>
      </c>
      <c r="AD60" s="58">
        <v>0</v>
      </c>
      <c r="AE60" s="58">
        <v>0</v>
      </c>
      <c r="AF60" s="58">
        <v>0</v>
      </c>
      <c r="AG60" s="58">
        <v>0</v>
      </c>
      <c r="AH60" s="58">
        <v>0</v>
      </c>
      <c r="AI60" s="58">
        <v>0</v>
      </c>
      <c r="AJ60" s="59">
        <v>0</v>
      </c>
      <c r="AK60" s="58">
        <v>0</v>
      </c>
      <c r="AL60" s="58">
        <v>0</v>
      </c>
      <c r="AM60" s="58">
        <v>0</v>
      </c>
      <c r="AN60" s="59">
        <v>0</v>
      </c>
    </row>
    <row r="61" spans="1:40">
      <c r="A61" s="72" t="str">
        <f>HYPERLINK("https://www.ncbi.nlm.nih.gov/pubmed/30476341","30476341")</f>
        <v>30476341</v>
      </c>
      <c r="B61" s="55" t="s">
        <v>195</v>
      </c>
      <c r="C61" s="56" t="s">
        <v>196</v>
      </c>
      <c r="D61" s="56" t="s">
        <v>197</v>
      </c>
      <c r="E61" s="56" t="s">
        <v>212</v>
      </c>
      <c r="F61" s="56" t="s">
        <v>213</v>
      </c>
      <c r="G61" s="56" t="s">
        <v>228</v>
      </c>
      <c r="H61" s="56" t="s">
        <v>229</v>
      </c>
      <c r="I61" s="56" t="s">
        <v>201</v>
      </c>
      <c r="J61" s="56" t="s">
        <v>82</v>
      </c>
      <c r="K61" s="57">
        <v>0</v>
      </c>
      <c r="L61" s="58">
        <v>0</v>
      </c>
      <c r="M61" s="58">
        <v>0</v>
      </c>
      <c r="N61" s="58">
        <v>0</v>
      </c>
      <c r="O61" s="59">
        <v>0</v>
      </c>
      <c r="P61" s="58">
        <v>0</v>
      </c>
      <c r="Q61" s="58">
        <v>0</v>
      </c>
      <c r="R61" s="58">
        <v>0</v>
      </c>
      <c r="S61" s="58">
        <v>0</v>
      </c>
      <c r="T61" s="58">
        <v>0</v>
      </c>
      <c r="U61" s="58">
        <v>0</v>
      </c>
      <c r="V61" s="59">
        <v>0</v>
      </c>
      <c r="W61" s="57">
        <v>0</v>
      </c>
      <c r="X61" s="58">
        <v>0</v>
      </c>
      <c r="Y61" s="58">
        <v>0</v>
      </c>
      <c r="Z61" s="58">
        <v>0</v>
      </c>
      <c r="AA61" s="58">
        <v>0</v>
      </c>
      <c r="AB61" s="58">
        <v>1</v>
      </c>
      <c r="AC61" s="58">
        <v>0</v>
      </c>
      <c r="AD61" s="58">
        <v>0</v>
      </c>
      <c r="AE61" s="58">
        <v>0</v>
      </c>
      <c r="AF61" s="58">
        <v>0</v>
      </c>
      <c r="AG61" s="58">
        <v>0</v>
      </c>
      <c r="AH61" s="58">
        <v>0</v>
      </c>
      <c r="AI61" s="58">
        <v>0</v>
      </c>
      <c r="AJ61" s="59">
        <v>0</v>
      </c>
      <c r="AK61" s="58">
        <v>1</v>
      </c>
      <c r="AL61" s="58">
        <v>0</v>
      </c>
      <c r="AM61" s="58">
        <v>0</v>
      </c>
      <c r="AN61" s="59">
        <v>0</v>
      </c>
    </row>
    <row r="62" spans="1:40">
      <c r="A62" s="72" t="str">
        <f>HYPERLINK("https://www.ncbi.nlm.nih.gov/pubmed/36780129","36780129")</f>
        <v>36780129</v>
      </c>
      <c r="B62" s="55" t="s">
        <v>195</v>
      </c>
      <c r="C62" s="56" t="s">
        <v>196</v>
      </c>
      <c r="D62" s="56" t="s">
        <v>197</v>
      </c>
      <c r="E62" s="56" t="s">
        <v>212</v>
      </c>
      <c r="F62" s="56" t="s">
        <v>213</v>
      </c>
      <c r="G62" s="56" t="s">
        <v>228</v>
      </c>
      <c r="H62" s="56" t="s">
        <v>229</v>
      </c>
      <c r="I62" s="60" t="s">
        <v>203</v>
      </c>
      <c r="J62" s="56" t="s">
        <v>84</v>
      </c>
      <c r="K62" s="57">
        <v>0</v>
      </c>
      <c r="L62" s="58">
        <v>1</v>
      </c>
      <c r="M62" s="58">
        <v>0</v>
      </c>
      <c r="N62" s="58">
        <v>0</v>
      </c>
      <c r="O62" s="59">
        <v>0</v>
      </c>
      <c r="P62" s="57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9">
        <v>0</v>
      </c>
      <c r="W62" s="57">
        <v>0</v>
      </c>
      <c r="X62" s="58">
        <v>0</v>
      </c>
      <c r="Y62" s="58">
        <v>0</v>
      </c>
      <c r="Z62" s="58">
        <v>0</v>
      </c>
      <c r="AA62" s="58">
        <v>0</v>
      </c>
      <c r="AB62" s="58">
        <v>1</v>
      </c>
      <c r="AC62" s="58">
        <v>0</v>
      </c>
      <c r="AD62" s="58">
        <v>0</v>
      </c>
      <c r="AE62" s="58">
        <v>0</v>
      </c>
      <c r="AF62" s="58">
        <v>0</v>
      </c>
      <c r="AG62" s="58">
        <v>0</v>
      </c>
      <c r="AH62" s="58">
        <v>0</v>
      </c>
      <c r="AI62" s="58">
        <v>0</v>
      </c>
      <c r="AJ62" s="59">
        <v>0</v>
      </c>
      <c r="AK62" s="58">
        <v>0</v>
      </c>
      <c r="AL62" s="58">
        <v>0</v>
      </c>
      <c r="AM62" s="58">
        <v>0</v>
      </c>
      <c r="AN62" s="59">
        <v>0</v>
      </c>
    </row>
    <row r="63" spans="1:40">
      <c r="A63" s="72" t="str">
        <f>HYPERLINK("https://www.ncbi.nlm.nih.gov/pubmed/21624456","21624456")</f>
        <v>21624456</v>
      </c>
      <c r="B63" s="55" t="s">
        <v>195</v>
      </c>
      <c r="C63" s="56" t="s">
        <v>196</v>
      </c>
      <c r="D63" s="56" t="s">
        <v>204</v>
      </c>
      <c r="E63" s="56" t="s">
        <v>212</v>
      </c>
      <c r="F63" s="56" t="s">
        <v>213</v>
      </c>
      <c r="G63" s="56" t="s">
        <v>228</v>
      </c>
      <c r="H63" s="56" t="s">
        <v>229</v>
      </c>
      <c r="I63" s="56" t="s">
        <v>201</v>
      </c>
      <c r="J63" s="56" t="s">
        <v>142</v>
      </c>
      <c r="K63" s="57">
        <v>0</v>
      </c>
      <c r="L63" s="58">
        <v>1</v>
      </c>
      <c r="M63" s="58">
        <v>0</v>
      </c>
      <c r="N63" s="58">
        <v>0</v>
      </c>
      <c r="O63" s="59">
        <v>0</v>
      </c>
      <c r="P63" s="57">
        <v>0</v>
      </c>
      <c r="Q63" s="58">
        <v>0</v>
      </c>
      <c r="R63" s="58">
        <v>0</v>
      </c>
      <c r="S63" s="58">
        <v>0</v>
      </c>
      <c r="T63" s="58">
        <v>0</v>
      </c>
      <c r="U63" s="58">
        <v>0</v>
      </c>
      <c r="V63" s="59">
        <v>0</v>
      </c>
      <c r="W63" s="57">
        <v>0</v>
      </c>
      <c r="X63" s="58">
        <v>0</v>
      </c>
      <c r="Y63" s="58">
        <v>0</v>
      </c>
      <c r="Z63" s="58">
        <v>0</v>
      </c>
      <c r="AA63" s="58">
        <v>0</v>
      </c>
      <c r="AB63" s="58">
        <v>1</v>
      </c>
      <c r="AC63" s="58">
        <v>0</v>
      </c>
      <c r="AD63" s="58">
        <v>0</v>
      </c>
      <c r="AE63" s="58">
        <v>0</v>
      </c>
      <c r="AF63" s="58">
        <v>0</v>
      </c>
      <c r="AG63" s="58">
        <v>0</v>
      </c>
      <c r="AH63" s="58">
        <v>0</v>
      </c>
      <c r="AI63" s="58">
        <v>0</v>
      </c>
      <c r="AJ63" s="59">
        <v>0</v>
      </c>
      <c r="AK63" s="58">
        <v>0</v>
      </c>
      <c r="AL63" s="58">
        <v>0</v>
      </c>
      <c r="AM63" s="58">
        <v>0</v>
      </c>
      <c r="AN63" s="59">
        <v>0</v>
      </c>
    </row>
    <row r="64" spans="1:40">
      <c r="A64" s="72" t="str">
        <f>HYPERLINK("https://www.ncbi.nlm.nih.gov/pubmed/17287459","17287459")</f>
        <v>17287459</v>
      </c>
      <c r="B64" s="55" t="s">
        <v>195</v>
      </c>
      <c r="C64" s="56" t="s">
        <v>196</v>
      </c>
      <c r="D64" s="56" t="s">
        <v>204</v>
      </c>
      <c r="E64" s="56" t="s">
        <v>212</v>
      </c>
      <c r="F64" s="56" t="s">
        <v>213</v>
      </c>
      <c r="G64" s="56" t="s">
        <v>231</v>
      </c>
      <c r="H64" s="56" t="s">
        <v>13</v>
      </c>
      <c r="I64" s="56" t="s">
        <v>232</v>
      </c>
      <c r="J64" s="63" t="s">
        <v>142</v>
      </c>
      <c r="K64" s="58">
        <v>1</v>
      </c>
      <c r="L64" s="58">
        <v>0</v>
      </c>
      <c r="M64" s="58">
        <v>0</v>
      </c>
      <c r="N64" s="58">
        <v>0</v>
      </c>
      <c r="O64" s="59">
        <v>0</v>
      </c>
      <c r="P64" s="57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9">
        <v>0</v>
      </c>
      <c r="W64" s="57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1</v>
      </c>
      <c r="AC64" s="58">
        <v>0</v>
      </c>
      <c r="AD64" s="58">
        <v>0</v>
      </c>
      <c r="AE64" s="58">
        <v>0</v>
      </c>
      <c r="AF64" s="58">
        <v>0</v>
      </c>
      <c r="AG64" s="58">
        <v>0</v>
      </c>
      <c r="AH64" s="58">
        <v>0</v>
      </c>
      <c r="AI64" s="58">
        <v>0</v>
      </c>
      <c r="AJ64" s="59">
        <v>0</v>
      </c>
      <c r="AK64" s="58">
        <v>0</v>
      </c>
      <c r="AL64" s="58">
        <v>0</v>
      </c>
      <c r="AM64" s="58">
        <v>0</v>
      </c>
      <c r="AN64" s="59">
        <v>0</v>
      </c>
    </row>
    <row r="65" spans="1:40">
      <c r="A65" s="72" t="str">
        <f>HYPERLINK("https://www.ncbi.nlm.nih.gov/pubmed/22525294","22525294")</f>
        <v>22525294</v>
      </c>
      <c r="B65" s="55" t="s">
        <v>195</v>
      </c>
      <c r="C65" s="56" t="s">
        <v>196</v>
      </c>
      <c r="D65" s="56" t="s">
        <v>204</v>
      </c>
      <c r="E65" s="56" t="s">
        <v>212</v>
      </c>
      <c r="F65" s="56" t="s">
        <v>213</v>
      </c>
      <c r="G65" s="56" t="s">
        <v>231</v>
      </c>
      <c r="H65" s="56" t="s">
        <v>13</v>
      </c>
      <c r="I65" s="56" t="s">
        <v>219</v>
      </c>
      <c r="J65" s="63" t="s">
        <v>142</v>
      </c>
      <c r="K65" s="58">
        <v>0</v>
      </c>
      <c r="L65" s="58">
        <v>0</v>
      </c>
      <c r="M65" s="58">
        <v>0</v>
      </c>
      <c r="N65" s="58">
        <v>0</v>
      </c>
      <c r="O65" s="59">
        <v>0</v>
      </c>
      <c r="P65" s="57">
        <v>0</v>
      </c>
      <c r="Q65" s="58">
        <v>0</v>
      </c>
      <c r="R65" s="58">
        <v>0</v>
      </c>
      <c r="S65" s="58">
        <v>0</v>
      </c>
      <c r="T65" s="58">
        <v>0</v>
      </c>
      <c r="U65" s="58">
        <v>0</v>
      </c>
      <c r="V65" s="59">
        <v>0</v>
      </c>
      <c r="W65" s="57">
        <v>0</v>
      </c>
      <c r="X65" s="58">
        <v>0</v>
      </c>
      <c r="Y65" s="58">
        <v>0</v>
      </c>
      <c r="Z65" s="58">
        <v>0</v>
      </c>
      <c r="AA65" s="58">
        <v>0</v>
      </c>
      <c r="AB65" s="58">
        <v>0</v>
      </c>
      <c r="AC65" s="58">
        <v>0</v>
      </c>
      <c r="AD65" s="58">
        <v>0</v>
      </c>
      <c r="AE65" s="58">
        <v>0</v>
      </c>
      <c r="AF65" s="58">
        <v>0</v>
      </c>
      <c r="AG65" s="58">
        <v>1</v>
      </c>
      <c r="AH65" s="58">
        <v>0</v>
      </c>
      <c r="AI65" s="58">
        <v>0</v>
      </c>
      <c r="AJ65" s="59">
        <v>0</v>
      </c>
      <c r="AK65" s="58">
        <v>0</v>
      </c>
      <c r="AL65" s="58">
        <v>0</v>
      </c>
      <c r="AM65" s="58">
        <v>0</v>
      </c>
      <c r="AN65" s="59">
        <v>0</v>
      </c>
    </row>
    <row r="66" spans="1:40">
      <c r="A66" s="72" t="str">
        <f>HYPERLINK("https://www.ncbi.nlm.nih.gov/pubmed/23590819","23590819")</f>
        <v>23590819</v>
      </c>
      <c r="B66" s="55" t="s">
        <v>195</v>
      </c>
      <c r="C66" s="56" t="s">
        <v>196</v>
      </c>
      <c r="D66" s="56" t="s">
        <v>204</v>
      </c>
      <c r="E66" s="56" t="s">
        <v>212</v>
      </c>
      <c r="F66" s="56" t="s">
        <v>213</v>
      </c>
      <c r="G66" s="56" t="s">
        <v>231</v>
      </c>
      <c r="H66" s="56" t="s">
        <v>13</v>
      </c>
      <c r="I66" s="56" t="s">
        <v>208</v>
      </c>
      <c r="J66" s="56" t="s">
        <v>82</v>
      </c>
      <c r="K66" s="57">
        <v>0</v>
      </c>
      <c r="L66" s="58">
        <v>0</v>
      </c>
      <c r="M66" s="58">
        <v>0</v>
      </c>
      <c r="N66" s="58">
        <v>0</v>
      </c>
      <c r="O66" s="59">
        <v>0</v>
      </c>
      <c r="P66" s="57">
        <v>0</v>
      </c>
      <c r="Q66" s="58">
        <v>0</v>
      </c>
      <c r="R66" s="58">
        <v>0</v>
      </c>
      <c r="S66" s="58">
        <v>0</v>
      </c>
      <c r="T66" s="58">
        <v>0</v>
      </c>
      <c r="U66" s="58">
        <v>0</v>
      </c>
      <c r="V66" s="59">
        <v>0</v>
      </c>
      <c r="W66" s="57">
        <v>0</v>
      </c>
      <c r="X66" s="58">
        <v>0</v>
      </c>
      <c r="Y66" s="58">
        <v>0</v>
      </c>
      <c r="Z66" s="58">
        <v>0</v>
      </c>
      <c r="AA66" s="58">
        <v>0</v>
      </c>
      <c r="AB66" s="58">
        <v>1</v>
      </c>
      <c r="AC66" s="58">
        <v>0</v>
      </c>
      <c r="AD66" s="58">
        <v>0</v>
      </c>
      <c r="AE66" s="58">
        <v>0</v>
      </c>
      <c r="AF66" s="58">
        <v>0</v>
      </c>
      <c r="AG66" s="58">
        <v>0</v>
      </c>
      <c r="AH66" s="58">
        <v>0</v>
      </c>
      <c r="AI66" s="58">
        <v>0</v>
      </c>
      <c r="AJ66" s="59">
        <v>0</v>
      </c>
      <c r="AK66" s="58">
        <v>0</v>
      </c>
      <c r="AL66" s="58">
        <v>0</v>
      </c>
      <c r="AM66" s="58">
        <v>0</v>
      </c>
      <c r="AN66" s="59">
        <v>0</v>
      </c>
    </row>
    <row r="67" spans="1:40">
      <c r="A67" s="72" t="str">
        <f>HYPERLINK("https://www.ncbi.nlm.nih.gov/pubmed/24451983","24451983")</f>
        <v>24451983</v>
      </c>
      <c r="B67" s="55" t="s">
        <v>195</v>
      </c>
      <c r="C67" s="56" t="s">
        <v>196</v>
      </c>
      <c r="D67" s="56" t="s">
        <v>204</v>
      </c>
      <c r="E67" s="56" t="s">
        <v>212</v>
      </c>
      <c r="F67" s="56" t="s">
        <v>213</v>
      </c>
      <c r="G67" s="56" t="s">
        <v>231</v>
      </c>
      <c r="H67" s="56" t="s">
        <v>13</v>
      </c>
      <c r="I67" s="56" t="s">
        <v>201</v>
      </c>
      <c r="J67" s="56" t="s">
        <v>142</v>
      </c>
      <c r="K67" s="57">
        <v>0</v>
      </c>
      <c r="L67" s="58">
        <v>1</v>
      </c>
      <c r="M67" s="58">
        <v>0</v>
      </c>
      <c r="N67" s="58">
        <v>0</v>
      </c>
      <c r="O67" s="59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9">
        <v>0</v>
      </c>
      <c r="W67" s="57">
        <v>0</v>
      </c>
      <c r="X67" s="58">
        <v>0</v>
      </c>
      <c r="Y67" s="58">
        <v>0</v>
      </c>
      <c r="Z67" s="58">
        <v>0</v>
      </c>
      <c r="AA67" s="58">
        <v>0</v>
      </c>
      <c r="AB67" s="58">
        <v>1</v>
      </c>
      <c r="AC67" s="58">
        <v>0</v>
      </c>
      <c r="AD67" s="58">
        <v>0</v>
      </c>
      <c r="AE67" s="58">
        <v>0</v>
      </c>
      <c r="AF67" s="58">
        <v>0</v>
      </c>
      <c r="AG67" s="58">
        <v>0</v>
      </c>
      <c r="AH67" s="58">
        <v>0</v>
      </c>
      <c r="AI67" s="58">
        <v>0</v>
      </c>
      <c r="AJ67" s="59">
        <v>0</v>
      </c>
      <c r="AK67" s="58">
        <v>1</v>
      </c>
      <c r="AL67" s="58">
        <v>0</v>
      </c>
      <c r="AM67" s="58">
        <v>0</v>
      </c>
      <c r="AN67" s="59">
        <v>0</v>
      </c>
    </row>
    <row r="68" spans="1:40">
      <c r="A68" s="74" t="str">
        <f>HYPERLINK("https://www.ncbi.nlm.nih.gov/pubmed/1848443","1848443")</f>
        <v>1848443</v>
      </c>
      <c r="B68" s="55" t="s">
        <v>195</v>
      </c>
      <c r="C68" s="56" t="s">
        <v>196</v>
      </c>
      <c r="D68" s="56" t="s">
        <v>204</v>
      </c>
      <c r="E68" s="56" t="s">
        <v>233</v>
      </c>
      <c r="F68" s="56" t="s">
        <v>213</v>
      </c>
      <c r="G68" s="56" t="s">
        <v>234</v>
      </c>
      <c r="H68" s="56" t="s">
        <v>13</v>
      </c>
      <c r="I68" s="56" t="s">
        <v>235</v>
      </c>
      <c r="J68" s="63" t="s">
        <v>142</v>
      </c>
      <c r="K68" s="58">
        <v>0</v>
      </c>
      <c r="L68" s="58">
        <v>1</v>
      </c>
      <c r="M68" s="58">
        <v>1</v>
      </c>
      <c r="N68" s="58">
        <v>0</v>
      </c>
      <c r="O68" s="59">
        <v>1</v>
      </c>
      <c r="P68" s="58">
        <v>0</v>
      </c>
      <c r="Q68" s="58">
        <v>0</v>
      </c>
      <c r="R68" s="58">
        <v>0</v>
      </c>
      <c r="S68" s="58">
        <v>0</v>
      </c>
      <c r="T68" s="58">
        <v>0</v>
      </c>
      <c r="U68" s="58">
        <v>0</v>
      </c>
      <c r="V68" s="59">
        <v>0</v>
      </c>
      <c r="W68" s="58">
        <v>0</v>
      </c>
      <c r="X68" s="58">
        <v>0</v>
      </c>
      <c r="Y68" s="58">
        <v>0</v>
      </c>
      <c r="Z68" s="58">
        <v>0</v>
      </c>
      <c r="AA68" s="58">
        <v>0</v>
      </c>
      <c r="AB68" s="58">
        <v>1</v>
      </c>
      <c r="AC68" s="58">
        <v>0</v>
      </c>
      <c r="AD68" s="58">
        <v>0</v>
      </c>
      <c r="AE68" s="58">
        <v>0</v>
      </c>
      <c r="AF68" s="58">
        <v>0</v>
      </c>
      <c r="AG68" s="58">
        <v>0</v>
      </c>
      <c r="AH68" s="58">
        <v>0</v>
      </c>
      <c r="AI68" s="58">
        <v>0</v>
      </c>
      <c r="AJ68" s="59">
        <v>0</v>
      </c>
      <c r="AK68" s="58">
        <v>0</v>
      </c>
      <c r="AL68" s="58">
        <v>0</v>
      </c>
      <c r="AM68" s="58">
        <v>0</v>
      </c>
      <c r="AN68" s="59">
        <v>0</v>
      </c>
    </row>
    <row r="69" spans="1:40">
      <c r="A69" s="72" t="str">
        <f>HYPERLINK("https://www.ncbi.nlm.nih.gov/pubmed/17569756","17569756")</f>
        <v>17569756</v>
      </c>
      <c r="B69" s="55" t="s">
        <v>195</v>
      </c>
      <c r="C69" s="56" t="s">
        <v>196</v>
      </c>
      <c r="D69" s="56" t="s">
        <v>204</v>
      </c>
      <c r="E69" s="56" t="s">
        <v>212</v>
      </c>
      <c r="F69" s="56" t="s">
        <v>213</v>
      </c>
      <c r="G69" s="56" t="s">
        <v>234</v>
      </c>
      <c r="H69" s="56" t="s">
        <v>13</v>
      </c>
      <c r="I69" s="56" t="s">
        <v>224</v>
      </c>
      <c r="J69" s="63" t="s">
        <v>142</v>
      </c>
      <c r="K69" s="58">
        <v>0</v>
      </c>
      <c r="L69" s="58">
        <v>1</v>
      </c>
      <c r="M69" s="58">
        <v>0</v>
      </c>
      <c r="N69" s="58">
        <v>0</v>
      </c>
      <c r="O69" s="59">
        <v>0</v>
      </c>
      <c r="P69" s="57">
        <v>0</v>
      </c>
      <c r="Q69" s="58">
        <v>0</v>
      </c>
      <c r="R69" s="58">
        <v>0</v>
      </c>
      <c r="S69" s="58">
        <v>0</v>
      </c>
      <c r="T69" s="58">
        <v>0</v>
      </c>
      <c r="U69" s="58">
        <v>0</v>
      </c>
      <c r="V69" s="59">
        <v>0</v>
      </c>
      <c r="W69" s="58">
        <v>0</v>
      </c>
      <c r="X69" s="58">
        <v>0</v>
      </c>
      <c r="Y69" s="58">
        <v>0</v>
      </c>
      <c r="Z69" s="58">
        <v>0</v>
      </c>
      <c r="AA69" s="58">
        <v>0</v>
      </c>
      <c r="AB69" s="58">
        <v>1</v>
      </c>
      <c r="AC69" s="58">
        <v>0</v>
      </c>
      <c r="AD69" s="58">
        <v>0</v>
      </c>
      <c r="AE69" s="58">
        <v>0</v>
      </c>
      <c r="AF69" s="58">
        <v>0</v>
      </c>
      <c r="AG69" s="58">
        <v>0</v>
      </c>
      <c r="AH69" s="58">
        <v>0</v>
      </c>
      <c r="AI69" s="58">
        <v>0</v>
      </c>
      <c r="AJ69" s="58">
        <v>0</v>
      </c>
      <c r="AK69" s="57">
        <v>1</v>
      </c>
      <c r="AL69" s="58">
        <v>1</v>
      </c>
      <c r="AM69" s="58">
        <v>0</v>
      </c>
      <c r="AN69" s="59">
        <v>0</v>
      </c>
    </row>
    <row r="70" spans="1:40">
      <c r="A70" s="72" t="str">
        <f>HYPERLINK("https://www.ncbi.nlm.nih.gov/pubmed/32520353","32520353")</f>
        <v>32520353</v>
      </c>
      <c r="B70" s="55" t="s">
        <v>195</v>
      </c>
      <c r="C70" s="56" t="s">
        <v>196</v>
      </c>
      <c r="D70" s="56" t="s">
        <v>197</v>
      </c>
      <c r="E70" s="56" t="s">
        <v>212</v>
      </c>
      <c r="F70" s="56" t="s">
        <v>213</v>
      </c>
      <c r="G70" s="56" t="s">
        <v>234</v>
      </c>
      <c r="H70" s="56" t="s">
        <v>13</v>
      </c>
      <c r="I70" s="56" t="s">
        <v>224</v>
      </c>
      <c r="J70" s="63" t="s">
        <v>142</v>
      </c>
      <c r="K70" s="58">
        <v>0</v>
      </c>
      <c r="L70" s="58">
        <v>1</v>
      </c>
      <c r="M70" s="58">
        <v>0</v>
      </c>
      <c r="N70" s="58">
        <v>0</v>
      </c>
      <c r="O70" s="59">
        <v>0</v>
      </c>
      <c r="P70" s="57">
        <v>0</v>
      </c>
      <c r="Q70" s="58">
        <v>0</v>
      </c>
      <c r="R70" s="58">
        <v>0</v>
      </c>
      <c r="S70" s="58">
        <v>0</v>
      </c>
      <c r="T70" s="58">
        <v>0</v>
      </c>
      <c r="U70" s="58">
        <v>0</v>
      </c>
      <c r="V70" s="59">
        <v>0</v>
      </c>
      <c r="W70" s="58">
        <v>0</v>
      </c>
      <c r="X70" s="58">
        <v>0</v>
      </c>
      <c r="Y70" s="58">
        <v>0</v>
      </c>
      <c r="Z70" s="58">
        <v>0</v>
      </c>
      <c r="AA70" s="58">
        <v>0</v>
      </c>
      <c r="AB70" s="58">
        <v>1</v>
      </c>
      <c r="AC70" s="58">
        <v>0</v>
      </c>
      <c r="AD70" s="58">
        <v>0</v>
      </c>
      <c r="AE70" s="58">
        <v>0</v>
      </c>
      <c r="AF70" s="58">
        <v>0</v>
      </c>
      <c r="AG70" s="58">
        <v>0</v>
      </c>
      <c r="AH70" s="58">
        <v>0</v>
      </c>
      <c r="AI70" s="58">
        <v>0</v>
      </c>
      <c r="AJ70" s="58">
        <v>0</v>
      </c>
      <c r="AK70" s="57">
        <v>0</v>
      </c>
      <c r="AL70" s="58">
        <v>0</v>
      </c>
      <c r="AM70" s="58">
        <v>0</v>
      </c>
      <c r="AN70" s="59">
        <v>0</v>
      </c>
    </row>
    <row r="71" spans="1:40">
      <c r="A71" s="72" t="str">
        <f>HYPERLINK("https://www.ncbi.nlm.nih.gov/pubmed/31133074","31133074")</f>
        <v>31133074</v>
      </c>
      <c r="B71" s="55" t="s">
        <v>195</v>
      </c>
      <c r="C71" s="56" t="s">
        <v>196</v>
      </c>
      <c r="D71" s="56" t="s">
        <v>197</v>
      </c>
      <c r="E71" s="56" t="s">
        <v>212</v>
      </c>
      <c r="F71" s="56" t="s">
        <v>213</v>
      </c>
      <c r="G71" s="56" t="s">
        <v>234</v>
      </c>
      <c r="H71" s="56" t="s">
        <v>229</v>
      </c>
      <c r="I71" s="56" t="s">
        <v>201</v>
      </c>
      <c r="J71" s="56" t="s">
        <v>236</v>
      </c>
      <c r="K71" s="57">
        <v>0</v>
      </c>
      <c r="L71" s="58">
        <v>1</v>
      </c>
      <c r="M71" s="58">
        <v>0</v>
      </c>
      <c r="N71" s="58">
        <v>0</v>
      </c>
      <c r="O71" s="59">
        <v>0</v>
      </c>
      <c r="P71" s="57">
        <v>1</v>
      </c>
      <c r="Q71" s="58">
        <v>1</v>
      </c>
      <c r="R71" s="58">
        <v>0</v>
      </c>
      <c r="S71" s="58">
        <v>0</v>
      </c>
      <c r="T71" s="58">
        <v>1</v>
      </c>
      <c r="U71" s="58">
        <v>1</v>
      </c>
      <c r="V71" s="59">
        <v>1</v>
      </c>
      <c r="W71" s="57">
        <v>0</v>
      </c>
      <c r="X71" s="58">
        <v>0</v>
      </c>
      <c r="Y71" s="58">
        <v>0</v>
      </c>
      <c r="Z71" s="58">
        <v>0</v>
      </c>
      <c r="AA71" s="58">
        <v>0</v>
      </c>
      <c r="AB71" s="58">
        <v>1</v>
      </c>
      <c r="AC71" s="58">
        <v>0</v>
      </c>
      <c r="AD71" s="58">
        <v>0</v>
      </c>
      <c r="AE71" s="58">
        <v>0</v>
      </c>
      <c r="AF71" s="58">
        <v>0</v>
      </c>
      <c r="AG71" s="58">
        <v>0</v>
      </c>
      <c r="AH71" s="58">
        <v>0</v>
      </c>
      <c r="AI71" s="58">
        <v>0</v>
      </c>
      <c r="AJ71" s="59">
        <v>0</v>
      </c>
      <c r="AK71" s="58">
        <v>1</v>
      </c>
      <c r="AL71" s="58">
        <v>0</v>
      </c>
      <c r="AM71" s="58">
        <v>0</v>
      </c>
      <c r="AN71" s="59">
        <v>0</v>
      </c>
    </row>
    <row r="72" spans="1:40">
      <c r="A72" s="72" t="str">
        <f>HYPERLINK("https://www.ncbi.nlm.nih.gov/pubmed/29524480","29524480")</f>
        <v>29524480</v>
      </c>
      <c r="B72" s="55" t="s">
        <v>195</v>
      </c>
      <c r="C72" s="56" t="s">
        <v>196</v>
      </c>
      <c r="D72" s="56" t="s">
        <v>197</v>
      </c>
      <c r="E72" s="56" t="s">
        <v>212</v>
      </c>
      <c r="F72" s="56" t="s">
        <v>213</v>
      </c>
      <c r="G72" s="56" t="s">
        <v>237</v>
      </c>
      <c r="H72" s="56" t="s">
        <v>13</v>
      </c>
      <c r="I72" s="56" t="s">
        <v>224</v>
      </c>
      <c r="J72" s="63" t="s">
        <v>142</v>
      </c>
      <c r="K72" s="58">
        <v>0</v>
      </c>
      <c r="L72" s="58">
        <v>1</v>
      </c>
      <c r="M72" s="58">
        <v>0</v>
      </c>
      <c r="N72" s="58">
        <v>0</v>
      </c>
      <c r="O72" s="59">
        <v>0</v>
      </c>
      <c r="P72" s="58">
        <v>1</v>
      </c>
      <c r="Q72" s="58">
        <v>1</v>
      </c>
      <c r="R72" s="58">
        <v>0</v>
      </c>
      <c r="S72" s="58">
        <v>0</v>
      </c>
      <c r="T72" s="58">
        <v>1</v>
      </c>
      <c r="U72" s="58">
        <v>1</v>
      </c>
      <c r="V72" s="59">
        <v>0</v>
      </c>
      <c r="W72" s="57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1</v>
      </c>
      <c r="AC72" s="58">
        <v>0</v>
      </c>
      <c r="AD72" s="58">
        <v>0</v>
      </c>
      <c r="AE72" s="58">
        <v>0</v>
      </c>
      <c r="AF72" s="58">
        <v>0</v>
      </c>
      <c r="AG72" s="58">
        <v>0</v>
      </c>
      <c r="AH72" s="58">
        <v>0</v>
      </c>
      <c r="AI72" s="58">
        <v>0</v>
      </c>
      <c r="AJ72" s="59">
        <v>0</v>
      </c>
      <c r="AK72" s="58">
        <v>0</v>
      </c>
      <c r="AL72" s="58">
        <v>0</v>
      </c>
      <c r="AM72" s="58">
        <v>0</v>
      </c>
      <c r="AN72" s="59">
        <v>0</v>
      </c>
    </row>
    <row r="73" spans="1:40">
      <c r="A73" s="72" t="str">
        <f>HYPERLINK("https://www.ncbi.nlm.nih.gov/pubmed/32799149","32799149")</f>
        <v>32799149</v>
      </c>
      <c r="B73" s="55" t="s">
        <v>195</v>
      </c>
      <c r="C73" s="56" t="s">
        <v>196</v>
      </c>
      <c r="D73" s="56" t="s">
        <v>197</v>
      </c>
      <c r="E73" s="56" t="s">
        <v>212</v>
      </c>
      <c r="F73" s="56" t="s">
        <v>213</v>
      </c>
      <c r="G73" s="56" t="s">
        <v>237</v>
      </c>
      <c r="H73" s="56" t="s">
        <v>13</v>
      </c>
      <c r="I73" s="56" t="s">
        <v>221</v>
      </c>
      <c r="J73" s="63" t="s">
        <v>126</v>
      </c>
      <c r="K73" s="57">
        <v>0</v>
      </c>
      <c r="L73" s="58">
        <v>1</v>
      </c>
      <c r="M73" s="58">
        <v>0</v>
      </c>
      <c r="N73" s="58">
        <v>0</v>
      </c>
      <c r="O73" s="59">
        <v>0</v>
      </c>
      <c r="P73" s="57">
        <v>1</v>
      </c>
      <c r="Q73" s="58">
        <v>0</v>
      </c>
      <c r="R73" s="58">
        <v>0</v>
      </c>
      <c r="S73" s="58">
        <v>1</v>
      </c>
      <c r="T73" s="58">
        <v>0</v>
      </c>
      <c r="U73" s="58">
        <v>0</v>
      </c>
      <c r="V73" s="59">
        <v>1</v>
      </c>
      <c r="W73" s="57">
        <v>0</v>
      </c>
      <c r="X73" s="58">
        <v>0</v>
      </c>
      <c r="Y73" s="58">
        <v>0</v>
      </c>
      <c r="Z73" s="58">
        <v>0</v>
      </c>
      <c r="AA73" s="58">
        <v>0</v>
      </c>
      <c r="AB73" s="58">
        <v>1</v>
      </c>
      <c r="AC73" s="58">
        <v>0</v>
      </c>
      <c r="AD73" s="58">
        <v>0</v>
      </c>
      <c r="AE73" s="58">
        <v>0</v>
      </c>
      <c r="AF73" s="58">
        <v>0</v>
      </c>
      <c r="AG73" s="58">
        <v>0</v>
      </c>
      <c r="AH73" s="58">
        <v>0</v>
      </c>
      <c r="AI73" s="58">
        <v>0</v>
      </c>
      <c r="AJ73" s="59">
        <v>1</v>
      </c>
      <c r="AK73" s="58">
        <v>0</v>
      </c>
      <c r="AL73" s="58">
        <v>0</v>
      </c>
      <c r="AM73" s="58">
        <v>0</v>
      </c>
      <c r="AN73" s="59">
        <v>1</v>
      </c>
    </row>
    <row r="74" spans="1:40">
      <c r="A74" s="72" t="str">
        <f>HYPERLINK("https://www.ncbi.nlm.nih.gov/pubmed/32799149","32799149")</f>
        <v>32799149</v>
      </c>
      <c r="B74" s="55" t="s">
        <v>195</v>
      </c>
      <c r="C74" s="56" t="s">
        <v>196</v>
      </c>
      <c r="D74" s="56" t="s">
        <v>197</v>
      </c>
      <c r="E74" s="56" t="s">
        <v>212</v>
      </c>
      <c r="F74" s="56" t="s">
        <v>213</v>
      </c>
      <c r="G74" s="56" t="s">
        <v>237</v>
      </c>
      <c r="H74" s="56" t="s">
        <v>229</v>
      </c>
      <c r="I74" s="56" t="s">
        <v>201</v>
      </c>
      <c r="J74" s="63" t="s">
        <v>126</v>
      </c>
      <c r="K74" s="58">
        <v>0</v>
      </c>
      <c r="L74" s="58">
        <v>1</v>
      </c>
      <c r="M74" s="58">
        <v>0</v>
      </c>
      <c r="N74" s="58">
        <v>0</v>
      </c>
      <c r="O74" s="59">
        <v>0</v>
      </c>
      <c r="P74" s="57">
        <v>1</v>
      </c>
      <c r="Q74" s="58">
        <v>0</v>
      </c>
      <c r="R74" s="58">
        <v>0</v>
      </c>
      <c r="S74" s="58">
        <v>0</v>
      </c>
      <c r="T74" s="58">
        <v>0</v>
      </c>
      <c r="U74" s="58">
        <v>0</v>
      </c>
      <c r="V74" s="59">
        <v>1</v>
      </c>
      <c r="W74" s="57">
        <v>0</v>
      </c>
      <c r="X74" s="58">
        <v>0</v>
      </c>
      <c r="Y74" s="58">
        <v>0</v>
      </c>
      <c r="Z74" s="58">
        <v>0</v>
      </c>
      <c r="AA74" s="58">
        <v>0</v>
      </c>
      <c r="AB74" s="58">
        <v>1</v>
      </c>
      <c r="AC74" s="58">
        <v>0</v>
      </c>
      <c r="AD74" s="58">
        <v>0</v>
      </c>
      <c r="AE74" s="58">
        <v>0</v>
      </c>
      <c r="AF74" s="58">
        <v>0</v>
      </c>
      <c r="AG74" s="58">
        <v>0</v>
      </c>
      <c r="AH74" s="58">
        <v>0</v>
      </c>
      <c r="AI74" s="58">
        <v>0</v>
      </c>
      <c r="AJ74" s="59">
        <v>0</v>
      </c>
      <c r="AK74" s="58">
        <v>1</v>
      </c>
      <c r="AL74" s="58">
        <v>0</v>
      </c>
      <c r="AM74" s="58">
        <v>0</v>
      </c>
      <c r="AN74" s="59">
        <v>0</v>
      </c>
    </row>
    <row r="75" spans="1:40">
      <c r="A75" s="72" t="str">
        <f>HYPERLINK("https://www.ncbi.nlm.nih.gov/pubmed/38362108","38362108")</f>
        <v>38362108</v>
      </c>
      <c r="B75" s="55" t="s">
        <v>195</v>
      </c>
      <c r="C75" s="56" t="s">
        <v>196</v>
      </c>
      <c r="D75" s="56" t="s">
        <v>197</v>
      </c>
      <c r="E75" s="56" t="s">
        <v>212</v>
      </c>
      <c r="F75" s="56" t="s">
        <v>213</v>
      </c>
      <c r="G75" s="56" t="s">
        <v>237</v>
      </c>
      <c r="H75" s="56" t="s">
        <v>229</v>
      </c>
      <c r="I75" s="56" t="s">
        <v>238</v>
      </c>
      <c r="J75" s="63" t="s">
        <v>84</v>
      </c>
      <c r="K75" s="58">
        <v>0</v>
      </c>
      <c r="L75" s="58">
        <v>1</v>
      </c>
      <c r="M75" s="58">
        <v>0</v>
      </c>
      <c r="N75" s="58">
        <v>0</v>
      </c>
      <c r="O75" s="59">
        <v>0</v>
      </c>
      <c r="P75" s="58">
        <v>0</v>
      </c>
      <c r="Q75" s="58">
        <v>0</v>
      </c>
      <c r="R75" s="58">
        <v>0</v>
      </c>
      <c r="S75" s="58">
        <v>0</v>
      </c>
      <c r="T75" s="58">
        <v>0</v>
      </c>
      <c r="U75" s="58">
        <v>0</v>
      </c>
      <c r="V75" s="59">
        <v>0</v>
      </c>
      <c r="W75" s="57">
        <v>0</v>
      </c>
      <c r="X75" s="58">
        <v>0</v>
      </c>
      <c r="Y75" s="58">
        <v>0</v>
      </c>
      <c r="Z75" s="58">
        <v>0</v>
      </c>
      <c r="AA75" s="58">
        <v>0</v>
      </c>
      <c r="AB75" s="58">
        <v>1</v>
      </c>
      <c r="AC75" s="58">
        <v>0</v>
      </c>
      <c r="AD75" s="58">
        <v>0</v>
      </c>
      <c r="AE75" s="58">
        <v>0</v>
      </c>
      <c r="AF75" s="58">
        <v>0</v>
      </c>
      <c r="AG75" s="58">
        <v>0</v>
      </c>
      <c r="AH75" s="58">
        <v>0</v>
      </c>
      <c r="AI75" s="58">
        <v>0</v>
      </c>
      <c r="AJ75" s="59">
        <v>0</v>
      </c>
      <c r="AK75" s="58">
        <v>0</v>
      </c>
      <c r="AL75" s="58">
        <v>0</v>
      </c>
      <c r="AM75" s="58">
        <v>0</v>
      </c>
      <c r="AN75" s="59">
        <v>0</v>
      </c>
    </row>
    <row r="76" spans="1:40">
      <c r="A76" s="72" t="str">
        <f>HYPERLINK("https://www.ncbi.nlm.nih.gov/pubmed/31606569","31606569")</f>
        <v>31606569</v>
      </c>
      <c r="B76" s="55" t="s">
        <v>195</v>
      </c>
      <c r="C76" s="56" t="s">
        <v>196</v>
      </c>
      <c r="D76" s="56" t="s">
        <v>197</v>
      </c>
      <c r="E76" s="56" t="s">
        <v>212</v>
      </c>
      <c r="F76" s="56" t="s">
        <v>213</v>
      </c>
      <c r="G76" s="56" t="s">
        <v>239</v>
      </c>
      <c r="H76" s="56" t="s">
        <v>13</v>
      </c>
      <c r="I76" s="56" t="s">
        <v>201</v>
      </c>
      <c r="J76" s="63" t="s">
        <v>84</v>
      </c>
      <c r="K76" s="57">
        <v>0</v>
      </c>
      <c r="L76" s="58">
        <v>1</v>
      </c>
      <c r="M76" s="58">
        <v>1</v>
      </c>
      <c r="N76" s="58">
        <v>1</v>
      </c>
      <c r="O76" s="59">
        <v>0</v>
      </c>
      <c r="P76" s="58">
        <v>1</v>
      </c>
      <c r="Q76" s="58">
        <v>1</v>
      </c>
      <c r="R76" s="58">
        <v>0</v>
      </c>
      <c r="S76" s="58">
        <v>1</v>
      </c>
      <c r="T76" s="58">
        <v>1</v>
      </c>
      <c r="U76" s="58">
        <v>1</v>
      </c>
      <c r="V76" s="59">
        <v>1</v>
      </c>
      <c r="W76" s="57">
        <v>0</v>
      </c>
      <c r="X76" s="58">
        <v>0</v>
      </c>
      <c r="Y76" s="58">
        <v>0</v>
      </c>
      <c r="Z76" s="58">
        <v>0</v>
      </c>
      <c r="AA76" s="58">
        <v>0</v>
      </c>
      <c r="AB76" s="58">
        <v>1</v>
      </c>
      <c r="AC76" s="58">
        <v>0</v>
      </c>
      <c r="AD76" s="58">
        <v>0</v>
      </c>
      <c r="AE76" s="58">
        <v>0</v>
      </c>
      <c r="AF76" s="58">
        <v>0</v>
      </c>
      <c r="AG76" s="58">
        <v>1</v>
      </c>
      <c r="AH76" s="58">
        <v>0</v>
      </c>
      <c r="AI76" s="58">
        <v>0</v>
      </c>
      <c r="AJ76" s="59">
        <v>0</v>
      </c>
      <c r="AK76" s="58">
        <v>1</v>
      </c>
      <c r="AL76" s="58">
        <v>0</v>
      </c>
      <c r="AM76" s="58">
        <v>0</v>
      </c>
      <c r="AN76" s="59">
        <v>0</v>
      </c>
    </row>
    <row r="77" spans="1:40">
      <c r="A77" s="72" t="str">
        <f>HYPERLINK("https://www.ncbi.nlm.nih.gov/pubmed/29669061","29669061")</f>
        <v>29669061</v>
      </c>
      <c r="B77" s="55" t="s">
        <v>195</v>
      </c>
      <c r="C77" s="56" t="s">
        <v>196</v>
      </c>
      <c r="D77" s="56" t="s">
        <v>197</v>
      </c>
      <c r="E77" s="56" t="s">
        <v>212</v>
      </c>
      <c r="F77" s="56" t="s">
        <v>213</v>
      </c>
      <c r="G77" s="56" t="s">
        <v>240</v>
      </c>
      <c r="H77" s="56" t="s">
        <v>13</v>
      </c>
      <c r="I77" s="56" t="s">
        <v>201</v>
      </c>
      <c r="J77" s="63" t="s">
        <v>142</v>
      </c>
      <c r="K77" s="58">
        <v>0</v>
      </c>
      <c r="L77" s="58">
        <v>1</v>
      </c>
      <c r="M77" s="58">
        <v>1</v>
      </c>
      <c r="N77" s="58">
        <v>1</v>
      </c>
      <c r="O77" s="59">
        <v>0</v>
      </c>
      <c r="P77" s="57">
        <v>1</v>
      </c>
      <c r="Q77" s="58">
        <v>1</v>
      </c>
      <c r="R77" s="58">
        <v>0</v>
      </c>
      <c r="S77" s="58">
        <v>1</v>
      </c>
      <c r="T77" s="58">
        <v>1</v>
      </c>
      <c r="U77" s="58">
        <v>1</v>
      </c>
      <c r="V77" s="59">
        <v>1</v>
      </c>
      <c r="W77" s="57">
        <v>0</v>
      </c>
      <c r="X77" s="58">
        <v>0</v>
      </c>
      <c r="Y77" s="58">
        <v>0</v>
      </c>
      <c r="Z77" s="58">
        <v>0</v>
      </c>
      <c r="AA77" s="58">
        <v>0</v>
      </c>
      <c r="AB77" s="58">
        <v>1</v>
      </c>
      <c r="AC77" s="58">
        <v>0</v>
      </c>
      <c r="AD77" s="58">
        <v>0</v>
      </c>
      <c r="AE77" s="58">
        <v>0</v>
      </c>
      <c r="AF77" s="58">
        <v>0</v>
      </c>
      <c r="AG77" s="58">
        <v>1</v>
      </c>
      <c r="AH77" s="58">
        <v>0</v>
      </c>
      <c r="AI77" s="58">
        <v>0</v>
      </c>
      <c r="AJ77" s="59">
        <v>0</v>
      </c>
      <c r="AK77" s="58">
        <v>1</v>
      </c>
      <c r="AL77" s="58">
        <v>0</v>
      </c>
      <c r="AM77" s="58">
        <v>0</v>
      </c>
      <c r="AN77" s="59">
        <v>0</v>
      </c>
    </row>
    <row r="78" spans="1:40">
      <c r="A78" s="74" t="str">
        <f>HYPERLINK("https://www.ncbi.nlm.nih.gov/pubmed/1850172","1850172")</f>
        <v>1850172</v>
      </c>
      <c r="B78" s="55" t="s">
        <v>195</v>
      </c>
      <c r="C78" s="56" t="s">
        <v>196</v>
      </c>
      <c r="D78" s="56" t="s">
        <v>204</v>
      </c>
      <c r="E78" s="56" t="s">
        <v>233</v>
      </c>
      <c r="F78" s="56" t="s">
        <v>213</v>
      </c>
      <c r="G78" s="56" t="s">
        <v>241</v>
      </c>
      <c r="H78" s="56" t="s">
        <v>13</v>
      </c>
      <c r="I78" s="56" t="s">
        <v>242</v>
      </c>
      <c r="J78" s="63" t="s">
        <v>142</v>
      </c>
      <c r="K78" s="57">
        <v>1</v>
      </c>
      <c r="L78" s="58">
        <v>0</v>
      </c>
      <c r="M78" s="58">
        <v>0</v>
      </c>
      <c r="N78" s="58">
        <v>0</v>
      </c>
      <c r="O78" s="59">
        <v>0</v>
      </c>
      <c r="P78" s="57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9">
        <v>0</v>
      </c>
      <c r="W78" s="57">
        <v>0</v>
      </c>
      <c r="X78" s="58">
        <v>1</v>
      </c>
      <c r="Y78" s="58">
        <v>0</v>
      </c>
      <c r="Z78" s="58">
        <v>0</v>
      </c>
      <c r="AA78" s="58">
        <v>0</v>
      </c>
      <c r="AB78" s="58">
        <v>1</v>
      </c>
      <c r="AC78" s="58">
        <v>0</v>
      </c>
      <c r="AD78" s="58">
        <v>0</v>
      </c>
      <c r="AE78" s="58">
        <v>0</v>
      </c>
      <c r="AF78" s="58">
        <v>0</v>
      </c>
      <c r="AG78" s="58">
        <v>0</v>
      </c>
      <c r="AH78" s="58">
        <v>0</v>
      </c>
      <c r="AI78" s="58">
        <v>0</v>
      </c>
      <c r="AJ78" s="59">
        <v>0</v>
      </c>
      <c r="AK78" s="58">
        <v>0</v>
      </c>
      <c r="AL78" s="58">
        <v>0</v>
      </c>
      <c r="AM78" s="58">
        <v>0</v>
      </c>
      <c r="AN78" s="59">
        <v>0</v>
      </c>
    </row>
    <row r="79" spans="1:40">
      <c r="A79" s="74" t="str">
        <f>HYPERLINK("https://www.ncbi.nlm.nih.gov/pubmed/2305601","2305601")</f>
        <v>2305601</v>
      </c>
      <c r="B79" s="55" t="s">
        <v>195</v>
      </c>
      <c r="C79" s="56" t="s">
        <v>196</v>
      </c>
      <c r="D79" s="56" t="s">
        <v>204</v>
      </c>
      <c r="E79" s="56" t="s">
        <v>233</v>
      </c>
      <c r="F79" s="56" t="s">
        <v>213</v>
      </c>
      <c r="G79" s="56" t="s">
        <v>241</v>
      </c>
      <c r="H79" s="56" t="s">
        <v>13</v>
      </c>
      <c r="I79" s="56" t="s">
        <v>201</v>
      </c>
      <c r="J79" s="63" t="s">
        <v>142</v>
      </c>
      <c r="K79" s="57">
        <v>0</v>
      </c>
      <c r="L79" s="58">
        <v>1</v>
      </c>
      <c r="M79" s="58">
        <v>0</v>
      </c>
      <c r="N79" s="58">
        <v>0</v>
      </c>
      <c r="O79" s="58">
        <v>1</v>
      </c>
      <c r="P79" s="57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9">
        <v>0</v>
      </c>
      <c r="W79" s="57">
        <v>1</v>
      </c>
      <c r="X79" s="58">
        <v>0</v>
      </c>
      <c r="Y79" s="58">
        <v>0</v>
      </c>
      <c r="Z79" s="58">
        <v>0</v>
      </c>
      <c r="AA79" s="58">
        <v>0</v>
      </c>
      <c r="AB79" s="58">
        <v>1</v>
      </c>
      <c r="AC79" s="58">
        <v>0</v>
      </c>
      <c r="AD79" s="58">
        <v>0</v>
      </c>
      <c r="AE79" s="58">
        <v>0</v>
      </c>
      <c r="AF79" s="58">
        <v>0</v>
      </c>
      <c r="AG79" s="58">
        <v>0</v>
      </c>
      <c r="AH79" s="58">
        <v>0</v>
      </c>
      <c r="AI79" s="58">
        <v>0</v>
      </c>
      <c r="AJ79" s="59">
        <v>0</v>
      </c>
      <c r="AK79" s="58">
        <v>0</v>
      </c>
      <c r="AL79" s="58">
        <v>0</v>
      </c>
      <c r="AM79" s="58">
        <v>0</v>
      </c>
      <c r="AN79" s="59">
        <v>0</v>
      </c>
    </row>
    <row r="80" spans="1:40">
      <c r="A80" s="74" t="str">
        <f>HYPERLINK("https://www.ncbi.nlm.nih.gov/pubmed/3533962","3533962")</f>
        <v>3533962</v>
      </c>
      <c r="B80" s="55" t="s">
        <v>195</v>
      </c>
      <c r="C80" s="56" t="s">
        <v>196</v>
      </c>
      <c r="D80" s="56" t="s">
        <v>204</v>
      </c>
      <c r="E80" s="56" t="s">
        <v>233</v>
      </c>
      <c r="F80" s="56" t="s">
        <v>213</v>
      </c>
      <c r="G80" s="56" t="s">
        <v>241</v>
      </c>
      <c r="H80" s="56" t="s">
        <v>13</v>
      </c>
      <c r="I80" s="56" t="s">
        <v>201</v>
      </c>
      <c r="J80" s="63" t="s">
        <v>142</v>
      </c>
      <c r="K80" s="57">
        <v>1</v>
      </c>
      <c r="L80" s="58">
        <v>0</v>
      </c>
      <c r="M80" s="58">
        <v>0</v>
      </c>
      <c r="N80" s="58">
        <v>0</v>
      </c>
      <c r="O80" s="59">
        <v>1</v>
      </c>
      <c r="P80" s="57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9">
        <v>0</v>
      </c>
      <c r="W80" s="57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1</v>
      </c>
      <c r="AC80" s="58">
        <v>0</v>
      </c>
      <c r="AD80" s="58">
        <v>0</v>
      </c>
      <c r="AE80" s="58">
        <v>0</v>
      </c>
      <c r="AF80" s="58">
        <v>0</v>
      </c>
      <c r="AG80" s="58">
        <v>0</v>
      </c>
      <c r="AH80" s="58">
        <v>0</v>
      </c>
      <c r="AI80" s="58">
        <v>0</v>
      </c>
      <c r="AJ80" s="59">
        <v>0</v>
      </c>
      <c r="AK80" s="58">
        <v>0</v>
      </c>
      <c r="AL80" s="58">
        <v>0</v>
      </c>
      <c r="AM80" s="58">
        <v>0</v>
      </c>
      <c r="AN80" s="59">
        <v>0</v>
      </c>
    </row>
    <row r="81" spans="1:40">
      <c r="A81" s="72" t="str">
        <f>HYPERLINK("https://www.ncbi.nlm.nih.gov/pubmed/25625232","25625232")</f>
        <v>25625232</v>
      </c>
      <c r="B81" s="55" t="s">
        <v>195</v>
      </c>
      <c r="C81" s="56" t="s">
        <v>196</v>
      </c>
      <c r="D81" s="56" t="s">
        <v>204</v>
      </c>
      <c r="E81" s="56" t="s">
        <v>233</v>
      </c>
      <c r="F81" s="56" t="s">
        <v>213</v>
      </c>
      <c r="G81" s="56" t="s">
        <v>241</v>
      </c>
      <c r="H81" s="56" t="s">
        <v>13</v>
      </c>
      <c r="I81" s="56" t="s">
        <v>243</v>
      </c>
      <c r="J81" s="63" t="s">
        <v>142</v>
      </c>
      <c r="K81" s="57">
        <v>0</v>
      </c>
      <c r="L81" s="58">
        <v>1</v>
      </c>
      <c r="M81" s="58">
        <v>0</v>
      </c>
      <c r="N81" s="58">
        <v>0</v>
      </c>
      <c r="O81" s="59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9">
        <v>0</v>
      </c>
      <c r="W81" s="58">
        <v>0</v>
      </c>
      <c r="X81" s="58">
        <v>1</v>
      </c>
      <c r="Y81" s="58">
        <v>0</v>
      </c>
      <c r="Z81" s="58">
        <v>0</v>
      </c>
      <c r="AA81" s="58">
        <v>0</v>
      </c>
      <c r="AB81" s="58">
        <v>1</v>
      </c>
      <c r="AC81" s="58">
        <v>1</v>
      </c>
      <c r="AD81" s="58">
        <v>0</v>
      </c>
      <c r="AE81" s="58">
        <v>0</v>
      </c>
      <c r="AF81" s="58">
        <v>0</v>
      </c>
      <c r="AG81" s="58">
        <v>0</v>
      </c>
      <c r="AH81" s="58">
        <v>0</v>
      </c>
      <c r="AI81" s="58">
        <v>0</v>
      </c>
      <c r="AJ81" s="59">
        <v>0</v>
      </c>
      <c r="AK81" s="58">
        <v>0</v>
      </c>
      <c r="AL81" s="58">
        <v>0</v>
      </c>
      <c r="AM81" s="58">
        <v>0</v>
      </c>
      <c r="AN81" s="59">
        <v>0</v>
      </c>
    </row>
    <row r="82" spans="1:40">
      <c r="A82" s="72" t="str">
        <f>HYPERLINK("https://www.ncbi.nlm.nih.gov/pubmed/35202140","35202140")</f>
        <v>35202140</v>
      </c>
      <c r="B82" s="55" t="s">
        <v>195</v>
      </c>
      <c r="C82" s="56" t="s">
        <v>196</v>
      </c>
      <c r="D82" s="56" t="s">
        <v>197</v>
      </c>
      <c r="E82" s="56" t="s">
        <v>233</v>
      </c>
      <c r="F82" s="56" t="s">
        <v>213</v>
      </c>
      <c r="G82" s="56" t="s">
        <v>241</v>
      </c>
      <c r="H82" s="56" t="s">
        <v>13</v>
      </c>
      <c r="I82" s="56" t="s">
        <v>211</v>
      </c>
      <c r="J82" s="63" t="s">
        <v>244</v>
      </c>
      <c r="K82" s="58">
        <v>0</v>
      </c>
      <c r="L82" s="58">
        <v>0</v>
      </c>
      <c r="M82" s="58">
        <v>0</v>
      </c>
      <c r="N82" s="58">
        <v>0</v>
      </c>
      <c r="O82" s="59">
        <v>0</v>
      </c>
      <c r="P82" s="58">
        <v>1</v>
      </c>
      <c r="Q82" s="58">
        <v>0</v>
      </c>
      <c r="R82" s="58">
        <v>0</v>
      </c>
      <c r="S82" s="58">
        <v>0</v>
      </c>
      <c r="T82" s="58">
        <v>0</v>
      </c>
      <c r="U82" s="58">
        <v>1</v>
      </c>
      <c r="V82" s="59">
        <v>0</v>
      </c>
      <c r="W82" s="58">
        <v>0</v>
      </c>
      <c r="X82" s="58">
        <v>1</v>
      </c>
      <c r="Y82" s="58">
        <v>0</v>
      </c>
      <c r="Z82" s="58">
        <v>0</v>
      </c>
      <c r="AA82" s="58">
        <v>0</v>
      </c>
      <c r="AB82" s="58">
        <v>1</v>
      </c>
      <c r="AC82" s="58">
        <v>0</v>
      </c>
      <c r="AD82" s="58">
        <v>0</v>
      </c>
      <c r="AE82" s="58">
        <v>0</v>
      </c>
      <c r="AF82" s="58">
        <v>0</v>
      </c>
      <c r="AG82" s="58">
        <v>0</v>
      </c>
      <c r="AH82" s="58">
        <v>0</v>
      </c>
      <c r="AI82" s="58">
        <v>0</v>
      </c>
      <c r="AJ82" s="59">
        <v>0</v>
      </c>
      <c r="AK82" s="58">
        <v>1</v>
      </c>
      <c r="AL82" s="58">
        <v>0</v>
      </c>
      <c r="AM82" s="58">
        <v>0</v>
      </c>
      <c r="AN82" s="59">
        <v>0</v>
      </c>
    </row>
    <row r="83" spans="1:40">
      <c r="A83" s="74" t="str">
        <f>HYPERLINK("https://www.ncbi.nlm.nih.gov/pubmed/2848690","2848690")</f>
        <v>2848690</v>
      </c>
      <c r="B83" s="55" t="s">
        <v>195</v>
      </c>
      <c r="C83" s="56" t="s">
        <v>196</v>
      </c>
      <c r="D83" s="56" t="s">
        <v>204</v>
      </c>
      <c r="E83" s="56" t="s">
        <v>212</v>
      </c>
      <c r="F83" s="56" t="s">
        <v>213</v>
      </c>
      <c r="G83" s="56" t="s">
        <v>241</v>
      </c>
      <c r="H83" s="56" t="s">
        <v>13</v>
      </c>
      <c r="I83" s="56" t="s">
        <v>201</v>
      </c>
      <c r="J83" s="63" t="s">
        <v>142</v>
      </c>
      <c r="K83" s="57">
        <v>0</v>
      </c>
      <c r="L83" s="58">
        <v>1</v>
      </c>
      <c r="M83" s="58">
        <v>1</v>
      </c>
      <c r="N83" s="58">
        <v>0</v>
      </c>
      <c r="O83" s="59">
        <v>1</v>
      </c>
      <c r="P83" s="57">
        <v>0</v>
      </c>
      <c r="Q83" s="58">
        <v>0</v>
      </c>
      <c r="R83" s="58">
        <v>0</v>
      </c>
      <c r="S83" s="58">
        <v>0</v>
      </c>
      <c r="T83" s="58">
        <v>0</v>
      </c>
      <c r="U83" s="58">
        <v>0</v>
      </c>
      <c r="V83" s="59">
        <v>0</v>
      </c>
      <c r="W83" s="58">
        <v>0</v>
      </c>
      <c r="X83" s="58">
        <v>1</v>
      </c>
      <c r="Y83" s="58">
        <v>0</v>
      </c>
      <c r="Z83" s="58">
        <v>0</v>
      </c>
      <c r="AA83" s="58">
        <v>0</v>
      </c>
      <c r="AB83" s="58">
        <v>1</v>
      </c>
      <c r="AC83" s="58">
        <v>0</v>
      </c>
      <c r="AD83" s="58">
        <v>0</v>
      </c>
      <c r="AE83" s="58">
        <v>0</v>
      </c>
      <c r="AF83" s="58">
        <v>0</v>
      </c>
      <c r="AG83" s="58">
        <v>0</v>
      </c>
      <c r="AH83" s="58">
        <v>0</v>
      </c>
      <c r="AI83" s="58">
        <v>0</v>
      </c>
      <c r="AJ83" s="59">
        <v>0</v>
      </c>
      <c r="AK83" s="58">
        <v>0</v>
      </c>
      <c r="AL83" s="58">
        <v>0</v>
      </c>
      <c r="AM83" s="58">
        <v>0</v>
      </c>
      <c r="AN83" s="59">
        <v>0</v>
      </c>
    </row>
    <row r="84" spans="1:40">
      <c r="A84" s="72" t="str">
        <f>HYPERLINK("https://www.ncbi.nlm.nih.gov/pubmed/32005928","32005928")</f>
        <v>32005928</v>
      </c>
      <c r="B84" s="55" t="s">
        <v>195</v>
      </c>
      <c r="C84" s="56" t="s">
        <v>196</v>
      </c>
      <c r="D84" s="56" t="s">
        <v>197</v>
      </c>
      <c r="E84" s="56" t="s">
        <v>212</v>
      </c>
      <c r="F84" s="56" t="s">
        <v>213</v>
      </c>
      <c r="G84" s="56" t="s">
        <v>241</v>
      </c>
      <c r="H84" s="56" t="s">
        <v>13</v>
      </c>
      <c r="I84" s="56" t="s">
        <v>201</v>
      </c>
      <c r="J84" s="63" t="s">
        <v>142</v>
      </c>
      <c r="K84" s="57">
        <v>1</v>
      </c>
      <c r="L84" s="58">
        <v>0</v>
      </c>
      <c r="M84" s="58">
        <v>1</v>
      </c>
      <c r="N84" s="58">
        <v>1</v>
      </c>
      <c r="O84" s="59">
        <v>1</v>
      </c>
      <c r="P84" s="58">
        <v>1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9">
        <v>0</v>
      </c>
      <c r="W84" s="58">
        <v>0</v>
      </c>
      <c r="X84" s="58">
        <v>0</v>
      </c>
      <c r="Y84" s="58">
        <v>0</v>
      </c>
      <c r="Z84" s="58">
        <v>0</v>
      </c>
      <c r="AA84" s="58">
        <v>0</v>
      </c>
      <c r="AB84" s="58">
        <v>1</v>
      </c>
      <c r="AC84" s="58">
        <v>0</v>
      </c>
      <c r="AD84" s="58">
        <v>0</v>
      </c>
      <c r="AE84" s="58">
        <v>0</v>
      </c>
      <c r="AF84" s="58">
        <v>0</v>
      </c>
      <c r="AG84" s="58">
        <v>0</v>
      </c>
      <c r="AH84" s="58">
        <v>0</v>
      </c>
      <c r="AI84" s="58">
        <v>0</v>
      </c>
      <c r="AJ84" s="59">
        <v>0</v>
      </c>
      <c r="AK84" s="58">
        <v>1</v>
      </c>
      <c r="AL84" s="58">
        <v>0</v>
      </c>
      <c r="AM84" s="58">
        <v>0</v>
      </c>
      <c r="AN84" s="59">
        <v>0</v>
      </c>
    </row>
    <row r="85" spans="1:40">
      <c r="A85" s="72" t="str">
        <f>HYPERLINK("https://www.ncbi.nlm.nih.gov/pubmed/31266599","31266599")</f>
        <v>31266599</v>
      </c>
      <c r="B85" s="55" t="s">
        <v>195</v>
      </c>
      <c r="C85" s="56" t="s">
        <v>196</v>
      </c>
      <c r="D85" s="56" t="s">
        <v>197</v>
      </c>
      <c r="E85" s="56" t="s">
        <v>245</v>
      </c>
      <c r="F85" s="56" t="s">
        <v>213</v>
      </c>
      <c r="G85" s="56" t="s">
        <v>241</v>
      </c>
      <c r="H85" s="56" t="s">
        <v>229</v>
      </c>
      <c r="I85" s="56" t="s">
        <v>246</v>
      </c>
      <c r="J85" s="63" t="s">
        <v>82</v>
      </c>
      <c r="K85" s="57">
        <v>0</v>
      </c>
      <c r="L85" s="58">
        <v>0</v>
      </c>
      <c r="M85" s="58">
        <v>0</v>
      </c>
      <c r="N85" s="58">
        <v>0</v>
      </c>
      <c r="O85" s="59">
        <v>0</v>
      </c>
      <c r="P85" s="57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9">
        <v>0</v>
      </c>
      <c r="W85" s="57">
        <v>0</v>
      </c>
      <c r="X85" s="58">
        <v>0</v>
      </c>
      <c r="Y85" s="58">
        <v>0</v>
      </c>
      <c r="Z85" s="58">
        <v>0</v>
      </c>
      <c r="AA85" s="58">
        <v>0</v>
      </c>
      <c r="AB85" s="58">
        <v>0</v>
      </c>
      <c r="AC85" s="58">
        <v>1</v>
      </c>
      <c r="AD85" s="58">
        <v>0</v>
      </c>
      <c r="AE85" s="58">
        <v>0</v>
      </c>
      <c r="AF85" s="58">
        <v>0</v>
      </c>
      <c r="AG85" s="58">
        <v>0</v>
      </c>
      <c r="AH85" s="58">
        <v>0</v>
      </c>
      <c r="AI85" s="58">
        <v>0</v>
      </c>
      <c r="AJ85" s="59">
        <v>0</v>
      </c>
      <c r="AK85" s="58">
        <v>0</v>
      </c>
      <c r="AL85" s="58">
        <v>0</v>
      </c>
      <c r="AM85" s="58">
        <v>0</v>
      </c>
      <c r="AN85" s="59">
        <v>0</v>
      </c>
    </row>
    <row r="86" spans="1:40">
      <c r="A86" s="72" t="str">
        <f>HYPERLINK("https://www.ncbi.nlm.nih.gov/pubmed/24466573","24466573")</f>
        <v>24466573</v>
      </c>
      <c r="B86" s="55" t="s">
        <v>195</v>
      </c>
      <c r="C86" s="56" t="s">
        <v>196</v>
      </c>
      <c r="D86" s="56" t="s">
        <v>204</v>
      </c>
      <c r="E86" s="56" t="s">
        <v>233</v>
      </c>
      <c r="F86" s="56" t="s">
        <v>213</v>
      </c>
      <c r="G86" s="56" t="s">
        <v>247</v>
      </c>
      <c r="H86" s="56" t="s">
        <v>13</v>
      </c>
      <c r="I86" s="56" t="s">
        <v>248</v>
      </c>
      <c r="J86" s="63" t="s">
        <v>84</v>
      </c>
      <c r="K86" s="57">
        <v>0</v>
      </c>
      <c r="L86" s="58">
        <v>1</v>
      </c>
      <c r="M86" s="58">
        <v>0</v>
      </c>
      <c r="N86" s="58">
        <v>0</v>
      </c>
      <c r="O86" s="59">
        <v>0</v>
      </c>
      <c r="P86" s="57">
        <v>1</v>
      </c>
      <c r="Q86" s="58">
        <v>1</v>
      </c>
      <c r="R86" s="58">
        <v>1</v>
      </c>
      <c r="S86" s="58">
        <v>0</v>
      </c>
      <c r="T86" s="58">
        <v>1</v>
      </c>
      <c r="U86" s="58">
        <v>1</v>
      </c>
      <c r="V86" s="59">
        <v>0</v>
      </c>
      <c r="W86" s="57">
        <v>0</v>
      </c>
      <c r="X86" s="58">
        <v>0</v>
      </c>
      <c r="Y86" s="58">
        <v>0</v>
      </c>
      <c r="Z86" s="58">
        <v>0</v>
      </c>
      <c r="AA86" s="58">
        <v>0</v>
      </c>
      <c r="AB86" s="58">
        <v>1</v>
      </c>
      <c r="AC86" s="58">
        <v>1</v>
      </c>
      <c r="AD86" s="58">
        <v>0</v>
      </c>
      <c r="AE86" s="58">
        <v>0</v>
      </c>
      <c r="AF86" s="58">
        <v>0</v>
      </c>
      <c r="AG86" s="58">
        <v>0</v>
      </c>
      <c r="AH86" s="58">
        <v>0</v>
      </c>
      <c r="AI86" s="58">
        <v>0</v>
      </c>
      <c r="AJ86" s="59">
        <v>0</v>
      </c>
      <c r="AK86" s="58">
        <v>1</v>
      </c>
      <c r="AL86" s="58">
        <v>0</v>
      </c>
      <c r="AM86" s="58">
        <v>0</v>
      </c>
      <c r="AN86" s="59">
        <v>0</v>
      </c>
    </row>
    <row r="87" spans="1:40">
      <c r="A87" s="74" t="str">
        <f>HYPERLINK("https://www.ncbi.nlm.nih.gov/pubmed/3841572","3841572")</f>
        <v>3841572</v>
      </c>
      <c r="B87" s="55" t="s">
        <v>195</v>
      </c>
      <c r="C87" s="56" t="s">
        <v>196</v>
      </c>
      <c r="D87" s="56" t="s">
        <v>204</v>
      </c>
      <c r="E87" s="56" t="s">
        <v>212</v>
      </c>
      <c r="F87" s="56" t="s">
        <v>213</v>
      </c>
      <c r="G87" s="56" t="s">
        <v>249</v>
      </c>
      <c r="H87" s="56" t="s">
        <v>13</v>
      </c>
      <c r="I87" s="56" t="s">
        <v>201</v>
      </c>
      <c r="J87" s="63" t="s">
        <v>142</v>
      </c>
      <c r="K87" s="57">
        <v>1</v>
      </c>
      <c r="L87" s="58">
        <v>0</v>
      </c>
      <c r="M87" s="58">
        <v>0</v>
      </c>
      <c r="N87" s="58">
        <v>0</v>
      </c>
      <c r="O87" s="59">
        <v>0</v>
      </c>
      <c r="P87" s="57">
        <v>0</v>
      </c>
      <c r="Q87" s="58">
        <v>0</v>
      </c>
      <c r="R87" s="58">
        <v>0</v>
      </c>
      <c r="S87" s="58">
        <v>0</v>
      </c>
      <c r="T87" s="58">
        <v>0</v>
      </c>
      <c r="U87" s="58">
        <v>0</v>
      </c>
      <c r="V87" s="59">
        <v>0</v>
      </c>
      <c r="W87" s="57">
        <v>0</v>
      </c>
      <c r="X87" s="58">
        <v>0</v>
      </c>
      <c r="Y87" s="58">
        <v>0</v>
      </c>
      <c r="Z87" s="58">
        <v>0</v>
      </c>
      <c r="AA87" s="58">
        <v>0</v>
      </c>
      <c r="AB87" s="58">
        <v>1</v>
      </c>
      <c r="AC87" s="58">
        <v>0</v>
      </c>
      <c r="AD87" s="58">
        <v>0</v>
      </c>
      <c r="AE87" s="58">
        <v>0</v>
      </c>
      <c r="AF87" s="58">
        <v>0</v>
      </c>
      <c r="AG87" s="58">
        <v>0</v>
      </c>
      <c r="AH87" s="58">
        <v>0</v>
      </c>
      <c r="AI87" s="58">
        <v>0</v>
      </c>
      <c r="AJ87" s="59">
        <v>0</v>
      </c>
      <c r="AK87" s="58">
        <v>0</v>
      </c>
      <c r="AL87" s="58">
        <v>0</v>
      </c>
      <c r="AM87" s="58">
        <v>0</v>
      </c>
      <c r="AN87" s="59">
        <v>0</v>
      </c>
    </row>
    <row r="88" spans="1:40">
      <c r="A88" s="72" t="str">
        <f>HYPERLINK("https://www.ncbi.nlm.nih.gov/pubmed/12128101","12128101")</f>
        <v>12128101</v>
      </c>
      <c r="B88" s="55" t="s">
        <v>195</v>
      </c>
      <c r="C88" s="56" t="s">
        <v>196</v>
      </c>
      <c r="D88" s="56" t="s">
        <v>204</v>
      </c>
      <c r="E88" s="56" t="s">
        <v>212</v>
      </c>
      <c r="F88" s="56" t="s">
        <v>213</v>
      </c>
      <c r="G88" s="65" t="s">
        <v>249</v>
      </c>
      <c r="H88" s="56" t="s">
        <v>13</v>
      </c>
      <c r="I88" s="56" t="s">
        <v>250</v>
      </c>
      <c r="J88" s="63" t="s">
        <v>142</v>
      </c>
      <c r="K88" s="57">
        <v>0</v>
      </c>
      <c r="L88" s="58">
        <v>1</v>
      </c>
      <c r="M88" s="58">
        <v>0</v>
      </c>
      <c r="N88" s="58">
        <v>0</v>
      </c>
      <c r="O88" s="59">
        <v>0</v>
      </c>
      <c r="P88" s="57">
        <v>0</v>
      </c>
      <c r="Q88" s="58">
        <v>0</v>
      </c>
      <c r="R88" s="58">
        <v>0</v>
      </c>
      <c r="S88" s="58">
        <v>0</v>
      </c>
      <c r="T88" s="58">
        <v>0</v>
      </c>
      <c r="U88" s="58">
        <v>0</v>
      </c>
      <c r="V88" s="59">
        <v>0</v>
      </c>
      <c r="W88" s="57">
        <v>0</v>
      </c>
      <c r="X88" s="58">
        <v>0</v>
      </c>
      <c r="Y88" s="58">
        <v>0</v>
      </c>
      <c r="Z88" s="58">
        <v>0</v>
      </c>
      <c r="AA88" s="58">
        <v>0</v>
      </c>
      <c r="AB88" s="58">
        <v>1</v>
      </c>
      <c r="AC88" s="58">
        <v>0</v>
      </c>
      <c r="AD88" s="58">
        <v>0</v>
      </c>
      <c r="AE88" s="58">
        <v>0</v>
      </c>
      <c r="AF88" s="58">
        <v>0</v>
      </c>
      <c r="AG88" s="58">
        <v>0</v>
      </c>
      <c r="AH88" s="58">
        <v>0</v>
      </c>
      <c r="AI88" s="58">
        <v>0</v>
      </c>
      <c r="AJ88" s="59">
        <v>0</v>
      </c>
      <c r="AK88" s="58">
        <v>0</v>
      </c>
      <c r="AL88" s="58">
        <v>0</v>
      </c>
      <c r="AM88" s="58">
        <v>0</v>
      </c>
      <c r="AN88" s="59">
        <v>0</v>
      </c>
    </row>
    <row r="89" spans="1:40">
      <c r="A89" s="72" t="str">
        <f>HYPERLINK("https://www.ncbi.nlm.nih.gov/pubmed/20667998","20667998")</f>
        <v>20667998</v>
      </c>
      <c r="B89" s="55" t="s">
        <v>195</v>
      </c>
      <c r="C89" s="56" t="s">
        <v>196</v>
      </c>
      <c r="D89" s="56" t="s">
        <v>204</v>
      </c>
      <c r="E89" s="56" t="s">
        <v>212</v>
      </c>
      <c r="F89" s="56" t="s">
        <v>213</v>
      </c>
      <c r="G89" s="56" t="s">
        <v>249</v>
      </c>
      <c r="H89" s="56" t="s">
        <v>13</v>
      </c>
      <c r="I89" s="56" t="s">
        <v>250</v>
      </c>
      <c r="J89" s="63" t="s">
        <v>142</v>
      </c>
      <c r="K89" s="57">
        <v>1</v>
      </c>
      <c r="L89" s="58">
        <v>0</v>
      </c>
      <c r="M89" s="58">
        <v>0</v>
      </c>
      <c r="N89" s="58">
        <v>0</v>
      </c>
      <c r="O89" s="59">
        <v>0</v>
      </c>
      <c r="P89" s="57">
        <v>0</v>
      </c>
      <c r="Q89" s="58">
        <v>1</v>
      </c>
      <c r="R89" s="58">
        <v>0</v>
      </c>
      <c r="S89" s="58">
        <v>0</v>
      </c>
      <c r="T89" s="58">
        <v>1</v>
      </c>
      <c r="U89" s="58">
        <v>0</v>
      </c>
      <c r="V89" s="59">
        <v>0</v>
      </c>
      <c r="W89" s="57">
        <v>0</v>
      </c>
      <c r="X89" s="58">
        <v>1</v>
      </c>
      <c r="Y89" s="58">
        <v>0</v>
      </c>
      <c r="Z89" s="58">
        <v>0</v>
      </c>
      <c r="AA89" s="58">
        <v>0</v>
      </c>
      <c r="AB89" s="58">
        <v>1</v>
      </c>
      <c r="AC89" s="58">
        <v>0</v>
      </c>
      <c r="AD89" s="58">
        <v>1</v>
      </c>
      <c r="AE89" s="58">
        <v>0</v>
      </c>
      <c r="AF89" s="58">
        <v>0</v>
      </c>
      <c r="AG89" s="58">
        <v>0</v>
      </c>
      <c r="AH89" s="58">
        <v>0</v>
      </c>
      <c r="AI89" s="58">
        <v>0</v>
      </c>
      <c r="AJ89" s="59">
        <v>0</v>
      </c>
      <c r="AK89" s="58">
        <v>1</v>
      </c>
      <c r="AL89" s="58">
        <v>0</v>
      </c>
      <c r="AM89" s="58">
        <v>0</v>
      </c>
      <c r="AN89" s="59">
        <v>0</v>
      </c>
    </row>
    <row r="90" spans="1:40">
      <c r="A90" s="72" t="str">
        <f>HYPERLINK("https://www.ncbi.nlm.nih.gov/pubmed/23022511","23022511")</f>
        <v>23022511</v>
      </c>
      <c r="B90" s="55" t="s">
        <v>195</v>
      </c>
      <c r="C90" s="56" t="s">
        <v>196</v>
      </c>
      <c r="D90" s="56" t="s">
        <v>204</v>
      </c>
      <c r="E90" s="56" t="s">
        <v>212</v>
      </c>
      <c r="F90" s="56" t="s">
        <v>213</v>
      </c>
      <c r="G90" s="56" t="s">
        <v>249</v>
      </c>
      <c r="H90" s="56" t="s">
        <v>13</v>
      </c>
      <c r="I90" s="56" t="s">
        <v>250</v>
      </c>
      <c r="J90" s="63" t="s">
        <v>142</v>
      </c>
      <c r="K90" s="57">
        <v>1</v>
      </c>
      <c r="L90" s="58">
        <v>0</v>
      </c>
      <c r="M90" s="58">
        <v>0</v>
      </c>
      <c r="N90" s="58">
        <v>0</v>
      </c>
      <c r="O90" s="59">
        <v>1</v>
      </c>
      <c r="P90" s="57">
        <v>0</v>
      </c>
      <c r="Q90" s="58">
        <v>0</v>
      </c>
      <c r="R90" s="58">
        <v>0</v>
      </c>
      <c r="S90" s="58">
        <v>0</v>
      </c>
      <c r="T90" s="58">
        <v>0</v>
      </c>
      <c r="U90" s="58">
        <v>0</v>
      </c>
      <c r="V90" s="59">
        <v>0</v>
      </c>
      <c r="W90" s="57">
        <v>0</v>
      </c>
      <c r="X90" s="58">
        <v>0</v>
      </c>
      <c r="Y90" s="58">
        <v>0</v>
      </c>
      <c r="Z90" s="58">
        <v>0</v>
      </c>
      <c r="AA90" s="58">
        <v>0</v>
      </c>
      <c r="AB90" s="58">
        <v>1</v>
      </c>
      <c r="AC90" s="58">
        <v>0</v>
      </c>
      <c r="AD90" s="58">
        <v>1</v>
      </c>
      <c r="AE90" s="58">
        <v>0</v>
      </c>
      <c r="AF90" s="58">
        <v>0</v>
      </c>
      <c r="AG90" s="58">
        <v>0</v>
      </c>
      <c r="AH90" s="58">
        <v>0</v>
      </c>
      <c r="AI90" s="58">
        <v>0</v>
      </c>
      <c r="AJ90" s="59">
        <v>0</v>
      </c>
      <c r="AK90" s="58">
        <v>0</v>
      </c>
      <c r="AL90" s="58">
        <v>0</v>
      </c>
      <c r="AM90" s="58">
        <v>0</v>
      </c>
      <c r="AN90" s="59">
        <v>0</v>
      </c>
    </row>
    <row r="91" spans="1:40">
      <c r="A91" s="72" t="str">
        <f>HYPERLINK("https://www.ncbi.nlm.nih.gov/pubmed/27554787","27554787")</f>
        <v>27554787</v>
      </c>
      <c r="B91" s="55" t="s">
        <v>195</v>
      </c>
      <c r="C91" s="56" t="s">
        <v>196</v>
      </c>
      <c r="D91" s="56" t="s">
        <v>204</v>
      </c>
      <c r="E91" s="56" t="s">
        <v>212</v>
      </c>
      <c r="F91" s="56" t="s">
        <v>213</v>
      </c>
      <c r="G91" s="56" t="s">
        <v>249</v>
      </c>
      <c r="H91" s="56" t="s">
        <v>13</v>
      </c>
      <c r="I91" s="56" t="s">
        <v>224</v>
      </c>
      <c r="J91" s="63" t="s">
        <v>142</v>
      </c>
      <c r="K91" s="57">
        <v>1</v>
      </c>
      <c r="L91" s="58">
        <v>0</v>
      </c>
      <c r="M91" s="58">
        <v>0</v>
      </c>
      <c r="N91" s="58">
        <v>0</v>
      </c>
      <c r="O91" s="59">
        <v>0</v>
      </c>
      <c r="P91" s="57">
        <v>1</v>
      </c>
      <c r="Q91" s="58">
        <v>1</v>
      </c>
      <c r="R91" s="58">
        <v>0</v>
      </c>
      <c r="S91" s="58">
        <v>0</v>
      </c>
      <c r="T91" s="58">
        <v>1</v>
      </c>
      <c r="U91" s="58">
        <v>1</v>
      </c>
      <c r="V91" s="59">
        <v>0</v>
      </c>
      <c r="W91" s="57">
        <v>0</v>
      </c>
      <c r="X91" s="58">
        <v>0</v>
      </c>
      <c r="Y91" s="58">
        <v>0</v>
      </c>
      <c r="Z91" s="58">
        <v>0</v>
      </c>
      <c r="AA91" s="58">
        <v>0</v>
      </c>
      <c r="AB91" s="58">
        <v>1</v>
      </c>
      <c r="AC91" s="58">
        <v>0</v>
      </c>
      <c r="AD91" s="58">
        <v>1</v>
      </c>
      <c r="AE91" s="58">
        <v>0</v>
      </c>
      <c r="AF91" s="58">
        <v>0</v>
      </c>
      <c r="AG91" s="58">
        <v>0</v>
      </c>
      <c r="AH91" s="58">
        <v>0</v>
      </c>
      <c r="AI91" s="58">
        <v>0</v>
      </c>
      <c r="AJ91" s="59">
        <v>0</v>
      </c>
      <c r="AK91" s="58">
        <v>1</v>
      </c>
      <c r="AL91" s="58">
        <v>1</v>
      </c>
      <c r="AM91" s="58">
        <v>0</v>
      </c>
      <c r="AN91" s="59">
        <v>0</v>
      </c>
    </row>
    <row r="92" spans="1:40">
      <c r="A92" s="72" t="str">
        <f>HYPERLINK("https://www.ncbi.nlm.nih.gov/pubmed/22525294","22525294")</f>
        <v>22525294</v>
      </c>
      <c r="B92" s="55" t="s">
        <v>195</v>
      </c>
      <c r="C92" s="56" t="s">
        <v>196</v>
      </c>
      <c r="D92" s="56" t="s">
        <v>204</v>
      </c>
      <c r="E92" s="56" t="s">
        <v>212</v>
      </c>
      <c r="F92" s="56" t="s">
        <v>213</v>
      </c>
      <c r="G92" s="56" t="s">
        <v>251</v>
      </c>
      <c r="H92" s="56" t="s">
        <v>13</v>
      </c>
      <c r="I92" s="56" t="s">
        <v>219</v>
      </c>
      <c r="J92" s="63" t="s">
        <v>142</v>
      </c>
      <c r="K92" s="57">
        <v>0</v>
      </c>
      <c r="L92" s="58">
        <v>0</v>
      </c>
      <c r="M92" s="58">
        <v>0</v>
      </c>
      <c r="N92" s="58">
        <v>0</v>
      </c>
      <c r="O92" s="59">
        <v>0</v>
      </c>
      <c r="P92" s="57">
        <v>0</v>
      </c>
      <c r="Q92" s="58">
        <v>0</v>
      </c>
      <c r="R92" s="58">
        <v>0</v>
      </c>
      <c r="S92" s="58">
        <v>0</v>
      </c>
      <c r="T92" s="58">
        <v>0</v>
      </c>
      <c r="U92" s="58">
        <v>0</v>
      </c>
      <c r="V92" s="59">
        <v>0</v>
      </c>
      <c r="W92" s="57">
        <v>0</v>
      </c>
      <c r="X92" s="58">
        <v>0</v>
      </c>
      <c r="Y92" s="58">
        <v>0</v>
      </c>
      <c r="Z92" s="58">
        <v>0</v>
      </c>
      <c r="AA92" s="58">
        <v>0</v>
      </c>
      <c r="AB92" s="58">
        <v>0</v>
      </c>
      <c r="AC92" s="58">
        <v>0</v>
      </c>
      <c r="AD92" s="58">
        <v>0</v>
      </c>
      <c r="AE92" s="58">
        <v>0</v>
      </c>
      <c r="AF92" s="58">
        <v>0</v>
      </c>
      <c r="AG92" s="58">
        <v>0</v>
      </c>
      <c r="AH92" s="58">
        <v>1</v>
      </c>
      <c r="AI92" s="58">
        <v>0</v>
      </c>
      <c r="AJ92" s="59">
        <v>0</v>
      </c>
      <c r="AK92" s="58">
        <v>0</v>
      </c>
      <c r="AL92" s="58">
        <v>0</v>
      </c>
      <c r="AM92" s="58">
        <v>0</v>
      </c>
      <c r="AN92" s="59">
        <v>0</v>
      </c>
    </row>
    <row r="93" spans="1:40">
      <c r="A93" s="72" t="str">
        <f>HYPERLINK("https://www.ncbi.nlm.nih.gov/pubmed/22649361","22649361")</f>
        <v>22649361</v>
      </c>
      <c r="B93" s="55" t="s">
        <v>195</v>
      </c>
      <c r="C93" s="56" t="s">
        <v>196</v>
      </c>
      <c r="D93" s="56" t="s">
        <v>204</v>
      </c>
      <c r="E93" s="56" t="s">
        <v>212</v>
      </c>
      <c r="F93" s="56" t="s">
        <v>213</v>
      </c>
      <c r="G93" s="56" t="s">
        <v>251</v>
      </c>
      <c r="H93" s="56" t="s">
        <v>13</v>
      </c>
      <c r="I93" s="56" t="s">
        <v>201</v>
      </c>
      <c r="J93" s="56" t="s">
        <v>142</v>
      </c>
      <c r="K93" s="57">
        <v>1</v>
      </c>
      <c r="L93" s="58">
        <v>0</v>
      </c>
      <c r="M93" s="58">
        <v>0</v>
      </c>
      <c r="N93" s="58">
        <v>0</v>
      </c>
      <c r="O93" s="59">
        <v>0</v>
      </c>
      <c r="P93" s="57">
        <v>0</v>
      </c>
      <c r="Q93" s="58">
        <v>0</v>
      </c>
      <c r="R93" s="58">
        <v>0</v>
      </c>
      <c r="S93" s="58">
        <v>0</v>
      </c>
      <c r="T93" s="58">
        <v>0</v>
      </c>
      <c r="U93" s="58">
        <v>0</v>
      </c>
      <c r="V93" s="59">
        <v>0</v>
      </c>
      <c r="W93" s="58">
        <v>0</v>
      </c>
      <c r="X93" s="58">
        <v>0</v>
      </c>
      <c r="Y93" s="58">
        <v>0</v>
      </c>
      <c r="Z93" s="58">
        <v>0</v>
      </c>
      <c r="AA93" s="58">
        <v>0</v>
      </c>
      <c r="AB93" s="58">
        <v>1</v>
      </c>
      <c r="AC93" s="58">
        <v>0</v>
      </c>
      <c r="AD93" s="58">
        <v>0</v>
      </c>
      <c r="AE93" s="58">
        <v>0</v>
      </c>
      <c r="AF93" s="58">
        <v>0</v>
      </c>
      <c r="AG93" s="58">
        <v>1</v>
      </c>
      <c r="AH93" s="58">
        <v>0</v>
      </c>
      <c r="AI93" s="58">
        <v>0</v>
      </c>
      <c r="AJ93" s="59">
        <v>0</v>
      </c>
      <c r="AK93" s="58">
        <v>1</v>
      </c>
      <c r="AL93" s="58">
        <v>0</v>
      </c>
      <c r="AM93" s="58">
        <v>0</v>
      </c>
      <c r="AN93" s="59">
        <v>0</v>
      </c>
    </row>
    <row r="94" spans="1:40">
      <c r="A94" s="72" t="str">
        <f>HYPERLINK("https://www.ncbi.nlm.nih.gov/pubmed/8786851","8786851")</f>
        <v>8786851</v>
      </c>
      <c r="B94" s="55" t="s">
        <v>195</v>
      </c>
      <c r="C94" s="56" t="s">
        <v>196</v>
      </c>
      <c r="D94" s="56" t="s">
        <v>204</v>
      </c>
      <c r="E94" s="56" t="s">
        <v>220</v>
      </c>
      <c r="F94" s="56" t="s">
        <v>213</v>
      </c>
      <c r="G94" s="60" t="s">
        <v>203</v>
      </c>
      <c r="H94" s="56" t="s">
        <v>13</v>
      </c>
      <c r="I94" s="60" t="s">
        <v>223</v>
      </c>
      <c r="J94" s="63" t="s">
        <v>142</v>
      </c>
      <c r="K94" s="57">
        <v>0</v>
      </c>
      <c r="L94" s="58">
        <v>1</v>
      </c>
      <c r="M94" s="58">
        <v>0</v>
      </c>
      <c r="N94" s="58">
        <v>0</v>
      </c>
      <c r="O94" s="59">
        <v>1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9">
        <v>0</v>
      </c>
      <c r="W94" s="57">
        <v>0</v>
      </c>
      <c r="X94" s="58">
        <v>0</v>
      </c>
      <c r="Y94" s="58">
        <v>0</v>
      </c>
      <c r="Z94" s="58">
        <v>0</v>
      </c>
      <c r="AA94" s="58">
        <v>0</v>
      </c>
      <c r="AB94" s="58">
        <v>1</v>
      </c>
      <c r="AC94" s="58">
        <v>0</v>
      </c>
      <c r="AD94" s="58">
        <v>0</v>
      </c>
      <c r="AE94" s="58">
        <v>0</v>
      </c>
      <c r="AF94" s="58">
        <v>0</v>
      </c>
      <c r="AG94" s="58">
        <v>0</v>
      </c>
      <c r="AH94" s="58">
        <v>0</v>
      </c>
      <c r="AI94" s="58">
        <v>0</v>
      </c>
      <c r="AJ94" s="59">
        <v>0</v>
      </c>
      <c r="AK94" s="58">
        <v>0</v>
      </c>
      <c r="AL94" s="58">
        <v>0</v>
      </c>
      <c r="AM94" s="58">
        <v>0</v>
      </c>
      <c r="AN94" s="59">
        <v>0</v>
      </c>
    </row>
    <row r="95" spans="1:40">
      <c r="A95" s="72" t="str">
        <f>HYPERLINK("https://www.ncbi.nlm.nih.gov/pubmed/7589908","7589908")</f>
        <v>7589908</v>
      </c>
      <c r="B95" s="55" t="s">
        <v>195</v>
      </c>
      <c r="C95" s="56" t="s">
        <v>196</v>
      </c>
      <c r="D95" s="56" t="s">
        <v>204</v>
      </c>
      <c r="E95" s="56" t="s">
        <v>252</v>
      </c>
      <c r="F95" s="56" t="s">
        <v>213</v>
      </c>
      <c r="G95" s="60" t="s">
        <v>203</v>
      </c>
      <c r="H95" s="56" t="s">
        <v>13</v>
      </c>
      <c r="I95" s="56" t="s">
        <v>224</v>
      </c>
      <c r="J95" s="63" t="s">
        <v>142</v>
      </c>
      <c r="K95" s="57">
        <v>1</v>
      </c>
      <c r="L95" s="58">
        <v>1</v>
      </c>
      <c r="M95" s="58">
        <v>0</v>
      </c>
      <c r="N95" s="58">
        <v>0</v>
      </c>
      <c r="O95" s="59">
        <v>0</v>
      </c>
      <c r="P95" s="57">
        <v>0</v>
      </c>
      <c r="Q95" s="58">
        <v>0</v>
      </c>
      <c r="R95" s="58">
        <v>0</v>
      </c>
      <c r="S95" s="58">
        <v>0</v>
      </c>
      <c r="T95" s="58">
        <v>0</v>
      </c>
      <c r="U95" s="58">
        <v>0</v>
      </c>
      <c r="V95" s="59">
        <v>0</v>
      </c>
      <c r="W95" s="57">
        <v>0</v>
      </c>
      <c r="X95" s="58">
        <v>0</v>
      </c>
      <c r="Y95" s="58">
        <v>0</v>
      </c>
      <c r="Z95" s="58">
        <v>0</v>
      </c>
      <c r="AA95" s="58">
        <v>0</v>
      </c>
      <c r="AB95" s="58">
        <v>1</v>
      </c>
      <c r="AC95" s="58">
        <v>0</v>
      </c>
      <c r="AD95" s="58">
        <v>0</v>
      </c>
      <c r="AE95" s="58">
        <v>0</v>
      </c>
      <c r="AF95" s="58">
        <v>0</v>
      </c>
      <c r="AG95" s="58">
        <v>0</v>
      </c>
      <c r="AH95" s="58">
        <v>0</v>
      </c>
      <c r="AI95" s="58">
        <v>0</v>
      </c>
      <c r="AJ95" s="59">
        <v>0</v>
      </c>
      <c r="AK95" s="58">
        <v>0</v>
      </c>
      <c r="AL95" s="58">
        <v>0</v>
      </c>
      <c r="AM95" s="58">
        <v>0</v>
      </c>
      <c r="AN95" s="59">
        <v>0</v>
      </c>
    </row>
    <row r="96" spans="1:40">
      <c r="A96" s="74" t="str">
        <f>HYPERLINK("https://www.ncbi.nlm.nih.gov/pubmed/3022746","3022746")</f>
        <v>3022746</v>
      </c>
      <c r="B96" s="55" t="s">
        <v>195</v>
      </c>
      <c r="C96" s="56" t="s">
        <v>196</v>
      </c>
      <c r="D96" s="56" t="s">
        <v>204</v>
      </c>
      <c r="E96" s="56" t="s">
        <v>205</v>
      </c>
      <c r="F96" s="56" t="s">
        <v>213</v>
      </c>
      <c r="G96" s="60" t="s">
        <v>203</v>
      </c>
      <c r="H96" s="56" t="s">
        <v>13</v>
      </c>
      <c r="I96" s="56" t="s">
        <v>201</v>
      </c>
      <c r="J96" s="63" t="s">
        <v>142</v>
      </c>
      <c r="K96" s="57">
        <v>0</v>
      </c>
      <c r="L96" s="58">
        <v>1</v>
      </c>
      <c r="M96" s="58">
        <v>1</v>
      </c>
      <c r="N96" s="58">
        <v>0</v>
      </c>
      <c r="O96" s="59">
        <v>0</v>
      </c>
      <c r="P96" s="58">
        <v>0</v>
      </c>
      <c r="Q96" s="58">
        <v>0</v>
      </c>
      <c r="R96" s="58">
        <v>0</v>
      </c>
      <c r="S96" s="58">
        <v>0</v>
      </c>
      <c r="T96" s="58">
        <v>0</v>
      </c>
      <c r="U96" s="58">
        <v>0</v>
      </c>
      <c r="V96" s="59">
        <v>0</v>
      </c>
      <c r="W96" s="58">
        <v>0</v>
      </c>
      <c r="X96" s="58">
        <v>0</v>
      </c>
      <c r="Y96" s="58">
        <v>0</v>
      </c>
      <c r="Z96" s="58">
        <v>0</v>
      </c>
      <c r="AA96" s="58">
        <v>0</v>
      </c>
      <c r="AB96" s="58">
        <v>1</v>
      </c>
      <c r="AC96" s="58">
        <v>0</v>
      </c>
      <c r="AD96" s="58">
        <v>0</v>
      </c>
      <c r="AE96" s="58">
        <v>0</v>
      </c>
      <c r="AF96" s="58">
        <v>0</v>
      </c>
      <c r="AG96" s="58">
        <v>0</v>
      </c>
      <c r="AH96" s="58">
        <v>0</v>
      </c>
      <c r="AI96" s="58">
        <v>0</v>
      </c>
      <c r="AJ96" s="59">
        <v>0</v>
      </c>
      <c r="AK96" s="58">
        <v>0</v>
      </c>
      <c r="AL96" s="58">
        <v>0</v>
      </c>
      <c r="AM96" s="58">
        <v>0</v>
      </c>
      <c r="AN96" s="59">
        <v>0</v>
      </c>
    </row>
    <row r="97" spans="1:40">
      <c r="A97" s="74" t="str">
        <f>HYPERLINK("https://www.ncbi.nlm.nih.gov/pubmed/6320571","6320571")</f>
        <v>6320571</v>
      </c>
      <c r="B97" s="55" t="s">
        <v>195</v>
      </c>
      <c r="C97" s="56" t="s">
        <v>196</v>
      </c>
      <c r="D97" s="56" t="s">
        <v>204</v>
      </c>
      <c r="E97" s="56" t="s">
        <v>205</v>
      </c>
      <c r="F97" s="56" t="s">
        <v>213</v>
      </c>
      <c r="G97" s="60" t="s">
        <v>203</v>
      </c>
      <c r="H97" s="56" t="s">
        <v>13</v>
      </c>
      <c r="I97" s="56" t="s">
        <v>201</v>
      </c>
      <c r="J97" s="56" t="s">
        <v>142</v>
      </c>
      <c r="K97" s="57">
        <v>0</v>
      </c>
      <c r="L97" s="58">
        <v>1</v>
      </c>
      <c r="M97" s="58">
        <v>0</v>
      </c>
      <c r="N97" s="58">
        <v>0</v>
      </c>
      <c r="O97" s="59">
        <v>0</v>
      </c>
      <c r="P97" s="57">
        <v>0</v>
      </c>
      <c r="Q97" s="58">
        <v>0</v>
      </c>
      <c r="R97" s="58">
        <v>0</v>
      </c>
      <c r="S97" s="58">
        <v>0</v>
      </c>
      <c r="T97" s="58">
        <v>0</v>
      </c>
      <c r="U97" s="58">
        <v>0</v>
      </c>
      <c r="V97" s="59">
        <v>0</v>
      </c>
      <c r="W97" s="57">
        <v>0</v>
      </c>
      <c r="X97" s="58">
        <v>0</v>
      </c>
      <c r="Y97" s="58">
        <v>0</v>
      </c>
      <c r="Z97" s="58">
        <v>0</v>
      </c>
      <c r="AA97" s="58">
        <v>0</v>
      </c>
      <c r="AB97" s="58">
        <v>1</v>
      </c>
      <c r="AC97" s="58">
        <v>0</v>
      </c>
      <c r="AD97" s="58">
        <v>0</v>
      </c>
      <c r="AE97" s="58">
        <v>0</v>
      </c>
      <c r="AF97" s="58">
        <v>0</v>
      </c>
      <c r="AG97" s="58">
        <v>0</v>
      </c>
      <c r="AH97" s="58">
        <v>0</v>
      </c>
      <c r="AI97" s="58">
        <v>0</v>
      </c>
      <c r="AJ97" s="59">
        <v>0</v>
      </c>
      <c r="AK97" s="58">
        <v>0</v>
      </c>
      <c r="AL97" s="58">
        <v>0</v>
      </c>
      <c r="AM97" s="58">
        <v>0</v>
      </c>
      <c r="AN97" s="59">
        <v>0</v>
      </c>
    </row>
    <row r="98" spans="1:40">
      <c r="A98" s="72" t="str">
        <f>HYPERLINK("https://www.ncbi.nlm.nih.gov/pubmed/7589908","7589908")</f>
        <v>7589908</v>
      </c>
      <c r="B98" s="55" t="s">
        <v>195</v>
      </c>
      <c r="C98" s="56" t="s">
        <v>196</v>
      </c>
      <c r="D98" s="56" t="s">
        <v>204</v>
      </c>
      <c r="E98" s="56" t="s">
        <v>205</v>
      </c>
      <c r="F98" s="56" t="s">
        <v>213</v>
      </c>
      <c r="G98" s="60" t="s">
        <v>203</v>
      </c>
      <c r="H98" s="56" t="s">
        <v>13</v>
      </c>
      <c r="I98" s="56" t="s">
        <v>224</v>
      </c>
      <c r="J98" s="63" t="s">
        <v>142</v>
      </c>
      <c r="K98" s="57">
        <v>1</v>
      </c>
      <c r="L98" s="58">
        <v>1</v>
      </c>
      <c r="M98" s="58">
        <v>0</v>
      </c>
      <c r="N98" s="58">
        <v>0</v>
      </c>
      <c r="O98" s="58">
        <v>0</v>
      </c>
      <c r="P98" s="57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9">
        <v>0</v>
      </c>
      <c r="W98" s="57">
        <v>0</v>
      </c>
      <c r="X98" s="58">
        <v>0</v>
      </c>
      <c r="Y98" s="58">
        <v>0</v>
      </c>
      <c r="Z98" s="58">
        <v>0</v>
      </c>
      <c r="AA98" s="58">
        <v>0</v>
      </c>
      <c r="AB98" s="58">
        <v>1</v>
      </c>
      <c r="AC98" s="58">
        <v>0</v>
      </c>
      <c r="AD98" s="58">
        <v>0</v>
      </c>
      <c r="AE98" s="58">
        <v>0</v>
      </c>
      <c r="AF98" s="58">
        <v>0</v>
      </c>
      <c r="AG98" s="58">
        <v>0</v>
      </c>
      <c r="AH98" s="58">
        <v>0</v>
      </c>
      <c r="AI98" s="58">
        <v>0</v>
      </c>
      <c r="AJ98" s="59">
        <v>0</v>
      </c>
      <c r="AK98" s="58">
        <v>0</v>
      </c>
      <c r="AL98" s="58">
        <v>0</v>
      </c>
      <c r="AM98" s="58">
        <v>0</v>
      </c>
      <c r="AN98" s="59">
        <v>0</v>
      </c>
    </row>
    <row r="99" spans="1:40">
      <c r="A99" s="74" t="str">
        <f>HYPERLINK("https://www.ncbi.nlm.nih.gov/pubmed/6204893","6204893")</f>
        <v>6204893</v>
      </c>
      <c r="B99" s="55" t="s">
        <v>195</v>
      </c>
      <c r="C99" s="56" t="s">
        <v>196</v>
      </c>
      <c r="D99" s="56" t="s">
        <v>204</v>
      </c>
      <c r="E99" s="56" t="s">
        <v>212</v>
      </c>
      <c r="F99" s="56" t="s">
        <v>213</v>
      </c>
      <c r="G99" s="60" t="s">
        <v>203</v>
      </c>
      <c r="H99" s="56" t="s">
        <v>13</v>
      </c>
      <c r="I99" s="60" t="s">
        <v>223</v>
      </c>
      <c r="J99" s="63" t="s">
        <v>142</v>
      </c>
      <c r="K99" s="57">
        <v>0</v>
      </c>
      <c r="L99" s="58">
        <v>1</v>
      </c>
      <c r="M99" s="58">
        <v>0</v>
      </c>
      <c r="N99" s="58">
        <v>0</v>
      </c>
      <c r="O99" s="58">
        <v>1</v>
      </c>
      <c r="P99" s="57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9">
        <v>0</v>
      </c>
      <c r="W99" s="57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1</v>
      </c>
      <c r="AC99" s="58">
        <v>0</v>
      </c>
      <c r="AD99" s="58">
        <v>0</v>
      </c>
      <c r="AE99" s="58">
        <v>0</v>
      </c>
      <c r="AF99" s="58">
        <v>0</v>
      </c>
      <c r="AG99" s="58">
        <v>0</v>
      </c>
      <c r="AH99" s="58">
        <v>0</v>
      </c>
      <c r="AI99" s="58">
        <v>0</v>
      </c>
      <c r="AJ99" s="59">
        <v>0</v>
      </c>
      <c r="AK99" s="58">
        <v>0</v>
      </c>
      <c r="AL99" s="58">
        <v>0</v>
      </c>
      <c r="AM99" s="58">
        <v>0</v>
      </c>
      <c r="AN99" s="59">
        <v>0</v>
      </c>
    </row>
    <row r="100" spans="1:40">
      <c r="A100" s="72" t="str">
        <f>HYPERLINK("https://www.ncbi.nlm.nih.gov/pubmed/22402212","22402212")</f>
        <v>22402212</v>
      </c>
      <c r="B100" s="55" t="s">
        <v>195</v>
      </c>
      <c r="C100" s="56" t="s">
        <v>196</v>
      </c>
      <c r="D100" s="56" t="s">
        <v>204</v>
      </c>
      <c r="E100" s="56" t="s">
        <v>198</v>
      </c>
      <c r="F100" s="56" t="s">
        <v>213</v>
      </c>
      <c r="G100" s="60" t="s">
        <v>203</v>
      </c>
      <c r="H100" s="56" t="s">
        <v>226</v>
      </c>
      <c r="I100" s="56" t="s">
        <v>201</v>
      </c>
      <c r="J100" s="63" t="s">
        <v>253</v>
      </c>
      <c r="K100" s="57">
        <v>0</v>
      </c>
      <c r="L100" s="58">
        <v>0</v>
      </c>
      <c r="M100" s="58">
        <v>0</v>
      </c>
      <c r="N100" s="58">
        <v>0</v>
      </c>
      <c r="O100" s="58">
        <v>0</v>
      </c>
      <c r="P100" s="57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9">
        <v>0</v>
      </c>
      <c r="W100" s="57">
        <v>1</v>
      </c>
      <c r="X100" s="58">
        <v>1</v>
      </c>
      <c r="Y100" s="58">
        <v>1</v>
      </c>
      <c r="Z100" s="58">
        <v>1</v>
      </c>
      <c r="AA100" s="58">
        <v>0</v>
      </c>
      <c r="AB100" s="58">
        <v>1</v>
      </c>
      <c r="AC100" s="58">
        <v>0</v>
      </c>
      <c r="AD100" s="58">
        <v>0</v>
      </c>
      <c r="AE100" s="58">
        <v>1</v>
      </c>
      <c r="AF100" s="58">
        <v>0</v>
      </c>
      <c r="AG100" s="58">
        <v>0</v>
      </c>
      <c r="AH100" s="58">
        <v>0</v>
      </c>
      <c r="AI100" s="58">
        <v>0</v>
      </c>
      <c r="AJ100" s="59">
        <v>0</v>
      </c>
      <c r="AK100" s="58">
        <v>0</v>
      </c>
      <c r="AL100" s="58">
        <v>0</v>
      </c>
      <c r="AM100" s="58">
        <v>0</v>
      </c>
      <c r="AN100" s="59">
        <v>0</v>
      </c>
    </row>
    <row r="101" spans="1:40">
      <c r="A101" s="72" t="str">
        <f>HYPERLINK("https://www.ncbi.nlm.nih.gov/pubmed/32735821","32735821")</f>
        <v>32735821</v>
      </c>
      <c r="B101" s="55" t="s">
        <v>195</v>
      </c>
      <c r="C101" s="60" t="s">
        <v>203</v>
      </c>
      <c r="D101" s="56" t="s">
        <v>204</v>
      </c>
      <c r="E101" s="56" t="s">
        <v>205</v>
      </c>
      <c r="F101" s="56" t="s">
        <v>254</v>
      </c>
      <c r="G101" s="56" t="s">
        <v>255</v>
      </c>
      <c r="H101" s="56" t="s">
        <v>13</v>
      </c>
      <c r="I101" s="56" t="s">
        <v>211</v>
      </c>
      <c r="J101" s="63" t="s">
        <v>142</v>
      </c>
      <c r="K101" s="57">
        <v>0</v>
      </c>
      <c r="L101" s="58">
        <v>1</v>
      </c>
      <c r="M101" s="58">
        <v>0</v>
      </c>
      <c r="N101" s="58">
        <v>1</v>
      </c>
      <c r="O101" s="58">
        <v>1</v>
      </c>
      <c r="P101" s="57">
        <v>0</v>
      </c>
      <c r="Q101" s="58">
        <v>1</v>
      </c>
      <c r="R101" s="58">
        <v>0</v>
      </c>
      <c r="S101" s="58">
        <v>0</v>
      </c>
      <c r="T101" s="58">
        <v>1</v>
      </c>
      <c r="U101" s="58">
        <v>1</v>
      </c>
      <c r="V101" s="59">
        <v>0</v>
      </c>
      <c r="W101" s="57">
        <v>0</v>
      </c>
      <c r="X101" s="58">
        <v>0</v>
      </c>
      <c r="Y101" s="58">
        <v>0</v>
      </c>
      <c r="Z101" s="58">
        <v>0</v>
      </c>
      <c r="AA101" s="58">
        <v>0</v>
      </c>
      <c r="AB101" s="58">
        <v>1</v>
      </c>
      <c r="AC101" s="58">
        <v>0</v>
      </c>
      <c r="AD101" s="58">
        <v>1</v>
      </c>
      <c r="AE101" s="58">
        <v>0</v>
      </c>
      <c r="AF101" s="58">
        <v>0</v>
      </c>
      <c r="AG101" s="58">
        <v>0</v>
      </c>
      <c r="AH101" s="58">
        <v>1</v>
      </c>
      <c r="AI101" s="58">
        <v>0</v>
      </c>
      <c r="AJ101" s="59">
        <v>0</v>
      </c>
      <c r="AK101" s="58">
        <v>1</v>
      </c>
      <c r="AL101" s="58">
        <v>0</v>
      </c>
      <c r="AM101" s="58">
        <v>0</v>
      </c>
      <c r="AN101" s="59">
        <v>1</v>
      </c>
    </row>
    <row r="102" spans="1:40">
      <c r="A102" s="72" t="str">
        <f>HYPERLINK("https://www.ncbi.nlm.nih.gov/pubmed/24684461","24684461")</f>
        <v>24684461</v>
      </c>
      <c r="B102" s="55" t="s">
        <v>195</v>
      </c>
      <c r="C102" s="56" t="s">
        <v>196</v>
      </c>
      <c r="D102" s="56" t="s">
        <v>197</v>
      </c>
      <c r="E102" s="56" t="s">
        <v>198</v>
      </c>
      <c r="F102" s="56" t="s">
        <v>256</v>
      </c>
      <c r="G102" s="56" t="s">
        <v>257</v>
      </c>
      <c r="H102" s="56" t="s">
        <v>13</v>
      </c>
      <c r="I102" s="56" t="s">
        <v>258</v>
      </c>
      <c r="J102" s="63" t="s">
        <v>259</v>
      </c>
      <c r="K102" s="57">
        <v>0</v>
      </c>
      <c r="L102" s="58">
        <v>0</v>
      </c>
      <c r="M102" s="58">
        <v>0</v>
      </c>
      <c r="N102" s="58">
        <v>0</v>
      </c>
      <c r="O102" s="58">
        <v>1</v>
      </c>
      <c r="P102" s="57">
        <v>1</v>
      </c>
      <c r="Q102" s="58">
        <v>0</v>
      </c>
      <c r="R102" s="58">
        <v>0</v>
      </c>
      <c r="S102" s="58">
        <v>0</v>
      </c>
      <c r="T102" s="58">
        <v>0</v>
      </c>
      <c r="U102" s="58">
        <v>1</v>
      </c>
      <c r="V102" s="59">
        <v>0</v>
      </c>
      <c r="W102" s="57">
        <v>1</v>
      </c>
      <c r="X102" s="58">
        <v>1</v>
      </c>
      <c r="Y102" s="58">
        <v>0</v>
      </c>
      <c r="Z102" s="58">
        <v>0</v>
      </c>
      <c r="AA102" s="58">
        <v>0</v>
      </c>
      <c r="AB102" s="58">
        <v>1</v>
      </c>
      <c r="AC102" s="58">
        <v>0</v>
      </c>
      <c r="AD102" s="58">
        <v>0</v>
      </c>
      <c r="AE102" s="58">
        <v>0</v>
      </c>
      <c r="AF102" s="58">
        <v>0</v>
      </c>
      <c r="AG102" s="58">
        <v>0</v>
      </c>
      <c r="AH102" s="58">
        <v>0</v>
      </c>
      <c r="AI102" s="58">
        <v>0</v>
      </c>
      <c r="AJ102" s="59">
        <v>0</v>
      </c>
      <c r="AK102" s="58">
        <v>1</v>
      </c>
      <c r="AL102" s="58">
        <v>0</v>
      </c>
      <c r="AM102" s="58">
        <v>0</v>
      </c>
      <c r="AN102" s="59">
        <v>0</v>
      </c>
    </row>
    <row r="103" spans="1:40">
      <c r="A103" s="72" t="str">
        <f>HYPERLINK("https://www.ncbi.nlm.nih.gov/pubmed/22461451","22461451")</f>
        <v>22461451</v>
      </c>
      <c r="B103" s="56" t="s">
        <v>260</v>
      </c>
      <c r="C103" s="56" t="s">
        <v>196</v>
      </c>
      <c r="D103" s="56" t="s">
        <v>225</v>
      </c>
      <c r="E103" s="56" t="s">
        <v>205</v>
      </c>
      <c r="F103" s="56" t="s">
        <v>261</v>
      </c>
      <c r="G103" s="60" t="s">
        <v>203</v>
      </c>
      <c r="H103" s="56" t="s">
        <v>13</v>
      </c>
      <c r="I103" s="56" t="s">
        <v>208</v>
      </c>
      <c r="J103" s="63" t="s">
        <v>82</v>
      </c>
      <c r="K103" s="57">
        <v>1</v>
      </c>
      <c r="L103" s="58">
        <v>0</v>
      </c>
      <c r="M103" s="58">
        <v>0</v>
      </c>
      <c r="N103" s="58">
        <v>0</v>
      </c>
      <c r="O103" s="58">
        <v>0</v>
      </c>
      <c r="P103" s="57">
        <v>1</v>
      </c>
      <c r="Q103" s="58">
        <v>1</v>
      </c>
      <c r="R103" s="58">
        <v>1</v>
      </c>
      <c r="S103" s="58">
        <v>0</v>
      </c>
      <c r="T103" s="58">
        <v>1</v>
      </c>
      <c r="U103" s="58">
        <v>1</v>
      </c>
      <c r="V103" s="59">
        <v>1</v>
      </c>
      <c r="W103" s="57">
        <v>0</v>
      </c>
      <c r="X103" s="58">
        <v>1</v>
      </c>
      <c r="Y103" s="58">
        <v>0</v>
      </c>
      <c r="Z103" s="58">
        <v>0</v>
      </c>
      <c r="AA103" s="58">
        <v>0</v>
      </c>
      <c r="AB103" s="58">
        <v>1</v>
      </c>
      <c r="AC103" s="58">
        <v>1</v>
      </c>
      <c r="AD103" s="58">
        <v>0</v>
      </c>
      <c r="AE103" s="58">
        <v>0</v>
      </c>
      <c r="AF103" s="58">
        <v>0</v>
      </c>
      <c r="AG103" s="58">
        <v>0</v>
      </c>
      <c r="AH103" s="58">
        <v>0</v>
      </c>
      <c r="AI103" s="58">
        <v>0</v>
      </c>
      <c r="AJ103" s="59">
        <v>0</v>
      </c>
      <c r="AK103" s="58">
        <v>1</v>
      </c>
      <c r="AL103" s="58">
        <v>0</v>
      </c>
      <c r="AM103" s="58">
        <v>0</v>
      </c>
      <c r="AN103" s="59">
        <v>0</v>
      </c>
    </row>
    <row r="104" spans="1:40">
      <c r="A104" s="75" t="str">
        <f>HYPERLINK("https://www.ncbi.nlm.nih.gov/pubmed/23591565","23591565")</f>
        <v>23591565</v>
      </c>
      <c r="B104" s="56" t="s">
        <v>260</v>
      </c>
      <c r="C104" s="56" t="s">
        <v>196</v>
      </c>
      <c r="D104" s="56" t="s">
        <v>225</v>
      </c>
      <c r="E104" s="56" t="s">
        <v>205</v>
      </c>
      <c r="F104" s="56" t="s">
        <v>261</v>
      </c>
      <c r="G104" s="60" t="s">
        <v>203</v>
      </c>
      <c r="H104" s="56" t="s">
        <v>13</v>
      </c>
      <c r="I104" s="56" t="s">
        <v>208</v>
      </c>
      <c r="J104" s="63" t="s">
        <v>82</v>
      </c>
      <c r="K104" s="57">
        <v>1</v>
      </c>
      <c r="L104" s="58">
        <v>0</v>
      </c>
      <c r="M104" s="58">
        <v>0</v>
      </c>
      <c r="N104" s="58">
        <v>0</v>
      </c>
      <c r="O104" s="58">
        <v>0</v>
      </c>
      <c r="P104" s="57">
        <v>1</v>
      </c>
      <c r="Q104" s="58">
        <v>1</v>
      </c>
      <c r="R104" s="58">
        <v>1</v>
      </c>
      <c r="S104" s="58">
        <v>0</v>
      </c>
      <c r="T104" s="58">
        <v>1</v>
      </c>
      <c r="U104" s="58">
        <v>1</v>
      </c>
      <c r="V104" s="59">
        <v>1</v>
      </c>
      <c r="W104" s="58">
        <v>0</v>
      </c>
      <c r="X104" s="58">
        <v>1</v>
      </c>
      <c r="Y104" s="58">
        <v>0</v>
      </c>
      <c r="Z104" s="58">
        <v>0</v>
      </c>
      <c r="AA104" s="58">
        <v>0</v>
      </c>
      <c r="AB104" s="58">
        <v>1</v>
      </c>
      <c r="AC104" s="58">
        <v>0</v>
      </c>
      <c r="AD104" s="58">
        <v>0</v>
      </c>
      <c r="AE104" s="58">
        <v>0</v>
      </c>
      <c r="AF104" s="58">
        <v>0</v>
      </c>
      <c r="AG104" s="58">
        <v>0</v>
      </c>
      <c r="AH104" s="58">
        <v>0</v>
      </c>
      <c r="AI104" s="58">
        <v>0</v>
      </c>
      <c r="AJ104" s="59">
        <v>0</v>
      </c>
      <c r="AK104" s="58">
        <v>1</v>
      </c>
      <c r="AL104" s="58">
        <v>0</v>
      </c>
      <c r="AM104" s="58">
        <v>0</v>
      </c>
      <c r="AN104" s="59">
        <v>0</v>
      </c>
    </row>
    <row r="105" spans="1:40">
      <c r="A105" s="72" t="str">
        <f>HYPERLINK("https://www.ncbi.nlm.nih.gov/pubmed/26377646","26377646")</f>
        <v>26377646</v>
      </c>
      <c r="B105" s="56" t="s">
        <v>260</v>
      </c>
      <c r="C105" s="56" t="s">
        <v>196</v>
      </c>
      <c r="D105" s="56" t="s">
        <v>225</v>
      </c>
      <c r="E105" s="56" t="s">
        <v>205</v>
      </c>
      <c r="F105" s="56" t="s">
        <v>261</v>
      </c>
      <c r="G105" s="60" t="s">
        <v>203</v>
      </c>
      <c r="H105" s="56" t="s">
        <v>13</v>
      </c>
      <c r="I105" s="56" t="s">
        <v>208</v>
      </c>
      <c r="J105" s="56" t="s">
        <v>82</v>
      </c>
      <c r="K105" s="57">
        <v>1</v>
      </c>
      <c r="L105" s="58">
        <v>1</v>
      </c>
      <c r="M105" s="58">
        <v>1</v>
      </c>
      <c r="N105" s="58">
        <v>0</v>
      </c>
      <c r="O105" s="58">
        <v>1</v>
      </c>
      <c r="P105" s="57">
        <v>0</v>
      </c>
      <c r="Q105" s="58">
        <v>0</v>
      </c>
      <c r="R105" s="58">
        <v>0</v>
      </c>
      <c r="S105" s="58">
        <v>0</v>
      </c>
      <c r="T105" s="58">
        <v>0</v>
      </c>
      <c r="U105" s="58">
        <v>0</v>
      </c>
      <c r="V105" s="59">
        <v>0</v>
      </c>
      <c r="W105" s="58">
        <v>0</v>
      </c>
      <c r="X105" s="58">
        <v>1</v>
      </c>
      <c r="Y105" s="58">
        <v>0</v>
      </c>
      <c r="Z105" s="58">
        <v>0</v>
      </c>
      <c r="AA105" s="58">
        <v>0</v>
      </c>
      <c r="AB105" s="58">
        <v>1</v>
      </c>
      <c r="AC105" s="58">
        <v>0</v>
      </c>
      <c r="AD105" s="58">
        <v>0</v>
      </c>
      <c r="AE105" s="58">
        <v>0</v>
      </c>
      <c r="AF105" s="58">
        <v>0</v>
      </c>
      <c r="AG105" s="58">
        <v>0</v>
      </c>
      <c r="AH105" s="58">
        <v>0</v>
      </c>
      <c r="AI105" s="58">
        <v>0</v>
      </c>
      <c r="AJ105" s="59">
        <v>0</v>
      </c>
      <c r="AK105" s="58">
        <v>0</v>
      </c>
      <c r="AL105" s="58">
        <v>0</v>
      </c>
      <c r="AM105" s="58">
        <v>0</v>
      </c>
      <c r="AN105" s="59">
        <v>0</v>
      </c>
    </row>
    <row r="106" spans="1:40">
      <c r="A106" s="72" t="str">
        <f>HYPERLINK("https://www.ncbi.nlm.nih.gov/pubmed/25340537","25340537")</f>
        <v>25340537</v>
      </c>
      <c r="B106" s="55" t="s">
        <v>262</v>
      </c>
      <c r="C106" s="60" t="s">
        <v>263</v>
      </c>
      <c r="D106" s="56" t="s">
        <v>264</v>
      </c>
      <c r="E106" s="56" t="s">
        <v>205</v>
      </c>
      <c r="F106" s="56" t="s">
        <v>265</v>
      </c>
      <c r="G106" s="56" t="s">
        <v>266</v>
      </c>
      <c r="H106" s="56" t="s">
        <v>13</v>
      </c>
      <c r="I106" s="56" t="s">
        <v>208</v>
      </c>
      <c r="J106" s="63" t="s">
        <v>142</v>
      </c>
      <c r="K106" s="57">
        <v>0</v>
      </c>
      <c r="L106" s="58">
        <v>0</v>
      </c>
      <c r="M106" s="58">
        <v>1</v>
      </c>
      <c r="N106" s="58">
        <v>0</v>
      </c>
      <c r="O106" s="59">
        <v>1</v>
      </c>
      <c r="P106" s="57">
        <v>1</v>
      </c>
      <c r="Q106" s="58">
        <v>1</v>
      </c>
      <c r="R106" s="58">
        <v>0</v>
      </c>
      <c r="S106" s="58">
        <v>0</v>
      </c>
      <c r="T106" s="58">
        <v>0</v>
      </c>
      <c r="U106" s="58">
        <v>1</v>
      </c>
      <c r="V106" s="59">
        <v>0</v>
      </c>
      <c r="W106" s="57">
        <v>0</v>
      </c>
      <c r="X106" s="58">
        <v>1</v>
      </c>
      <c r="Y106" s="58">
        <v>0</v>
      </c>
      <c r="Z106" s="58">
        <v>0</v>
      </c>
      <c r="AA106" s="58">
        <v>0</v>
      </c>
      <c r="AB106" s="58">
        <v>1</v>
      </c>
      <c r="AC106" s="58">
        <v>0</v>
      </c>
      <c r="AD106" s="58">
        <v>0</v>
      </c>
      <c r="AE106" s="58">
        <v>0</v>
      </c>
      <c r="AF106" s="58">
        <v>0</v>
      </c>
      <c r="AG106" s="58">
        <v>0</v>
      </c>
      <c r="AH106" s="58">
        <v>0</v>
      </c>
      <c r="AI106" s="58">
        <v>0</v>
      </c>
      <c r="AJ106" s="59">
        <v>0</v>
      </c>
      <c r="AK106" s="58">
        <v>1</v>
      </c>
      <c r="AL106" s="58">
        <v>0</v>
      </c>
      <c r="AM106" s="58">
        <v>0</v>
      </c>
      <c r="AN106" s="59">
        <v>0</v>
      </c>
    </row>
    <row r="107" spans="1:40">
      <c r="A107" s="72" t="str">
        <f>HYPERLINK("https://www.ncbi.nlm.nih.gov/pubmed/8969909","8969909")</f>
        <v>8969909</v>
      </c>
      <c r="B107" s="56" t="s">
        <v>267</v>
      </c>
      <c r="C107" s="56" t="s">
        <v>268</v>
      </c>
      <c r="D107" s="56" t="s">
        <v>225</v>
      </c>
      <c r="E107" s="56" t="s">
        <v>198</v>
      </c>
      <c r="F107" s="56" t="s">
        <v>269</v>
      </c>
      <c r="G107" s="56" t="s">
        <v>214</v>
      </c>
      <c r="H107" s="56" t="s">
        <v>13</v>
      </c>
      <c r="I107" s="56" t="s">
        <v>270</v>
      </c>
      <c r="J107" s="63" t="s">
        <v>142</v>
      </c>
      <c r="K107" s="58">
        <v>0</v>
      </c>
      <c r="L107" s="58">
        <v>0</v>
      </c>
      <c r="M107" s="58">
        <v>0</v>
      </c>
      <c r="N107" s="58">
        <v>0</v>
      </c>
      <c r="O107" s="59">
        <v>1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9">
        <v>0</v>
      </c>
      <c r="W107" s="57">
        <v>0</v>
      </c>
      <c r="X107" s="58">
        <v>0</v>
      </c>
      <c r="Y107" s="58">
        <v>0</v>
      </c>
      <c r="Z107" s="58">
        <v>1</v>
      </c>
      <c r="AA107" s="58">
        <v>0</v>
      </c>
      <c r="AB107" s="58">
        <v>0</v>
      </c>
      <c r="AC107" s="58">
        <v>0</v>
      </c>
      <c r="AD107" s="58">
        <v>0</v>
      </c>
      <c r="AE107" s="58">
        <v>0</v>
      </c>
      <c r="AF107" s="58">
        <v>0</v>
      </c>
      <c r="AG107" s="58">
        <v>0</v>
      </c>
      <c r="AH107" s="58">
        <v>0</v>
      </c>
      <c r="AI107" s="58">
        <v>0</v>
      </c>
      <c r="AJ107" s="59">
        <v>0</v>
      </c>
      <c r="AK107" s="58">
        <v>0</v>
      </c>
      <c r="AL107" s="58">
        <v>0</v>
      </c>
      <c r="AM107" s="58">
        <v>0</v>
      </c>
      <c r="AN107" s="59">
        <v>0</v>
      </c>
    </row>
    <row r="108" spans="1:40">
      <c r="A108" s="72" t="str">
        <f>HYPERLINK("https://www.ncbi.nlm.nih.gov/pubmed/15985365","15985365")</f>
        <v>15985365</v>
      </c>
      <c r="B108" s="56" t="s">
        <v>267</v>
      </c>
      <c r="C108" s="56" t="s">
        <v>268</v>
      </c>
      <c r="D108" s="56" t="s">
        <v>225</v>
      </c>
      <c r="E108" s="56" t="s">
        <v>198</v>
      </c>
      <c r="F108" s="56" t="s">
        <v>269</v>
      </c>
      <c r="G108" s="56" t="s">
        <v>214</v>
      </c>
      <c r="H108" s="56" t="s">
        <v>13</v>
      </c>
      <c r="I108" s="56" t="s">
        <v>270</v>
      </c>
      <c r="J108" s="63" t="s">
        <v>271</v>
      </c>
      <c r="K108" s="57">
        <v>0</v>
      </c>
      <c r="L108" s="58">
        <v>0</v>
      </c>
      <c r="M108" s="58">
        <v>0</v>
      </c>
      <c r="N108" s="58">
        <v>0</v>
      </c>
      <c r="O108" s="59">
        <v>0</v>
      </c>
      <c r="P108" s="57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9">
        <v>0</v>
      </c>
      <c r="W108" s="57">
        <v>0</v>
      </c>
      <c r="X108" s="58">
        <v>0</v>
      </c>
      <c r="Y108" s="58">
        <v>0</v>
      </c>
      <c r="Z108" s="58">
        <v>1</v>
      </c>
      <c r="AA108" s="58">
        <v>0</v>
      </c>
      <c r="AB108" s="58">
        <v>1</v>
      </c>
      <c r="AC108" s="58">
        <v>0</v>
      </c>
      <c r="AD108" s="58">
        <v>0</v>
      </c>
      <c r="AE108" s="58">
        <v>0</v>
      </c>
      <c r="AF108" s="58">
        <v>0</v>
      </c>
      <c r="AG108" s="58">
        <v>0</v>
      </c>
      <c r="AH108" s="58">
        <v>0</v>
      </c>
      <c r="AI108" s="58">
        <v>0</v>
      </c>
      <c r="AJ108" s="59">
        <v>0</v>
      </c>
      <c r="AK108" s="58">
        <v>0</v>
      </c>
      <c r="AL108" s="58">
        <v>0</v>
      </c>
      <c r="AM108" s="58">
        <v>0</v>
      </c>
      <c r="AN108" s="59">
        <v>0</v>
      </c>
    </row>
    <row r="109" spans="1:40">
      <c r="A109" s="72" t="str">
        <f>HYPERLINK("https://www.ncbi.nlm.nih.gov/pubmed/16375936","16375936")</f>
        <v>16375936</v>
      </c>
      <c r="B109" s="56" t="s">
        <v>267</v>
      </c>
      <c r="C109" s="56" t="s">
        <v>268</v>
      </c>
      <c r="D109" s="56" t="s">
        <v>225</v>
      </c>
      <c r="E109" s="56" t="s">
        <v>198</v>
      </c>
      <c r="F109" s="56" t="s">
        <v>269</v>
      </c>
      <c r="G109" s="56" t="s">
        <v>214</v>
      </c>
      <c r="H109" s="56" t="s">
        <v>13</v>
      </c>
      <c r="I109" s="56" t="s">
        <v>272</v>
      </c>
      <c r="J109" s="63" t="s">
        <v>94</v>
      </c>
      <c r="K109" s="57">
        <v>0</v>
      </c>
      <c r="L109" s="58">
        <v>0</v>
      </c>
      <c r="M109" s="58">
        <v>0</v>
      </c>
      <c r="N109" s="58">
        <v>0</v>
      </c>
      <c r="O109" s="59">
        <v>0</v>
      </c>
      <c r="P109" s="57">
        <v>0</v>
      </c>
      <c r="Q109" s="58">
        <v>0</v>
      </c>
      <c r="R109" s="58">
        <v>0</v>
      </c>
      <c r="S109" s="58">
        <v>0</v>
      </c>
      <c r="T109" s="58">
        <v>0</v>
      </c>
      <c r="U109" s="58">
        <v>0</v>
      </c>
      <c r="V109" s="59">
        <v>0</v>
      </c>
      <c r="W109" s="58">
        <v>0</v>
      </c>
      <c r="X109" s="58">
        <v>1</v>
      </c>
      <c r="Y109" s="58">
        <v>0</v>
      </c>
      <c r="Z109" s="58">
        <v>0</v>
      </c>
      <c r="AA109" s="58">
        <v>0</v>
      </c>
      <c r="AB109" s="58">
        <v>1</v>
      </c>
      <c r="AC109" s="58">
        <v>1</v>
      </c>
      <c r="AD109" s="58">
        <v>0</v>
      </c>
      <c r="AE109" s="58">
        <v>0</v>
      </c>
      <c r="AF109" s="58">
        <v>0</v>
      </c>
      <c r="AG109" s="58">
        <v>0</v>
      </c>
      <c r="AH109" s="58">
        <v>0</v>
      </c>
      <c r="AI109" s="58">
        <v>0</v>
      </c>
      <c r="AJ109" s="59">
        <v>0</v>
      </c>
      <c r="AK109" s="58">
        <v>0</v>
      </c>
      <c r="AL109" s="58">
        <v>0</v>
      </c>
      <c r="AM109" s="58">
        <v>0</v>
      </c>
      <c r="AN109" s="59">
        <v>0</v>
      </c>
    </row>
    <row r="110" spans="1:40">
      <c r="A110" s="75" t="str">
        <f>HYPERLINK("https://www.ncbi.nlm.nih.gov/pubmed/16935330","16935330")</f>
        <v>16935330</v>
      </c>
      <c r="B110" s="56" t="s">
        <v>267</v>
      </c>
      <c r="C110" s="56" t="s">
        <v>268</v>
      </c>
      <c r="D110" s="56" t="s">
        <v>225</v>
      </c>
      <c r="E110" s="56" t="s">
        <v>198</v>
      </c>
      <c r="F110" s="56" t="s">
        <v>269</v>
      </c>
      <c r="G110" s="56" t="s">
        <v>214</v>
      </c>
      <c r="H110" s="56" t="s">
        <v>13</v>
      </c>
      <c r="I110" s="56" t="s">
        <v>243</v>
      </c>
      <c r="J110" s="63" t="s">
        <v>84</v>
      </c>
      <c r="K110" s="57">
        <v>0</v>
      </c>
      <c r="L110" s="58">
        <v>0</v>
      </c>
      <c r="M110" s="58">
        <v>0</v>
      </c>
      <c r="N110" s="58">
        <v>0</v>
      </c>
      <c r="O110" s="59">
        <v>1</v>
      </c>
      <c r="P110" s="58">
        <v>1</v>
      </c>
      <c r="Q110" s="58">
        <v>1</v>
      </c>
      <c r="R110" s="58">
        <v>1</v>
      </c>
      <c r="S110" s="58">
        <v>0</v>
      </c>
      <c r="T110" s="58">
        <v>1</v>
      </c>
      <c r="U110" s="58">
        <v>1</v>
      </c>
      <c r="V110" s="59">
        <v>0</v>
      </c>
      <c r="W110" s="57">
        <v>1</v>
      </c>
      <c r="X110" s="58">
        <v>1</v>
      </c>
      <c r="Y110" s="58">
        <v>0</v>
      </c>
      <c r="Z110" s="58">
        <v>0</v>
      </c>
      <c r="AA110" s="58">
        <v>0</v>
      </c>
      <c r="AB110" s="58">
        <v>1</v>
      </c>
      <c r="AC110" s="58">
        <v>1</v>
      </c>
      <c r="AD110" s="58">
        <v>0</v>
      </c>
      <c r="AE110" s="58">
        <v>0</v>
      </c>
      <c r="AF110" s="58">
        <v>0</v>
      </c>
      <c r="AG110" s="58">
        <v>0</v>
      </c>
      <c r="AH110" s="58">
        <v>0</v>
      </c>
      <c r="AI110" s="58">
        <v>0</v>
      </c>
      <c r="AJ110" s="59">
        <v>0</v>
      </c>
      <c r="AK110" s="58">
        <v>1</v>
      </c>
      <c r="AL110" s="58">
        <v>0</v>
      </c>
      <c r="AM110" s="58">
        <v>0</v>
      </c>
      <c r="AN110" s="59">
        <v>0</v>
      </c>
    </row>
    <row r="111" spans="1:40">
      <c r="A111" s="72" t="str">
        <f>HYPERLINK("https://www.ncbi.nlm.nih.gov/pubmed/16962624","16962624")</f>
        <v>16962624</v>
      </c>
      <c r="B111" s="56" t="s">
        <v>267</v>
      </c>
      <c r="C111" s="56" t="s">
        <v>268</v>
      </c>
      <c r="D111" s="56" t="s">
        <v>225</v>
      </c>
      <c r="E111" s="56" t="s">
        <v>198</v>
      </c>
      <c r="F111" s="56" t="s">
        <v>269</v>
      </c>
      <c r="G111" s="56" t="s">
        <v>214</v>
      </c>
      <c r="H111" s="56" t="s">
        <v>13</v>
      </c>
      <c r="I111" s="56" t="s">
        <v>243</v>
      </c>
      <c r="J111" s="56" t="s">
        <v>84</v>
      </c>
      <c r="K111" s="57">
        <v>0</v>
      </c>
      <c r="L111" s="58">
        <v>0</v>
      </c>
      <c r="M111" s="58">
        <v>0</v>
      </c>
      <c r="N111" s="58">
        <v>0</v>
      </c>
      <c r="O111" s="59">
        <v>1</v>
      </c>
      <c r="P111" s="58">
        <v>0</v>
      </c>
      <c r="Q111" s="58">
        <v>0</v>
      </c>
      <c r="R111" s="58">
        <v>0</v>
      </c>
      <c r="S111" s="58">
        <v>0</v>
      </c>
      <c r="T111" s="58">
        <v>0</v>
      </c>
      <c r="U111" s="58">
        <v>0</v>
      </c>
      <c r="V111" s="58">
        <v>0</v>
      </c>
      <c r="W111" s="57">
        <v>1</v>
      </c>
      <c r="X111" s="58">
        <v>1</v>
      </c>
      <c r="Y111" s="58">
        <v>0</v>
      </c>
      <c r="Z111" s="58">
        <v>0</v>
      </c>
      <c r="AA111" s="58">
        <v>0</v>
      </c>
      <c r="AB111" s="58">
        <v>1</v>
      </c>
      <c r="AC111" s="58">
        <v>1</v>
      </c>
      <c r="AD111" s="58">
        <v>0</v>
      </c>
      <c r="AE111" s="58">
        <v>0</v>
      </c>
      <c r="AF111" s="58">
        <v>0</v>
      </c>
      <c r="AG111" s="58">
        <v>0</v>
      </c>
      <c r="AH111" s="58">
        <v>0</v>
      </c>
      <c r="AI111" s="58">
        <v>0</v>
      </c>
      <c r="AJ111" s="59">
        <v>0</v>
      </c>
      <c r="AK111" s="58">
        <v>0</v>
      </c>
      <c r="AL111" s="58">
        <v>0</v>
      </c>
      <c r="AM111" s="58">
        <v>0</v>
      </c>
      <c r="AN111" s="59">
        <v>0</v>
      </c>
    </row>
    <row r="112" spans="1:40">
      <c r="A112" s="72" t="str">
        <f>HYPERLINK("https://www.ncbi.nlm.nih.gov/pubmed/17449096","17449096")</f>
        <v>17449096</v>
      </c>
      <c r="B112" s="56" t="s">
        <v>267</v>
      </c>
      <c r="C112" s="56" t="s">
        <v>268</v>
      </c>
      <c r="D112" s="56" t="s">
        <v>225</v>
      </c>
      <c r="E112" s="56" t="s">
        <v>198</v>
      </c>
      <c r="F112" s="56" t="s">
        <v>269</v>
      </c>
      <c r="G112" s="56" t="s">
        <v>214</v>
      </c>
      <c r="H112" s="56" t="s">
        <v>13</v>
      </c>
      <c r="I112" s="56" t="s">
        <v>243</v>
      </c>
      <c r="J112" s="63" t="s">
        <v>84</v>
      </c>
      <c r="K112" s="57">
        <v>0</v>
      </c>
      <c r="L112" s="58">
        <v>0</v>
      </c>
      <c r="M112" s="58">
        <v>0</v>
      </c>
      <c r="N112" s="58">
        <v>0</v>
      </c>
      <c r="O112" s="59">
        <v>0</v>
      </c>
      <c r="P112" s="58">
        <v>0</v>
      </c>
      <c r="Q112" s="58">
        <v>0</v>
      </c>
      <c r="R112" s="58">
        <v>0</v>
      </c>
      <c r="S112" s="58">
        <v>0</v>
      </c>
      <c r="T112" s="58">
        <v>0</v>
      </c>
      <c r="U112" s="58">
        <v>0</v>
      </c>
      <c r="V112" s="59">
        <v>0</v>
      </c>
      <c r="W112" s="57">
        <v>0</v>
      </c>
      <c r="X112" s="58">
        <v>0</v>
      </c>
      <c r="Y112" s="58">
        <v>0</v>
      </c>
      <c r="Z112" s="58">
        <v>0</v>
      </c>
      <c r="AA112" s="58">
        <v>0</v>
      </c>
      <c r="AB112" s="58">
        <v>1</v>
      </c>
      <c r="AC112" s="58">
        <v>1</v>
      </c>
      <c r="AD112" s="58">
        <v>0</v>
      </c>
      <c r="AE112" s="58">
        <v>0</v>
      </c>
      <c r="AF112" s="58">
        <v>0</v>
      </c>
      <c r="AG112" s="58">
        <v>0</v>
      </c>
      <c r="AH112" s="58">
        <v>0</v>
      </c>
      <c r="AI112" s="58">
        <v>0</v>
      </c>
      <c r="AJ112" s="59">
        <v>0</v>
      </c>
      <c r="AK112" s="58">
        <v>0</v>
      </c>
      <c r="AL112" s="58">
        <v>0</v>
      </c>
      <c r="AM112" s="58">
        <v>0</v>
      </c>
      <c r="AN112" s="59">
        <v>0</v>
      </c>
    </row>
    <row r="113" spans="1:40">
      <c r="A113" s="72" t="str">
        <f>HYPERLINK("https://www.ncbi.nlm.nih.gov/pubmed/18648085","18648085")</f>
        <v>18648085</v>
      </c>
      <c r="B113" s="56" t="s">
        <v>267</v>
      </c>
      <c r="C113" s="56" t="s">
        <v>268</v>
      </c>
      <c r="D113" s="56" t="s">
        <v>225</v>
      </c>
      <c r="E113" s="56" t="s">
        <v>198</v>
      </c>
      <c r="F113" s="56" t="s">
        <v>269</v>
      </c>
      <c r="G113" s="56" t="s">
        <v>214</v>
      </c>
      <c r="H113" s="56" t="s">
        <v>13</v>
      </c>
      <c r="I113" s="56" t="s">
        <v>243</v>
      </c>
      <c r="J113" s="63" t="s">
        <v>60</v>
      </c>
      <c r="K113" s="57">
        <v>0</v>
      </c>
      <c r="L113" s="58">
        <v>0</v>
      </c>
      <c r="M113" s="58">
        <v>0</v>
      </c>
      <c r="N113" s="58">
        <v>0</v>
      </c>
      <c r="O113" s="59">
        <v>0</v>
      </c>
      <c r="P113" s="57">
        <v>0</v>
      </c>
      <c r="Q113" s="58">
        <v>0</v>
      </c>
      <c r="R113" s="58">
        <v>0</v>
      </c>
      <c r="S113" s="58">
        <v>0</v>
      </c>
      <c r="T113" s="58">
        <v>0</v>
      </c>
      <c r="U113" s="58">
        <v>0</v>
      </c>
      <c r="V113" s="59">
        <v>0</v>
      </c>
      <c r="W113" s="57">
        <v>0</v>
      </c>
      <c r="X113" s="58">
        <v>1</v>
      </c>
      <c r="Y113" s="58">
        <v>0</v>
      </c>
      <c r="Z113" s="58">
        <v>0</v>
      </c>
      <c r="AA113" s="58">
        <v>0</v>
      </c>
      <c r="AB113" s="58">
        <v>1</v>
      </c>
      <c r="AC113" s="58">
        <v>1</v>
      </c>
      <c r="AD113" s="58">
        <v>0</v>
      </c>
      <c r="AE113" s="58">
        <v>0</v>
      </c>
      <c r="AF113" s="58">
        <v>0</v>
      </c>
      <c r="AG113" s="58">
        <v>0</v>
      </c>
      <c r="AH113" s="58">
        <v>0</v>
      </c>
      <c r="AI113" s="58">
        <v>0</v>
      </c>
      <c r="AJ113" s="59">
        <v>0</v>
      </c>
      <c r="AK113" s="58">
        <v>0</v>
      </c>
      <c r="AL113" s="58">
        <v>0</v>
      </c>
      <c r="AM113" s="58">
        <v>0</v>
      </c>
      <c r="AN113" s="59">
        <v>0</v>
      </c>
    </row>
    <row r="114" spans="1:40">
      <c r="A114" s="72" t="str">
        <f>HYPERLINK("https://www.ncbi.nlm.nih.gov/pubmed/19733639","19733639")</f>
        <v>19733639</v>
      </c>
      <c r="B114" s="56" t="s">
        <v>267</v>
      </c>
      <c r="C114" s="56" t="s">
        <v>268</v>
      </c>
      <c r="D114" s="56" t="s">
        <v>225</v>
      </c>
      <c r="E114" s="56" t="s">
        <v>198</v>
      </c>
      <c r="F114" s="56" t="s">
        <v>269</v>
      </c>
      <c r="G114" s="56" t="s">
        <v>214</v>
      </c>
      <c r="H114" s="56" t="s">
        <v>13</v>
      </c>
      <c r="I114" s="56" t="s">
        <v>243</v>
      </c>
      <c r="J114" s="63" t="s">
        <v>84</v>
      </c>
      <c r="K114" s="57">
        <v>0</v>
      </c>
      <c r="L114" s="58">
        <v>0</v>
      </c>
      <c r="M114" s="58">
        <v>0</v>
      </c>
      <c r="N114" s="58">
        <v>0</v>
      </c>
      <c r="O114" s="59">
        <v>0</v>
      </c>
      <c r="P114" s="57">
        <v>1</v>
      </c>
      <c r="Q114" s="58">
        <v>1</v>
      </c>
      <c r="R114" s="58">
        <v>0</v>
      </c>
      <c r="S114" s="58">
        <v>0</v>
      </c>
      <c r="T114" s="58">
        <v>0</v>
      </c>
      <c r="U114" s="58">
        <v>1</v>
      </c>
      <c r="V114" s="59">
        <v>0</v>
      </c>
      <c r="W114" s="57">
        <v>0</v>
      </c>
      <c r="X114" s="58">
        <v>1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58">
        <v>0</v>
      </c>
      <c r="AG114" s="58">
        <v>0</v>
      </c>
      <c r="AH114" s="58">
        <v>0</v>
      </c>
      <c r="AI114" s="58">
        <v>0</v>
      </c>
      <c r="AJ114" s="59">
        <v>0</v>
      </c>
      <c r="AK114" s="58">
        <v>1</v>
      </c>
      <c r="AL114" s="58">
        <v>0</v>
      </c>
      <c r="AM114" s="58">
        <v>0</v>
      </c>
      <c r="AN114" s="59">
        <v>0</v>
      </c>
    </row>
    <row r="115" spans="1:40">
      <c r="A115" s="72" t="str">
        <f>HYPERLINK("https://www.ncbi.nlm.nih.gov/pubmed/20043267","20043267")</f>
        <v>20043267</v>
      </c>
      <c r="B115" s="56" t="s">
        <v>267</v>
      </c>
      <c r="C115" s="56" t="s">
        <v>268</v>
      </c>
      <c r="D115" s="56" t="s">
        <v>225</v>
      </c>
      <c r="E115" s="56" t="s">
        <v>198</v>
      </c>
      <c r="F115" s="56" t="s">
        <v>269</v>
      </c>
      <c r="G115" s="56" t="s">
        <v>214</v>
      </c>
      <c r="H115" s="56" t="s">
        <v>13</v>
      </c>
      <c r="I115" s="56" t="s">
        <v>243</v>
      </c>
      <c r="J115" s="63" t="s">
        <v>84</v>
      </c>
      <c r="K115" s="57">
        <v>0</v>
      </c>
      <c r="L115" s="58">
        <v>0</v>
      </c>
      <c r="M115" s="58">
        <v>0</v>
      </c>
      <c r="N115" s="58">
        <v>0</v>
      </c>
      <c r="O115" s="59">
        <v>0</v>
      </c>
      <c r="P115" s="57">
        <v>0</v>
      </c>
      <c r="Q115" s="58">
        <v>0</v>
      </c>
      <c r="R115" s="58">
        <v>0</v>
      </c>
      <c r="S115" s="58">
        <v>0</v>
      </c>
      <c r="T115" s="58">
        <v>0</v>
      </c>
      <c r="U115" s="58">
        <v>0</v>
      </c>
      <c r="V115" s="59">
        <v>0</v>
      </c>
      <c r="W115" s="57">
        <v>0</v>
      </c>
      <c r="X115" s="58">
        <v>0</v>
      </c>
      <c r="Y115" s="58">
        <v>0</v>
      </c>
      <c r="Z115" s="58">
        <v>0</v>
      </c>
      <c r="AA115" s="58">
        <v>0</v>
      </c>
      <c r="AB115" s="58">
        <v>1</v>
      </c>
      <c r="AC115" s="58">
        <v>1</v>
      </c>
      <c r="AD115" s="58">
        <v>0</v>
      </c>
      <c r="AE115" s="58">
        <v>0</v>
      </c>
      <c r="AF115" s="58">
        <v>0</v>
      </c>
      <c r="AG115" s="58">
        <v>0</v>
      </c>
      <c r="AH115" s="58">
        <v>0</v>
      </c>
      <c r="AI115" s="58">
        <v>0</v>
      </c>
      <c r="AJ115" s="59">
        <v>0</v>
      </c>
      <c r="AK115" s="58">
        <v>0</v>
      </c>
      <c r="AL115" s="58">
        <v>0</v>
      </c>
      <c r="AM115" s="58">
        <v>0</v>
      </c>
      <c r="AN115" s="59">
        <v>0</v>
      </c>
    </row>
    <row r="116" spans="1:40">
      <c r="A116" s="72" t="str">
        <f>HYPERLINK("https://www.ncbi.nlm.nih.gov/pubmed/20087668","20087668")</f>
        <v>20087668</v>
      </c>
      <c r="B116" s="56" t="s">
        <v>267</v>
      </c>
      <c r="C116" s="56" t="s">
        <v>268</v>
      </c>
      <c r="D116" s="56" t="s">
        <v>225</v>
      </c>
      <c r="E116" s="56" t="s">
        <v>198</v>
      </c>
      <c r="F116" s="56" t="s">
        <v>269</v>
      </c>
      <c r="G116" s="56" t="s">
        <v>214</v>
      </c>
      <c r="H116" s="56" t="s">
        <v>13</v>
      </c>
      <c r="I116" s="56" t="s">
        <v>273</v>
      </c>
      <c r="J116" s="63" t="s">
        <v>84</v>
      </c>
      <c r="K116" s="58">
        <v>0</v>
      </c>
      <c r="L116" s="58">
        <v>0</v>
      </c>
      <c r="M116" s="58">
        <v>0</v>
      </c>
      <c r="N116" s="58">
        <v>0</v>
      </c>
      <c r="O116" s="59">
        <v>1</v>
      </c>
      <c r="P116" s="57">
        <v>0</v>
      </c>
      <c r="Q116" s="58">
        <v>0</v>
      </c>
      <c r="R116" s="58">
        <v>1</v>
      </c>
      <c r="S116" s="58">
        <v>0</v>
      </c>
      <c r="T116" s="58">
        <v>0</v>
      </c>
      <c r="U116" s="58">
        <v>0</v>
      </c>
      <c r="V116" s="59">
        <v>0</v>
      </c>
      <c r="W116" s="57">
        <v>0</v>
      </c>
      <c r="X116" s="58">
        <v>0</v>
      </c>
      <c r="Y116" s="58">
        <v>0</v>
      </c>
      <c r="Z116" s="58">
        <v>0</v>
      </c>
      <c r="AA116" s="58">
        <v>0</v>
      </c>
      <c r="AB116" s="58">
        <v>1</v>
      </c>
      <c r="AC116" s="58">
        <v>1</v>
      </c>
      <c r="AD116" s="58">
        <v>0</v>
      </c>
      <c r="AE116" s="58">
        <v>0</v>
      </c>
      <c r="AF116" s="58">
        <v>0</v>
      </c>
      <c r="AG116" s="58">
        <v>0</v>
      </c>
      <c r="AH116" s="58">
        <v>0</v>
      </c>
      <c r="AI116" s="58">
        <v>0</v>
      </c>
      <c r="AJ116" s="59">
        <v>0</v>
      </c>
      <c r="AK116" s="58">
        <v>0</v>
      </c>
      <c r="AL116" s="58">
        <v>0</v>
      </c>
      <c r="AM116" s="58">
        <v>0</v>
      </c>
      <c r="AN116" s="59">
        <v>0</v>
      </c>
    </row>
    <row r="117" spans="1:40">
      <c r="A117" s="72" t="str">
        <f>HYPERLINK("https://www.ncbi.nlm.nih.gov/pubmed/20708073","20708073")</f>
        <v>20708073</v>
      </c>
      <c r="B117" s="56" t="s">
        <v>267</v>
      </c>
      <c r="C117" s="56" t="s">
        <v>268</v>
      </c>
      <c r="D117" s="56" t="s">
        <v>225</v>
      </c>
      <c r="E117" s="56" t="s">
        <v>198</v>
      </c>
      <c r="F117" s="56" t="s">
        <v>269</v>
      </c>
      <c r="G117" s="56" t="s">
        <v>214</v>
      </c>
      <c r="H117" s="56" t="s">
        <v>13</v>
      </c>
      <c r="I117" s="56" t="s">
        <v>243</v>
      </c>
      <c r="J117" s="56" t="s">
        <v>84</v>
      </c>
      <c r="K117" s="57">
        <v>0</v>
      </c>
      <c r="L117" s="58">
        <v>0</v>
      </c>
      <c r="M117" s="58">
        <v>0</v>
      </c>
      <c r="N117" s="58">
        <v>0</v>
      </c>
      <c r="O117" s="58">
        <v>0</v>
      </c>
      <c r="P117" s="57">
        <v>0</v>
      </c>
      <c r="Q117" s="58">
        <v>0</v>
      </c>
      <c r="R117" s="58">
        <v>0</v>
      </c>
      <c r="S117" s="58">
        <v>0</v>
      </c>
      <c r="T117" s="58">
        <v>0</v>
      </c>
      <c r="U117" s="58">
        <v>0</v>
      </c>
      <c r="V117" s="59">
        <v>0</v>
      </c>
      <c r="W117" s="58">
        <v>0</v>
      </c>
      <c r="X117" s="58">
        <v>1</v>
      </c>
      <c r="Y117" s="58">
        <v>0</v>
      </c>
      <c r="Z117" s="58">
        <v>0</v>
      </c>
      <c r="AA117" s="58">
        <v>0</v>
      </c>
      <c r="AB117" s="58">
        <v>1</v>
      </c>
      <c r="AC117" s="58">
        <v>1</v>
      </c>
      <c r="AD117" s="58">
        <v>0</v>
      </c>
      <c r="AE117" s="58">
        <v>0</v>
      </c>
      <c r="AF117" s="58">
        <v>0</v>
      </c>
      <c r="AG117" s="58">
        <v>0</v>
      </c>
      <c r="AH117" s="58">
        <v>0</v>
      </c>
      <c r="AI117" s="58">
        <v>0</v>
      </c>
      <c r="AJ117" s="59">
        <v>0</v>
      </c>
      <c r="AK117" s="58">
        <v>0</v>
      </c>
      <c r="AL117" s="58">
        <v>0</v>
      </c>
      <c r="AM117" s="58">
        <v>0</v>
      </c>
      <c r="AN117" s="59">
        <v>0</v>
      </c>
    </row>
    <row r="118" spans="1:40">
      <c r="A118" s="72" t="str">
        <f>HYPERLINK("https://www.ncbi.nlm.nih.gov/pubmed/20726872","20726872")</f>
        <v>20726872</v>
      </c>
      <c r="B118" s="56" t="s">
        <v>267</v>
      </c>
      <c r="C118" s="56" t="s">
        <v>268</v>
      </c>
      <c r="D118" s="56" t="s">
        <v>225</v>
      </c>
      <c r="E118" s="56" t="s">
        <v>198</v>
      </c>
      <c r="F118" s="56" t="s">
        <v>269</v>
      </c>
      <c r="G118" s="56" t="s">
        <v>214</v>
      </c>
      <c r="H118" s="56" t="s">
        <v>13</v>
      </c>
      <c r="I118" s="56" t="s">
        <v>243</v>
      </c>
      <c r="J118" s="63" t="s">
        <v>142</v>
      </c>
      <c r="K118" s="58">
        <v>0</v>
      </c>
      <c r="L118" s="58">
        <v>0</v>
      </c>
      <c r="M118" s="58">
        <v>0</v>
      </c>
      <c r="N118" s="58">
        <v>0</v>
      </c>
      <c r="O118" s="58">
        <v>1</v>
      </c>
      <c r="P118" s="57">
        <v>1</v>
      </c>
      <c r="Q118" s="58">
        <v>1</v>
      </c>
      <c r="R118" s="58">
        <v>1</v>
      </c>
      <c r="S118" s="58">
        <v>0</v>
      </c>
      <c r="T118" s="58">
        <v>1</v>
      </c>
      <c r="U118" s="58">
        <v>1</v>
      </c>
      <c r="V118" s="59">
        <v>0</v>
      </c>
      <c r="W118" s="57">
        <v>0</v>
      </c>
      <c r="X118" s="58">
        <v>1</v>
      </c>
      <c r="Y118" s="58">
        <v>0</v>
      </c>
      <c r="Z118" s="58">
        <v>0</v>
      </c>
      <c r="AA118" s="58">
        <v>0</v>
      </c>
      <c r="AB118" s="58">
        <v>1</v>
      </c>
      <c r="AC118" s="58">
        <v>1</v>
      </c>
      <c r="AD118" s="58">
        <v>0</v>
      </c>
      <c r="AE118" s="58">
        <v>0</v>
      </c>
      <c r="AF118" s="58">
        <v>0</v>
      </c>
      <c r="AG118" s="58">
        <v>0</v>
      </c>
      <c r="AH118" s="58">
        <v>0</v>
      </c>
      <c r="AI118" s="58">
        <v>0</v>
      </c>
      <c r="AJ118" s="59">
        <v>0</v>
      </c>
      <c r="AK118" s="58">
        <v>1</v>
      </c>
      <c r="AL118" s="58">
        <v>0</v>
      </c>
      <c r="AM118" s="58">
        <v>0</v>
      </c>
      <c r="AN118" s="59">
        <v>0</v>
      </c>
    </row>
    <row r="119" spans="1:40">
      <c r="A119" s="72" t="str">
        <f>HYPERLINK("https://www.ncbi.nlm.nih.gov/pubmed/20732377","20732377")</f>
        <v>20732377</v>
      </c>
      <c r="B119" s="56" t="s">
        <v>267</v>
      </c>
      <c r="C119" s="56" t="s">
        <v>268</v>
      </c>
      <c r="D119" s="56" t="s">
        <v>225</v>
      </c>
      <c r="E119" s="56" t="s">
        <v>198</v>
      </c>
      <c r="F119" s="56" t="s">
        <v>269</v>
      </c>
      <c r="G119" s="56" t="s">
        <v>214</v>
      </c>
      <c r="H119" s="56" t="s">
        <v>13</v>
      </c>
      <c r="I119" s="56" t="s">
        <v>201</v>
      </c>
      <c r="J119" s="56" t="s">
        <v>84</v>
      </c>
      <c r="K119" s="57">
        <v>0</v>
      </c>
      <c r="L119" s="58">
        <v>0</v>
      </c>
      <c r="M119" s="58">
        <v>0</v>
      </c>
      <c r="N119" s="58">
        <v>0</v>
      </c>
      <c r="O119" s="59">
        <v>0</v>
      </c>
      <c r="P119" s="58">
        <v>0</v>
      </c>
      <c r="Q119" s="58">
        <v>0</v>
      </c>
      <c r="R119" s="58">
        <v>0</v>
      </c>
      <c r="S119" s="58">
        <v>0</v>
      </c>
      <c r="T119" s="58">
        <v>0</v>
      </c>
      <c r="U119" s="58">
        <v>0</v>
      </c>
      <c r="V119" s="59">
        <v>0</v>
      </c>
      <c r="W119" s="58">
        <v>0</v>
      </c>
      <c r="X119" s="58">
        <v>0</v>
      </c>
      <c r="Y119" s="58">
        <v>0</v>
      </c>
      <c r="Z119" s="58">
        <v>0</v>
      </c>
      <c r="AA119" s="58">
        <v>0</v>
      </c>
      <c r="AB119" s="58">
        <v>1</v>
      </c>
      <c r="AC119" s="58">
        <v>1</v>
      </c>
      <c r="AD119" s="58">
        <v>0</v>
      </c>
      <c r="AE119" s="58">
        <v>0</v>
      </c>
      <c r="AF119" s="58">
        <v>0</v>
      </c>
      <c r="AG119" s="58">
        <v>0</v>
      </c>
      <c r="AH119" s="58">
        <v>0</v>
      </c>
      <c r="AI119" s="58">
        <v>0</v>
      </c>
      <c r="AJ119" s="59">
        <v>0</v>
      </c>
      <c r="AK119" s="58">
        <v>0</v>
      </c>
      <c r="AL119" s="58">
        <v>0</v>
      </c>
      <c r="AM119" s="58">
        <v>0</v>
      </c>
      <c r="AN119" s="59">
        <v>0</v>
      </c>
    </row>
    <row r="120" spans="1:40">
      <c r="A120" s="72" t="str">
        <f>HYPERLINK("https://www.ncbi.nlm.nih.gov/pubmed/20890769","20890769")</f>
        <v>20890769</v>
      </c>
      <c r="B120" s="56" t="s">
        <v>267</v>
      </c>
      <c r="C120" s="56" t="s">
        <v>268</v>
      </c>
      <c r="D120" s="56" t="s">
        <v>225</v>
      </c>
      <c r="E120" s="56" t="s">
        <v>198</v>
      </c>
      <c r="F120" s="56" t="s">
        <v>269</v>
      </c>
      <c r="G120" s="56" t="s">
        <v>214</v>
      </c>
      <c r="H120" s="56" t="s">
        <v>13</v>
      </c>
      <c r="I120" s="56" t="s">
        <v>243</v>
      </c>
      <c r="J120" s="56" t="s">
        <v>84</v>
      </c>
      <c r="K120" s="57">
        <v>0</v>
      </c>
      <c r="L120" s="58">
        <v>0</v>
      </c>
      <c r="M120" s="58">
        <v>0</v>
      </c>
      <c r="N120" s="58">
        <v>0</v>
      </c>
      <c r="O120" s="59">
        <v>1</v>
      </c>
      <c r="P120" s="58">
        <v>0</v>
      </c>
      <c r="Q120" s="58">
        <v>0</v>
      </c>
      <c r="R120" s="58">
        <v>0</v>
      </c>
      <c r="S120" s="58">
        <v>0</v>
      </c>
      <c r="T120" s="58">
        <v>0</v>
      </c>
      <c r="U120" s="58">
        <v>0</v>
      </c>
      <c r="V120" s="59">
        <v>0</v>
      </c>
      <c r="W120" s="58">
        <v>0</v>
      </c>
      <c r="X120" s="58">
        <v>0</v>
      </c>
      <c r="Y120" s="58">
        <v>0</v>
      </c>
      <c r="Z120" s="58">
        <v>0</v>
      </c>
      <c r="AA120" s="58">
        <v>0</v>
      </c>
      <c r="AB120" s="58">
        <v>1</v>
      </c>
      <c r="AC120" s="58">
        <v>1</v>
      </c>
      <c r="AD120" s="58">
        <v>0</v>
      </c>
      <c r="AE120" s="58">
        <v>0</v>
      </c>
      <c r="AF120" s="58">
        <v>0</v>
      </c>
      <c r="AG120" s="58">
        <v>0</v>
      </c>
      <c r="AH120" s="58">
        <v>0</v>
      </c>
      <c r="AI120" s="58">
        <v>0</v>
      </c>
      <c r="AJ120" s="59">
        <v>0</v>
      </c>
      <c r="AK120" s="58">
        <v>0</v>
      </c>
      <c r="AL120" s="58">
        <v>0</v>
      </c>
      <c r="AM120" s="58">
        <v>0</v>
      </c>
      <c r="AN120" s="59">
        <v>0</v>
      </c>
    </row>
    <row r="121" spans="1:40">
      <c r="A121" s="72" t="str">
        <f>HYPERLINK("https://www.ncbi.nlm.nih.gov/pubmed/20890769","20890769")</f>
        <v>20890769</v>
      </c>
      <c r="B121" s="56" t="s">
        <v>267</v>
      </c>
      <c r="C121" s="56" t="s">
        <v>268</v>
      </c>
      <c r="D121" s="56" t="s">
        <v>225</v>
      </c>
      <c r="E121" s="56" t="s">
        <v>198</v>
      </c>
      <c r="F121" s="56" t="s">
        <v>269</v>
      </c>
      <c r="G121" s="56" t="s">
        <v>214</v>
      </c>
      <c r="H121" s="56" t="s">
        <v>13</v>
      </c>
      <c r="I121" s="56" t="s">
        <v>243</v>
      </c>
      <c r="J121" s="56" t="s">
        <v>84</v>
      </c>
      <c r="K121" s="57">
        <v>0</v>
      </c>
      <c r="L121" s="58">
        <v>0</v>
      </c>
      <c r="M121" s="58">
        <v>0</v>
      </c>
      <c r="N121" s="58">
        <v>0</v>
      </c>
      <c r="O121" s="59">
        <v>1</v>
      </c>
      <c r="P121" s="58">
        <v>0</v>
      </c>
      <c r="Q121" s="58">
        <v>0</v>
      </c>
      <c r="R121" s="58">
        <v>0</v>
      </c>
      <c r="S121" s="58">
        <v>0</v>
      </c>
      <c r="T121" s="58">
        <v>0</v>
      </c>
      <c r="U121" s="58">
        <v>0</v>
      </c>
      <c r="V121" s="59">
        <v>0</v>
      </c>
      <c r="W121" s="58">
        <v>0</v>
      </c>
      <c r="X121" s="58">
        <v>0</v>
      </c>
      <c r="Y121" s="58">
        <v>0</v>
      </c>
      <c r="Z121" s="58">
        <v>0</v>
      </c>
      <c r="AA121" s="58">
        <v>0</v>
      </c>
      <c r="AB121" s="58">
        <v>1</v>
      </c>
      <c r="AC121" s="58">
        <v>1</v>
      </c>
      <c r="AD121" s="58">
        <v>0</v>
      </c>
      <c r="AE121" s="58">
        <v>0</v>
      </c>
      <c r="AF121" s="58">
        <v>0</v>
      </c>
      <c r="AG121" s="58">
        <v>0</v>
      </c>
      <c r="AH121" s="58">
        <v>0</v>
      </c>
      <c r="AI121" s="58">
        <v>0</v>
      </c>
      <c r="AJ121" s="59">
        <v>0</v>
      </c>
      <c r="AK121" s="58">
        <v>0</v>
      </c>
      <c r="AL121" s="58">
        <v>0</v>
      </c>
      <c r="AM121" s="58">
        <v>0</v>
      </c>
      <c r="AN121" s="59">
        <v>0</v>
      </c>
    </row>
    <row r="122" spans="1:40">
      <c r="A122" s="72" t="str">
        <f>HYPERLINK("https://www.ncbi.nlm.nih.gov/pubmed/20890769","20890769")</f>
        <v>20890769</v>
      </c>
      <c r="B122" s="56" t="s">
        <v>267</v>
      </c>
      <c r="C122" s="56" t="s">
        <v>268</v>
      </c>
      <c r="D122" s="56" t="s">
        <v>225</v>
      </c>
      <c r="E122" s="56" t="s">
        <v>198</v>
      </c>
      <c r="F122" s="56" t="s">
        <v>269</v>
      </c>
      <c r="G122" s="56" t="s">
        <v>214</v>
      </c>
      <c r="H122" s="56" t="s">
        <v>13</v>
      </c>
      <c r="I122" s="56" t="s">
        <v>243</v>
      </c>
      <c r="J122" s="63" t="s">
        <v>142</v>
      </c>
      <c r="K122" s="57">
        <v>0</v>
      </c>
      <c r="L122" s="58">
        <v>0</v>
      </c>
      <c r="M122" s="58">
        <v>0</v>
      </c>
      <c r="N122" s="58">
        <v>0</v>
      </c>
      <c r="O122" s="59">
        <v>1</v>
      </c>
      <c r="P122" s="57">
        <v>0</v>
      </c>
      <c r="Q122" s="58">
        <v>0</v>
      </c>
      <c r="R122" s="58">
        <v>0</v>
      </c>
      <c r="S122" s="58">
        <v>0</v>
      </c>
      <c r="T122" s="58">
        <v>0</v>
      </c>
      <c r="U122" s="58">
        <v>0</v>
      </c>
      <c r="V122" s="59">
        <v>0</v>
      </c>
      <c r="W122" s="57">
        <v>0</v>
      </c>
      <c r="X122" s="58">
        <v>0</v>
      </c>
      <c r="Y122" s="58">
        <v>0</v>
      </c>
      <c r="Z122" s="58">
        <v>0</v>
      </c>
      <c r="AA122" s="58">
        <v>0</v>
      </c>
      <c r="AB122" s="58">
        <v>1</v>
      </c>
      <c r="AC122" s="58">
        <v>1</v>
      </c>
      <c r="AD122" s="58">
        <v>0</v>
      </c>
      <c r="AE122" s="58">
        <v>0</v>
      </c>
      <c r="AF122" s="58">
        <v>0</v>
      </c>
      <c r="AG122" s="58">
        <v>0</v>
      </c>
      <c r="AH122" s="58">
        <v>0</v>
      </c>
      <c r="AI122" s="58">
        <v>0</v>
      </c>
      <c r="AJ122" s="59">
        <v>0</v>
      </c>
      <c r="AK122" s="58">
        <v>0</v>
      </c>
      <c r="AL122" s="58">
        <v>0</v>
      </c>
      <c r="AM122" s="58">
        <v>0</v>
      </c>
      <c r="AN122" s="59">
        <v>0</v>
      </c>
    </row>
    <row r="123" spans="1:40">
      <c r="A123" s="72" t="str">
        <f>HYPERLINK("https://www.ncbi.nlm.nih.gov/pubmed/20890769","20890769")</f>
        <v>20890769</v>
      </c>
      <c r="B123" s="56" t="s">
        <v>267</v>
      </c>
      <c r="C123" s="56" t="s">
        <v>268</v>
      </c>
      <c r="D123" s="56" t="s">
        <v>225</v>
      </c>
      <c r="E123" s="56" t="s">
        <v>198</v>
      </c>
      <c r="F123" s="56" t="s">
        <v>269</v>
      </c>
      <c r="G123" s="56" t="s">
        <v>214</v>
      </c>
      <c r="H123" s="56" t="s">
        <v>13</v>
      </c>
      <c r="I123" s="56" t="s">
        <v>243</v>
      </c>
      <c r="J123" s="63" t="s">
        <v>84</v>
      </c>
      <c r="K123" s="57">
        <v>0</v>
      </c>
      <c r="L123" s="58">
        <v>0</v>
      </c>
      <c r="M123" s="58">
        <v>0</v>
      </c>
      <c r="N123" s="58">
        <v>0</v>
      </c>
      <c r="O123" s="59">
        <v>1</v>
      </c>
      <c r="P123" s="57">
        <v>0</v>
      </c>
      <c r="Q123" s="58">
        <v>0</v>
      </c>
      <c r="R123" s="58">
        <v>0</v>
      </c>
      <c r="S123" s="58">
        <v>0</v>
      </c>
      <c r="T123" s="58">
        <v>0</v>
      </c>
      <c r="U123" s="58">
        <v>0</v>
      </c>
      <c r="V123" s="59">
        <v>0</v>
      </c>
      <c r="W123" s="57">
        <v>0</v>
      </c>
      <c r="X123" s="58">
        <v>0</v>
      </c>
      <c r="Y123" s="58">
        <v>0</v>
      </c>
      <c r="Z123" s="58">
        <v>0</v>
      </c>
      <c r="AA123" s="58">
        <v>0</v>
      </c>
      <c r="AB123" s="58">
        <v>1</v>
      </c>
      <c r="AC123" s="58">
        <v>1</v>
      </c>
      <c r="AD123" s="58">
        <v>0</v>
      </c>
      <c r="AE123" s="58">
        <v>0</v>
      </c>
      <c r="AF123" s="58">
        <v>0</v>
      </c>
      <c r="AG123" s="58">
        <v>0</v>
      </c>
      <c r="AH123" s="58">
        <v>0</v>
      </c>
      <c r="AI123" s="58">
        <v>0</v>
      </c>
      <c r="AJ123" s="59">
        <v>0</v>
      </c>
      <c r="AK123" s="58">
        <v>0</v>
      </c>
      <c r="AL123" s="58">
        <v>0</v>
      </c>
      <c r="AM123" s="58">
        <v>0</v>
      </c>
      <c r="AN123" s="59">
        <v>0</v>
      </c>
    </row>
    <row r="124" spans="1:40">
      <c r="A124" s="72" t="str">
        <f>HYPERLINK("https://www.ncbi.nlm.nih.gov/pubmed/20890769","20890769")</f>
        <v>20890769</v>
      </c>
      <c r="B124" s="56" t="s">
        <v>267</v>
      </c>
      <c r="C124" s="56" t="s">
        <v>268</v>
      </c>
      <c r="D124" s="56" t="s">
        <v>225</v>
      </c>
      <c r="E124" s="56" t="s">
        <v>198</v>
      </c>
      <c r="F124" s="56" t="s">
        <v>269</v>
      </c>
      <c r="G124" s="56" t="s">
        <v>214</v>
      </c>
      <c r="H124" s="56" t="s">
        <v>13</v>
      </c>
      <c r="I124" s="56" t="s">
        <v>243</v>
      </c>
      <c r="J124" s="63" t="s">
        <v>84</v>
      </c>
      <c r="K124" s="57">
        <v>0</v>
      </c>
      <c r="L124" s="58">
        <v>0</v>
      </c>
      <c r="M124" s="58">
        <v>0</v>
      </c>
      <c r="N124" s="58">
        <v>0</v>
      </c>
      <c r="O124" s="59">
        <v>1</v>
      </c>
      <c r="P124" s="57">
        <v>0</v>
      </c>
      <c r="Q124" s="58">
        <v>0</v>
      </c>
      <c r="R124" s="58">
        <v>0</v>
      </c>
      <c r="S124" s="58">
        <v>0</v>
      </c>
      <c r="T124" s="58">
        <v>0</v>
      </c>
      <c r="U124" s="58">
        <v>0</v>
      </c>
      <c r="V124" s="59">
        <v>0</v>
      </c>
      <c r="W124" s="57">
        <v>0</v>
      </c>
      <c r="X124" s="58">
        <v>0</v>
      </c>
      <c r="Y124" s="58">
        <v>0</v>
      </c>
      <c r="Z124" s="58">
        <v>0</v>
      </c>
      <c r="AA124" s="58">
        <v>0</v>
      </c>
      <c r="AB124" s="58">
        <v>1</v>
      </c>
      <c r="AC124" s="58">
        <v>1</v>
      </c>
      <c r="AD124" s="58">
        <v>0</v>
      </c>
      <c r="AE124" s="58">
        <v>0</v>
      </c>
      <c r="AF124" s="58">
        <v>0</v>
      </c>
      <c r="AG124" s="58">
        <v>0</v>
      </c>
      <c r="AH124" s="58">
        <v>0</v>
      </c>
      <c r="AI124" s="58">
        <v>0</v>
      </c>
      <c r="AJ124" s="59">
        <v>0</v>
      </c>
      <c r="AK124" s="58">
        <v>0</v>
      </c>
      <c r="AL124" s="58">
        <v>0</v>
      </c>
      <c r="AM124" s="58">
        <v>0</v>
      </c>
      <c r="AN124" s="59">
        <v>0</v>
      </c>
    </row>
    <row r="125" spans="1:40">
      <c r="A125" s="72" t="str">
        <f>HYPERLINK("https://www.ncbi.nlm.nih.gov/pubmed/21126571","21126571")</f>
        <v>21126571</v>
      </c>
      <c r="B125" s="56" t="s">
        <v>267</v>
      </c>
      <c r="C125" s="56" t="s">
        <v>268</v>
      </c>
      <c r="D125" s="56" t="s">
        <v>225</v>
      </c>
      <c r="E125" s="56" t="s">
        <v>198</v>
      </c>
      <c r="F125" s="56" t="s">
        <v>269</v>
      </c>
      <c r="G125" s="56" t="s">
        <v>214</v>
      </c>
      <c r="H125" s="56" t="s">
        <v>13</v>
      </c>
      <c r="I125" s="56" t="s">
        <v>243</v>
      </c>
      <c r="J125" s="63" t="s">
        <v>142</v>
      </c>
      <c r="K125" s="57">
        <v>0</v>
      </c>
      <c r="L125" s="58">
        <v>0</v>
      </c>
      <c r="M125" s="58">
        <v>0</v>
      </c>
      <c r="N125" s="58">
        <v>0</v>
      </c>
      <c r="O125" s="58">
        <v>0</v>
      </c>
      <c r="P125" s="57">
        <v>0</v>
      </c>
      <c r="Q125" s="58">
        <v>0</v>
      </c>
      <c r="R125" s="58">
        <v>0</v>
      </c>
      <c r="S125" s="58">
        <v>0</v>
      </c>
      <c r="T125" s="58">
        <v>0</v>
      </c>
      <c r="U125" s="58">
        <v>0</v>
      </c>
      <c r="V125" s="59">
        <v>0</v>
      </c>
      <c r="W125" s="58">
        <v>0</v>
      </c>
      <c r="X125" s="58">
        <v>1</v>
      </c>
      <c r="Y125" s="58">
        <v>0</v>
      </c>
      <c r="Z125" s="58">
        <v>0</v>
      </c>
      <c r="AA125" s="58">
        <v>0</v>
      </c>
      <c r="AB125" s="58">
        <v>0</v>
      </c>
      <c r="AC125" s="58">
        <v>1</v>
      </c>
      <c r="AD125" s="58">
        <v>0</v>
      </c>
      <c r="AE125" s="58">
        <v>0</v>
      </c>
      <c r="AF125" s="58">
        <v>0</v>
      </c>
      <c r="AG125" s="58">
        <v>0</v>
      </c>
      <c r="AH125" s="58">
        <v>0</v>
      </c>
      <c r="AI125" s="58">
        <v>0</v>
      </c>
      <c r="AJ125" s="59">
        <v>0</v>
      </c>
      <c r="AK125" s="58">
        <v>0</v>
      </c>
      <c r="AL125" s="58">
        <v>0</v>
      </c>
      <c r="AM125" s="58">
        <v>0</v>
      </c>
      <c r="AN125" s="59">
        <v>0</v>
      </c>
    </row>
    <row r="126" spans="1:40">
      <c r="A126" s="72" t="str">
        <f>HYPERLINK("https://www.ncbi.nlm.nih.gov/pubmed/21185375","21185375")</f>
        <v>21185375</v>
      </c>
      <c r="B126" s="56" t="s">
        <v>267</v>
      </c>
      <c r="C126" s="56" t="s">
        <v>268</v>
      </c>
      <c r="D126" s="56" t="s">
        <v>225</v>
      </c>
      <c r="E126" s="56" t="s">
        <v>198</v>
      </c>
      <c r="F126" s="56" t="s">
        <v>269</v>
      </c>
      <c r="G126" s="56" t="s">
        <v>214</v>
      </c>
      <c r="H126" s="56" t="s">
        <v>13</v>
      </c>
      <c r="I126" s="56" t="s">
        <v>274</v>
      </c>
      <c r="J126" s="63" t="s">
        <v>84</v>
      </c>
      <c r="K126" s="58">
        <v>0</v>
      </c>
      <c r="L126" s="58">
        <v>0</v>
      </c>
      <c r="M126" s="58">
        <v>0</v>
      </c>
      <c r="N126" s="58">
        <v>0</v>
      </c>
      <c r="O126" s="59">
        <v>0</v>
      </c>
      <c r="P126" s="58">
        <v>0</v>
      </c>
      <c r="Q126" s="58">
        <v>0</v>
      </c>
      <c r="R126" s="58">
        <v>0</v>
      </c>
      <c r="S126" s="58">
        <v>0</v>
      </c>
      <c r="T126" s="58">
        <v>0</v>
      </c>
      <c r="U126" s="58">
        <v>0</v>
      </c>
      <c r="V126" s="59">
        <v>0</v>
      </c>
      <c r="W126" s="58">
        <v>0</v>
      </c>
      <c r="X126" s="58">
        <v>0</v>
      </c>
      <c r="Y126" s="58">
        <v>1</v>
      </c>
      <c r="Z126" s="58">
        <v>1</v>
      </c>
      <c r="AA126" s="58">
        <v>0</v>
      </c>
      <c r="AB126" s="58">
        <v>0</v>
      </c>
      <c r="AC126" s="58">
        <v>0</v>
      </c>
      <c r="AD126" s="58">
        <v>0</v>
      </c>
      <c r="AE126" s="58">
        <v>0</v>
      </c>
      <c r="AF126" s="58">
        <v>0</v>
      </c>
      <c r="AG126" s="58">
        <v>0</v>
      </c>
      <c r="AH126" s="58">
        <v>0</v>
      </c>
      <c r="AI126" s="58">
        <v>0</v>
      </c>
      <c r="AJ126" s="59">
        <v>0</v>
      </c>
      <c r="AK126" s="58">
        <v>0</v>
      </c>
      <c r="AL126" s="58">
        <v>0</v>
      </c>
      <c r="AM126" s="58">
        <v>0</v>
      </c>
      <c r="AN126" s="59">
        <v>0</v>
      </c>
    </row>
    <row r="127" spans="1:40">
      <c r="A127" s="72" t="str">
        <f>HYPERLINK("https://www.ncbi.nlm.nih.gov/pubmed/21427057","21427057")</f>
        <v>21427057</v>
      </c>
      <c r="B127" s="56" t="s">
        <v>267</v>
      </c>
      <c r="C127" s="56" t="s">
        <v>268</v>
      </c>
      <c r="D127" s="56" t="s">
        <v>225</v>
      </c>
      <c r="E127" s="56" t="s">
        <v>198</v>
      </c>
      <c r="F127" s="56" t="s">
        <v>269</v>
      </c>
      <c r="G127" s="56" t="s">
        <v>214</v>
      </c>
      <c r="H127" s="56" t="s">
        <v>13</v>
      </c>
      <c r="I127" s="56" t="s">
        <v>243</v>
      </c>
      <c r="J127" s="56" t="s">
        <v>126</v>
      </c>
      <c r="K127" s="57">
        <v>0</v>
      </c>
      <c r="L127" s="58">
        <v>0</v>
      </c>
      <c r="M127" s="58">
        <v>0</v>
      </c>
      <c r="N127" s="58">
        <v>0</v>
      </c>
      <c r="O127" s="58">
        <v>0</v>
      </c>
      <c r="P127" s="57">
        <v>0</v>
      </c>
      <c r="Q127" s="58">
        <v>1</v>
      </c>
      <c r="R127" s="58">
        <v>1</v>
      </c>
      <c r="S127" s="58">
        <v>0</v>
      </c>
      <c r="T127" s="58">
        <v>1</v>
      </c>
      <c r="U127" s="58">
        <v>1</v>
      </c>
      <c r="V127" s="59">
        <v>0</v>
      </c>
      <c r="W127" s="58">
        <v>0</v>
      </c>
      <c r="X127" s="58">
        <v>1</v>
      </c>
      <c r="Y127" s="58">
        <v>0</v>
      </c>
      <c r="Z127" s="58">
        <v>1</v>
      </c>
      <c r="AA127" s="58">
        <v>0</v>
      </c>
      <c r="AB127" s="58">
        <v>1</v>
      </c>
      <c r="AC127" s="58">
        <v>1</v>
      </c>
      <c r="AD127" s="58">
        <v>0</v>
      </c>
      <c r="AE127" s="58">
        <v>0</v>
      </c>
      <c r="AF127" s="58">
        <v>0</v>
      </c>
      <c r="AG127" s="58">
        <v>0</v>
      </c>
      <c r="AH127" s="58">
        <v>0</v>
      </c>
      <c r="AI127" s="58">
        <v>0</v>
      </c>
      <c r="AJ127" s="59">
        <v>0</v>
      </c>
      <c r="AK127" s="58">
        <v>1</v>
      </c>
      <c r="AL127" s="58">
        <v>0</v>
      </c>
      <c r="AM127" s="58">
        <v>0</v>
      </c>
      <c r="AN127" s="59">
        <v>0</v>
      </c>
    </row>
    <row r="128" spans="1:40">
      <c r="A128" s="72" t="str">
        <f>HYPERLINK("https://www.ncbi.nlm.nih.gov/pubmed/21722693","21722693")</f>
        <v>21722693</v>
      </c>
      <c r="B128" s="56" t="s">
        <v>267</v>
      </c>
      <c r="C128" s="56" t="s">
        <v>268</v>
      </c>
      <c r="D128" s="56" t="s">
        <v>225</v>
      </c>
      <c r="E128" s="56" t="s">
        <v>198</v>
      </c>
      <c r="F128" s="56" t="s">
        <v>269</v>
      </c>
      <c r="G128" s="56" t="s">
        <v>214</v>
      </c>
      <c r="H128" s="56" t="s">
        <v>13</v>
      </c>
      <c r="I128" s="56" t="s">
        <v>243</v>
      </c>
      <c r="J128" s="56" t="s">
        <v>142</v>
      </c>
      <c r="K128" s="57">
        <v>0</v>
      </c>
      <c r="L128" s="58">
        <v>0</v>
      </c>
      <c r="M128" s="58">
        <v>0</v>
      </c>
      <c r="N128" s="58">
        <v>0</v>
      </c>
      <c r="O128" s="59">
        <v>1</v>
      </c>
      <c r="P128" s="57">
        <v>1</v>
      </c>
      <c r="Q128" s="58">
        <v>1</v>
      </c>
      <c r="R128" s="58">
        <v>1</v>
      </c>
      <c r="S128" s="58">
        <v>0</v>
      </c>
      <c r="T128" s="58">
        <v>1</v>
      </c>
      <c r="U128" s="58">
        <v>1</v>
      </c>
      <c r="V128" s="59">
        <v>0</v>
      </c>
      <c r="W128" s="58">
        <v>0</v>
      </c>
      <c r="X128" s="58">
        <v>1</v>
      </c>
      <c r="Y128" s="58">
        <v>0</v>
      </c>
      <c r="Z128" s="58">
        <v>0</v>
      </c>
      <c r="AA128" s="58">
        <v>0</v>
      </c>
      <c r="AB128" s="58">
        <v>1</v>
      </c>
      <c r="AC128" s="58">
        <v>1</v>
      </c>
      <c r="AD128" s="58">
        <v>0</v>
      </c>
      <c r="AE128" s="58">
        <v>0</v>
      </c>
      <c r="AF128" s="58">
        <v>0</v>
      </c>
      <c r="AG128" s="58">
        <v>0</v>
      </c>
      <c r="AH128" s="58">
        <v>0</v>
      </c>
      <c r="AI128" s="58">
        <v>0</v>
      </c>
      <c r="AJ128" s="59">
        <v>0</v>
      </c>
      <c r="AK128" s="58">
        <v>1</v>
      </c>
      <c r="AL128" s="58">
        <v>0</v>
      </c>
      <c r="AM128" s="58">
        <v>0</v>
      </c>
      <c r="AN128" s="59">
        <v>0</v>
      </c>
    </row>
    <row r="129" spans="1:40">
      <c r="A129" s="72" t="str">
        <f>HYPERLINK("https://www.ncbi.nlm.nih.gov/pubmed/21803136","21803136")</f>
        <v>21803136</v>
      </c>
      <c r="B129" s="56" t="s">
        <v>267</v>
      </c>
      <c r="C129" s="56" t="s">
        <v>268</v>
      </c>
      <c r="D129" s="56" t="s">
        <v>225</v>
      </c>
      <c r="E129" s="56" t="s">
        <v>198</v>
      </c>
      <c r="F129" s="56" t="s">
        <v>269</v>
      </c>
      <c r="G129" s="56" t="s">
        <v>214</v>
      </c>
      <c r="H129" s="56" t="s">
        <v>13</v>
      </c>
      <c r="I129" s="56" t="s">
        <v>243</v>
      </c>
      <c r="J129" s="63" t="s">
        <v>142</v>
      </c>
      <c r="K129" s="57">
        <v>0</v>
      </c>
      <c r="L129" s="58">
        <v>0</v>
      </c>
      <c r="M129" s="58">
        <v>0</v>
      </c>
      <c r="N129" s="58">
        <v>0</v>
      </c>
      <c r="O129" s="59">
        <v>1</v>
      </c>
      <c r="P129" s="57">
        <v>0</v>
      </c>
      <c r="Q129" s="58">
        <v>0</v>
      </c>
      <c r="R129" s="58">
        <v>0</v>
      </c>
      <c r="S129" s="58">
        <v>0</v>
      </c>
      <c r="T129" s="58">
        <v>0</v>
      </c>
      <c r="U129" s="58">
        <v>0</v>
      </c>
      <c r="V129" s="59">
        <v>0</v>
      </c>
      <c r="W129" s="57">
        <v>0</v>
      </c>
      <c r="X129" s="58">
        <v>1</v>
      </c>
      <c r="Y129" s="58">
        <v>0</v>
      </c>
      <c r="Z129" s="58">
        <v>0</v>
      </c>
      <c r="AA129" s="58">
        <v>0</v>
      </c>
      <c r="AB129" s="58">
        <v>1</v>
      </c>
      <c r="AC129" s="58">
        <v>1</v>
      </c>
      <c r="AD129" s="58">
        <v>0</v>
      </c>
      <c r="AE129" s="58">
        <v>0</v>
      </c>
      <c r="AF129" s="58">
        <v>0</v>
      </c>
      <c r="AG129" s="58">
        <v>0</v>
      </c>
      <c r="AH129" s="58">
        <v>0</v>
      </c>
      <c r="AI129" s="58">
        <v>0</v>
      </c>
      <c r="AJ129" s="59">
        <v>0</v>
      </c>
      <c r="AK129" s="58">
        <v>0</v>
      </c>
      <c r="AL129" s="58">
        <v>0</v>
      </c>
      <c r="AM129" s="58">
        <v>0</v>
      </c>
      <c r="AN129" s="59">
        <v>0</v>
      </c>
    </row>
    <row r="130" spans="1:40">
      <c r="A130" s="72" t="str">
        <f>HYPERLINK("https://www.ncbi.nlm.nih.gov/pubmed/21959537","21959537")</f>
        <v>21959537</v>
      </c>
      <c r="B130" s="56" t="s">
        <v>267</v>
      </c>
      <c r="C130" s="56" t="s">
        <v>268</v>
      </c>
      <c r="D130" s="56" t="s">
        <v>225</v>
      </c>
      <c r="E130" s="56" t="s">
        <v>198</v>
      </c>
      <c r="F130" s="56" t="s">
        <v>269</v>
      </c>
      <c r="G130" s="56" t="s">
        <v>214</v>
      </c>
      <c r="H130" s="56" t="s">
        <v>13</v>
      </c>
      <c r="I130" s="56" t="s">
        <v>243</v>
      </c>
      <c r="J130" s="63" t="s">
        <v>84</v>
      </c>
      <c r="K130" s="57">
        <v>0</v>
      </c>
      <c r="L130" s="58">
        <v>0</v>
      </c>
      <c r="M130" s="58">
        <v>0</v>
      </c>
      <c r="N130" s="58">
        <v>0</v>
      </c>
      <c r="O130" s="59">
        <v>1</v>
      </c>
      <c r="P130" s="57">
        <v>0</v>
      </c>
      <c r="Q130" s="58">
        <v>0</v>
      </c>
      <c r="R130" s="58">
        <v>0</v>
      </c>
      <c r="S130" s="58">
        <v>0</v>
      </c>
      <c r="T130" s="58">
        <v>0</v>
      </c>
      <c r="U130" s="58">
        <v>0</v>
      </c>
      <c r="V130" s="59">
        <v>0</v>
      </c>
      <c r="W130" s="57">
        <v>0</v>
      </c>
      <c r="X130" s="58">
        <v>0</v>
      </c>
      <c r="Y130" s="58">
        <v>0</v>
      </c>
      <c r="Z130" s="58">
        <v>0</v>
      </c>
      <c r="AA130" s="58">
        <v>0</v>
      </c>
      <c r="AB130" s="58">
        <v>1</v>
      </c>
      <c r="AC130" s="58">
        <v>1</v>
      </c>
      <c r="AD130" s="58">
        <v>0</v>
      </c>
      <c r="AE130" s="58">
        <v>0</v>
      </c>
      <c r="AF130" s="58">
        <v>0</v>
      </c>
      <c r="AG130" s="58">
        <v>0</v>
      </c>
      <c r="AH130" s="58">
        <v>0</v>
      </c>
      <c r="AI130" s="58">
        <v>0</v>
      </c>
      <c r="AJ130" s="59">
        <v>0</v>
      </c>
      <c r="AK130" s="58">
        <v>0</v>
      </c>
      <c r="AL130" s="58">
        <v>0</v>
      </c>
      <c r="AM130" s="58">
        <v>0</v>
      </c>
      <c r="AN130" s="59">
        <v>0</v>
      </c>
    </row>
    <row r="131" spans="1:40">
      <c r="A131" s="72" t="str">
        <f>HYPERLINK("https://www.ncbi.nlm.nih.gov/pubmed/21959537","21959537")</f>
        <v>21959537</v>
      </c>
      <c r="B131" s="56" t="s">
        <v>267</v>
      </c>
      <c r="C131" s="56" t="s">
        <v>268</v>
      </c>
      <c r="D131" s="56" t="s">
        <v>225</v>
      </c>
      <c r="E131" s="56" t="s">
        <v>198</v>
      </c>
      <c r="F131" s="56" t="s">
        <v>269</v>
      </c>
      <c r="G131" s="56" t="s">
        <v>214</v>
      </c>
      <c r="H131" s="56" t="s">
        <v>13</v>
      </c>
      <c r="I131" s="56" t="s">
        <v>243</v>
      </c>
      <c r="J131" s="63" t="s">
        <v>84</v>
      </c>
      <c r="K131" s="57">
        <v>0</v>
      </c>
      <c r="L131" s="58">
        <v>0</v>
      </c>
      <c r="M131" s="58">
        <v>0</v>
      </c>
      <c r="N131" s="58">
        <v>0</v>
      </c>
      <c r="O131" s="59">
        <v>1</v>
      </c>
      <c r="P131" s="57">
        <v>0</v>
      </c>
      <c r="Q131" s="58">
        <v>0</v>
      </c>
      <c r="R131" s="58">
        <v>0</v>
      </c>
      <c r="S131" s="58">
        <v>0</v>
      </c>
      <c r="T131" s="58">
        <v>0</v>
      </c>
      <c r="U131" s="58">
        <v>0</v>
      </c>
      <c r="V131" s="59">
        <v>0</v>
      </c>
      <c r="W131" s="57">
        <v>0</v>
      </c>
      <c r="X131" s="58">
        <v>0</v>
      </c>
      <c r="Y131" s="58">
        <v>0</v>
      </c>
      <c r="Z131" s="58">
        <v>0</v>
      </c>
      <c r="AA131" s="58">
        <v>0</v>
      </c>
      <c r="AB131" s="58">
        <v>1</v>
      </c>
      <c r="AC131" s="58">
        <v>1</v>
      </c>
      <c r="AD131" s="58">
        <v>0</v>
      </c>
      <c r="AE131" s="58">
        <v>0</v>
      </c>
      <c r="AF131" s="58">
        <v>0</v>
      </c>
      <c r="AG131" s="58">
        <v>0</v>
      </c>
      <c r="AH131" s="58">
        <v>0</v>
      </c>
      <c r="AI131" s="58">
        <v>0</v>
      </c>
      <c r="AJ131" s="59">
        <v>0</v>
      </c>
      <c r="AK131" s="58">
        <v>0</v>
      </c>
      <c r="AL131" s="58">
        <v>0</v>
      </c>
      <c r="AM131" s="58">
        <v>0</v>
      </c>
      <c r="AN131" s="59">
        <v>0</v>
      </c>
    </row>
    <row r="132" spans="1:40">
      <c r="A132" s="72" t="str">
        <f>HYPERLINK("https://www.ncbi.nlm.nih.gov/pubmed/21959537","21959537")</f>
        <v>21959537</v>
      </c>
      <c r="B132" s="56" t="s">
        <v>267</v>
      </c>
      <c r="C132" s="56" t="s">
        <v>268</v>
      </c>
      <c r="D132" s="56" t="s">
        <v>225</v>
      </c>
      <c r="E132" s="56" t="s">
        <v>198</v>
      </c>
      <c r="F132" s="56" t="s">
        <v>269</v>
      </c>
      <c r="G132" s="56" t="s">
        <v>214</v>
      </c>
      <c r="H132" s="56" t="s">
        <v>13</v>
      </c>
      <c r="I132" s="56" t="s">
        <v>243</v>
      </c>
      <c r="J132" s="56" t="s">
        <v>142</v>
      </c>
      <c r="K132" s="57">
        <v>0</v>
      </c>
      <c r="L132" s="58">
        <v>0</v>
      </c>
      <c r="M132" s="58">
        <v>0</v>
      </c>
      <c r="N132" s="58">
        <v>0</v>
      </c>
      <c r="O132" s="59">
        <v>1</v>
      </c>
      <c r="P132" s="57">
        <v>0</v>
      </c>
      <c r="Q132" s="58">
        <v>0</v>
      </c>
      <c r="R132" s="58">
        <v>0</v>
      </c>
      <c r="S132" s="58">
        <v>0</v>
      </c>
      <c r="T132" s="58">
        <v>0</v>
      </c>
      <c r="U132" s="58">
        <v>0</v>
      </c>
      <c r="V132" s="59">
        <v>0</v>
      </c>
      <c r="W132" s="57">
        <v>0</v>
      </c>
      <c r="X132" s="58">
        <v>0</v>
      </c>
      <c r="Y132" s="58">
        <v>0</v>
      </c>
      <c r="Z132" s="58">
        <v>0</v>
      </c>
      <c r="AA132" s="58">
        <v>0</v>
      </c>
      <c r="AB132" s="58">
        <v>1</v>
      </c>
      <c r="AC132" s="58">
        <v>1</v>
      </c>
      <c r="AD132" s="58">
        <v>0</v>
      </c>
      <c r="AE132" s="58">
        <v>0</v>
      </c>
      <c r="AF132" s="58">
        <v>0</v>
      </c>
      <c r="AG132" s="58">
        <v>0</v>
      </c>
      <c r="AH132" s="58">
        <v>0</v>
      </c>
      <c r="AI132" s="58">
        <v>0</v>
      </c>
      <c r="AJ132" s="59">
        <v>0</v>
      </c>
      <c r="AK132" s="58">
        <v>0</v>
      </c>
      <c r="AL132" s="58">
        <v>0</v>
      </c>
      <c r="AM132" s="58">
        <v>0</v>
      </c>
      <c r="AN132" s="59">
        <v>0</v>
      </c>
    </row>
    <row r="133" spans="1:40">
      <c r="A133" s="72" t="str">
        <f>HYPERLINK("https://www.ncbi.nlm.nih.gov/pubmed/21959537","21959537")</f>
        <v>21959537</v>
      </c>
      <c r="B133" s="56" t="s">
        <v>267</v>
      </c>
      <c r="C133" s="56" t="s">
        <v>268</v>
      </c>
      <c r="D133" s="56" t="s">
        <v>225</v>
      </c>
      <c r="E133" s="56" t="s">
        <v>198</v>
      </c>
      <c r="F133" s="56" t="s">
        <v>269</v>
      </c>
      <c r="G133" s="56" t="s">
        <v>214</v>
      </c>
      <c r="H133" s="56" t="s">
        <v>13</v>
      </c>
      <c r="I133" s="56" t="s">
        <v>243</v>
      </c>
      <c r="J133" s="56" t="s">
        <v>84</v>
      </c>
      <c r="K133" s="57">
        <v>0</v>
      </c>
      <c r="L133" s="58">
        <v>0</v>
      </c>
      <c r="M133" s="58">
        <v>0</v>
      </c>
      <c r="N133" s="58">
        <v>0</v>
      </c>
      <c r="O133" s="59">
        <v>1</v>
      </c>
      <c r="P133" s="57">
        <v>0</v>
      </c>
      <c r="Q133" s="58">
        <v>0</v>
      </c>
      <c r="R133" s="58">
        <v>0</v>
      </c>
      <c r="S133" s="58">
        <v>0</v>
      </c>
      <c r="T133" s="58">
        <v>0</v>
      </c>
      <c r="U133" s="58">
        <v>0</v>
      </c>
      <c r="V133" s="59">
        <v>0</v>
      </c>
      <c r="W133" s="57">
        <v>0</v>
      </c>
      <c r="X133" s="58">
        <v>0</v>
      </c>
      <c r="Y133" s="58">
        <v>0</v>
      </c>
      <c r="Z133" s="58">
        <v>0</v>
      </c>
      <c r="AA133" s="58">
        <v>0</v>
      </c>
      <c r="AB133" s="58">
        <v>1</v>
      </c>
      <c r="AC133" s="58">
        <v>1</v>
      </c>
      <c r="AD133" s="58">
        <v>0</v>
      </c>
      <c r="AE133" s="58">
        <v>0</v>
      </c>
      <c r="AF133" s="58">
        <v>0</v>
      </c>
      <c r="AG133" s="58">
        <v>0</v>
      </c>
      <c r="AH133" s="58">
        <v>0</v>
      </c>
      <c r="AI133" s="58">
        <v>0</v>
      </c>
      <c r="AJ133" s="59">
        <v>0</v>
      </c>
      <c r="AK133" s="58">
        <v>0</v>
      </c>
      <c r="AL133" s="58">
        <v>0</v>
      </c>
      <c r="AM133" s="58">
        <v>0</v>
      </c>
      <c r="AN133" s="59">
        <v>0</v>
      </c>
    </row>
    <row r="134" spans="1:40">
      <c r="A134" s="72" t="str">
        <f>HYPERLINK("https://www.ncbi.nlm.nih.gov/pubmed/21959537","21959537")</f>
        <v>21959537</v>
      </c>
      <c r="B134" s="56" t="s">
        <v>267</v>
      </c>
      <c r="C134" s="56" t="s">
        <v>268</v>
      </c>
      <c r="D134" s="56" t="s">
        <v>225</v>
      </c>
      <c r="E134" s="56" t="s">
        <v>198</v>
      </c>
      <c r="F134" s="56" t="s">
        <v>269</v>
      </c>
      <c r="G134" s="56" t="s">
        <v>214</v>
      </c>
      <c r="H134" s="56" t="s">
        <v>13</v>
      </c>
      <c r="I134" s="56" t="s">
        <v>243</v>
      </c>
      <c r="J134" s="63" t="s">
        <v>84</v>
      </c>
      <c r="K134" s="58">
        <v>0</v>
      </c>
      <c r="L134" s="58">
        <v>0</v>
      </c>
      <c r="M134" s="58">
        <v>0</v>
      </c>
      <c r="N134" s="58">
        <v>0</v>
      </c>
      <c r="O134" s="59">
        <v>1</v>
      </c>
      <c r="P134" s="58">
        <v>0</v>
      </c>
      <c r="Q134" s="58">
        <v>0</v>
      </c>
      <c r="R134" s="58">
        <v>0</v>
      </c>
      <c r="S134" s="58">
        <v>0</v>
      </c>
      <c r="T134" s="58">
        <v>0</v>
      </c>
      <c r="U134" s="58">
        <v>0</v>
      </c>
      <c r="V134" s="58">
        <v>0</v>
      </c>
      <c r="W134" s="57">
        <v>0</v>
      </c>
      <c r="X134" s="58">
        <v>0</v>
      </c>
      <c r="Y134" s="58">
        <v>0</v>
      </c>
      <c r="Z134" s="58">
        <v>0</v>
      </c>
      <c r="AA134" s="58">
        <v>0</v>
      </c>
      <c r="AB134" s="58">
        <v>1</v>
      </c>
      <c r="AC134" s="58">
        <v>1</v>
      </c>
      <c r="AD134" s="58">
        <v>0</v>
      </c>
      <c r="AE134" s="58">
        <v>0</v>
      </c>
      <c r="AF134" s="58">
        <v>0</v>
      </c>
      <c r="AG134" s="58">
        <v>0</v>
      </c>
      <c r="AH134" s="58">
        <v>0</v>
      </c>
      <c r="AI134" s="58">
        <v>0</v>
      </c>
      <c r="AJ134" s="59">
        <v>0</v>
      </c>
      <c r="AK134" s="58">
        <v>0</v>
      </c>
      <c r="AL134" s="58">
        <v>0</v>
      </c>
      <c r="AM134" s="58">
        <v>0</v>
      </c>
      <c r="AN134" s="59">
        <v>0</v>
      </c>
    </row>
    <row r="135" spans="1:40">
      <c r="A135" s="72" t="str">
        <f>HYPERLINK("https://www.ncbi.nlm.nih.gov/pubmed/22101210","22101210")</f>
        <v>22101210</v>
      </c>
      <c r="B135" s="56" t="s">
        <v>267</v>
      </c>
      <c r="C135" s="56" t="s">
        <v>268</v>
      </c>
      <c r="D135" s="56" t="s">
        <v>225</v>
      </c>
      <c r="E135" s="56" t="s">
        <v>198</v>
      </c>
      <c r="F135" s="56" t="s">
        <v>269</v>
      </c>
      <c r="G135" s="56" t="s">
        <v>214</v>
      </c>
      <c r="H135" s="56" t="s">
        <v>13</v>
      </c>
      <c r="I135" s="56" t="s">
        <v>275</v>
      </c>
      <c r="J135" s="63" t="s">
        <v>166</v>
      </c>
      <c r="K135" s="57">
        <v>0</v>
      </c>
      <c r="L135" s="58">
        <v>0</v>
      </c>
      <c r="M135" s="58">
        <v>0</v>
      </c>
      <c r="N135" s="58">
        <v>0</v>
      </c>
      <c r="O135" s="59">
        <v>1</v>
      </c>
      <c r="P135" s="57">
        <v>0</v>
      </c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9">
        <v>0</v>
      </c>
      <c r="W135" s="57">
        <v>1</v>
      </c>
      <c r="X135" s="58">
        <v>1</v>
      </c>
      <c r="Y135" s="58">
        <v>1</v>
      </c>
      <c r="Z135" s="58">
        <v>1</v>
      </c>
      <c r="AA135" s="58">
        <v>0</v>
      </c>
      <c r="AB135" s="58">
        <v>1</v>
      </c>
      <c r="AC135" s="58">
        <v>1</v>
      </c>
      <c r="AD135" s="58">
        <v>1</v>
      </c>
      <c r="AE135" s="58">
        <v>1</v>
      </c>
      <c r="AF135" s="58">
        <v>1</v>
      </c>
      <c r="AG135" s="58">
        <v>0</v>
      </c>
      <c r="AH135" s="58">
        <v>0</v>
      </c>
      <c r="AI135" s="58">
        <v>0</v>
      </c>
      <c r="AJ135" s="59">
        <v>0</v>
      </c>
      <c r="AK135" s="58">
        <v>0</v>
      </c>
      <c r="AL135" s="58">
        <v>0</v>
      </c>
      <c r="AM135" s="58">
        <v>0</v>
      </c>
      <c r="AN135" s="59">
        <v>0</v>
      </c>
    </row>
    <row r="136" spans="1:40">
      <c r="A136" s="72" t="str">
        <f>HYPERLINK("https://www.ncbi.nlm.nih.gov/pubmed/22198065","22198065")</f>
        <v>22198065</v>
      </c>
      <c r="B136" s="56" t="s">
        <v>267</v>
      </c>
      <c r="C136" s="56" t="s">
        <v>268</v>
      </c>
      <c r="D136" s="56" t="s">
        <v>225</v>
      </c>
      <c r="E136" s="56" t="s">
        <v>198</v>
      </c>
      <c r="F136" s="56" t="s">
        <v>269</v>
      </c>
      <c r="G136" s="56" t="s">
        <v>214</v>
      </c>
      <c r="H136" s="56" t="s">
        <v>13</v>
      </c>
      <c r="I136" s="56" t="s">
        <v>273</v>
      </c>
      <c r="J136" s="63" t="s">
        <v>98</v>
      </c>
      <c r="K136" s="57">
        <v>0</v>
      </c>
      <c r="L136" s="58">
        <v>0</v>
      </c>
      <c r="M136" s="58">
        <v>0</v>
      </c>
      <c r="N136" s="58">
        <v>0</v>
      </c>
      <c r="O136" s="59">
        <v>1</v>
      </c>
      <c r="P136" s="58">
        <v>0</v>
      </c>
      <c r="Q136" s="58">
        <v>0</v>
      </c>
      <c r="R136" s="58">
        <v>0</v>
      </c>
      <c r="S136" s="58">
        <v>0</v>
      </c>
      <c r="T136" s="58">
        <v>0</v>
      </c>
      <c r="U136" s="58">
        <v>0</v>
      </c>
      <c r="V136" s="59">
        <v>0</v>
      </c>
      <c r="W136" s="57">
        <v>1</v>
      </c>
      <c r="X136" s="58">
        <v>1</v>
      </c>
      <c r="Y136" s="58">
        <v>1</v>
      </c>
      <c r="Z136" s="58">
        <v>1</v>
      </c>
      <c r="AA136" s="58">
        <v>0</v>
      </c>
      <c r="AB136" s="58">
        <v>1</v>
      </c>
      <c r="AC136" s="58">
        <v>1</v>
      </c>
      <c r="AD136" s="58">
        <v>0</v>
      </c>
      <c r="AE136" s="58">
        <v>0</v>
      </c>
      <c r="AF136" s="58">
        <v>0</v>
      </c>
      <c r="AG136" s="58">
        <v>0</v>
      </c>
      <c r="AH136" s="58">
        <v>0</v>
      </c>
      <c r="AI136" s="58">
        <v>0</v>
      </c>
      <c r="AJ136" s="59">
        <v>0</v>
      </c>
      <c r="AK136" s="58">
        <v>0</v>
      </c>
      <c r="AL136" s="58">
        <v>0</v>
      </c>
      <c r="AM136" s="58">
        <v>0</v>
      </c>
      <c r="AN136" s="59">
        <v>0</v>
      </c>
    </row>
    <row r="137" spans="1:40">
      <c r="A137" s="72" t="str">
        <f>HYPERLINK("https://www.ncbi.nlm.nih.gov/pubmed/22402212","22402212")</f>
        <v>22402212</v>
      </c>
      <c r="B137" s="56" t="s">
        <v>267</v>
      </c>
      <c r="C137" s="56" t="s">
        <v>268</v>
      </c>
      <c r="D137" s="56" t="s">
        <v>225</v>
      </c>
      <c r="E137" s="56" t="s">
        <v>198</v>
      </c>
      <c r="F137" s="56" t="s">
        <v>269</v>
      </c>
      <c r="G137" s="56" t="s">
        <v>214</v>
      </c>
      <c r="H137" s="56" t="s">
        <v>13</v>
      </c>
      <c r="I137" s="56" t="s">
        <v>224</v>
      </c>
      <c r="J137" s="56" t="s">
        <v>142</v>
      </c>
      <c r="K137" s="57">
        <v>0</v>
      </c>
      <c r="L137" s="58">
        <v>0</v>
      </c>
      <c r="M137" s="58">
        <v>0</v>
      </c>
      <c r="N137" s="58">
        <v>0</v>
      </c>
      <c r="O137" s="59">
        <v>0</v>
      </c>
      <c r="P137" s="57">
        <v>0</v>
      </c>
      <c r="Q137" s="58">
        <v>0</v>
      </c>
      <c r="R137" s="58">
        <v>0</v>
      </c>
      <c r="S137" s="58">
        <v>0</v>
      </c>
      <c r="T137" s="58">
        <v>0</v>
      </c>
      <c r="U137" s="58">
        <v>0</v>
      </c>
      <c r="V137" s="59">
        <v>0</v>
      </c>
      <c r="W137" s="57">
        <v>0</v>
      </c>
      <c r="X137" s="58">
        <v>0</v>
      </c>
      <c r="Y137" s="58">
        <v>0</v>
      </c>
      <c r="Z137" s="58">
        <v>0</v>
      </c>
      <c r="AA137" s="58">
        <v>0</v>
      </c>
      <c r="AB137" s="58">
        <v>1</v>
      </c>
      <c r="AC137" s="58">
        <v>0</v>
      </c>
      <c r="AD137" s="58">
        <v>0</v>
      </c>
      <c r="AE137" s="58">
        <v>0</v>
      </c>
      <c r="AF137" s="58">
        <v>0</v>
      </c>
      <c r="AG137" s="58">
        <v>0</v>
      </c>
      <c r="AH137" s="58">
        <v>0</v>
      </c>
      <c r="AI137" s="58">
        <v>0</v>
      </c>
      <c r="AJ137" s="59">
        <v>0</v>
      </c>
      <c r="AK137" s="58">
        <v>0</v>
      </c>
      <c r="AL137" s="58">
        <v>0</v>
      </c>
      <c r="AM137" s="58">
        <v>0</v>
      </c>
      <c r="AN137" s="59">
        <v>0</v>
      </c>
    </row>
    <row r="138" spans="1:40">
      <c r="A138" s="72" t="str">
        <f>HYPERLINK("https://www.ncbi.nlm.nih.gov/pubmed/22446829","22446829")</f>
        <v>22446829</v>
      </c>
      <c r="B138" s="56" t="s">
        <v>267</v>
      </c>
      <c r="C138" s="56" t="s">
        <v>268</v>
      </c>
      <c r="D138" s="56" t="s">
        <v>225</v>
      </c>
      <c r="E138" s="56" t="s">
        <v>198</v>
      </c>
      <c r="F138" s="56" t="s">
        <v>269</v>
      </c>
      <c r="G138" s="56" t="s">
        <v>214</v>
      </c>
      <c r="H138" s="56" t="s">
        <v>13</v>
      </c>
      <c r="I138" s="56" t="s">
        <v>243</v>
      </c>
      <c r="J138" s="63" t="s">
        <v>84</v>
      </c>
      <c r="K138" s="57">
        <v>0</v>
      </c>
      <c r="L138" s="58">
        <v>0</v>
      </c>
      <c r="M138" s="58">
        <v>0</v>
      </c>
      <c r="N138" s="58">
        <v>0</v>
      </c>
      <c r="O138" s="59">
        <v>0</v>
      </c>
      <c r="P138" s="57">
        <v>1</v>
      </c>
      <c r="Q138" s="58">
        <v>0</v>
      </c>
      <c r="R138" s="58">
        <v>1</v>
      </c>
      <c r="S138" s="58">
        <v>0</v>
      </c>
      <c r="T138" s="58">
        <v>0</v>
      </c>
      <c r="U138" s="58">
        <v>1</v>
      </c>
      <c r="V138" s="59">
        <v>0</v>
      </c>
      <c r="W138" s="57">
        <v>0</v>
      </c>
      <c r="X138" s="58">
        <v>0</v>
      </c>
      <c r="Y138" s="58">
        <v>0</v>
      </c>
      <c r="Z138" s="58">
        <v>0</v>
      </c>
      <c r="AA138" s="58">
        <v>0</v>
      </c>
      <c r="AB138" s="58">
        <v>1</v>
      </c>
      <c r="AC138" s="58">
        <v>1</v>
      </c>
      <c r="AD138" s="58">
        <v>0</v>
      </c>
      <c r="AE138" s="58">
        <v>0</v>
      </c>
      <c r="AF138" s="58">
        <v>0</v>
      </c>
      <c r="AG138" s="58">
        <v>0</v>
      </c>
      <c r="AH138" s="58">
        <v>0</v>
      </c>
      <c r="AI138" s="58">
        <v>0</v>
      </c>
      <c r="AJ138" s="59">
        <v>0</v>
      </c>
      <c r="AK138" s="58">
        <v>0</v>
      </c>
      <c r="AL138" s="58">
        <v>0</v>
      </c>
      <c r="AM138" s="58">
        <v>0</v>
      </c>
      <c r="AN138" s="59">
        <v>0</v>
      </c>
    </row>
    <row r="139" spans="1:40">
      <c r="A139" s="72" t="str">
        <f>HYPERLINK("https://www.ncbi.nlm.nih.gov/pubmed/22554500","22554500")</f>
        <v>22554500</v>
      </c>
      <c r="B139" s="56" t="s">
        <v>267</v>
      </c>
      <c r="C139" s="56" t="s">
        <v>268</v>
      </c>
      <c r="D139" s="56" t="s">
        <v>225</v>
      </c>
      <c r="E139" s="56" t="s">
        <v>198</v>
      </c>
      <c r="F139" s="56" t="s">
        <v>269</v>
      </c>
      <c r="G139" s="56" t="s">
        <v>214</v>
      </c>
      <c r="H139" s="56" t="s">
        <v>13</v>
      </c>
      <c r="I139" s="56" t="s">
        <v>224</v>
      </c>
      <c r="J139" s="56" t="s">
        <v>84</v>
      </c>
      <c r="K139" s="57">
        <v>0</v>
      </c>
      <c r="L139" s="58">
        <v>0</v>
      </c>
      <c r="M139" s="58">
        <v>0</v>
      </c>
      <c r="N139" s="58">
        <v>0</v>
      </c>
      <c r="O139" s="59">
        <v>1</v>
      </c>
      <c r="P139" s="57">
        <v>0</v>
      </c>
      <c r="Q139" s="58">
        <v>0</v>
      </c>
      <c r="R139" s="58">
        <v>0</v>
      </c>
      <c r="S139" s="58">
        <v>0</v>
      </c>
      <c r="T139" s="58">
        <v>0</v>
      </c>
      <c r="U139" s="58">
        <v>0</v>
      </c>
      <c r="V139" s="59">
        <v>0</v>
      </c>
      <c r="W139" s="58">
        <v>0</v>
      </c>
      <c r="X139" s="58">
        <v>0</v>
      </c>
      <c r="Y139" s="58">
        <v>0</v>
      </c>
      <c r="Z139" s="58">
        <v>0</v>
      </c>
      <c r="AA139" s="58">
        <v>0</v>
      </c>
      <c r="AB139" s="58">
        <v>1</v>
      </c>
      <c r="AC139" s="58">
        <v>1</v>
      </c>
      <c r="AD139" s="58">
        <v>0</v>
      </c>
      <c r="AE139" s="58">
        <v>0</v>
      </c>
      <c r="AF139" s="58">
        <v>0</v>
      </c>
      <c r="AG139" s="58">
        <v>0</v>
      </c>
      <c r="AH139" s="58">
        <v>0</v>
      </c>
      <c r="AI139" s="58">
        <v>0</v>
      </c>
      <c r="AJ139" s="59">
        <v>0</v>
      </c>
      <c r="AK139" s="58">
        <v>0</v>
      </c>
      <c r="AL139" s="58">
        <v>0</v>
      </c>
      <c r="AM139" s="58">
        <v>0</v>
      </c>
      <c r="AN139" s="59">
        <v>0</v>
      </c>
    </row>
    <row r="140" spans="1:40">
      <c r="A140" s="72" t="str">
        <f>HYPERLINK("https://www.ncbi.nlm.nih.gov/pubmed/22768806","22768806")</f>
        <v>22768806</v>
      </c>
      <c r="B140" s="56" t="s">
        <v>267</v>
      </c>
      <c r="C140" s="56" t="s">
        <v>268</v>
      </c>
      <c r="D140" s="56" t="s">
        <v>225</v>
      </c>
      <c r="E140" s="56" t="s">
        <v>198</v>
      </c>
      <c r="F140" s="56" t="s">
        <v>269</v>
      </c>
      <c r="G140" s="56" t="s">
        <v>214</v>
      </c>
      <c r="H140" s="56" t="s">
        <v>13</v>
      </c>
      <c r="I140" s="56" t="s">
        <v>243</v>
      </c>
      <c r="J140" s="63" t="s">
        <v>276</v>
      </c>
      <c r="K140" s="57">
        <v>0</v>
      </c>
      <c r="L140" s="58">
        <v>0</v>
      </c>
      <c r="M140" s="58">
        <v>0</v>
      </c>
      <c r="N140" s="58">
        <v>0</v>
      </c>
      <c r="O140" s="59">
        <v>1</v>
      </c>
      <c r="P140" s="57">
        <v>0</v>
      </c>
      <c r="Q140" s="58">
        <v>0</v>
      </c>
      <c r="R140" s="58">
        <v>0</v>
      </c>
      <c r="S140" s="58">
        <v>0</v>
      </c>
      <c r="T140" s="58">
        <v>0</v>
      </c>
      <c r="U140" s="58">
        <v>0</v>
      </c>
      <c r="V140" s="59">
        <v>0</v>
      </c>
      <c r="W140" s="57">
        <v>1</v>
      </c>
      <c r="X140" s="58">
        <v>1</v>
      </c>
      <c r="Y140" s="58">
        <v>1</v>
      </c>
      <c r="Z140" s="58">
        <v>1</v>
      </c>
      <c r="AA140" s="58">
        <v>0</v>
      </c>
      <c r="AB140" s="58">
        <v>1</v>
      </c>
      <c r="AC140" s="58">
        <v>1</v>
      </c>
      <c r="AD140" s="58">
        <v>0</v>
      </c>
      <c r="AE140" s="58">
        <v>1</v>
      </c>
      <c r="AF140" s="58">
        <v>1</v>
      </c>
      <c r="AG140" s="58">
        <v>0</v>
      </c>
      <c r="AH140" s="58">
        <v>0</v>
      </c>
      <c r="AI140" s="58">
        <v>0</v>
      </c>
      <c r="AJ140" s="59">
        <v>0</v>
      </c>
      <c r="AK140" s="58">
        <v>0</v>
      </c>
      <c r="AL140" s="58">
        <v>0</v>
      </c>
      <c r="AM140" s="58">
        <v>0</v>
      </c>
      <c r="AN140" s="59">
        <v>0</v>
      </c>
    </row>
    <row r="141" spans="1:40">
      <c r="A141" s="72" t="str">
        <f>HYPERLINK("https://www.ncbi.nlm.nih.gov/pubmed/23038793","23038793")</f>
        <v>23038793</v>
      </c>
      <c r="B141" s="56" t="s">
        <v>267</v>
      </c>
      <c r="C141" s="56" t="s">
        <v>268</v>
      </c>
      <c r="D141" s="56" t="s">
        <v>225</v>
      </c>
      <c r="E141" s="56" t="s">
        <v>198</v>
      </c>
      <c r="F141" s="56" t="s">
        <v>269</v>
      </c>
      <c r="G141" s="56" t="s">
        <v>214</v>
      </c>
      <c r="H141" s="56" t="s">
        <v>13</v>
      </c>
      <c r="I141" s="56" t="s">
        <v>277</v>
      </c>
      <c r="J141" s="63" t="s">
        <v>126</v>
      </c>
      <c r="K141" s="58">
        <v>0</v>
      </c>
      <c r="L141" s="58">
        <v>0</v>
      </c>
      <c r="M141" s="58">
        <v>0</v>
      </c>
      <c r="N141" s="58">
        <v>0</v>
      </c>
      <c r="O141" s="59">
        <v>0</v>
      </c>
      <c r="P141" s="57">
        <v>1</v>
      </c>
      <c r="Q141" s="58">
        <v>1</v>
      </c>
      <c r="R141" s="58">
        <v>0</v>
      </c>
      <c r="S141" s="58">
        <v>0</v>
      </c>
      <c r="T141" s="58">
        <v>0</v>
      </c>
      <c r="U141" s="58">
        <v>1</v>
      </c>
      <c r="V141" s="59">
        <v>0</v>
      </c>
      <c r="W141" s="57">
        <v>1</v>
      </c>
      <c r="X141" s="58">
        <v>1</v>
      </c>
      <c r="Y141" s="58">
        <v>1</v>
      </c>
      <c r="Z141" s="58">
        <v>1</v>
      </c>
      <c r="AA141" s="58">
        <v>0</v>
      </c>
      <c r="AB141" s="58">
        <v>1</v>
      </c>
      <c r="AC141" s="58">
        <v>0</v>
      </c>
      <c r="AD141" s="58">
        <v>0</v>
      </c>
      <c r="AE141" s="58">
        <v>1</v>
      </c>
      <c r="AF141" s="58">
        <v>1</v>
      </c>
      <c r="AG141" s="58">
        <v>0</v>
      </c>
      <c r="AH141" s="58">
        <v>0</v>
      </c>
      <c r="AI141" s="58">
        <v>0</v>
      </c>
      <c r="AJ141" s="59">
        <v>0</v>
      </c>
      <c r="AK141" s="58">
        <v>1</v>
      </c>
      <c r="AL141" s="58">
        <v>0</v>
      </c>
      <c r="AM141" s="58">
        <v>0</v>
      </c>
      <c r="AN141" s="59">
        <v>0</v>
      </c>
    </row>
    <row r="142" spans="1:40">
      <c r="A142" s="72" t="str">
        <f>HYPERLINK("https://www.ncbi.nlm.nih.gov/pubmed/23065845","23065845")</f>
        <v>23065845</v>
      </c>
      <c r="B142" s="56" t="s">
        <v>267</v>
      </c>
      <c r="C142" s="56" t="s">
        <v>268</v>
      </c>
      <c r="D142" s="56" t="s">
        <v>225</v>
      </c>
      <c r="E142" s="56" t="s">
        <v>198</v>
      </c>
      <c r="F142" s="56" t="s">
        <v>269</v>
      </c>
      <c r="G142" s="56" t="s">
        <v>214</v>
      </c>
      <c r="H142" s="56" t="s">
        <v>13</v>
      </c>
      <c r="I142" s="56" t="s">
        <v>243</v>
      </c>
      <c r="J142" s="56" t="s">
        <v>108</v>
      </c>
      <c r="K142" s="57">
        <v>0</v>
      </c>
      <c r="L142" s="58">
        <v>0</v>
      </c>
      <c r="M142" s="58">
        <v>0</v>
      </c>
      <c r="N142" s="58">
        <v>0</v>
      </c>
      <c r="O142" s="58">
        <v>1</v>
      </c>
      <c r="P142" s="57">
        <v>1</v>
      </c>
      <c r="Q142" s="58">
        <v>1</v>
      </c>
      <c r="R142" s="58">
        <v>0</v>
      </c>
      <c r="S142" s="58">
        <v>0</v>
      </c>
      <c r="T142" s="58">
        <v>0</v>
      </c>
      <c r="U142" s="58">
        <v>1</v>
      </c>
      <c r="V142" s="59">
        <v>0</v>
      </c>
      <c r="W142" s="57">
        <v>1</v>
      </c>
      <c r="X142" s="58">
        <v>1</v>
      </c>
      <c r="Y142" s="58">
        <v>0</v>
      </c>
      <c r="Z142" s="58">
        <v>1</v>
      </c>
      <c r="AA142" s="58">
        <v>0</v>
      </c>
      <c r="AB142" s="58">
        <v>0</v>
      </c>
      <c r="AC142" s="58">
        <v>0</v>
      </c>
      <c r="AD142" s="58">
        <v>0</v>
      </c>
      <c r="AE142" s="58">
        <v>1</v>
      </c>
      <c r="AF142" s="58">
        <v>0</v>
      </c>
      <c r="AG142" s="58">
        <v>0</v>
      </c>
      <c r="AH142" s="58">
        <v>0</v>
      </c>
      <c r="AI142" s="58">
        <v>0</v>
      </c>
      <c r="AJ142" s="59">
        <v>0</v>
      </c>
      <c r="AK142" s="58">
        <v>1</v>
      </c>
      <c r="AL142" s="58">
        <v>0</v>
      </c>
      <c r="AM142" s="58">
        <v>0</v>
      </c>
      <c r="AN142" s="59">
        <v>0</v>
      </c>
    </row>
    <row r="143" spans="1:40">
      <c r="A143" s="72" t="str">
        <f>HYPERLINK("https://www.ncbi.nlm.nih.gov/pubmed/23296098","23296098")</f>
        <v>23296098</v>
      </c>
      <c r="B143" s="56" t="s">
        <v>267</v>
      </c>
      <c r="C143" s="56" t="s">
        <v>268</v>
      </c>
      <c r="D143" s="56" t="s">
        <v>225</v>
      </c>
      <c r="E143" s="56" t="s">
        <v>198</v>
      </c>
      <c r="F143" s="56" t="s">
        <v>269</v>
      </c>
      <c r="G143" s="56" t="s">
        <v>214</v>
      </c>
      <c r="H143" s="56" t="s">
        <v>13</v>
      </c>
      <c r="I143" s="56" t="s">
        <v>243</v>
      </c>
      <c r="J143" s="63" t="s">
        <v>84</v>
      </c>
      <c r="K143" s="57">
        <v>0</v>
      </c>
      <c r="L143" s="58">
        <v>0</v>
      </c>
      <c r="M143" s="58">
        <v>0</v>
      </c>
      <c r="N143" s="58">
        <v>0</v>
      </c>
      <c r="O143" s="59">
        <v>1</v>
      </c>
      <c r="P143" s="58">
        <v>0</v>
      </c>
      <c r="Q143" s="58">
        <v>0</v>
      </c>
      <c r="R143" s="58">
        <v>1</v>
      </c>
      <c r="S143" s="58">
        <v>0</v>
      </c>
      <c r="T143" s="58">
        <v>0</v>
      </c>
      <c r="U143" s="58">
        <v>0</v>
      </c>
      <c r="V143" s="59">
        <v>0</v>
      </c>
      <c r="W143" s="57">
        <v>0</v>
      </c>
      <c r="X143" s="58">
        <v>1</v>
      </c>
      <c r="Y143" s="58">
        <v>0</v>
      </c>
      <c r="Z143" s="58">
        <v>0</v>
      </c>
      <c r="AA143" s="58">
        <v>0</v>
      </c>
      <c r="AB143" s="58">
        <v>1</v>
      </c>
      <c r="AC143" s="58">
        <v>1</v>
      </c>
      <c r="AD143" s="58">
        <v>0</v>
      </c>
      <c r="AE143" s="58">
        <v>0</v>
      </c>
      <c r="AF143" s="58">
        <v>0</v>
      </c>
      <c r="AG143" s="58">
        <v>0</v>
      </c>
      <c r="AH143" s="58">
        <v>0</v>
      </c>
      <c r="AI143" s="58">
        <v>0</v>
      </c>
      <c r="AJ143" s="59">
        <v>0</v>
      </c>
      <c r="AK143" s="58">
        <v>0</v>
      </c>
      <c r="AL143" s="58">
        <v>0</v>
      </c>
      <c r="AM143" s="58">
        <v>0</v>
      </c>
      <c r="AN143" s="59">
        <v>0</v>
      </c>
    </row>
    <row r="144" spans="1:40">
      <c r="A144" s="72" t="str">
        <f>HYPERLINK("https://www.ncbi.nlm.nih.gov/pubmed/23370353","23370353")</f>
        <v>23370353</v>
      </c>
      <c r="B144" s="56" t="s">
        <v>267</v>
      </c>
      <c r="C144" s="56" t="s">
        <v>268</v>
      </c>
      <c r="D144" s="56" t="s">
        <v>225</v>
      </c>
      <c r="E144" s="56" t="s">
        <v>198</v>
      </c>
      <c r="F144" s="56" t="s">
        <v>269</v>
      </c>
      <c r="G144" s="56" t="s">
        <v>214</v>
      </c>
      <c r="H144" s="56" t="s">
        <v>13</v>
      </c>
      <c r="I144" s="56" t="s">
        <v>201</v>
      </c>
      <c r="J144" s="63" t="s">
        <v>98</v>
      </c>
      <c r="K144" s="57">
        <v>0</v>
      </c>
      <c r="L144" s="58">
        <v>0</v>
      </c>
      <c r="M144" s="58">
        <v>0</v>
      </c>
      <c r="N144" s="58">
        <v>0</v>
      </c>
      <c r="O144" s="59">
        <v>1</v>
      </c>
      <c r="P144" s="57">
        <v>0</v>
      </c>
      <c r="Q144" s="58">
        <v>1</v>
      </c>
      <c r="R144" s="58">
        <v>0</v>
      </c>
      <c r="S144" s="58">
        <v>0</v>
      </c>
      <c r="T144" s="58">
        <v>0</v>
      </c>
      <c r="U144" s="58">
        <v>1</v>
      </c>
      <c r="V144" s="59">
        <v>0</v>
      </c>
      <c r="W144" s="57">
        <v>1</v>
      </c>
      <c r="X144" s="58">
        <v>1</v>
      </c>
      <c r="Y144" s="58">
        <v>1</v>
      </c>
      <c r="Z144" s="58">
        <v>1</v>
      </c>
      <c r="AA144" s="58">
        <v>0</v>
      </c>
      <c r="AB144" s="58">
        <v>1</v>
      </c>
      <c r="AC144" s="58">
        <v>1</v>
      </c>
      <c r="AD144" s="58">
        <v>0</v>
      </c>
      <c r="AE144" s="58">
        <v>0</v>
      </c>
      <c r="AF144" s="58">
        <v>1</v>
      </c>
      <c r="AG144" s="58">
        <v>0</v>
      </c>
      <c r="AH144" s="58">
        <v>0</v>
      </c>
      <c r="AI144" s="58">
        <v>0</v>
      </c>
      <c r="AJ144" s="59">
        <v>0</v>
      </c>
      <c r="AK144" s="58">
        <v>0</v>
      </c>
      <c r="AL144" s="58">
        <v>0</v>
      </c>
      <c r="AM144" s="58">
        <v>0</v>
      </c>
      <c r="AN144" s="59">
        <v>0</v>
      </c>
    </row>
    <row r="145" spans="1:40">
      <c r="A145" s="72" t="str">
        <f>HYPERLINK("https://www.ncbi.nlm.nih.gov/pubmed/23541764","23541764")</f>
        <v>23541764</v>
      </c>
      <c r="B145" s="56" t="s">
        <v>267</v>
      </c>
      <c r="C145" s="56" t="s">
        <v>268</v>
      </c>
      <c r="D145" s="56" t="s">
        <v>225</v>
      </c>
      <c r="E145" s="56" t="s">
        <v>198</v>
      </c>
      <c r="F145" s="56" t="s">
        <v>269</v>
      </c>
      <c r="G145" s="56" t="s">
        <v>214</v>
      </c>
      <c r="H145" s="56" t="s">
        <v>13</v>
      </c>
      <c r="I145" s="56" t="s">
        <v>278</v>
      </c>
      <c r="J145" s="63" t="s">
        <v>100</v>
      </c>
      <c r="K145" s="57">
        <v>0</v>
      </c>
      <c r="L145" s="58">
        <v>0</v>
      </c>
      <c r="M145" s="58">
        <v>0</v>
      </c>
      <c r="N145" s="58">
        <v>0</v>
      </c>
      <c r="O145" s="59">
        <v>0</v>
      </c>
      <c r="P145" s="57">
        <v>0</v>
      </c>
      <c r="Q145" s="58">
        <v>0</v>
      </c>
      <c r="R145" s="58">
        <v>0</v>
      </c>
      <c r="S145" s="58">
        <v>0</v>
      </c>
      <c r="T145" s="58">
        <v>0</v>
      </c>
      <c r="U145" s="58">
        <v>0</v>
      </c>
      <c r="V145" s="59">
        <v>0</v>
      </c>
      <c r="W145" s="57">
        <v>1</v>
      </c>
      <c r="X145" s="58">
        <v>1</v>
      </c>
      <c r="Y145" s="58">
        <v>1</v>
      </c>
      <c r="Z145" s="58">
        <v>1</v>
      </c>
      <c r="AA145" s="58">
        <v>0</v>
      </c>
      <c r="AB145" s="58">
        <v>1</v>
      </c>
      <c r="AC145" s="58">
        <v>1</v>
      </c>
      <c r="AD145" s="58">
        <v>0</v>
      </c>
      <c r="AE145" s="58">
        <v>1</v>
      </c>
      <c r="AF145" s="58">
        <v>1</v>
      </c>
      <c r="AG145" s="58">
        <v>0</v>
      </c>
      <c r="AH145" s="58">
        <v>0</v>
      </c>
      <c r="AI145" s="58">
        <v>0</v>
      </c>
      <c r="AJ145" s="59">
        <v>0</v>
      </c>
      <c r="AK145" s="58">
        <v>0</v>
      </c>
      <c r="AL145" s="58">
        <v>0</v>
      </c>
      <c r="AM145" s="58">
        <v>0</v>
      </c>
      <c r="AN145" s="59">
        <v>0</v>
      </c>
    </row>
    <row r="146" spans="1:40">
      <c r="A146" s="72" t="str">
        <f>HYPERLINK("https://www.ncbi.nlm.nih.gov/pubmed/23558297","23558297")</f>
        <v>23558297</v>
      </c>
      <c r="B146" s="56" t="s">
        <v>267</v>
      </c>
      <c r="C146" s="56" t="s">
        <v>268</v>
      </c>
      <c r="D146" s="56" t="s">
        <v>225</v>
      </c>
      <c r="E146" s="56" t="s">
        <v>198</v>
      </c>
      <c r="F146" s="56" t="s">
        <v>269</v>
      </c>
      <c r="G146" s="56" t="s">
        <v>214</v>
      </c>
      <c r="H146" s="56" t="s">
        <v>13</v>
      </c>
      <c r="I146" s="56" t="s">
        <v>243</v>
      </c>
      <c r="J146" s="63" t="s">
        <v>84</v>
      </c>
      <c r="K146" s="57">
        <v>0</v>
      </c>
      <c r="L146" s="58">
        <v>0</v>
      </c>
      <c r="M146" s="58">
        <v>0</v>
      </c>
      <c r="N146" s="58">
        <v>0</v>
      </c>
      <c r="O146" s="59">
        <v>0</v>
      </c>
      <c r="P146" s="57">
        <v>0</v>
      </c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9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1</v>
      </c>
      <c r="AC146" s="58">
        <v>1</v>
      </c>
      <c r="AD146" s="58">
        <v>0</v>
      </c>
      <c r="AE146" s="58">
        <v>0</v>
      </c>
      <c r="AF146" s="58">
        <v>0</v>
      </c>
      <c r="AG146" s="58">
        <v>0</v>
      </c>
      <c r="AH146" s="58">
        <v>0</v>
      </c>
      <c r="AI146" s="58">
        <v>0</v>
      </c>
      <c r="AJ146" s="59">
        <v>0</v>
      </c>
      <c r="AK146" s="58">
        <v>0</v>
      </c>
      <c r="AL146" s="58">
        <v>0</v>
      </c>
      <c r="AM146" s="58">
        <v>0</v>
      </c>
      <c r="AN146" s="59">
        <v>0</v>
      </c>
    </row>
    <row r="147" spans="1:40">
      <c r="A147" s="72" t="str">
        <f>HYPERLINK("https://www.ncbi.nlm.nih.gov/pubmed/23590819","23590819")</f>
        <v>23590819</v>
      </c>
      <c r="B147" s="56" t="s">
        <v>267</v>
      </c>
      <c r="C147" s="56" t="s">
        <v>268</v>
      </c>
      <c r="D147" s="56" t="s">
        <v>225</v>
      </c>
      <c r="E147" s="56" t="s">
        <v>198</v>
      </c>
      <c r="F147" s="56" t="s">
        <v>269</v>
      </c>
      <c r="G147" s="56" t="s">
        <v>214</v>
      </c>
      <c r="H147" s="56" t="s">
        <v>13</v>
      </c>
      <c r="I147" s="56" t="s">
        <v>243</v>
      </c>
      <c r="J147" s="63" t="s">
        <v>82</v>
      </c>
      <c r="K147" s="58">
        <v>0</v>
      </c>
      <c r="L147" s="58">
        <v>0</v>
      </c>
      <c r="M147" s="58">
        <v>0</v>
      </c>
      <c r="N147" s="58">
        <v>0</v>
      </c>
      <c r="O147" s="59">
        <v>0</v>
      </c>
      <c r="P147" s="58">
        <v>0</v>
      </c>
      <c r="Q147" s="58">
        <v>0</v>
      </c>
      <c r="R147" s="58">
        <v>0</v>
      </c>
      <c r="S147" s="58">
        <v>0</v>
      </c>
      <c r="T147" s="58">
        <v>0</v>
      </c>
      <c r="U147" s="58">
        <v>0</v>
      </c>
      <c r="V147" s="59">
        <v>0</v>
      </c>
      <c r="W147" s="57">
        <v>0</v>
      </c>
      <c r="X147" s="58">
        <v>0</v>
      </c>
      <c r="Y147" s="58">
        <v>0</v>
      </c>
      <c r="Z147" s="58">
        <v>0</v>
      </c>
      <c r="AA147" s="58">
        <v>0</v>
      </c>
      <c r="AB147" s="58">
        <v>1</v>
      </c>
      <c r="AC147" s="58">
        <v>1</v>
      </c>
      <c r="AD147" s="58">
        <v>0</v>
      </c>
      <c r="AE147" s="58">
        <v>0</v>
      </c>
      <c r="AF147" s="58">
        <v>0</v>
      </c>
      <c r="AG147" s="58">
        <v>0</v>
      </c>
      <c r="AH147" s="58">
        <v>0</v>
      </c>
      <c r="AI147" s="58">
        <v>0</v>
      </c>
      <c r="AJ147" s="59">
        <v>0</v>
      </c>
      <c r="AK147" s="58">
        <v>0</v>
      </c>
      <c r="AL147" s="58">
        <v>0</v>
      </c>
      <c r="AM147" s="58">
        <v>0</v>
      </c>
      <c r="AN147" s="59">
        <v>0</v>
      </c>
    </row>
    <row r="148" spans="1:40">
      <c r="A148" s="72" t="str">
        <f>HYPERLINK("https://www.ncbi.nlm.nih.gov/pubmed/23670170","23670170")</f>
        <v>23670170</v>
      </c>
      <c r="B148" s="56" t="s">
        <v>267</v>
      </c>
      <c r="C148" s="56" t="s">
        <v>268</v>
      </c>
      <c r="D148" s="56" t="s">
        <v>225</v>
      </c>
      <c r="E148" s="56" t="s">
        <v>198</v>
      </c>
      <c r="F148" s="56" t="s">
        <v>269</v>
      </c>
      <c r="G148" s="56" t="s">
        <v>214</v>
      </c>
      <c r="H148" s="56" t="s">
        <v>13</v>
      </c>
      <c r="I148" s="56" t="s">
        <v>201</v>
      </c>
      <c r="J148" s="56" t="s">
        <v>142</v>
      </c>
      <c r="K148" s="57">
        <v>0</v>
      </c>
      <c r="L148" s="58">
        <v>0</v>
      </c>
      <c r="M148" s="58">
        <v>0</v>
      </c>
      <c r="N148" s="58">
        <v>0</v>
      </c>
      <c r="O148" s="58">
        <v>0</v>
      </c>
      <c r="P148" s="57">
        <v>0</v>
      </c>
      <c r="Q148" s="58">
        <v>0</v>
      </c>
      <c r="R148" s="58">
        <v>0</v>
      </c>
      <c r="S148" s="58">
        <v>0</v>
      </c>
      <c r="T148" s="58">
        <v>0</v>
      </c>
      <c r="U148" s="58">
        <v>0</v>
      </c>
      <c r="V148" s="59">
        <v>0</v>
      </c>
      <c r="W148" s="57">
        <v>0</v>
      </c>
      <c r="X148" s="58">
        <v>0</v>
      </c>
      <c r="Y148" s="58">
        <v>0</v>
      </c>
      <c r="Z148" s="58">
        <v>0</v>
      </c>
      <c r="AA148" s="58">
        <v>0</v>
      </c>
      <c r="AB148" s="58">
        <v>1</v>
      </c>
      <c r="AC148" s="58">
        <v>0</v>
      </c>
      <c r="AD148" s="58">
        <v>0</v>
      </c>
      <c r="AE148" s="58">
        <v>0</v>
      </c>
      <c r="AF148" s="58">
        <v>0</v>
      </c>
      <c r="AG148" s="58">
        <v>0</v>
      </c>
      <c r="AH148" s="58">
        <v>0</v>
      </c>
      <c r="AI148" s="58">
        <v>0</v>
      </c>
      <c r="AJ148" s="59">
        <v>0</v>
      </c>
      <c r="AK148" s="58">
        <v>0</v>
      </c>
      <c r="AL148" s="58">
        <v>0</v>
      </c>
      <c r="AM148" s="58">
        <v>0</v>
      </c>
      <c r="AN148" s="59">
        <v>0</v>
      </c>
    </row>
    <row r="149" spans="1:40">
      <c r="A149" s="72" t="str">
        <f>HYPERLINK("https://www.ncbi.nlm.nih.gov/pubmed/23685396","23685396")</f>
        <v>23685396</v>
      </c>
      <c r="B149" s="56" t="s">
        <v>267</v>
      </c>
      <c r="C149" s="56" t="s">
        <v>268</v>
      </c>
      <c r="D149" s="56" t="s">
        <v>225</v>
      </c>
      <c r="E149" s="56" t="s">
        <v>198</v>
      </c>
      <c r="F149" s="56" t="s">
        <v>269</v>
      </c>
      <c r="G149" s="56" t="s">
        <v>214</v>
      </c>
      <c r="H149" s="56" t="s">
        <v>13</v>
      </c>
      <c r="I149" s="56" t="s">
        <v>279</v>
      </c>
      <c r="J149" s="56" t="s">
        <v>164</v>
      </c>
      <c r="K149" s="57">
        <v>0</v>
      </c>
      <c r="L149" s="58">
        <v>0</v>
      </c>
      <c r="M149" s="58">
        <v>0</v>
      </c>
      <c r="N149" s="58">
        <v>0</v>
      </c>
      <c r="O149" s="58">
        <v>1</v>
      </c>
      <c r="P149" s="57">
        <v>0</v>
      </c>
      <c r="Q149" s="58">
        <v>0</v>
      </c>
      <c r="R149" s="58">
        <v>0</v>
      </c>
      <c r="S149" s="58">
        <v>0</v>
      </c>
      <c r="T149" s="58">
        <v>0</v>
      </c>
      <c r="U149" s="58">
        <v>0</v>
      </c>
      <c r="V149" s="59">
        <v>0</v>
      </c>
      <c r="W149" s="57">
        <v>0</v>
      </c>
      <c r="X149" s="58">
        <v>0</v>
      </c>
      <c r="Y149" s="58">
        <v>1</v>
      </c>
      <c r="Z149" s="58">
        <v>1</v>
      </c>
      <c r="AA149" s="58">
        <v>0</v>
      </c>
      <c r="AB149" s="58">
        <v>1</v>
      </c>
      <c r="AC149" s="58">
        <v>0</v>
      </c>
      <c r="AD149" s="58">
        <v>0</v>
      </c>
      <c r="AE149" s="58">
        <v>0</v>
      </c>
      <c r="AF149" s="58">
        <v>0</v>
      </c>
      <c r="AG149" s="58">
        <v>0</v>
      </c>
      <c r="AH149" s="58">
        <v>0</v>
      </c>
      <c r="AI149" s="58">
        <v>0</v>
      </c>
      <c r="AJ149" s="59">
        <v>0</v>
      </c>
      <c r="AK149" s="58">
        <v>0</v>
      </c>
      <c r="AL149" s="58">
        <v>0</v>
      </c>
      <c r="AM149" s="58">
        <v>0</v>
      </c>
      <c r="AN149" s="59">
        <v>0</v>
      </c>
    </row>
    <row r="150" spans="1:40">
      <c r="A150" s="72" t="str">
        <f>HYPERLINK("https://www.ncbi.nlm.nih.gov/pubmed/23990906","23990906")</f>
        <v>23990906</v>
      </c>
      <c r="B150" s="56" t="s">
        <v>267</v>
      </c>
      <c r="C150" s="56" t="s">
        <v>268</v>
      </c>
      <c r="D150" s="56" t="s">
        <v>225</v>
      </c>
      <c r="E150" s="56" t="s">
        <v>198</v>
      </c>
      <c r="F150" s="56" t="s">
        <v>269</v>
      </c>
      <c r="G150" s="56" t="s">
        <v>214</v>
      </c>
      <c r="H150" s="56" t="s">
        <v>13</v>
      </c>
      <c r="I150" s="56" t="s">
        <v>243</v>
      </c>
      <c r="J150" s="56" t="s">
        <v>280</v>
      </c>
      <c r="K150" s="57">
        <v>0</v>
      </c>
      <c r="L150" s="58">
        <v>0</v>
      </c>
      <c r="M150" s="58">
        <v>0</v>
      </c>
      <c r="N150" s="58">
        <v>0</v>
      </c>
      <c r="O150" s="59">
        <v>0</v>
      </c>
      <c r="P150" s="58">
        <v>0</v>
      </c>
      <c r="Q150" s="58">
        <v>0</v>
      </c>
      <c r="R150" s="58">
        <v>0</v>
      </c>
      <c r="S150" s="58">
        <v>0</v>
      </c>
      <c r="T150" s="58">
        <v>0</v>
      </c>
      <c r="U150" s="58">
        <v>0</v>
      </c>
      <c r="V150" s="59">
        <v>0</v>
      </c>
      <c r="W150" s="58">
        <v>0</v>
      </c>
      <c r="X150" s="58">
        <v>1</v>
      </c>
      <c r="Y150" s="58">
        <v>1</v>
      </c>
      <c r="Z150" s="58">
        <v>0</v>
      </c>
      <c r="AA150" s="58">
        <v>0</v>
      </c>
      <c r="AB150" s="58">
        <v>1</v>
      </c>
      <c r="AC150" s="58">
        <v>1</v>
      </c>
      <c r="AD150" s="58">
        <v>0</v>
      </c>
      <c r="AE150" s="58">
        <v>0</v>
      </c>
      <c r="AF150" s="58">
        <v>1</v>
      </c>
      <c r="AG150" s="58">
        <v>0</v>
      </c>
      <c r="AH150" s="58">
        <v>0</v>
      </c>
      <c r="AI150" s="58">
        <v>0</v>
      </c>
      <c r="AJ150" s="59">
        <v>0</v>
      </c>
      <c r="AK150" s="58">
        <v>0</v>
      </c>
      <c r="AL150" s="58">
        <v>0</v>
      </c>
      <c r="AM150" s="58">
        <v>0</v>
      </c>
      <c r="AN150" s="59">
        <v>0</v>
      </c>
    </row>
    <row r="151" spans="1:40">
      <c r="A151" s="72" t="str">
        <f>HYPERLINK("https://www.ncbi.nlm.nih.gov/pubmed/24114466","24114466")</f>
        <v>24114466</v>
      </c>
      <c r="B151" s="56" t="s">
        <v>267</v>
      </c>
      <c r="C151" s="56" t="s">
        <v>268</v>
      </c>
      <c r="D151" s="56" t="s">
        <v>225</v>
      </c>
      <c r="E151" s="56" t="s">
        <v>198</v>
      </c>
      <c r="F151" s="56" t="s">
        <v>269</v>
      </c>
      <c r="G151" s="56" t="s">
        <v>214</v>
      </c>
      <c r="H151" s="56" t="s">
        <v>13</v>
      </c>
      <c r="I151" s="56" t="s">
        <v>243</v>
      </c>
      <c r="J151" s="56" t="s">
        <v>126</v>
      </c>
      <c r="K151" s="57">
        <v>0</v>
      </c>
      <c r="L151" s="58">
        <v>0</v>
      </c>
      <c r="M151" s="58">
        <v>0</v>
      </c>
      <c r="N151" s="58">
        <v>0</v>
      </c>
      <c r="O151" s="59">
        <v>1</v>
      </c>
      <c r="P151" s="57">
        <v>0</v>
      </c>
      <c r="Q151" s="58">
        <v>0</v>
      </c>
      <c r="R151" s="58">
        <v>0</v>
      </c>
      <c r="S151" s="58">
        <v>0</v>
      </c>
      <c r="T151" s="58">
        <v>0</v>
      </c>
      <c r="U151" s="58">
        <v>0</v>
      </c>
      <c r="V151" s="59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1</v>
      </c>
      <c r="AC151" s="58">
        <v>1</v>
      </c>
      <c r="AD151" s="58">
        <v>0</v>
      </c>
      <c r="AE151" s="58">
        <v>0</v>
      </c>
      <c r="AF151" s="58">
        <v>0</v>
      </c>
      <c r="AG151" s="58">
        <v>0</v>
      </c>
      <c r="AH151" s="58">
        <v>0</v>
      </c>
      <c r="AI151" s="58">
        <v>0</v>
      </c>
      <c r="AJ151" s="59">
        <v>0</v>
      </c>
      <c r="AK151" s="58">
        <v>0</v>
      </c>
      <c r="AL151" s="58">
        <v>0</v>
      </c>
      <c r="AM151" s="58">
        <v>0</v>
      </c>
      <c r="AN151" s="59">
        <v>0</v>
      </c>
    </row>
    <row r="152" spans="1:40">
      <c r="A152" s="72" t="str">
        <f>HYPERLINK("https://www.ncbi.nlm.nih.gov/pubmed/24434083","24434083")</f>
        <v>24434083</v>
      </c>
      <c r="B152" s="56" t="s">
        <v>267</v>
      </c>
      <c r="C152" s="56" t="s">
        <v>268</v>
      </c>
      <c r="D152" s="56" t="s">
        <v>225</v>
      </c>
      <c r="E152" s="56" t="s">
        <v>198</v>
      </c>
      <c r="F152" s="56" t="s">
        <v>269</v>
      </c>
      <c r="G152" s="56" t="s">
        <v>214</v>
      </c>
      <c r="H152" s="56" t="s">
        <v>13</v>
      </c>
      <c r="I152" s="56" t="s">
        <v>243</v>
      </c>
      <c r="J152" s="63" t="s">
        <v>281</v>
      </c>
      <c r="K152" s="57">
        <v>0</v>
      </c>
      <c r="L152" s="58">
        <v>0</v>
      </c>
      <c r="M152" s="58">
        <v>0</v>
      </c>
      <c r="N152" s="58">
        <v>0</v>
      </c>
      <c r="O152" s="58">
        <v>1</v>
      </c>
      <c r="P152" s="57">
        <v>1</v>
      </c>
      <c r="Q152" s="58">
        <v>1</v>
      </c>
      <c r="R152" s="58">
        <v>1</v>
      </c>
      <c r="S152" s="58">
        <v>0</v>
      </c>
      <c r="T152" s="58">
        <v>0</v>
      </c>
      <c r="U152" s="58">
        <v>0</v>
      </c>
      <c r="V152" s="59">
        <v>0</v>
      </c>
      <c r="W152" s="58">
        <v>0</v>
      </c>
      <c r="X152" s="58">
        <v>1</v>
      </c>
      <c r="Y152" s="58">
        <v>1</v>
      </c>
      <c r="Z152" s="58">
        <v>0</v>
      </c>
      <c r="AA152" s="58">
        <v>0</v>
      </c>
      <c r="AB152" s="58">
        <v>1</v>
      </c>
      <c r="AC152" s="58">
        <v>0</v>
      </c>
      <c r="AD152" s="58">
        <v>0</v>
      </c>
      <c r="AE152" s="58">
        <v>0</v>
      </c>
      <c r="AF152" s="58">
        <v>0</v>
      </c>
      <c r="AG152" s="58">
        <v>0</v>
      </c>
      <c r="AH152" s="58">
        <v>0</v>
      </c>
      <c r="AI152" s="58">
        <v>0</v>
      </c>
      <c r="AJ152" s="59">
        <v>0</v>
      </c>
      <c r="AK152" s="58">
        <v>1</v>
      </c>
      <c r="AL152" s="58">
        <v>0</v>
      </c>
      <c r="AM152" s="58">
        <v>0</v>
      </c>
      <c r="AN152" s="59">
        <v>0</v>
      </c>
    </row>
    <row r="153" spans="1:40">
      <c r="A153" s="72" t="str">
        <f>HYPERLINK("https://www.ncbi.nlm.nih.gov/pubmed/24486430","24486430")</f>
        <v>24486430</v>
      </c>
      <c r="B153" s="56" t="s">
        <v>267</v>
      </c>
      <c r="C153" s="56" t="s">
        <v>268</v>
      </c>
      <c r="D153" s="56" t="s">
        <v>225</v>
      </c>
      <c r="E153" s="56" t="s">
        <v>198</v>
      </c>
      <c r="F153" s="56" t="s">
        <v>269</v>
      </c>
      <c r="G153" s="56" t="s">
        <v>214</v>
      </c>
      <c r="H153" s="56" t="s">
        <v>13</v>
      </c>
      <c r="I153" s="56" t="s">
        <v>282</v>
      </c>
      <c r="J153" s="63" t="s">
        <v>84</v>
      </c>
      <c r="K153" s="57">
        <v>0</v>
      </c>
      <c r="L153" s="58">
        <v>0</v>
      </c>
      <c r="M153" s="58">
        <v>0</v>
      </c>
      <c r="N153" s="58">
        <v>0</v>
      </c>
      <c r="O153" s="59">
        <v>0</v>
      </c>
      <c r="P153" s="58">
        <v>0</v>
      </c>
      <c r="Q153" s="58">
        <v>0</v>
      </c>
      <c r="R153" s="58">
        <v>1</v>
      </c>
      <c r="S153" s="58">
        <v>0</v>
      </c>
      <c r="T153" s="58">
        <v>0</v>
      </c>
      <c r="U153" s="58">
        <v>0</v>
      </c>
      <c r="V153" s="59">
        <v>0</v>
      </c>
      <c r="W153" s="58">
        <v>0</v>
      </c>
      <c r="X153" s="58">
        <v>1</v>
      </c>
      <c r="Y153" s="58">
        <v>1</v>
      </c>
      <c r="Z153" s="58">
        <v>1</v>
      </c>
      <c r="AA153" s="58">
        <v>0</v>
      </c>
      <c r="AB153" s="58">
        <v>0</v>
      </c>
      <c r="AC153" s="58">
        <v>1</v>
      </c>
      <c r="AD153" s="58">
        <v>0</v>
      </c>
      <c r="AE153" s="58">
        <v>0</v>
      </c>
      <c r="AF153" s="58">
        <v>0</v>
      </c>
      <c r="AG153" s="58">
        <v>0</v>
      </c>
      <c r="AH153" s="58">
        <v>0</v>
      </c>
      <c r="AI153" s="58">
        <v>0</v>
      </c>
      <c r="AJ153" s="59">
        <v>0</v>
      </c>
      <c r="AK153" s="58">
        <v>0</v>
      </c>
      <c r="AL153" s="58">
        <v>0</v>
      </c>
      <c r="AM153" s="58">
        <v>0</v>
      </c>
      <c r="AN153" s="59">
        <v>0</v>
      </c>
    </row>
    <row r="154" spans="1:40">
      <c r="A154" s="72" t="str">
        <f>HYPERLINK("https://www.ncbi.nlm.nih.gov/pubmed/24515815","24515815")</f>
        <v>24515815</v>
      </c>
      <c r="B154" s="56" t="s">
        <v>267</v>
      </c>
      <c r="C154" s="56" t="s">
        <v>268</v>
      </c>
      <c r="D154" s="56" t="s">
        <v>225</v>
      </c>
      <c r="E154" s="56" t="s">
        <v>198</v>
      </c>
      <c r="F154" s="56" t="s">
        <v>269</v>
      </c>
      <c r="G154" s="56" t="s">
        <v>214</v>
      </c>
      <c r="H154" s="56" t="s">
        <v>13</v>
      </c>
      <c r="I154" s="56" t="s">
        <v>243</v>
      </c>
      <c r="J154" s="63" t="s">
        <v>126</v>
      </c>
      <c r="K154" s="57">
        <v>0</v>
      </c>
      <c r="L154" s="58">
        <v>0</v>
      </c>
      <c r="M154" s="58">
        <v>0</v>
      </c>
      <c r="N154" s="58">
        <v>0</v>
      </c>
      <c r="O154" s="59">
        <v>1</v>
      </c>
      <c r="P154" s="58">
        <v>0</v>
      </c>
      <c r="Q154" s="58">
        <v>0</v>
      </c>
      <c r="R154" s="58">
        <v>0</v>
      </c>
      <c r="S154" s="58">
        <v>0</v>
      </c>
      <c r="T154" s="58">
        <v>0</v>
      </c>
      <c r="U154" s="58">
        <v>0</v>
      </c>
      <c r="V154" s="59">
        <v>0</v>
      </c>
      <c r="W154" s="58">
        <v>0</v>
      </c>
      <c r="X154" s="58">
        <v>0</v>
      </c>
      <c r="Y154" s="58">
        <v>0</v>
      </c>
      <c r="Z154" s="58">
        <v>0</v>
      </c>
      <c r="AA154" s="58">
        <v>0</v>
      </c>
      <c r="AB154" s="58">
        <v>1</v>
      </c>
      <c r="AC154" s="58">
        <v>1</v>
      </c>
      <c r="AD154" s="58">
        <v>0</v>
      </c>
      <c r="AE154" s="58">
        <v>0</v>
      </c>
      <c r="AF154" s="58">
        <v>0</v>
      </c>
      <c r="AG154" s="58">
        <v>0</v>
      </c>
      <c r="AH154" s="58">
        <v>0</v>
      </c>
      <c r="AI154" s="58">
        <v>0</v>
      </c>
      <c r="AJ154" s="59">
        <v>0</v>
      </c>
      <c r="AK154" s="58">
        <v>0</v>
      </c>
      <c r="AL154" s="58">
        <v>0</v>
      </c>
      <c r="AM154" s="58">
        <v>0</v>
      </c>
      <c r="AN154" s="59">
        <v>0</v>
      </c>
    </row>
    <row r="155" spans="1:40">
      <c r="A155" s="72" t="str">
        <f>HYPERLINK("https://www.ncbi.nlm.nih.gov/pubmed/24515815","24515815")</f>
        <v>24515815</v>
      </c>
      <c r="B155" s="56" t="s">
        <v>267</v>
      </c>
      <c r="C155" s="56" t="s">
        <v>268</v>
      </c>
      <c r="D155" s="56" t="s">
        <v>225</v>
      </c>
      <c r="E155" s="56" t="s">
        <v>198</v>
      </c>
      <c r="F155" s="56" t="s">
        <v>269</v>
      </c>
      <c r="G155" s="56" t="s">
        <v>214</v>
      </c>
      <c r="H155" s="56" t="s">
        <v>13</v>
      </c>
      <c r="I155" s="56" t="s">
        <v>243</v>
      </c>
      <c r="J155" s="63" t="s">
        <v>126</v>
      </c>
      <c r="K155" s="57">
        <v>0</v>
      </c>
      <c r="L155" s="58">
        <v>0</v>
      </c>
      <c r="M155" s="58">
        <v>0</v>
      </c>
      <c r="N155" s="58">
        <v>0</v>
      </c>
      <c r="O155" s="59">
        <v>1</v>
      </c>
      <c r="P155" s="57">
        <v>0</v>
      </c>
      <c r="Q155" s="58">
        <v>0</v>
      </c>
      <c r="R155" s="58">
        <v>0</v>
      </c>
      <c r="S155" s="58">
        <v>0</v>
      </c>
      <c r="T155" s="58">
        <v>0</v>
      </c>
      <c r="U155" s="58">
        <v>0</v>
      </c>
      <c r="V155" s="59">
        <v>0</v>
      </c>
      <c r="W155" s="57">
        <v>0</v>
      </c>
      <c r="X155" s="58">
        <v>0</v>
      </c>
      <c r="Y155" s="58">
        <v>0</v>
      </c>
      <c r="Z155" s="58">
        <v>0</v>
      </c>
      <c r="AA155" s="58">
        <v>0</v>
      </c>
      <c r="AB155" s="58">
        <v>1</v>
      </c>
      <c r="AC155" s="58">
        <v>1</v>
      </c>
      <c r="AD155" s="58">
        <v>0</v>
      </c>
      <c r="AE155" s="58">
        <v>0</v>
      </c>
      <c r="AF155" s="58">
        <v>0</v>
      </c>
      <c r="AG155" s="58">
        <v>0</v>
      </c>
      <c r="AH155" s="58">
        <v>0</v>
      </c>
      <c r="AI155" s="58">
        <v>0</v>
      </c>
      <c r="AJ155" s="59">
        <v>0</v>
      </c>
      <c r="AK155" s="58">
        <v>0</v>
      </c>
      <c r="AL155" s="58">
        <v>0</v>
      </c>
      <c r="AM155" s="58">
        <v>0</v>
      </c>
      <c r="AN155" s="59">
        <v>0</v>
      </c>
    </row>
    <row r="156" spans="1:40">
      <c r="A156" s="72" t="str">
        <f>HYPERLINK("https://www.ncbi.nlm.nih.gov/pubmed/24928889","24928889")</f>
        <v>24928889</v>
      </c>
      <c r="B156" s="56" t="s">
        <v>267</v>
      </c>
      <c r="C156" s="56" t="s">
        <v>268</v>
      </c>
      <c r="D156" s="56" t="s">
        <v>225</v>
      </c>
      <c r="E156" s="56" t="s">
        <v>198</v>
      </c>
      <c r="F156" s="56" t="s">
        <v>269</v>
      </c>
      <c r="G156" s="56" t="s">
        <v>214</v>
      </c>
      <c r="H156" s="56" t="s">
        <v>13</v>
      </c>
      <c r="I156" s="56" t="s">
        <v>243</v>
      </c>
      <c r="J156" s="63" t="s">
        <v>283</v>
      </c>
      <c r="K156" s="57">
        <v>0</v>
      </c>
      <c r="L156" s="58">
        <v>0</v>
      </c>
      <c r="M156" s="58">
        <v>0</v>
      </c>
      <c r="N156" s="58">
        <v>0</v>
      </c>
      <c r="O156" s="59">
        <v>0</v>
      </c>
      <c r="P156" s="58">
        <v>0</v>
      </c>
      <c r="Q156" s="58">
        <v>0</v>
      </c>
      <c r="R156" s="58">
        <v>0</v>
      </c>
      <c r="S156" s="58">
        <v>0</v>
      </c>
      <c r="T156" s="58">
        <v>0</v>
      </c>
      <c r="U156" s="58">
        <v>0</v>
      </c>
      <c r="V156" s="59">
        <v>0</v>
      </c>
      <c r="W156" s="58">
        <v>1</v>
      </c>
      <c r="X156" s="58">
        <v>1</v>
      </c>
      <c r="Y156" s="58">
        <v>1</v>
      </c>
      <c r="Z156" s="58">
        <v>1</v>
      </c>
      <c r="AA156" s="58">
        <v>0</v>
      </c>
      <c r="AB156" s="58">
        <v>1</v>
      </c>
      <c r="AC156" s="58">
        <v>1</v>
      </c>
      <c r="AD156" s="58">
        <v>0</v>
      </c>
      <c r="AE156" s="58">
        <v>0</v>
      </c>
      <c r="AF156" s="58">
        <v>0</v>
      </c>
      <c r="AG156" s="58">
        <v>0</v>
      </c>
      <c r="AH156" s="58">
        <v>0</v>
      </c>
      <c r="AI156" s="58">
        <v>0</v>
      </c>
      <c r="AJ156" s="59">
        <v>0</v>
      </c>
      <c r="AK156" s="58">
        <v>0</v>
      </c>
      <c r="AL156" s="58">
        <v>0</v>
      </c>
      <c r="AM156" s="58">
        <v>0</v>
      </c>
      <c r="AN156" s="59">
        <v>0</v>
      </c>
    </row>
    <row r="157" spans="1:40">
      <c r="A157" s="72" t="str">
        <f>HYPERLINK("https://www.ncbi.nlm.nih.gov/pubmed/24995434","24995434")</f>
        <v>24995434</v>
      </c>
      <c r="B157" s="56" t="s">
        <v>267</v>
      </c>
      <c r="C157" s="56" t="s">
        <v>268</v>
      </c>
      <c r="D157" s="56" t="s">
        <v>225</v>
      </c>
      <c r="E157" s="56" t="s">
        <v>198</v>
      </c>
      <c r="F157" s="56" t="s">
        <v>269</v>
      </c>
      <c r="G157" s="56" t="s">
        <v>214</v>
      </c>
      <c r="H157" s="56" t="s">
        <v>13</v>
      </c>
      <c r="I157" s="56" t="s">
        <v>243</v>
      </c>
      <c r="J157" s="63" t="s">
        <v>84</v>
      </c>
      <c r="K157" s="58">
        <v>0</v>
      </c>
      <c r="L157" s="58">
        <v>0</v>
      </c>
      <c r="M157" s="58">
        <v>0</v>
      </c>
      <c r="N157" s="58">
        <v>0</v>
      </c>
      <c r="O157" s="59">
        <v>1</v>
      </c>
      <c r="P157" s="57">
        <v>0</v>
      </c>
      <c r="Q157" s="58">
        <v>0</v>
      </c>
      <c r="R157" s="58">
        <v>0</v>
      </c>
      <c r="S157" s="58">
        <v>0</v>
      </c>
      <c r="T157" s="58">
        <v>0</v>
      </c>
      <c r="U157" s="58">
        <v>0</v>
      </c>
      <c r="V157" s="59">
        <v>0</v>
      </c>
      <c r="W157" s="57">
        <v>0</v>
      </c>
      <c r="X157" s="58">
        <v>1</v>
      </c>
      <c r="Y157" s="58">
        <v>0</v>
      </c>
      <c r="Z157" s="58">
        <v>0</v>
      </c>
      <c r="AA157" s="58">
        <v>0</v>
      </c>
      <c r="AB157" s="58">
        <v>1</v>
      </c>
      <c r="AC157" s="58">
        <v>1</v>
      </c>
      <c r="AD157" s="58">
        <v>0</v>
      </c>
      <c r="AE157" s="58">
        <v>0</v>
      </c>
      <c r="AF157" s="58">
        <v>0</v>
      </c>
      <c r="AG157" s="58">
        <v>0</v>
      </c>
      <c r="AH157" s="58">
        <v>0</v>
      </c>
      <c r="AI157" s="58">
        <v>0</v>
      </c>
      <c r="AJ157" s="59">
        <v>0</v>
      </c>
      <c r="AK157" s="58">
        <v>0</v>
      </c>
      <c r="AL157" s="58">
        <v>0</v>
      </c>
      <c r="AM157" s="58">
        <v>0</v>
      </c>
      <c r="AN157" s="59">
        <v>0</v>
      </c>
    </row>
    <row r="158" spans="1:40">
      <c r="A158" s="72" t="str">
        <f>HYPERLINK("https://www.ncbi.nlm.nih.gov/pubmed/25579646","25579646")</f>
        <v>25579646</v>
      </c>
      <c r="B158" s="56" t="s">
        <v>267</v>
      </c>
      <c r="C158" s="56" t="s">
        <v>268</v>
      </c>
      <c r="D158" s="56" t="s">
        <v>225</v>
      </c>
      <c r="E158" s="56" t="s">
        <v>198</v>
      </c>
      <c r="F158" s="56" t="s">
        <v>269</v>
      </c>
      <c r="G158" s="56" t="s">
        <v>214</v>
      </c>
      <c r="H158" s="56" t="s">
        <v>13</v>
      </c>
      <c r="I158" s="56" t="s">
        <v>243</v>
      </c>
      <c r="J158" s="63" t="s">
        <v>284</v>
      </c>
      <c r="K158" s="58">
        <v>0</v>
      </c>
      <c r="L158" s="58">
        <v>0</v>
      </c>
      <c r="M158" s="58">
        <v>0</v>
      </c>
      <c r="N158" s="58">
        <v>0</v>
      </c>
      <c r="O158" s="59">
        <v>0</v>
      </c>
      <c r="P158" s="58">
        <v>0</v>
      </c>
      <c r="Q158" s="58">
        <v>0</v>
      </c>
      <c r="R158" s="58">
        <v>0</v>
      </c>
      <c r="S158" s="58">
        <v>0</v>
      </c>
      <c r="T158" s="58">
        <v>0</v>
      </c>
      <c r="U158" s="58">
        <v>0</v>
      </c>
      <c r="V158" s="59">
        <v>0</v>
      </c>
      <c r="W158" s="57">
        <v>0</v>
      </c>
      <c r="X158" s="58">
        <v>0</v>
      </c>
      <c r="Y158" s="58">
        <v>0</v>
      </c>
      <c r="Z158" s="58">
        <v>0</v>
      </c>
      <c r="AA158" s="58">
        <v>0</v>
      </c>
      <c r="AB158" s="58">
        <v>1</v>
      </c>
      <c r="AC158" s="58">
        <v>1</v>
      </c>
      <c r="AD158" s="58">
        <v>0</v>
      </c>
      <c r="AE158" s="58">
        <v>0</v>
      </c>
      <c r="AF158" s="58">
        <v>0</v>
      </c>
      <c r="AG158" s="58">
        <v>0</v>
      </c>
      <c r="AH158" s="58">
        <v>0</v>
      </c>
      <c r="AI158" s="58">
        <v>0</v>
      </c>
      <c r="AJ158" s="59">
        <v>0</v>
      </c>
      <c r="AK158" s="58">
        <v>0</v>
      </c>
      <c r="AL158" s="58">
        <v>0</v>
      </c>
      <c r="AM158" s="58">
        <v>0</v>
      </c>
      <c r="AN158" s="59">
        <v>0</v>
      </c>
    </row>
    <row r="159" spans="1:40">
      <c r="A159" s="72" t="str">
        <f>HYPERLINK("https://www.ncbi.nlm.nih.gov/pubmed/25625232","25625232")</f>
        <v>25625232</v>
      </c>
      <c r="B159" s="56" t="s">
        <v>267</v>
      </c>
      <c r="C159" s="56" t="s">
        <v>268</v>
      </c>
      <c r="D159" s="56" t="s">
        <v>225</v>
      </c>
      <c r="E159" s="56" t="s">
        <v>198</v>
      </c>
      <c r="F159" s="56" t="s">
        <v>269</v>
      </c>
      <c r="G159" s="56" t="s">
        <v>214</v>
      </c>
      <c r="H159" s="56" t="s">
        <v>13</v>
      </c>
      <c r="I159" s="56" t="s">
        <v>243</v>
      </c>
      <c r="J159" s="63" t="s">
        <v>142</v>
      </c>
      <c r="K159" s="58">
        <v>0</v>
      </c>
      <c r="L159" s="58">
        <v>0</v>
      </c>
      <c r="M159" s="58">
        <v>0</v>
      </c>
      <c r="N159" s="58">
        <v>0</v>
      </c>
      <c r="O159" s="59">
        <v>0</v>
      </c>
      <c r="P159" s="58">
        <v>1</v>
      </c>
      <c r="Q159" s="58">
        <v>1</v>
      </c>
      <c r="R159" s="58">
        <v>1</v>
      </c>
      <c r="S159" s="58">
        <v>0</v>
      </c>
      <c r="T159" s="58">
        <v>1</v>
      </c>
      <c r="U159" s="58">
        <v>1</v>
      </c>
      <c r="V159" s="59">
        <v>0</v>
      </c>
      <c r="W159" s="57">
        <v>0</v>
      </c>
      <c r="X159" s="58">
        <v>1</v>
      </c>
      <c r="Y159" s="58">
        <v>0</v>
      </c>
      <c r="Z159" s="58">
        <v>0</v>
      </c>
      <c r="AA159" s="58">
        <v>0</v>
      </c>
      <c r="AB159" s="58">
        <v>1</v>
      </c>
      <c r="AC159" s="58">
        <v>1</v>
      </c>
      <c r="AD159" s="58">
        <v>0</v>
      </c>
      <c r="AE159" s="58">
        <v>0</v>
      </c>
      <c r="AF159" s="58">
        <v>0</v>
      </c>
      <c r="AG159" s="58">
        <v>0</v>
      </c>
      <c r="AH159" s="58">
        <v>0</v>
      </c>
      <c r="AI159" s="58">
        <v>0</v>
      </c>
      <c r="AJ159" s="59">
        <v>0</v>
      </c>
      <c r="AK159" s="58">
        <v>1</v>
      </c>
      <c r="AL159" s="58">
        <v>0</v>
      </c>
      <c r="AM159" s="58">
        <v>0</v>
      </c>
      <c r="AN159" s="59">
        <v>0</v>
      </c>
    </row>
    <row r="160" spans="1:40">
      <c r="A160" s="72" t="str">
        <f>HYPERLINK("https://www.ncbi.nlm.nih.gov/pubmed/25765474","25765474")</f>
        <v>25765474</v>
      </c>
      <c r="B160" s="56" t="s">
        <v>267</v>
      </c>
      <c r="C160" s="56" t="s">
        <v>268</v>
      </c>
      <c r="D160" s="56" t="s">
        <v>225</v>
      </c>
      <c r="E160" s="56" t="s">
        <v>198</v>
      </c>
      <c r="F160" s="56" t="s">
        <v>269</v>
      </c>
      <c r="G160" s="56" t="s">
        <v>214</v>
      </c>
      <c r="H160" s="56" t="s">
        <v>13</v>
      </c>
      <c r="I160" s="56" t="s">
        <v>243</v>
      </c>
      <c r="J160" s="63" t="s">
        <v>285</v>
      </c>
      <c r="K160" s="58">
        <v>0</v>
      </c>
      <c r="L160" s="58">
        <v>0</v>
      </c>
      <c r="M160" s="58">
        <v>0</v>
      </c>
      <c r="N160" s="58">
        <v>0</v>
      </c>
      <c r="O160" s="59">
        <v>1</v>
      </c>
      <c r="P160" s="57">
        <v>1</v>
      </c>
      <c r="Q160" s="58">
        <v>1</v>
      </c>
      <c r="R160" s="58">
        <v>1</v>
      </c>
      <c r="S160" s="58">
        <v>0</v>
      </c>
      <c r="T160" s="58">
        <v>0</v>
      </c>
      <c r="U160" s="58">
        <v>1</v>
      </c>
      <c r="V160" s="59">
        <v>0</v>
      </c>
      <c r="W160" s="57">
        <v>1</v>
      </c>
      <c r="X160" s="58">
        <v>1</v>
      </c>
      <c r="Y160" s="58">
        <v>1</v>
      </c>
      <c r="Z160" s="58">
        <v>1</v>
      </c>
      <c r="AA160" s="58">
        <v>0</v>
      </c>
      <c r="AB160" s="58">
        <v>1</v>
      </c>
      <c r="AC160" s="58">
        <v>1</v>
      </c>
      <c r="AD160" s="58">
        <v>0</v>
      </c>
      <c r="AE160" s="58">
        <v>1</v>
      </c>
      <c r="AF160" s="58">
        <v>1</v>
      </c>
      <c r="AG160" s="58">
        <v>0</v>
      </c>
      <c r="AH160" s="58">
        <v>0</v>
      </c>
      <c r="AI160" s="58">
        <v>0</v>
      </c>
      <c r="AJ160" s="59">
        <v>0</v>
      </c>
      <c r="AK160" s="58">
        <v>1</v>
      </c>
      <c r="AL160" s="58">
        <v>0</v>
      </c>
      <c r="AM160" s="58">
        <v>0</v>
      </c>
      <c r="AN160" s="59">
        <v>0</v>
      </c>
    </row>
    <row r="161" spans="1:40">
      <c r="A161" s="72" t="str">
        <f>HYPERLINK("https://www.ncbi.nlm.nih.gov/pubmed/25871633","25871633")</f>
        <v>25871633</v>
      </c>
      <c r="B161" s="56" t="s">
        <v>267</v>
      </c>
      <c r="C161" s="56" t="s">
        <v>268</v>
      </c>
      <c r="D161" s="56" t="s">
        <v>225</v>
      </c>
      <c r="E161" s="56" t="s">
        <v>198</v>
      </c>
      <c r="F161" s="56" t="s">
        <v>269</v>
      </c>
      <c r="G161" s="56" t="s">
        <v>214</v>
      </c>
      <c r="H161" s="56" t="s">
        <v>13</v>
      </c>
      <c r="I161" s="56" t="s">
        <v>278</v>
      </c>
      <c r="J161" s="63" t="s">
        <v>124</v>
      </c>
      <c r="K161" s="57">
        <v>0</v>
      </c>
      <c r="L161" s="58">
        <v>0</v>
      </c>
      <c r="M161" s="58">
        <v>0</v>
      </c>
      <c r="N161" s="58">
        <v>0</v>
      </c>
      <c r="O161" s="59">
        <v>1</v>
      </c>
      <c r="P161" s="57">
        <v>1</v>
      </c>
      <c r="Q161" s="58">
        <v>1</v>
      </c>
      <c r="R161" s="58">
        <v>1</v>
      </c>
      <c r="S161" s="58">
        <v>0</v>
      </c>
      <c r="T161" s="58">
        <v>1</v>
      </c>
      <c r="U161" s="58">
        <v>1</v>
      </c>
      <c r="V161" s="59">
        <v>0</v>
      </c>
      <c r="W161" s="57">
        <v>0</v>
      </c>
      <c r="X161" s="58">
        <v>0</v>
      </c>
      <c r="Y161" s="58">
        <v>0</v>
      </c>
      <c r="Z161" s="58">
        <v>0</v>
      </c>
      <c r="AA161" s="58">
        <v>0</v>
      </c>
      <c r="AB161" s="58">
        <v>1</v>
      </c>
      <c r="AC161" s="58">
        <v>1</v>
      </c>
      <c r="AD161" s="58">
        <v>0</v>
      </c>
      <c r="AE161" s="58">
        <v>0</v>
      </c>
      <c r="AF161" s="58">
        <v>0</v>
      </c>
      <c r="AG161" s="58">
        <v>0</v>
      </c>
      <c r="AH161" s="58">
        <v>0</v>
      </c>
      <c r="AI161" s="58">
        <v>0</v>
      </c>
      <c r="AJ161" s="59">
        <v>0</v>
      </c>
      <c r="AK161" s="58">
        <v>1</v>
      </c>
      <c r="AL161" s="58">
        <v>0</v>
      </c>
      <c r="AM161" s="58">
        <v>0</v>
      </c>
      <c r="AN161" s="59">
        <v>0</v>
      </c>
    </row>
    <row r="162" spans="1:40">
      <c r="A162" s="72" t="str">
        <f>HYPERLINK("https://www.ncbi.nlm.nih.gov/pubmed/26435452","26435452")</f>
        <v>26435452</v>
      </c>
      <c r="B162" s="56" t="s">
        <v>267</v>
      </c>
      <c r="C162" s="56" t="s">
        <v>268</v>
      </c>
      <c r="D162" s="56" t="s">
        <v>225</v>
      </c>
      <c r="E162" s="56" t="s">
        <v>198</v>
      </c>
      <c r="F162" s="56" t="s">
        <v>269</v>
      </c>
      <c r="G162" s="56" t="s">
        <v>214</v>
      </c>
      <c r="H162" s="56" t="s">
        <v>13</v>
      </c>
      <c r="I162" s="56" t="s">
        <v>243</v>
      </c>
      <c r="J162" s="63" t="s">
        <v>124</v>
      </c>
      <c r="K162" s="57">
        <v>0</v>
      </c>
      <c r="L162" s="58">
        <v>0</v>
      </c>
      <c r="M162" s="58">
        <v>0</v>
      </c>
      <c r="N162" s="58">
        <v>0</v>
      </c>
      <c r="O162" s="59">
        <v>1</v>
      </c>
      <c r="P162" s="57">
        <v>0</v>
      </c>
      <c r="Q162" s="58">
        <v>0</v>
      </c>
      <c r="R162" s="58">
        <v>0</v>
      </c>
      <c r="S162" s="58">
        <v>0</v>
      </c>
      <c r="T162" s="58">
        <v>0</v>
      </c>
      <c r="U162" s="58">
        <v>0</v>
      </c>
      <c r="V162" s="59">
        <v>0</v>
      </c>
      <c r="W162" s="57">
        <v>1</v>
      </c>
      <c r="X162" s="58">
        <v>1</v>
      </c>
      <c r="Y162" s="58">
        <v>1</v>
      </c>
      <c r="Z162" s="58">
        <v>1</v>
      </c>
      <c r="AA162" s="58">
        <v>0</v>
      </c>
      <c r="AB162" s="58">
        <v>0</v>
      </c>
      <c r="AC162" s="58">
        <v>0</v>
      </c>
      <c r="AD162" s="58">
        <v>0</v>
      </c>
      <c r="AE162" s="58">
        <v>1</v>
      </c>
      <c r="AF162" s="58">
        <v>1</v>
      </c>
      <c r="AG162" s="58">
        <v>0</v>
      </c>
      <c r="AH162" s="58">
        <v>0</v>
      </c>
      <c r="AI162" s="58">
        <v>0</v>
      </c>
      <c r="AJ162" s="59">
        <v>0</v>
      </c>
      <c r="AK162" s="58">
        <v>0</v>
      </c>
      <c r="AL162" s="58">
        <v>0</v>
      </c>
      <c r="AM162" s="58">
        <v>0</v>
      </c>
      <c r="AN162" s="59">
        <v>0</v>
      </c>
    </row>
    <row r="163" spans="1:40">
      <c r="A163" s="72" t="str">
        <f>HYPERLINK("https://www.ncbi.nlm.nih.gov/pubmed/26781511","26781511")</f>
        <v>26781511</v>
      </c>
      <c r="B163" s="56" t="s">
        <v>267</v>
      </c>
      <c r="C163" s="56" t="s">
        <v>268</v>
      </c>
      <c r="D163" s="56" t="s">
        <v>225</v>
      </c>
      <c r="E163" s="56" t="s">
        <v>198</v>
      </c>
      <c r="F163" s="56" t="s">
        <v>269</v>
      </c>
      <c r="G163" s="56" t="s">
        <v>214</v>
      </c>
      <c r="H163" s="56" t="s">
        <v>13</v>
      </c>
      <c r="I163" s="56" t="s">
        <v>243</v>
      </c>
      <c r="J163" s="56" t="s">
        <v>286</v>
      </c>
      <c r="K163" s="57">
        <v>0</v>
      </c>
      <c r="L163" s="58">
        <v>0</v>
      </c>
      <c r="M163" s="58">
        <v>0</v>
      </c>
      <c r="N163" s="58">
        <v>0</v>
      </c>
      <c r="O163" s="59">
        <v>0</v>
      </c>
      <c r="P163" s="57">
        <v>0</v>
      </c>
      <c r="Q163" s="58">
        <v>0</v>
      </c>
      <c r="R163" s="58">
        <v>0</v>
      </c>
      <c r="S163" s="58">
        <v>0</v>
      </c>
      <c r="T163" s="58">
        <v>0</v>
      </c>
      <c r="U163" s="58">
        <v>0</v>
      </c>
      <c r="V163" s="59">
        <v>0</v>
      </c>
      <c r="W163" s="57">
        <v>1</v>
      </c>
      <c r="X163" s="58">
        <v>1</v>
      </c>
      <c r="Y163" s="58">
        <v>1</v>
      </c>
      <c r="Z163" s="58">
        <v>1</v>
      </c>
      <c r="AA163" s="58">
        <v>0</v>
      </c>
      <c r="AB163" s="58">
        <v>1</v>
      </c>
      <c r="AC163" s="58">
        <v>1</v>
      </c>
      <c r="AD163" s="58">
        <v>0</v>
      </c>
      <c r="AE163" s="58">
        <v>1</v>
      </c>
      <c r="AF163" s="58">
        <v>1</v>
      </c>
      <c r="AG163" s="58">
        <v>0</v>
      </c>
      <c r="AH163" s="58">
        <v>0</v>
      </c>
      <c r="AI163" s="58">
        <v>0</v>
      </c>
      <c r="AJ163" s="59">
        <v>0</v>
      </c>
      <c r="AK163" s="58">
        <v>0</v>
      </c>
      <c r="AL163" s="58">
        <v>0</v>
      </c>
      <c r="AM163" s="58">
        <v>0</v>
      </c>
      <c r="AN163" s="59">
        <v>0</v>
      </c>
    </row>
    <row r="164" spans="1:40">
      <c r="A164" s="72" t="str">
        <f>HYPERLINK("https://www.ncbi.nlm.nih.gov/pubmed/26979344","26979344")</f>
        <v>26979344</v>
      </c>
      <c r="B164" s="56" t="s">
        <v>267</v>
      </c>
      <c r="C164" s="56" t="s">
        <v>268</v>
      </c>
      <c r="D164" s="56" t="s">
        <v>225</v>
      </c>
      <c r="E164" s="56" t="s">
        <v>198</v>
      </c>
      <c r="F164" s="56" t="s">
        <v>269</v>
      </c>
      <c r="G164" s="56" t="s">
        <v>214</v>
      </c>
      <c r="H164" s="56" t="s">
        <v>13</v>
      </c>
      <c r="I164" s="56" t="s">
        <v>243</v>
      </c>
      <c r="J164" s="56" t="s">
        <v>100</v>
      </c>
      <c r="K164" s="57">
        <v>0</v>
      </c>
      <c r="L164" s="58">
        <v>0</v>
      </c>
      <c r="M164" s="58">
        <v>0</v>
      </c>
      <c r="N164" s="58">
        <v>0</v>
      </c>
      <c r="O164" s="59">
        <v>1</v>
      </c>
      <c r="P164" s="58">
        <v>0</v>
      </c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9">
        <v>0</v>
      </c>
      <c r="W164" s="58">
        <v>1</v>
      </c>
      <c r="X164" s="58">
        <v>1</v>
      </c>
      <c r="Y164" s="58">
        <v>1</v>
      </c>
      <c r="Z164" s="58">
        <v>1</v>
      </c>
      <c r="AA164" s="58">
        <v>1</v>
      </c>
      <c r="AB164" s="58">
        <v>1</v>
      </c>
      <c r="AC164" s="58">
        <v>1</v>
      </c>
      <c r="AD164" s="58">
        <v>1</v>
      </c>
      <c r="AE164" s="58">
        <v>1</v>
      </c>
      <c r="AF164" s="58">
        <v>1</v>
      </c>
      <c r="AG164" s="58">
        <v>0</v>
      </c>
      <c r="AH164" s="58">
        <v>0</v>
      </c>
      <c r="AI164" s="58">
        <v>0</v>
      </c>
      <c r="AJ164" s="59">
        <v>0</v>
      </c>
      <c r="AK164" s="58">
        <v>0</v>
      </c>
      <c r="AL164" s="58">
        <v>0</v>
      </c>
      <c r="AM164" s="58">
        <v>0</v>
      </c>
      <c r="AN164" s="59">
        <v>0</v>
      </c>
    </row>
    <row r="165" spans="1:40">
      <c r="A165" s="72" t="str">
        <f>HYPERLINK("https://www.ncbi.nlm.nih.gov/pubmed/27150205","27150205")</f>
        <v>27150205</v>
      </c>
      <c r="B165" s="56" t="s">
        <v>267</v>
      </c>
      <c r="C165" s="56" t="s">
        <v>268</v>
      </c>
      <c r="D165" s="56" t="s">
        <v>225</v>
      </c>
      <c r="E165" s="56" t="s">
        <v>198</v>
      </c>
      <c r="F165" s="56" t="s">
        <v>269</v>
      </c>
      <c r="G165" s="56" t="s">
        <v>214</v>
      </c>
      <c r="H165" s="56" t="s">
        <v>13</v>
      </c>
      <c r="I165" s="56" t="s">
        <v>201</v>
      </c>
      <c r="J165" s="56" t="s">
        <v>126</v>
      </c>
      <c r="K165" s="57">
        <v>0</v>
      </c>
      <c r="L165" s="58">
        <v>0</v>
      </c>
      <c r="M165" s="58">
        <v>0</v>
      </c>
      <c r="N165" s="58">
        <v>0</v>
      </c>
      <c r="O165" s="59">
        <v>1</v>
      </c>
      <c r="P165" s="58">
        <v>0</v>
      </c>
      <c r="Q165" s="58">
        <v>0</v>
      </c>
      <c r="R165" s="58">
        <v>0</v>
      </c>
      <c r="S165" s="58">
        <v>0</v>
      </c>
      <c r="T165" s="58">
        <v>0</v>
      </c>
      <c r="U165" s="58">
        <v>0</v>
      </c>
      <c r="V165" s="59">
        <v>0</v>
      </c>
      <c r="W165" s="57">
        <v>1</v>
      </c>
      <c r="X165" s="58">
        <v>1</v>
      </c>
      <c r="Y165" s="58">
        <v>1</v>
      </c>
      <c r="Z165" s="58">
        <v>1</v>
      </c>
      <c r="AA165" s="58">
        <v>1</v>
      </c>
      <c r="AB165" s="58">
        <v>1</v>
      </c>
      <c r="AC165" s="58">
        <v>1</v>
      </c>
      <c r="AD165" s="58">
        <v>1</v>
      </c>
      <c r="AE165" s="58">
        <v>0</v>
      </c>
      <c r="AF165" s="58">
        <v>0</v>
      </c>
      <c r="AG165" s="58">
        <v>0</v>
      </c>
      <c r="AH165" s="58">
        <v>0</v>
      </c>
      <c r="AI165" s="58">
        <v>0</v>
      </c>
      <c r="AJ165" s="59">
        <v>0</v>
      </c>
      <c r="AK165" s="58">
        <v>0</v>
      </c>
      <c r="AL165" s="58">
        <v>0</v>
      </c>
      <c r="AM165" s="58">
        <v>0</v>
      </c>
      <c r="AN165" s="59">
        <v>0</v>
      </c>
    </row>
    <row r="166" spans="1:40">
      <c r="A166" s="72" t="str">
        <f>HYPERLINK("https://www.ncbi.nlm.nih.gov/pubmed/28936609","28936609")</f>
        <v>28936609</v>
      </c>
      <c r="B166" s="56" t="s">
        <v>267</v>
      </c>
      <c r="C166" s="56" t="s">
        <v>268</v>
      </c>
      <c r="D166" s="56" t="s">
        <v>225</v>
      </c>
      <c r="E166" s="56" t="s">
        <v>198</v>
      </c>
      <c r="F166" s="56" t="s">
        <v>269</v>
      </c>
      <c r="G166" s="56" t="s">
        <v>214</v>
      </c>
      <c r="H166" s="56" t="s">
        <v>13</v>
      </c>
      <c r="I166" s="56" t="s">
        <v>243</v>
      </c>
      <c r="J166" s="63" t="s">
        <v>84</v>
      </c>
      <c r="K166" s="57">
        <v>0</v>
      </c>
      <c r="L166" s="58">
        <v>0</v>
      </c>
      <c r="M166" s="58">
        <v>0</v>
      </c>
      <c r="N166" s="58">
        <v>0</v>
      </c>
      <c r="O166" s="59">
        <v>1</v>
      </c>
      <c r="P166" s="57">
        <v>1</v>
      </c>
      <c r="Q166" s="58">
        <v>1</v>
      </c>
      <c r="R166" s="58">
        <v>1</v>
      </c>
      <c r="S166" s="58">
        <v>0</v>
      </c>
      <c r="T166" s="58">
        <v>0</v>
      </c>
      <c r="U166" s="58">
        <v>1</v>
      </c>
      <c r="V166" s="59">
        <v>0</v>
      </c>
      <c r="W166" s="57">
        <v>0</v>
      </c>
      <c r="X166" s="58">
        <v>0</v>
      </c>
      <c r="Y166" s="58">
        <v>0</v>
      </c>
      <c r="Z166" s="58">
        <v>0</v>
      </c>
      <c r="AA166" s="58">
        <v>0</v>
      </c>
      <c r="AB166" s="58">
        <v>1</v>
      </c>
      <c r="AC166" s="58">
        <v>1</v>
      </c>
      <c r="AD166" s="58">
        <v>0</v>
      </c>
      <c r="AE166" s="58">
        <v>0</v>
      </c>
      <c r="AF166" s="58">
        <v>0</v>
      </c>
      <c r="AG166" s="58">
        <v>0</v>
      </c>
      <c r="AH166" s="58">
        <v>0</v>
      </c>
      <c r="AI166" s="58">
        <v>0</v>
      </c>
      <c r="AJ166" s="59">
        <v>0</v>
      </c>
      <c r="AK166" s="58">
        <v>0</v>
      </c>
      <c r="AL166" s="58">
        <v>0</v>
      </c>
      <c r="AM166" s="58">
        <v>0</v>
      </c>
      <c r="AN166" s="59">
        <v>0</v>
      </c>
    </row>
    <row r="167" spans="1:40">
      <c r="A167" s="72" t="str">
        <f>HYPERLINK("https://www.ncbi.nlm.nih.gov/pubmed/29216406","29216406")</f>
        <v>29216406</v>
      </c>
      <c r="B167" s="56" t="s">
        <v>267</v>
      </c>
      <c r="C167" s="56" t="s">
        <v>268</v>
      </c>
      <c r="D167" s="56" t="s">
        <v>225</v>
      </c>
      <c r="E167" s="56" t="s">
        <v>198</v>
      </c>
      <c r="F167" s="56" t="s">
        <v>269</v>
      </c>
      <c r="G167" s="56" t="s">
        <v>214</v>
      </c>
      <c r="H167" s="56" t="s">
        <v>13</v>
      </c>
      <c r="I167" s="56" t="s">
        <v>243</v>
      </c>
      <c r="J167" s="63" t="s">
        <v>286</v>
      </c>
      <c r="K167" s="58">
        <v>0</v>
      </c>
      <c r="L167" s="58">
        <v>0</v>
      </c>
      <c r="M167" s="58">
        <v>0</v>
      </c>
      <c r="N167" s="58">
        <v>0</v>
      </c>
      <c r="O167" s="58">
        <v>1</v>
      </c>
      <c r="P167" s="57">
        <v>0</v>
      </c>
      <c r="Q167" s="58">
        <v>0</v>
      </c>
      <c r="R167" s="58">
        <v>0</v>
      </c>
      <c r="S167" s="58">
        <v>0</v>
      </c>
      <c r="T167" s="58">
        <v>0</v>
      </c>
      <c r="U167" s="58">
        <v>0</v>
      </c>
      <c r="V167" s="59">
        <v>0</v>
      </c>
      <c r="W167" s="57">
        <v>0</v>
      </c>
      <c r="X167" s="58">
        <v>1</v>
      </c>
      <c r="Y167" s="58">
        <v>1</v>
      </c>
      <c r="Z167" s="58">
        <v>1</v>
      </c>
      <c r="AA167" s="58">
        <v>0</v>
      </c>
      <c r="AB167" s="58">
        <v>1</v>
      </c>
      <c r="AC167" s="58">
        <v>1</v>
      </c>
      <c r="AD167" s="58">
        <v>0</v>
      </c>
      <c r="AE167" s="58">
        <v>0</v>
      </c>
      <c r="AF167" s="58">
        <v>0</v>
      </c>
      <c r="AG167" s="58">
        <v>0</v>
      </c>
      <c r="AH167" s="58">
        <v>0</v>
      </c>
      <c r="AI167" s="58">
        <v>0</v>
      </c>
      <c r="AJ167" s="59">
        <v>0</v>
      </c>
      <c r="AK167" s="58">
        <v>0</v>
      </c>
      <c r="AL167" s="58">
        <v>0</v>
      </c>
      <c r="AM167" s="58">
        <v>0</v>
      </c>
      <c r="AN167" s="59">
        <v>0</v>
      </c>
    </row>
    <row r="168" spans="1:40">
      <c r="A168" s="72" t="str">
        <f>HYPERLINK("https://www.ncbi.nlm.nih.gov/pubmed/29757997","29757997")</f>
        <v>29757997</v>
      </c>
      <c r="B168" s="56" t="s">
        <v>267</v>
      </c>
      <c r="C168" s="56" t="s">
        <v>268</v>
      </c>
      <c r="D168" s="56" t="s">
        <v>225</v>
      </c>
      <c r="E168" s="56" t="s">
        <v>198</v>
      </c>
      <c r="F168" s="56" t="s">
        <v>269</v>
      </c>
      <c r="G168" s="56" t="s">
        <v>214</v>
      </c>
      <c r="H168" s="56" t="s">
        <v>13</v>
      </c>
      <c r="I168" s="56" t="s">
        <v>243</v>
      </c>
      <c r="J168" s="56" t="s">
        <v>84</v>
      </c>
      <c r="K168" s="57">
        <v>0</v>
      </c>
      <c r="L168" s="58">
        <v>0</v>
      </c>
      <c r="M168" s="58">
        <v>0</v>
      </c>
      <c r="N168" s="58">
        <v>0</v>
      </c>
      <c r="O168" s="58">
        <v>1</v>
      </c>
      <c r="P168" s="57">
        <v>0</v>
      </c>
      <c r="Q168" s="58">
        <v>0</v>
      </c>
      <c r="R168" s="58">
        <v>0</v>
      </c>
      <c r="S168" s="58">
        <v>0</v>
      </c>
      <c r="T168" s="58">
        <v>1</v>
      </c>
      <c r="U168" s="58">
        <v>1</v>
      </c>
      <c r="V168" s="59">
        <v>0</v>
      </c>
      <c r="W168" s="58">
        <v>0</v>
      </c>
      <c r="X168" s="58">
        <v>0</v>
      </c>
      <c r="Y168" s="58">
        <v>1</v>
      </c>
      <c r="Z168" s="58">
        <v>0</v>
      </c>
      <c r="AA168" s="58">
        <v>0</v>
      </c>
      <c r="AB168" s="58">
        <v>1</v>
      </c>
      <c r="AC168" s="58">
        <v>0</v>
      </c>
      <c r="AD168" s="58">
        <v>0</v>
      </c>
      <c r="AE168" s="58">
        <v>0</v>
      </c>
      <c r="AF168" s="58">
        <v>0</v>
      </c>
      <c r="AG168" s="58">
        <v>0</v>
      </c>
      <c r="AH168" s="58">
        <v>0</v>
      </c>
      <c r="AI168" s="58">
        <v>0</v>
      </c>
      <c r="AJ168" s="59">
        <v>0</v>
      </c>
      <c r="AK168" s="58">
        <v>0</v>
      </c>
      <c r="AL168" s="58">
        <v>0</v>
      </c>
      <c r="AM168" s="58">
        <v>0</v>
      </c>
      <c r="AN168" s="59">
        <v>0</v>
      </c>
    </row>
    <row r="169" spans="1:40">
      <c r="A169" s="72" t="str">
        <f>HYPERLINK("https://www.ncbi.nlm.nih.gov/pubmed/30017865","30017865")</f>
        <v>30017865</v>
      </c>
      <c r="B169" s="56" t="s">
        <v>267</v>
      </c>
      <c r="C169" s="56" t="s">
        <v>268</v>
      </c>
      <c r="D169" s="56" t="s">
        <v>225</v>
      </c>
      <c r="E169" s="56" t="s">
        <v>198</v>
      </c>
      <c r="F169" s="56" t="s">
        <v>269</v>
      </c>
      <c r="G169" s="56" t="s">
        <v>214</v>
      </c>
      <c r="H169" s="56" t="s">
        <v>13</v>
      </c>
      <c r="I169" s="56" t="s">
        <v>287</v>
      </c>
      <c r="J169" s="63" t="s">
        <v>126</v>
      </c>
      <c r="K169" s="57">
        <v>0</v>
      </c>
      <c r="L169" s="58">
        <v>0</v>
      </c>
      <c r="M169" s="58">
        <v>0</v>
      </c>
      <c r="N169" s="58">
        <v>0</v>
      </c>
      <c r="O169" s="58">
        <v>1</v>
      </c>
      <c r="P169" s="57">
        <v>0</v>
      </c>
      <c r="Q169" s="58">
        <v>0</v>
      </c>
      <c r="R169" s="58">
        <v>0</v>
      </c>
      <c r="S169" s="58">
        <v>0</v>
      </c>
      <c r="T169" s="58">
        <v>0</v>
      </c>
      <c r="U169" s="58">
        <v>0</v>
      </c>
      <c r="V169" s="59">
        <v>0</v>
      </c>
      <c r="W169" s="58">
        <v>1</v>
      </c>
      <c r="X169" s="58">
        <v>1</v>
      </c>
      <c r="Y169" s="58">
        <v>1</v>
      </c>
      <c r="Z169" s="58">
        <v>1</v>
      </c>
      <c r="AA169" s="58">
        <v>0</v>
      </c>
      <c r="AB169" s="58">
        <v>1</v>
      </c>
      <c r="AC169" s="58">
        <v>1</v>
      </c>
      <c r="AD169" s="58">
        <v>1</v>
      </c>
      <c r="AE169" s="58">
        <v>1</v>
      </c>
      <c r="AF169" s="58">
        <v>1</v>
      </c>
      <c r="AG169" s="58">
        <v>0</v>
      </c>
      <c r="AH169" s="58">
        <v>0</v>
      </c>
      <c r="AI169" s="58">
        <v>0</v>
      </c>
      <c r="AJ169" s="59">
        <v>0</v>
      </c>
      <c r="AK169" s="58">
        <v>0</v>
      </c>
      <c r="AL169" s="58">
        <v>0</v>
      </c>
      <c r="AM169" s="58">
        <v>0</v>
      </c>
      <c r="AN169" s="59">
        <v>0</v>
      </c>
    </row>
    <row r="170" spans="1:40">
      <c r="A170" s="72" t="str">
        <f>HYPERLINK("https://www.ncbi.nlm.nih.gov/pubmed/30825681","30825681")</f>
        <v>30825681</v>
      </c>
      <c r="B170" s="56" t="s">
        <v>267</v>
      </c>
      <c r="C170" s="56" t="s">
        <v>268</v>
      </c>
      <c r="D170" s="56" t="s">
        <v>225</v>
      </c>
      <c r="E170" s="56" t="s">
        <v>198</v>
      </c>
      <c r="F170" s="56" t="s">
        <v>269</v>
      </c>
      <c r="G170" s="56" t="s">
        <v>214</v>
      </c>
      <c r="H170" s="56" t="s">
        <v>13</v>
      </c>
      <c r="I170" s="56" t="s">
        <v>243</v>
      </c>
      <c r="J170" s="56" t="s">
        <v>84</v>
      </c>
      <c r="K170" s="57">
        <v>0</v>
      </c>
      <c r="L170" s="58">
        <v>0</v>
      </c>
      <c r="M170" s="58">
        <v>0</v>
      </c>
      <c r="N170" s="58">
        <v>0</v>
      </c>
      <c r="O170" s="59">
        <v>0</v>
      </c>
      <c r="P170" s="57">
        <v>0</v>
      </c>
      <c r="Q170" s="58">
        <v>0</v>
      </c>
      <c r="R170" s="58">
        <v>0</v>
      </c>
      <c r="S170" s="58">
        <v>0</v>
      </c>
      <c r="T170" s="58">
        <v>0</v>
      </c>
      <c r="U170" s="58">
        <v>0</v>
      </c>
      <c r="V170" s="59">
        <v>0</v>
      </c>
      <c r="W170" s="58">
        <v>0</v>
      </c>
      <c r="X170" s="58">
        <v>0</v>
      </c>
      <c r="Y170" s="58">
        <v>0</v>
      </c>
      <c r="Z170" s="58">
        <v>0</v>
      </c>
      <c r="AA170" s="58">
        <v>0</v>
      </c>
      <c r="AB170" s="58">
        <v>1</v>
      </c>
      <c r="AC170" s="58">
        <v>1</v>
      </c>
      <c r="AD170" s="58">
        <v>0</v>
      </c>
      <c r="AE170" s="58">
        <v>0</v>
      </c>
      <c r="AF170" s="58">
        <v>0</v>
      </c>
      <c r="AG170" s="58">
        <v>0</v>
      </c>
      <c r="AH170" s="58">
        <v>0</v>
      </c>
      <c r="AI170" s="58">
        <v>0</v>
      </c>
      <c r="AJ170" s="59">
        <v>0</v>
      </c>
      <c r="AK170" s="58">
        <v>0</v>
      </c>
      <c r="AL170" s="58">
        <v>0</v>
      </c>
      <c r="AM170" s="58">
        <v>0</v>
      </c>
      <c r="AN170" s="59">
        <v>0</v>
      </c>
    </row>
    <row r="171" spans="1:40">
      <c r="A171" s="72" t="str">
        <f>HYPERLINK("https://www.ncbi.nlm.nih.gov/pubmed/31330226","31330226")</f>
        <v>31330226</v>
      </c>
      <c r="B171" s="56" t="s">
        <v>267</v>
      </c>
      <c r="C171" s="56" t="s">
        <v>268</v>
      </c>
      <c r="D171" s="56" t="s">
        <v>225</v>
      </c>
      <c r="E171" s="56" t="s">
        <v>198</v>
      </c>
      <c r="F171" s="56" t="s">
        <v>269</v>
      </c>
      <c r="G171" s="56" t="s">
        <v>214</v>
      </c>
      <c r="H171" s="56" t="s">
        <v>13</v>
      </c>
      <c r="I171" s="56" t="s">
        <v>243</v>
      </c>
      <c r="J171" s="63" t="s">
        <v>126</v>
      </c>
      <c r="K171" s="57">
        <v>0</v>
      </c>
      <c r="L171" s="58">
        <v>0</v>
      </c>
      <c r="M171" s="58">
        <v>0</v>
      </c>
      <c r="N171" s="58">
        <v>0</v>
      </c>
      <c r="O171" s="59">
        <v>1</v>
      </c>
      <c r="P171" s="58">
        <v>0</v>
      </c>
      <c r="Q171" s="58">
        <v>0</v>
      </c>
      <c r="R171" s="58">
        <v>0</v>
      </c>
      <c r="S171" s="58">
        <v>0</v>
      </c>
      <c r="T171" s="58">
        <v>0</v>
      </c>
      <c r="U171" s="58">
        <v>0</v>
      </c>
      <c r="V171" s="59">
        <v>0</v>
      </c>
      <c r="W171" s="58">
        <v>1</v>
      </c>
      <c r="X171" s="58">
        <v>1</v>
      </c>
      <c r="Y171" s="58">
        <v>1</v>
      </c>
      <c r="Z171" s="58">
        <v>1</v>
      </c>
      <c r="AA171" s="58">
        <v>0</v>
      </c>
      <c r="AB171" s="58">
        <v>1</v>
      </c>
      <c r="AC171" s="58">
        <v>1</v>
      </c>
      <c r="AD171" s="58">
        <v>0</v>
      </c>
      <c r="AE171" s="58">
        <v>1</v>
      </c>
      <c r="AF171" s="58">
        <v>1</v>
      </c>
      <c r="AG171" s="58">
        <v>1</v>
      </c>
      <c r="AH171" s="58">
        <v>1</v>
      </c>
      <c r="AI171" s="58">
        <v>0</v>
      </c>
      <c r="AJ171" s="59">
        <v>0</v>
      </c>
      <c r="AK171" s="58">
        <v>0</v>
      </c>
      <c r="AL171" s="58">
        <v>0</v>
      </c>
      <c r="AM171" s="58">
        <v>0</v>
      </c>
      <c r="AN171" s="59">
        <v>0</v>
      </c>
    </row>
    <row r="172" spans="1:40">
      <c r="A172" s="72" t="str">
        <f>HYPERLINK("https://www.ncbi.nlm.nih.gov/pubmed/31884045","31884045")</f>
        <v>31884045</v>
      </c>
      <c r="B172" s="56" t="s">
        <v>267</v>
      </c>
      <c r="C172" s="56" t="s">
        <v>268</v>
      </c>
      <c r="D172" s="56" t="s">
        <v>225</v>
      </c>
      <c r="E172" s="56" t="s">
        <v>198</v>
      </c>
      <c r="F172" s="56" t="s">
        <v>269</v>
      </c>
      <c r="G172" s="56" t="s">
        <v>214</v>
      </c>
      <c r="H172" s="56" t="s">
        <v>13</v>
      </c>
      <c r="I172" s="56" t="s">
        <v>243</v>
      </c>
      <c r="J172" s="56" t="s">
        <v>288</v>
      </c>
      <c r="K172" s="57">
        <v>0</v>
      </c>
      <c r="L172" s="58">
        <v>0</v>
      </c>
      <c r="M172" s="58">
        <v>0</v>
      </c>
      <c r="N172" s="58">
        <v>0</v>
      </c>
      <c r="O172" s="58">
        <v>0</v>
      </c>
      <c r="P172" s="57">
        <v>0</v>
      </c>
      <c r="Q172" s="58">
        <v>1</v>
      </c>
      <c r="R172" s="58">
        <v>0</v>
      </c>
      <c r="S172" s="58">
        <v>0</v>
      </c>
      <c r="T172" s="58">
        <v>0</v>
      </c>
      <c r="U172" s="58">
        <v>1</v>
      </c>
      <c r="V172" s="59">
        <v>0</v>
      </c>
      <c r="W172" s="58">
        <v>0</v>
      </c>
      <c r="X172" s="58">
        <v>1</v>
      </c>
      <c r="Y172" s="58">
        <v>0</v>
      </c>
      <c r="Z172" s="58">
        <v>1</v>
      </c>
      <c r="AA172" s="58">
        <v>0</v>
      </c>
      <c r="AB172" s="58">
        <v>0</v>
      </c>
      <c r="AC172" s="58">
        <v>0</v>
      </c>
      <c r="AD172" s="58">
        <v>0</v>
      </c>
      <c r="AE172" s="58">
        <v>0</v>
      </c>
      <c r="AF172" s="58">
        <v>1</v>
      </c>
      <c r="AG172" s="58">
        <v>0</v>
      </c>
      <c r="AH172" s="58">
        <v>0</v>
      </c>
      <c r="AI172" s="58">
        <v>0</v>
      </c>
      <c r="AJ172" s="59">
        <v>0</v>
      </c>
      <c r="AK172" s="58">
        <v>1</v>
      </c>
      <c r="AL172" s="58">
        <v>0</v>
      </c>
      <c r="AM172" s="58">
        <v>0</v>
      </c>
      <c r="AN172" s="59">
        <v>0</v>
      </c>
    </row>
    <row r="173" spans="1:40">
      <c r="A173" s="72" t="str">
        <f>HYPERLINK("https://www.ncbi.nlm.nih.gov/pubmed/32334352","32334352")</f>
        <v>32334352</v>
      </c>
      <c r="B173" s="56" t="s">
        <v>267</v>
      </c>
      <c r="C173" s="56" t="s">
        <v>268</v>
      </c>
      <c r="D173" s="56" t="s">
        <v>225</v>
      </c>
      <c r="E173" s="56" t="s">
        <v>198</v>
      </c>
      <c r="F173" s="56" t="s">
        <v>269</v>
      </c>
      <c r="G173" s="56" t="s">
        <v>214</v>
      </c>
      <c r="H173" s="56" t="s">
        <v>13</v>
      </c>
      <c r="I173" s="56" t="s">
        <v>243</v>
      </c>
      <c r="J173" s="56" t="s">
        <v>84</v>
      </c>
      <c r="K173" s="57">
        <v>0</v>
      </c>
      <c r="L173" s="58">
        <v>0</v>
      </c>
      <c r="M173" s="58">
        <v>0</v>
      </c>
      <c r="N173" s="58">
        <v>0</v>
      </c>
      <c r="O173" s="58">
        <v>1</v>
      </c>
      <c r="P173" s="57">
        <v>1</v>
      </c>
      <c r="Q173" s="58">
        <v>1</v>
      </c>
      <c r="R173" s="58">
        <v>1</v>
      </c>
      <c r="S173" s="58">
        <v>0</v>
      </c>
      <c r="T173" s="58">
        <v>1</v>
      </c>
      <c r="U173" s="58">
        <v>0</v>
      </c>
      <c r="V173" s="59">
        <v>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1</v>
      </c>
      <c r="AC173" s="58">
        <v>1</v>
      </c>
      <c r="AD173" s="58">
        <v>0</v>
      </c>
      <c r="AE173" s="58">
        <v>0</v>
      </c>
      <c r="AF173" s="58">
        <v>0</v>
      </c>
      <c r="AG173" s="58">
        <v>0</v>
      </c>
      <c r="AH173" s="58">
        <v>0</v>
      </c>
      <c r="AI173" s="58">
        <v>0</v>
      </c>
      <c r="AJ173" s="59">
        <v>0</v>
      </c>
      <c r="AK173" s="58">
        <v>1</v>
      </c>
      <c r="AL173" s="58">
        <v>0</v>
      </c>
      <c r="AM173" s="58">
        <v>0</v>
      </c>
      <c r="AN173" s="59">
        <v>0</v>
      </c>
    </row>
    <row r="174" spans="1:40">
      <c r="A174" s="72" t="str">
        <f>HYPERLINK("https://www.ncbi.nlm.nih.gov/pubmed/33628236","33628236")</f>
        <v>33628236</v>
      </c>
      <c r="B174" s="56" t="s">
        <v>267</v>
      </c>
      <c r="C174" s="56" t="s">
        <v>268</v>
      </c>
      <c r="D174" s="56" t="s">
        <v>225</v>
      </c>
      <c r="E174" s="56" t="s">
        <v>198</v>
      </c>
      <c r="F174" s="56" t="s">
        <v>269</v>
      </c>
      <c r="G174" s="56" t="s">
        <v>214</v>
      </c>
      <c r="H174" s="56" t="s">
        <v>13</v>
      </c>
      <c r="I174" s="56" t="s">
        <v>243</v>
      </c>
      <c r="J174" s="63" t="s">
        <v>84</v>
      </c>
      <c r="K174" s="58">
        <v>0</v>
      </c>
      <c r="L174" s="58">
        <v>0</v>
      </c>
      <c r="M174" s="58">
        <v>0</v>
      </c>
      <c r="N174" s="58">
        <v>0</v>
      </c>
      <c r="O174" s="59">
        <v>1</v>
      </c>
      <c r="P174" s="58">
        <v>0</v>
      </c>
      <c r="Q174" s="58">
        <v>0</v>
      </c>
      <c r="R174" s="58">
        <v>0</v>
      </c>
      <c r="S174" s="58">
        <v>0</v>
      </c>
      <c r="T174" s="58">
        <v>0</v>
      </c>
      <c r="U174" s="58">
        <v>0</v>
      </c>
      <c r="V174" s="59">
        <v>0</v>
      </c>
      <c r="W174" s="58">
        <v>0</v>
      </c>
      <c r="X174" s="58">
        <v>0</v>
      </c>
      <c r="Y174" s="58">
        <v>0</v>
      </c>
      <c r="Z174" s="58">
        <v>0</v>
      </c>
      <c r="AA174" s="58">
        <v>0</v>
      </c>
      <c r="AB174" s="58">
        <v>1</v>
      </c>
      <c r="AC174" s="58">
        <v>1</v>
      </c>
      <c r="AD174" s="58">
        <v>0</v>
      </c>
      <c r="AE174" s="58">
        <v>0</v>
      </c>
      <c r="AF174" s="58">
        <v>0</v>
      </c>
      <c r="AG174" s="58">
        <v>0</v>
      </c>
      <c r="AH174" s="58">
        <v>0</v>
      </c>
      <c r="AI174" s="58">
        <v>0</v>
      </c>
      <c r="AJ174" s="59">
        <v>0</v>
      </c>
      <c r="AK174" s="58">
        <v>0</v>
      </c>
      <c r="AL174" s="58">
        <v>0</v>
      </c>
      <c r="AM174" s="58">
        <v>0</v>
      </c>
      <c r="AN174" s="59">
        <v>0</v>
      </c>
    </row>
    <row r="175" spans="1:40">
      <c r="A175" s="72" t="str">
        <f>HYPERLINK("https://www.ncbi.nlm.nih.gov/pubmed/35696490","35696490")</f>
        <v>35696490</v>
      </c>
      <c r="B175" s="56" t="s">
        <v>267</v>
      </c>
      <c r="C175" s="56" t="s">
        <v>268</v>
      </c>
      <c r="D175" s="56" t="s">
        <v>225</v>
      </c>
      <c r="E175" s="56" t="s">
        <v>198</v>
      </c>
      <c r="F175" s="56" t="s">
        <v>269</v>
      </c>
      <c r="G175" s="56" t="s">
        <v>214</v>
      </c>
      <c r="H175" s="56" t="s">
        <v>13</v>
      </c>
      <c r="I175" s="56" t="s">
        <v>221</v>
      </c>
      <c r="J175" s="63" t="s">
        <v>126</v>
      </c>
      <c r="K175" s="58">
        <v>0</v>
      </c>
      <c r="L175" s="58">
        <v>0</v>
      </c>
      <c r="M175" s="58">
        <v>0</v>
      </c>
      <c r="N175" s="58">
        <v>0</v>
      </c>
      <c r="O175" s="59">
        <v>1</v>
      </c>
      <c r="P175" s="57">
        <v>0</v>
      </c>
      <c r="Q175" s="58">
        <v>0</v>
      </c>
      <c r="R175" s="58">
        <v>0</v>
      </c>
      <c r="S175" s="58">
        <v>0</v>
      </c>
      <c r="T175" s="58">
        <v>0</v>
      </c>
      <c r="U175" s="58">
        <v>0</v>
      </c>
      <c r="V175" s="59">
        <v>0</v>
      </c>
      <c r="W175" s="58">
        <v>1</v>
      </c>
      <c r="X175" s="58">
        <v>1</v>
      </c>
      <c r="Y175" s="58">
        <v>1</v>
      </c>
      <c r="Z175" s="58">
        <v>1</v>
      </c>
      <c r="AA175" s="58">
        <v>0</v>
      </c>
      <c r="AB175" s="58">
        <v>1</v>
      </c>
      <c r="AC175" s="58">
        <v>1</v>
      </c>
      <c r="AD175" s="58">
        <v>0</v>
      </c>
      <c r="AE175" s="58">
        <v>1</v>
      </c>
      <c r="AF175" s="58">
        <v>1</v>
      </c>
      <c r="AG175" s="58">
        <v>0</v>
      </c>
      <c r="AH175" s="58">
        <v>0</v>
      </c>
      <c r="AI175" s="58">
        <v>0</v>
      </c>
      <c r="AJ175" s="59">
        <v>0</v>
      </c>
      <c r="AK175" s="58">
        <v>0</v>
      </c>
      <c r="AL175" s="58">
        <v>0</v>
      </c>
      <c r="AM175" s="58">
        <v>0</v>
      </c>
      <c r="AN175" s="59">
        <v>0</v>
      </c>
    </row>
    <row r="176" spans="1:40">
      <c r="A176" s="72" t="str">
        <f>HYPERLINK("https://www.ncbi.nlm.nih.gov/pubmed/36702264","36702264")</f>
        <v>36702264</v>
      </c>
      <c r="B176" s="56" t="s">
        <v>267</v>
      </c>
      <c r="C176" s="56" t="s">
        <v>268</v>
      </c>
      <c r="D176" s="56" t="s">
        <v>225</v>
      </c>
      <c r="E176" s="56" t="s">
        <v>198</v>
      </c>
      <c r="F176" s="56" t="s">
        <v>269</v>
      </c>
      <c r="G176" s="56" t="s">
        <v>214</v>
      </c>
      <c r="H176" s="56" t="s">
        <v>13</v>
      </c>
      <c r="I176" s="56" t="s">
        <v>289</v>
      </c>
      <c r="J176" s="63" t="s">
        <v>142</v>
      </c>
      <c r="K176" s="58">
        <v>0</v>
      </c>
      <c r="L176" s="58">
        <v>0</v>
      </c>
      <c r="M176" s="58">
        <v>0</v>
      </c>
      <c r="N176" s="58">
        <v>0</v>
      </c>
      <c r="O176" s="59">
        <v>1</v>
      </c>
      <c r="P176" s="57">
        <v>1</v>
      </c>
      <c r="Q176" s="58">
        <v>1</v>
      </c>
      <c r="R176" s="58">
        <v>1</v>
      </c>
      <c r="S176" s="58">
        <v>0</v>
      </c>
      <c r="T176" s="58">
        <v>1</v>
      </c>
      <c r="U176" s="58">
        <v>1</v>
      </c>
      <c r="V176" s="59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1</v>
      </c>
      <c r="AC176" s="58">
        <v>1</v>
      </c>
      <c r="AD176" s="58">
        <v>0</v>
      </c>
      <c r="AE176" s="58">
        <v>0</v>
      </c>
      <c r="AF176" s="58">
        <v>0</v>
      </c>
      <c r="AG176" s="58">
        <v>0</v>
      </c>
      <c r="AH176" s="58">
        <v>0</v>
      </c>
      <c r="AI176" s="58">
        <v>0</v>
      </c>
      <c r="AJ176" s="59">
        <v>0</v>
      </c>
      <c r="AK176" s="58">
        <v>1</v>
      </c>
      <c r="AL176" s="58">
        <v>0</v>
      </c>
      <c r="AM176" s="58">
        <v>0</v>
      </c>
      <c r="AN176" s="59">
        <v>0</v>
      </c>
    </row>
    <row r="177" spans="1:40">
      <c r="A177" s="72" t="str">
        <f>HYPERLINK("https://www.ncbi.nlm.nih.gov/pubmed/37037411","37037411")</f>
        <v>37037411</v>
      </c>
      <c r="B177" s="56" t="s">
        <v>267</v>
      </c>
      <c r="C177" s="56" t="s">
        <v>268</v>
      </c>
      <c r="D177" s="56" t="s">
        <v>225</v>
      </c>
      <c r="E177" s="56" t="s">
        <v>198</v>
      </c>
      <c r="F177" s="56" t="s">
        <v>269</v>
      </c>
      <c r="G177" s="56" t="s">
        <v>214</v>
      </c>
      <c r="H177" s="56" t="s">
        <v>13</v>
      </c>
      <c r="I177" s="56" t="s">
        <v>243</v>
      </c>
      <c r="J177" s="63" t="s">
        <v>288</v>
      </c>
      <c r="K177" s="58">
        <v>0</v>
      </c>
      <c r="L177" s="58">
        <v>0</v>
      </c>
      <c r="M177" s="58">
        <v>0</v>
      </c>
      <c r="N177" s="58">
        <v>0</v>
      </c>
      <c r="O177" s="59">
        <v>0</v>
      </c>
      <c r="P177" s="58">
        <v>0</v>
      </c>
      <c r="Q177" s="58">
        <v>0</v>
      </c>
      <c r="R177" s="58">
        <v>0</v>
      </c>
      <c r="S177" s="58">
        <v>0</v>
      </c>
      <c r="T177" s="58">
        <v>0</v>
      </c>
      <c r="U177" s="58">
        <v>0</v>
      </c>
      <c r="V177" s="59">
        <v>0</v>
      </c>
      <c r="W177" s="58">
        <v>1</v>
      </c>
      <c r="X177" s="58">
        <v>1</v>
      </c>
      <c r="Y177" s="58">
        <v>0</v>
      </c>
      <c r="Z177" s="58">
        <v>1</v>
      </c>
      <c r="AA177" s="58">
        <v>0</v>
      </c>
      <c r="AB177" s="58">
        <v>1</v>
      </c>
      <c r="AC177" s="58">
        <v>1</v>
      </c>
      <c r="AD177" s="58">
        <v>1</v>
      </c>
      <c r="AE177" s="58">
        <v>1</v>
      </c>
      <c r="AF177" s="58">
        <v>1</v>
      </c>
      <c r="AG177" s="58">
        <v>0</v>
      </c>
      <c r="AH177" s="58">
        <v>1</v>
      </c>
      <c r="AI177" s="58">
        <v>0</v>
      </c>
      <c r="AJ177" s="59">
        <v>1</v>
      </c>
      <c r="AK177" s="58">
        <v>0</v>
      </c>
      <c r="AL177" s="58">
        <v>0</v>
      </c>
      <c r="AM177" s="58">
        <v>0</v>
      </c>
      <c r="AN177" s="59">
        <v>0</v>
      </c>
    </row>
    <row r="178" spans="1:40">
      <c r="A178" s="72" t="str">
        <f>HYPERLINK("https://www.ncbi.nlm.nih.gov/pubmed/37551828","37551828")</f>
        <v>37551828</v>
      </c>
      <c r="B178" s="56" t="s">
        <v>267</v>
      </c>
      <c r="C178" s="56" t="s">
        <v>268</v>
      </c>
      <c r="D178" s="56" t="s">
        <v>225</v>
      </c>
      <c r="E178" s="56" t="s">
        <v>198</v>
      </c>
      <c r="F178" s="56" t="s">
        <v>269</v>
      </c>
      <c r="G178" s="56" t="s">
        <v>214</v>
      </c>
      <c r="H178" s="56" t="s">
        <v>13</v>
      </c>
      <c r="I178" s="56" t="s">
        <v>243</v>
      </c>
      <c r="J178" s="63" t="s">
        <v>84</v>
      </c>
      <c r="K178" s="57">
        <v>0</v>
      </c>
      <c r="L178" s="58">
        <v>0</v>
      </c>
      <c r="M178" s="58">
        <v>0</v>
      </c>
      <c r="N178" s="58">
        <v>0</v>
      </c>
      <c r="O178" s="59">
        <v>1</v>
      </c>
      <c r="P178" s="57">
        <v>0</v>
      </c>
      <c r="Q178" s="58">
        <v>0</v>
      </c>
      <c r="R178" s="58">
        <v>1</v>
      </c>
      <c r="S178" s="58">
        <v>0</v>
      </c>
      <c r="T178" s="58">
        <v>0</v>
      </c>
      <c r="U178" s="58">
        <v>0</v>
      </c>
      <c r="V178" s="59">
        <v>0</v>
      </c>
      <c r="W178" s="58">
        <v>0</v>
      </c>
      <c r="X178" s="58">
        <v>0</v>
      </c>
      <c r="Y178" s="58">
        <v>0</v>
      </c>
      <c r="Z178" s="58">
        <v>0</v>
      </c>
      <c r="AA178" s="58">
        <v>0</v>
      </c>
      <c r="AB178" s="58">
        <v>1</v>
      </c>
      <c r="AC178" s="58">
        <v>1</v>
      </c>
      <c r="AD178" s="58">
        <v>0</v>
      </c>
      <c r="AE178" s="58">
        <v>0</v>
      </c>
      <c r="AF178" s="58">
        <v>0</v>
      </c>
      <c r="AG178" s="58">
        <v>0</v>
      </c>
      <c r="AH178" s="58">
        <v>0</v>
      </c>
      <c r="AI178" s="58">
        <v>0</v>
      </c>
      <c r="AJ178" s="59">
        <v>0</v>
      </c>
      <c r="AK178" s="58">
        <v>0</v>
      </c>
      <c r="AL178" s="58">
        <v>0</v>
      </c>
      <c r="AM178" s="58">
        <v>0</v>
      </c>
      <c r="AN178" s="59">
        <v>0</v>
      </c>
    </row>
    <row r="179" spans="1:40">
      <c r="A179" s="72" t="str">
        <f>HYPERLINK("https://www.ncbi.nlm.nih.gov/pubmed/37637492","37637492")</f>
        <v>37637492</v>
      </c>
      <c r="B179" s="56" t="s">
        <v>267</v>
      </c>
      <c r="C179" s="56" t="s">
        <v>268</v>
      </c>
      <c r="D179" s="56" t="s">
        <v>225</v>
      </c>
      <c r="E179" s="56" t="s">
        <v>198</v>
      </c>
      <c r="F179" s="56" t="s">
        <v>269</v>
      </c>
      <c r="G179" s="56" t="s">
        <v>214</v>
      </c>
      <c r="H179" s="56" t="s">
        <v>13</v>
      </c>
      <c r="I179" s="56" t="s">
        <v>243</v>
      </c>
      <c r="J179" s="63" t="s">
        <v>288</v>
      </c>
      <c r="K179" s="57">
        <v>0</v>
      </c>
      <c r="L179" s="58">
        <v>0</v>
      </c>
      <c r="M179" s="58">
        <v>0</v>
      </c>
      <c r="N179" s="58">
        <v>0</v>
      </c>
      <c r="O179" s="59">
        <v>1</v>
      </c>
      <c r="P179" s="57">
        <v>0</v>
      </c>
      <c r="Q179" s="58">
        <v>1</v>
      </c>
      <c r="R179" s="58">
        <v>0</v>
      </c>
      <c r="S179" s="58">
        <v>0</v>
      </c>
      <c r="T179" s="58">
        <v>0</v>
      </c>
      <c r="U179" s="58">
        <v>0</v>
      </c>
      <c r="V179" s="59">
        <v>0</v>
      </c>
      <c r="W179" s="58">
        <v>0</v>
      </c>
      <c r="X179" s="58">
        <v>1</v>
      </c>
      <c r="Y179" s="58">
        <v>0</v>
      </c>
      <c r="Z179" s="58">
        <v>1</v>
      </c>
      <c r="AA179" s="58">
        <v>0</v>
      </c>
      <c r="AB179" s="58">
        <v>0</v>
      </c>
      <c r="AC179" s="58">
        <v>0</v>
      </c>
      <c r="AD179" s="58">
        <v>0</v>
      </c>
      <c r="AE179" s="58">
        <v>0</v>
      </c>
      <c r="AF179" s="58">
        <v>1</v>
      </c>
      <c r="AG179" s="58">
        <v>0</v>
      </c>
      <c r="AH179" s="58">
        <v>0</v>
      </c>
      <c r="AI179" s="58">
        <v>1</v>
      </c>
      <c r="AJ179" s="59">
        <v>0</v>
      </c>
      <c r="AK179" s="58">
        <v>0</v>
      </c>
      <c r="AL179" s="58">
        <v>0</v>
      </c>
      <c r="AM179" s="58">
        <v>0</v>
      </c>
      <c r="AN179" s="59">
        <v>0</v>
      </c>
    </row>
    <row r="180" spans="1:40">
      <c r="A180" s="72" t="str">
        <f>HYPERLINK("https://www.ncbi.nlm.nih.gov/pubmed/38276253","38276253")</f>
        <v>38276253</v>
      </c>
      <c r="B180" s="56" t="s">
        <v>267</v>
      </c>
      <c r="C180" s="56" t="s">
        <v>268</v>
      </c>
      <c r="D180" s="56" t="s">
        <v>225</v>
      </c>
      <c r="E180" s="56" t="s">
        <v>198</v>
      </c>
      <c r="F180" s="56" t="s">
        <v>269</v>
      </c>
      <c r="G180" s="56" t="s">
        <v>214</v>
      </c>
      <c r="H180" s="56" t="s">
        <v>13</v>
      </c>
      <c r="I180" s="56" t="s">
        <v>243</v>
      </c>
      <c r="J180" s="63" t="s">
        <v>84</v>
      </c>
      <c r="K180" s="58">
        <v>0</v>
      </c>
      <c r="L180" s="58">
        <v>0</v>
      </c>
      <c r="M180" s="58">
        <v>0</v>
      </c>
      <c r="N180" s="58">
        <v>0</v>
      </c>
      <c r="O180" s="59">
        <v>0</v>
      </c>
      <c r="P180" s="57">
        <v>0</v>
      </c>
      <c r="Q180" s="58">
        <v>0</v>
      </c>
      <c r="R180" s="58">
        <v>0</v>
      </c>
      <c r="S180" s="58">
        <v>0</v>
      </c>
      <c r="T180" s="58">
        <v>0</v>
      </c>
      <c r="U180" s="58">
        <v>0</v>
      </c>
      <c r="V180" s="59">
        <v>0</v>
      </c>
      <c r="W180" s="58">
        <v>0</v>
      </c>
      <c r="X180" s="58">
        <v>1</v>
      </c>
      <c r="Y180" s="58">
        <v>0</v>
      </c>
      <c r="Z180" s="58">
        <v>0</v>
      </c>
      <c r="AA180" s="58">
        <v>0</v>
      </c>
      <c r="AB180" s="58">
        <v>1</v>
      </c>
      <c r="AC180" s="58">
        <v>1</v>
      </c>
      <c r="AD180" s="58">
        <v>0</v>
      </c>
      <c r="AE180" s="58">
        <v>0</v>
      </c>
      <c r="AF180" s="58">
        <v>0</v>
      </c>
      <c r="AG180" s="58">
        <v>0</v>
      </c>
      <c r="AH180" s="58">
        <v>0</v>
      </c>
      <c r="AI180" s="58">
        <v>0</v>
      </c>
      <c r="AJ180" s="59">
        <v>0</v>
      </c>
      <c r="AK180" s="58">
        <v>0</v>
      </c>
      <c r="AL180" s="58">
        <v>0</v>
      </c>
      <c r="AM180" s="58">
        <v>0</v>
      </c>
      <c r="AN180" s="59">
        <v>0</v>
      </c>
    </row>
    <row r="181" spans="1:40">
      <c r="A181" s="72" t="str">
        <f>HYPERLINK("https://www.ncbi.nlm.nih.gov/pubmed/38966215","38966215")</f>
        <v>38966215</v>
      </c>
      <c r="B181" s="56" t="s">
        <v>267</v>
      </c>
      <c r="C181" s="56" t="s">
        <v>268</v>
      </c>
      <c r="D181" s="56" t="s">
        <v>225</v>
      </c>
      <c r="E181" s="56" t="s">
        <v>198</v>
      </c>
      <c r="F181" s="56" t="s">
        <v>269</v>
      </c>
      <c r="G181" s="56" t="s">
        <v>214</v>
      </c>
      <c r="H181" s="56" t="s">
        <v>13</v>
      </c>
      <c r="I181" s="56" t="s">
        <v>211</v>
      </c>
      <c r="J181" s="63" t="s">
        <v>126</v>
      </c>
      <c r="K181" s="57">
        <v>0</v>
      </c>
      <c r="L181" s="58">
        <v>0</v>
      </c>
      <c r="M181" s="58">
        <v>0</v>
      </c>
      <c r="N181" s="58">
        <v>0</v>
      </c>
      <c r="O181" s="59">
        <v>0</v>
      </c>
      <c r="P181" s="58">
        <v>0</v>
      </c>
      <c r="Q181" s="58">
        <v>1</v>
      </c>
      <c r="R181" s="58">
        <v>1</v>
      </c>
      <c r="S181" s="58">
        <v>0</v>
      </c>
      <c r="T181" s="58">
        <v>0</v>
      </c>
      <c r="U181" s="58">
        <v>1</v>
      </c>
      <c r="V181" s="59">
        <v>0</v>
      </c>
      <c r="W181" s="58">
        <v>0</v>
      </c>
      <c r="X181" s="58">
        <v>1</v>
      </c>
      <c r="Y181" s="58">
        <v>1</v>
      </c>
      <c r="Z181" s="58">
        <v>1</v>
      </c>
      <c r="AA181" s="58">
        <v>0</v>
      </c>
      <c r="AB181" s="58">
        <v>1</v>
      </c>
      <c r="AC181" s="58">
        <v>1</v>
      </c>
      <c r="AD181" s="58">
        <v>1</v>
      </c>
      <c r="AE181" s="58">
        <v>0</v>
      </c>
      <c r="AF181" s="58">
        <v>1</v>
      </c>
      <c r="AG181" s="58">
        <v>0</v>
      </c>
      <c r="AH181" s="58">
        <v>0</v>
      </c>
      <c r="AI181" s="58">
        <v>0</v>
      </c>
      <c r="AJ181" s="59">
        <v>0</v>
      </c>
      <c r="AK181" s="58">
        <v>1</v>
      </c>
      <c r="AL181" s="58">
        <v>0</v>
      </c>
      <c r="AM181" s="58">
        <v>0</v>
      </c>
      <c r="AN181" s="59">
        <v>0</v>
      </c>
    </row>
    <row r="182" spans="1:40">
      <c r="A182" s="72" t="str">
        <f>HYPERLINK("https://www.ncbi.nlm.nih.gov/pubmed/11226372","11226372")</f>
        <v>11226372</v>
      </c>
      <c r="B182" s="56" t="s">
        <v>267</v>
      </c>
      <c r="C182" s="56" t="s">
        <v>268</v>
      </c>
      <c r="D182" s="56" t="s">
        <v>225</v>
      </c>
      <c r="E182" s="56" t="s">
        <v>198</v>
      </c>
      <c r="F182" s="56" t="s">
        <v>261</v>
      </c>
      <c r="G182" s="56" t="s">
        <v>214</v>
      </c>
      <c r="H182" s="56" t="s">
        <v>13</v>
      </c>
      <c r="I182" s="56" t="s">
        <v>290</v>
      </c>
      <c r="J182" s="63" t="s">
        <v>142</v>
      </c>
      <c r="K182" s="57">
        <v>0</v>
      </c>
      <c r="L182" s="58">
        <v>0</v>
      </c>
      <c r="M182" s="58">
        <v>0</v>
      </c>
      <c r="N182" s="58">
        <v>0</v>
      </c>
      <c r="O182" s="59">
        <v>1</v>
      </c>
      <c r="P182" s="58">
        <v>1</v>
      </c>
      <c r="Q182" s="58">
        <v>1</v>
      </c>
      <c r="R182" s="58">
        <v>0</v>
      </c>
      <c r="S182" s="58">
        <v>0</v>
      </c>
      <c r="T182" s="58">
        <v>0</v>
      </c>
      <c r="U182" s="58">
        <v>0</v>
      </c>
      <c r="V182" s="59">
        <v>0</v>
      </c>
      <c r="W182" s="58">
        <v>0</v>
      </c>
      <c r="X182" s="58">
        <v>0</v>
      </c>
      <c r="Y182" s="58">
        <v>0</v>
      </c>
      <c r="Z182" s="58">
        <v>1</v>
      </c>
      <c r="AA182" s="58">
        <v>0</v>
      </c>
      <c r="AB182" s="58">
        <v>0</v>
      </c>
      <c r="AC182" s="58">
        <v>0</v>
      </c>
      <c r="AD182" s="58">
        <v>0</v>
      </c>
      <c r="AE182" s="58">
        <v>0</v>
      </c>
      <c r="AF182" s="58">
        <v>0</v>
      </c>
      <c r="AG182" s="58">
        <v>0</v>
      </c>
      <c r="AH182" s="58">
        <v>0</v>
      </c>
      <c r="AI182" s="58">
        <v>0</v>
      </c>
      <c r="AJ182" s="59">
        <v>0</v>
      </c>
      <c r="AK182" s="58">
        <v>0</v>
      </c>
      <c r="AL182" s="58">
        <v>0</v>
      </c>
      <c r="AM182" s="58">
        <v>0</v>
      </c>
      <c r="AN182" s="59">
        <v>0</v>
      </c>
    </row>
    <row r="183" spans="1:40">
      <c r="A183" s="72" t="str">
        <f>HYPERLINK("https://www.ncbi.nlm.nih.gov/pubmed/23038793","23038793")</f>
        <v>23038793</v>
      </c>
      <c r="B183" s="56" t="s">
        <v>291</v>
      </c>
      <c r="C183" s="56" t="s">
        <v>268</v>
      </c>
      <c r="D183" s="56" t="s">
        <v>225</v>
      </c>
      <c r="E183" s="56" t="s">
        <v>198</v>
      </c>
      <c r="F183" s="56" t="s">
        <v>269</v>
      </c>
      <c r="G183" s="56" t="s">
        <v>214</v>
      </c>
      <c r="H183" s="56" t="s">
        <v>13</v>
      </c>
      <c r="I183" s="56" t="s">
        <v>277</v>
      </c>
      <c r="J183" s="63" t="s">
        <v>126</v>
      </c>
      <c r="K183" s="57">
        <v>0</v>
      </c>
      <c r="L183" s="58">
        <v>0</v>
      </c>
      <c r="M183" s="58">
        <v>0</v>
      </c>
      <c r="N183" s="58">
        <v>0</v>
      </c>
      <c r="O183" s="59">
        <v>0</v>
      </c>
      <c r="P183" s="58">
        <v>1</v>
      </c>
      <c r="Q183" s="58">
        <v>1</v>
      </c>
      <c r="R183" s="58">
        <v>0</v>
      </c>
      <c r="S183" s="58">
        <v>0</v>
      </c>
      <c r="T183" s="58">
        <v>0</v>
      </c>
      <c r="U183" s="58">
        <v>1</v>
      </c>
      <c r="V183" s="59">
        <v>0</v>
      </c>
      <c r="W183" s="58">
        <v>1</v>
      </c>
      <c r="X183" s="58">
        <v>1</v>
      </c>
      <c r="Y183" s="58">
        <v>1</v>
      </c>
      <c r="Z183" s="58">
        <v>1</v>
      </c>
      <c r="AA183" s="58">
        <v>0</v>
      </c>
      <c r="AB183" s="58">
        <v>1</v>
      </c>
      <c r="AC183" s="58">
        <v>0</v>
      </c>
      <c r="AD183" s="58">
        <v>0</v>
      </c>
      <c r="AE183" s="58">
        <v>1</v>
      </c>
      <c r="AF183" s="58">
        <v>1</v>
      </c>
      <c r="AG183" s="58">
        <v>0</v>
      </c>
      <c r="AH183" s="58">
        <v>0</v>
      </c>
      <c r="AI183" s="58">
        <v>0</v>
      </c>
      <c r="AJ183" s="59">
        <v>0</v>
      </c>
      <c r="AK183" s="58">
        <v>1</v>
      </c>
      <c r="AL183" s="58">
        <v>0</v>
      </c>
      <c r="AM183" s="58">
        <v>0</v>
      </c>
      <c r="AN183" s="59">
        <v>0</v>
      </c>
    </row>
    <row r="184" spans="1:40">
      <c r="A184" s="74" t="str">
        <f>HYPERLINK("https://www.ncbi.nlm.nih.gov/pubmed/1654116","1654116")</f>
        <v>1654116</v>
      </c>
      <c r="B184" s="55" t="s">
        <v>292</v>
      </c>
      <c r="C184" s="56" t="s">
        <v>196</v>
      </c>
      <c r="D184" s="56" t="s">
        <v>225</v>
      </c>
      <c r="E184" s="56" t="s">
        <v>205</v>
      </c>
      <c r="F184" s="56" t="s">
        <v>261</v>
      </c>
      <c r="G184" s="60" t="s">
        <v>203</v>
      </c>
      <c r="H184" s="56" t="s">
        <v>13</v>
      </c>
      <c r="I184" s="56" t="s">
        <v>201</v>
      </c>
      <c r="J184" s="56" t="s">
        <v>142</v>
      </c>
      <c r="K184" s="57">
        <v>1</v>
      </c>
      <c r="L184" s="58">
        <v>0</v>
      </c>
      <c r="M184" s="58">
        <v>1</v>
      </c>
      <c r="N184" s="58">
        <v>0</v>
      </c>
      <c r="O184" s="58">
        <v>1</v>
      </c>
      <c r="P184" s="57">
        <v>0</v>
      </c>
      <c r="Q184" s="58">
        <v>0</v>
      </c>
      <c r="R184" s="58">
        <v>0</v>
      </c>
      <c r="S184" s="58">
        <v>0</v>
      </c>
      <c r="T184" s="58">
        <v>0</v>
      </c>
      <c r="U184" s="58">
        <v>0</v>
      </c>
      <c r="V184" s="59">
        <v>0</v>
      </c>
      <c r="W184" s="58">
        <v>0</v>
      </c>
      <c r="X184" s="58">
        <v>1</v>
      </c>
      <c r="Y184" s="58">
        <v>0</v>
      </c>
      <c r="Z184" s="58">
        <v>0</v>
      </c>
      <c r="AA184" s="58">
        <v>0</v>
      </c>
      <c r="AB184" s="58">
        <v>0</v>
      </c>
      <c r="AC184" s="58">
        <v>0</v>
      </c>
      <c r="AD184" s="58">
        <v>0</v>
      </c>
      <c r="AE184" s="58">
        <v>0</v>
      </c>
      <c r="AF184" s="58">
        <v>0</v>
      </c>
      <c r="AG184" s="58">
        <v>0</v>
      </c>
      <c r="AH184" s="58">
        <v>0</v>
      </c>
      <c r="AI184" s="58">
        <v>0</v>
      </c>
      <c r="AJ184" s="59">
        <v>0</v>
      </c>
      <c r="AK184" s="58">
        <v>0</v>
      </c>
      <c r="AL184" s="58">
        <v>0</v>
      </c>
      <c r="AM184" s="58">
        <v>0</v>
      </c>
      <c r="AN184" s="59">
        <v>0</v>
      </c>
    </row>
    <row r="185" spans="1:40">
      <c r="A185" s="74" t="str">
        <f>HYPERLINK("https://www.ncbi.nlm.nih.gov/pubmed/2169287","2169287")</f>
        <v>2169287</v>
      </c>
      <c r="B185" s="55" t="s">
        <v>292</v>
      </c>
      <c r="C185" s="56" t="s">
        <v>196</v>
      </c>
      <c r="D185" s="56" t="s">
        <v>225</v>
      </c>
      <c r="E185" s="56" t="s">
        <v>205</v>
      </c>
      <c r="F185" s="56" t="s">
        <v>261</v>
      </c>
      <c r="G185" s="60" t="s">
        <v>203</v>
      </c>
      <c r="H185" s="56" t="s">
        <v>13</v>
      </c>
      <c r="I185" s="56" t="s">
        <v>201</v>
      </c>
      <c r="J185" s="56" t="s">
        <v>142</v>
      </c>
      <c r="K185" s="57">
        <v>1</v>
      </c>
      <c r="L185" s="58">
        <v>0</v>
      </c>
      <c r="M185" s="58">
        <v>1</v>
      </c>
      <c r="N185" s="58">
        <v>0</v>
      </c>
      <c r="O185" s="59">
        <v>1</v>
      </c>
      <c r="P185" s="57">
        <v>0</v>
      </c>
      <c r="Q185" s="58">
        <v>0</v>
      </c>
      <c r="R185" s="58">
        <v>0</v>
      </c>
      <c r="S185" s="58">
        <v>0</v>
      </c>
      <c r="T185" s="58">
        <v>0</v>
      </c>
      <c r="U185" s="58">
        <v>0</v>
      </c>
      <c r="V185" s="59">
        <v>0</v>
      </c>
      <c r="W185" s="58">
        <v>0</v>
      </c>
      <c r="X185" s="58">
        <v>1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0</v>
      </c>
      <c r="AF185" s="58">
        <v>0</v>
      </c>
      <c r="AG185" s="58">
        <v>0</v>
      </c>
      <c r="AH185" s="58">
        <v>0</v>
      </c>
      <c r="AI185" s="58">
        <v>0</v>
      </c>
      <c r="AJ185" s="59">
        <v>0</v>
      </c>
      <c r="AK185" s="58">
        <v>0</v>
      </c>
      <c r="AL185" s="58">
        <v>0</v>
      </c>
      <c r="AM185" s="58">
        <v>0</v>
      </c>
      <c r="AN185" s="59">
        <v>0</v>
      </c>
    </row>
    <row r="186" spans="1:40">
      <c r="A186" s="74" t="str">
        <f>HYPERLINK("https://www.ncbi.nlm.nih.gov/pubmed/2437113","2437113")</f>
        <v>2437113</v>
      </c>
      <c r="B186" s="55" t="s">
        <v>292</v>
      </c>
      <c r="C186" s="56" t="s">
        <v>196</v>
      </c>
      <c r="D186" s="56" t="s">
        <v>225</v>
      </c>
      <c r="E186" s="56" t="s">
        <v>205</v>
      </c>
      <c r="F186" s="56" t="s">
        <v>261</v>
      </c>
      <c r="G186" s="60" t="s">
        <v>203</v>
      </c>
      <c r="H186" s="56" t="s">
        <v>13</v>
      </c>
      <c r="I186" s="60" t="s">
        <v>223</v>
      </c>
      <c r="J186" s="63" t="s">
        <v>142</v>
      </c>
      <c r="K186" s="57">
        <v>1</v>
      </c>
      <c r="L186" s="58">
        <v>0</v>
      </c>
      <c r="M186" s="58">
        <v>1</v>
      </c>
      <c r="N186" s="58">
        <v>0</v>
      </c>
      <c r="O186" s="59">
        <v>1</v>
      </c>
      <c r="P186" s="58">
        <v>0</v>
      </c>
      <c r="Q186" s="58">
        <v>0</v>
      </c>
      <c r="R186" s="58">
        <v>0</v>
      </c>
      <c r="S186" s="58">
        <v>0</v>
      </c>
      <c r="T186" s="58">
        <v>0</v>
      </c>
      <c r="U186" s="58">
        <v>0</v>
      </c>
      <c r="V186" s="59">
        <v>0</v>
      </c>
      <c r="W186" s="58">
        <v>0</v>
      </c>
      <c r="X186" s="58">
        <v>1</v>
      </c>
      <c r="Y186" s="58">
        <v>0</v>
      </c>
      <c r="Z186" s="58">
        <v>0</v>
      </c>
      <c r="AA186" s="58">
        <v>0</v>
      </c>
      <c r="AB186" s="58">
        <v>0</v>
      </c>
      <c r="AC186" s="58">
        <v>0</v>
      </c>
      <c r="AD186" s="58">
        <v>0</v>
      </c>
      <c r="AE186" s="58">
        <v>0</v>
      </c>
      <c r="AF186" s="58">
        <v>0</v>
      </c>
      <c r="AG186" s="58">
        <v>0</v>
      </c>
      <c r="AH186" s="58">
        <v>0</v>
      </c>
      <c r="AI186" s="58">
        <v>0</v>
      </c>
      <c r="AJ186" s="59">
        <v>0</v>
      </c>
      <c r="AK186" s="58">
        <v>0</v>
      </c>
      <c r="AL186" s="58">
        <v>0</v>
      </c>
      <c r="AM186" s="58">
        <v>0</v>
      </c>
      <c r="AN186" s="59">
        <v>0</v>
      </c>
    </row>
    <row r="187" spans="1:40">
      <c r="A187" s="74" t="str">
        <f>HYPERLINK("https://www.ncbi.nlm.nih.gov/pubmed/2554289","2554289")</f>
        <v>2554289</v>
      </c>
      <c r="B187" s="55" t="s">
        <v>292</v>
      </c>
      <c r="C187" s="56" t="s">
        <v>196</v>
      </c>
      <c r="D187" s="56" t="s">
        <v>225</v>
      </c>
      <c r="E187" s="56" t="s">
        <v>205</v>
      </c>
      <c r="F187" s="56" t="s">
        <v>261</v>
      </c>
      <c r="G187" s="60" t="s">
        <v>203</v>
      </c>
      <c r="H187" s="56" t="s">
        <v>13</v>
      </c>
      <c r="I187" s="56" t="s">
        <v>201</v>
      </c>
      <c r="J187" s="63" t="s">
        <v>142</v>
      </c>
      <c r="K187" s="57">
        <v>1</v>
      </c>
      <c r="L187" s="58">
        <v>1</v>
      </c>
      <c r="M187" s="58">
        <v>1</v>
      </c>
      <c r="N187" s="58">
        <v>0</v>
      </c>
      <c r="O187" s="59">
        <v>1</v>
      </c>
      <c r="P187" s="57">
        <v>1</v>
      </c>
      <c r="Q187" s="58">
        <v>0</v>
      </c>
      <c r="R187" s="58">
        <v>0</v>
      </c>
      <c r="S187" s="58">
        <v>0</v>
      </c>
      <c r="T187" s="58">
        <v>0</v>
      </c>
      <c r="U187" s="58">
        <v>0</v>
      </c>
      <c r="V187" s="59">
        <v>0</v>
      </c>
      <c r="W187" s="58">
        <v>0</v>
      </c>
      <c r="X187" s="58">
        <v>1</v>
      </c>
      <c r="Y187" s="58">
        <v>0</v>
      </c>
      <c r="Z187" s="58">
        <v>0</v>
      </c>
      <c r="AA187" s="58">
        <v>0</v>
      </c>
      <c r="AB187" s="58">
        <v>0</v>
      </c>
      <c r="AC187" s="58">
        <v>0</v>
      </c>
      <c r="AD187" s="58">
        <v>0</v>
      </c>
      <c r="AE187" s="58">
        <v>0</v>
      </c>
      <c r="AF187" s="58">
        <v>0</v>
      </c>
      <c r="AG187" s="58">
        <v>0</v>
      </c>
      <c r="AH187" s="58">
        <v>0</v>
      </c>
      <c r="AI187" s="58">
        <v>0</v>
      </c>
      <c r="AJ187" s="59">
        <v>0</v>
      </c>
      <c r="AK187" s="58">
        <v>0</v>
      </c>
      <c r="AL187" s="58">
        <v>0</v>
      </c>
      <c r="AM187" s="58">
        <v>0</v>
      </c>
      <c r="AN187" s="59">
        <v>0</v>
      </c>
    </row>
    <row r="188" spans="1:40">
      <c r="A188" s="72" t="str">
        <f>HYPERLINK("https://www.ncbi.nlm.nih.gov/pubmed/8049148","8049148")</f>
        <v>8049148</v>
      </c>
      <c r="B188" s="55" t="s">
        <v>292</v>
      </c>
      <c r="C188" s="56" t="s">
        <v>196</v>
      </c>
      <c r="D188" s="56" t="s">
        <v>225</v>
      </c>
      <c r="E188" s="56" t="s">
        <v>205</v>
      </c>
      <c r="F188" s="56" t="s">
        <v>261</v>
      </c>
      <c r="G188" s="60" t="s">
        <v>203</v>
      </c>
      <c r="H188" s="56" t="s">
        <v>13</v>
      </c>
      <c r="I188" s="56" t="s">
        <v>293</v>
      </c>
      <c r="J188" s="63" t="s">
        <v>142</v>
      </c>
      <c r="K188" s="58">
        <v>1</v>
      </c>
      <c r="L188" s="58">
        <v>0</v>
      </c>
      <c r="M188" s="58">
        <v>1</v>
      </c>
      <c r="N188" s="58">
        <v>0</v>
      </c>
      <c r="O188" s="59">
        <v>1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9">
        <v>0</v>
      </c>
      <c r="W188" s="58">
        <v>0</v>
      </c>
      <c r="X188" s="58">
        <v>1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58">
        <v>0</v>
      </c>
      <c r="AJ188" s="59">
        <v>0</v>
      </c>
      <c r="AK188" s="58">
        <v>0</v>
      </c>
      <c r="AL188" s="58">
        <v>0</v>
      </c>
      <c r="AM188" s="58">
        <v>0</v>
      </c>
      <c r="AN188" s="59">
        <v>0</v>
      </c>
    </row>
    <row r="189" spans="1:40">
      <c r="A189" s="72" t="str">
        <f>HYPERLINK("https://www.ncbi.nlm.nih.gov/pubmed/9314578","9314578")</f>
        <v>9314578</v>
      </c>
      <c r="B189" s="55" t="s">
        <v>292</v>
      </c>
      <c r="C189" s="56" t="s">
        <v>196</v>
      </c>
      <c r="D189" s="56" t="s">
        <v>225</v>
      </c>
      <c r="E189" s="56" t="s">
        <v>205</v>
      </c>
      <c r="F189" s="56" t="s">
        <v>261</v>
      </c>
      <c r="G189" s="60" t="s">
        <v>203</v>
      </c>
      <c r="H189" s="56" t="s">
        <v>13</v>
      </c>
      <c r="I189" s="56" t="s">
        <v>208</v>
      </c>
      <c r="J189" s="63" t="s">
        <v>142</v>
      </c>
      <c r="K189" s="58">
        <v>1</v>
      </c>
      <c r="L189" s="58">
        <v>0</v>
      </c>
      <c r="M189" s="58">
        <v>0</v>
      </c>
      <c r="N189" s="58">
        <v>0</v>
      </c>
      <c r="O189" s="59">
        <v>1</v>
      </c>
      <c r="P189" s="58">
        <v>1</v>
      </c>
      <c r="Q189" s="58">
        <v>0</v>
      </c>
      <c r="R189" s="58">
        <v>0</v>
      </c>
      <c r="S189" s="58">
        <v>0</v>
      </c>
      <c r="T189" s="58">
        <v>0</v>
      </c>
      <c r="U189" s="58">
        <v>0</v>
      </c>
      <c r="V189" s="59">
        <v>0</v>
      </c>
      <c r="W189" s="58">
        <v>0</v>
      </c>
      <c r="X189" s="58">
        <v>1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58">
        <v>0</v>
      </c>
      <c r="AJ189" s="59">
        <v>0</v>
      </c>
      <c r="AK189" s="58">
        <v>0</v>
      </c>
      <c r="AL189" s="58">
        <v>0</v>
      </c>
      <c r="AM189" s="58">
        <v>0</v>
      </c>
      <c r="AN189" s="59">
        <v>0</v>
      </c>
    </row>
    <row r="190" spans="1:40">
      <c r="A190" s="72" t="str">
        <f>HYPERLINK("https://www.ncbi.nlm.nih.gov/pubmed/10777507","10777507")</f>
        <v>10777507</v>
      </c>
      <c r="B190" s="55" t="s">
        <v>292</v>
      </c>
      <c r="C190" s="56" t="s">
        <v>196</v>
      </c>
      <c r="D190" s="56" t="s">
        <v>225</v>
      </c>
      <c r="E190" s="56" t="s">
        <v>205</v>
      </c>
      <c r="F190" s="56" t="s">
        <v>261</v>
      </c>
      <c r="G190" s="60" t="s">
        <v>203</v>
      </c>
      <c r="H190" s="56" t="s">
        <v>13</v>
      </c>
      <c r="I190" s="56" t="s">
        <v>201</v>
      </c>
      <c r="J190" s="56" t="s">
        <v>142</v>
      </c>
      <c r="K190" s="57">
        <v>0</v>
      </c>
      <c r="L190" s="58">
        <v>0</v>
      </c>
      <c r="M190" s="58">
        <v>1</v>
      </c>
      <c r="N190" s="58">
        <v>1</v>
      </c>
      <c r="O190" s="58">
        <v>0</v>
      </c>
      <c r="P190" s="57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9">
        <v>0</v>
      </c>
      <c r="W190" s="58">
        <v>0</v>
      </c>
      <c r="X190" s="58">
        <v>1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9">
        <v>0</v>
      </c>
      <c r="AK190" s="58">
        <v>1</v>
      </c>
      <c r="AL190" s="58">
        <v>0</v>
      </c>
      <c r="AM190" s="58">
        <v>0</v>
      </c>
      <c r="AN190" s="59">
        <v>0</v>
      </c>
    </row>
    <row r="191" spans="1:40">
      <c r="A191" s="72" t="str">
        <f>HYPERLINK("https://www.ncbi.nlm.nih.gov/pubmed/11282276","11282276")</f>
        <v>11282276</v>
      </c>
      <c r="B191" s="55" t="s">
        <v>292</v>
      </c>
      <c r="C191" s="56" t="s">
        <v>196</v>
      </c>
      <c r="D191" s="56" t="s">
        <v>225</v>
      </c>
      <c r="E191" s="56" t="s">
        <v>205</v>
      </c>
      <c r="F191" s="56" t="s">
        <v>261</v>
      </c>
      <c r="G191" s="60" t="s">
        <v>203</v>
      </c>
      <c r="H191" s="56" t="s">
        <v>13</v>
      </c>
      <c r="I191" s="56" t="s">
        <v>201</v>
      </c>
      <c r="J191" s="56" t="s">
        <v>142</v>
      </c>
      <c r="K191" s="57">
        <v>0</v>
      </c>
      <c r="L191" s="58">
        <v>0</v>
      </c>
      <c r="M191" s="58">
        <v>1</v>
      </c>
      <c r="N191" s="58">
        <v>1</v>
      </c>
      <c r="O191" s="58">
        <v>0</v>
      </c>
      <c r="P191" s="57">
        <v>1</v>
      </c>
      <c r="Q191" s="58">
        <v>0</v>
      </c>
      <c r="R191" s="58">
        <v>0</v>
      </c>
      <c r="S191" s="58">
        <v>0</v>
      </c>
      <c r="T191" s="58">
        <v>0</v>
      </c>
      <c r="U191" s="58">
        <v>1</v>
      </c>
      <c r="V191" s="59">
        <v>0</v>
      </c>
      <c r="W191" s="58">
        <v>0</v>
      </c>
      <c r="X191" s="58">
        <v>1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0</v>
      </c>
      <c r="AI191" s="58">
        <v>0</v>
      </c>
      <c r="AJ191" s="59">
        <v>0</v>
      </c>
      <c r="AK191" s="58">
        <v>1</v>
      </c>
      <c r="AL191" s="58">
        <v>0</v>
      </c>
      <c r="AM191" s="58">
        <v>0</v>
      </c>
      <c r="AN191" s="59">
        <v>1</v>
      </c>
    </row>
    <row r="192" spans="1:40">
      <c r="A192" s="72" t="str">
        <f>HYPERLINK("https://www.ncbi.nlm.nih.gov/pubmed/11297876","11297876")</f>
        <v>11297876</v>
      </c>
      <c r="B192" s="55" t="s">
        <v>292</v>
      </c>
      <c r="C192" s="56" t="s">
        <v>196</v>
      </c>
      <c r="D192" s="56" t="s">
        <v>225</v>
      </c>
      <c r="E192" s="56" t="s">
        <v>205</v>
      </c>
      <c r="F192" s="56" t="s">
        <v>261</v>
      </c>
      <c r="G192" s="60" t="s">
        <v>203</v>
      </c>
      <c r="H192" s="56" t="s">
        <v>13</v>
      </c>
      <c r="I192" s="56" t="s">
        <v>208</v>
      </c>
      <c r="J192" s="63" t="s">
        <v>142</v>
      </c>
      <c r="K192" s="57">
        <v>1</v>
      </c>
      <c r="L192" s="58">
        <v>0</v>
      </c>
      <c r="M192" s="58">
        <v>0</v>
      </c>
      <c r="N192" s="58">
        <v>0</v>
      </c>
      <c r="O192" s="59">
        <v>0</v>
      </c>
      <c r="P192" s="57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9">
        <v>0</v>
      </c>
      <c r="W192" s="58">
        <v>0</v>
      </c>
      <c r="X192" s="58">
        <v>1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8">
        <v>0</v>
      </c>
      <c r="AG192" s="58">
        <v>0</v>
      </c>
      <c r="AH192" s="58">
        <v>0</v>
      </c>
      <c r="AI192" s="58">
        <v>0</v>
      </c>
      <c r="AJ192" s="59">
        <v>0</v>
      </c>
      <c r="AK192" s="58">
        <v>0</v>
      </c>
      <c r="AL192" s="58">
        <v>0</v>
      </c>
      <c r="AM192" s="58">
        <v>0</v>
      </c>
      <c r="AN192" s="59">
        <v>1</v>
      </c>
    </row>
    <row r="193" spans="1:40">
      <c r="A193" s="72" t="str">
        <f>HYPERLINK("https://www.ncbi.nlm.nih.gov/pubmed/12072389","12072389")</f>
        <v>12072389</v>
      </c>
      <c r="B193" s="55" t="s">
        <v>292</v>
      </c>
      <c r="C193" s="56" t="s">
        <v>196</v>
      </c>
      <c r="D193" s="56" t="s">
        <v>225</v>
      </c>
      <c r="E193" s="56" t="s">
        <v>205</v>
      </c>
      <c r="F193" s="56" t="s">
        <v>261</v>
      </c>
      <c r="G193" s="60" t="s">
        <v>203</v>
      </c>
      <c r="H193" s="56" t="s">
        <v>13</v>
      </c>
      <c r="I193" s="56" t="s">
        <v>208</v>
      </c>
      <c r="J193" s="63" t="s">
        <v>142</v>
      </c>
      <c r="K193" s="57">
        <v>1</v>
      </c>
      <c r="L193" s="58"/>
      <c r="M193" s="58">
        <v>1</v>
      </c>
      <c r="N193" s="58">
        <v>1</v>
      </c>
      <c r="O193" s="59">
        <v>0</v>
      </c>
      <c r="P193" s="57">
        <v>1</v>
      </c>
      <c r="Q193" s="58">
        <v>0</v>
      </c>
      <c r="R193" s="58">
        <v>0</v>
      </c>
      <c r="S193" s="58">
        <v>0</v>
      </c>
      <c r="T193" s="58">
        <v>0</v>
      </c>
      <c r="U193" s="58">
        <v>0</v>
      </c>
      <c r="V193" s="59">
        <v>0</v>
      </c>
      <c r="W193" s="58">
        <v>1</v>
      </c>
      <c r="X193" s="58">
        <v>1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58">
        <v>0</v>
      </c>
      <c r="AG193" s="58">
        <v>0</v>
      </c>
      <c r="AH193" s="58">
        <v>0</v>
      </c>
      <c r="AI193" s="58">
        <v>0</v>
      </c>
      <c r="AJ193" s="59">
        <v>0</v>
      </c>
      <c r="AK193" s="58">
        <v>0</v>
      </c>
      <c r="AL193" s="58">
        <v>0</v>
      </c>
      <c r="AM193" s="58">
        <v>1</v>
      </c>
      <c r="AN193" s="59">
        <v>0</v>
      </c>
    </row>
    <row r="194" spans="1:40">
      <c r="A194" s="72" t="str">
        <f>HYPERLINK("https://www.ncbi.nlm.nih.gov/pubmed/12081150","12081150")</f>
        <v>12081150</v>
      </c>
      <c r="B194" s="55" t="s">
        <v>292</v>
      </c>
      <c r="C194" s="56" t="s">
        <v>196</v>
      </c>
      <c r="D194" s="56" t="s">
        <v>225</v>
      </c>
      <c r="E194" s="56" t="s">
        <v>205</v>
      </c>
      <c r="F194" s="56" t="s">
        <v>261</v>
      </c>
      <c r="G194" s="60" t="s">
        <v>203</v>
      </c>
      <c r="H194" s="56" t="s">
        <v>13</v>
      </c>
      <c r="I194" s="56" t="s">
        <v>201</v>
      </c>
      <c r="J194" s="63" t="s">
        <v>168</v>
      </c>
      <c r="K194" s="58">
        <v>0</v>
      </c>
      <c r="L194" s="58">
        <v>1</v>
      </c>
      <c r="M194" s="58">
        <v>1</v>
      </c>
      <c r="N194" s="58">
        <v>0</v>
      </c>
      <c r="O194" s="58">
        <v>1</v>
      </c>
      <c r="P194" s="57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9">
        <v>0</v>
      </c>
      <c r="W194" s="58">
        <v>0</v>
      </c>
      <c r="X194" s="58">
        <v>1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58">
        <v>0</v>
      </c>
      <c r="AJ194" s="59">
        <v>0</v>
      </c>
      <c r="AK194" s="58">
        <v>0</v>
      </c>
      <c r="AL194" s="58">
        <v>0</v>
      </c>
      <c r="AM194" s="58">
        <v>0</v>
      </c>
      <c r="AN194" s="59">
        <v>0</v>
      </c>
    </row>
    <row r="195" spans="1:40">
      <c r="A195" s="72" t="str">
        <f>HYPERLINK("https://www.ncbi.nlm.nih.gov/pubmed/16507311","16507311")</f>
        <v>16507311</v>
      </c>
      <c r="B195" s="55" t="s">
        <v>292</v>
      </c>
      <c r="C195" s="56" t="s">
        <v>196</v>
      </c>
      <c r="D195" s="56" t="s">
        <v>225</v>
      </c>
      <c r="E195" s="56" t="s">
        <v>205</v>
      </c>
      <c r="F195" s="56" t="s">
        <v>261</v>
      </c>
      <c r="G195" s="60" t="s">
        <v>203</v>
      </c>
      <c r="H195" s="56" t="s">
        <v>13</v>
      </c>
      <c r="I195" s="56" t="s">
        <v>201</v>
      </c>
      <c r="J195" s="56" t="s">
        <v>142</v>
      </c>
      <c r="K195" s="57">
        <v>1</v>
      </c>
      <c r="L195" s="58">
        <v>0</v>
      </c>
      <c r="M195" s="58">
        <v>0</v>
      </c>
      <c r="N195" s="58">
        <v>1</v>
      </c>
      <c r="O195" s="59">
        <v>1</v>
      </c>
      <c r="P195" s="57">
        <v>1</v>
      </c>
      <c r="Q195" s="58">
        <v>0</v>
      </c>
      <c r="R195" s="58">
        <v>0</v>
      </c>
      <c r="S195" s="58">
        <v>0</v>
      </c>
      <c r="T195" s="58">
        <v>0</v>
      </c>
      <c r="U195" s="58">
        <v>1</v>
      </c>
      <c r="V195" s="59">
        <v>0</v>
      </c>
      <c r="W195" s="58">
        <v>0</v>
      </c>
      <c r="X195" s="58">
        <v>1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58">
        <v>0</v>
      </c>
      <c r="AJ195" s="59">
        <v>0</v>
      </c>
      <c r="AK195" s="58">
        <v>1</v>
      </c>
      <c r="AL195" s="58">
        <v>0</v>
      </c>
      <c r="AM195" s="58">
        <v>0</v>
      </c>
      <c r="AN195" s="59">
        <v>0</v>
      </c>
    </row>
    <row r="196" spans="1:40">
      <c r="A196" s="72" t="str">
        <f>HYPERLINK("https://www.ncbi.nlm.nih.gov/pubmed/17332522","17332522")</f>
        <v>17332522</v>
      </c>
      <c r="B196" s="55" t="s">
        <v>292</v>
      </c>
      <c r="C196" s="56" t="s">
        <v>196</v>
      </c>
      <c r="D196" s="56" t="s">
        <v>225</v>
      </c>
      <c r="E196" s="56" t="s">
        <v>205</v>
      </c>
      <c r="F196" s="56" t="s">
        <v>261</v>
      </c>
      <c r="G196" s="60" t="s">
        <v>203</v>
      </c>
      <c r="H196" s="56" t="s">
        <v>13</v>
      </c>
      <c r="I196" s="56" t="s">
        <v>208</v>
      </c>
      <c r="J196" s="63" t="s">
        <v>82</v>
      </c>
      <c r="K196" s="58">
        <v>0</v>
      </c>
      <c r="L196" s="58">
        <v>0</v>
      </c>
      <c r="M196" s="58">
        <v>1</v>
      </c>
      <c r="N196" s="58">
        <v>0</v>
      </c>
      <c r="O196" s="59">
        <v>0</v>
      </c>
      <c r="P196" s="57">
        <v>0</v>
      </c>
      <c r="Q196" s="58">
        <v>0</v>
      </c>
      <c r="R196" s="58">
        <v>0</v>
      </c>
      <c r="S196" s="58">
        <v>0</v>
      </c>
      <c r="T196" s="58">
        <v>0</v>
      </c>
      <c r="U196" s="58">
        <v>0</v>
      </c>
      <c r="V196" s="59">
        <v>0</v>
      </c>
      <c r="W196" s="58">
        <v>0</v>
      </c>
      <c r="X196" s="58">
        <v>1</v>
      </c>
      <c r="Y196" s="58">
        <v>0</v>
      </c>
      <c r="Z196" s="58">
        <v>0</v>
      </c>
      <c r="AA196" s="58">
        <v>0</v>
      </c>
      <c r="AB196" s="58">
        <v>0</v>
      </c>
      <c r="AC196" s="58">
        <v>0</v>
      </c>
      <c r="AD196" s="58">
        <v>0</v>
      </c>
      <c r="AE196" s="58">
        <v>0</v>
      </c>
      <c r="AF196" s="58">
        <v>0</v>
      </c>
      <c r="AG196" s="58">
        <v>0</v>
      </c>
      <c r="AH196" s="58">
        <v>0</v>
      </c>
      <c r="AI196" s="58">
        <v>0</v>
      </c>
      <c r="AJ196" s="59">
        <v>0</v>
      </c>
      <c r="AK196" s="58">
        <v>1</v>
      </c>
      <c r="AL196" s="58">
        <v>0</v>
      </c>
      <c r="AM196" s="58">
        <v>0</v>
      </c>
      <c r="AN196" s="59">
        <v>0</v>
      </c>
    </row>
    <row r="197" spans="1:40">
      <c r="A197" s="72" t="str">
        <f>HYPERLINK("https://www.ncbi.nlm.nih.gov/pubmed/19699292","19699292")</f>
        <v>19699292</v>
      </c>
      <c r="B197" s="55" t="s">
        <v>292</v>
      </c>
      <c r="C197" s="56" t="s">
        <v>196</v>
      </c>
      <c r="D197" s="56" t="s">
        <v>225</v>
      </c>
      <c r="E197" s="56" t="s">
        <v>205</v>
      </c>
      <c r="F197" s="56" t="s">
        <v>261</v>
      </c>
      <c r="G197" s="60" t="s">
        <v>203</v>
      </c>
      <c r="H197" s="56" t="s">
        <v>13</v>
      </c>
      <c r="I197" s="56" t="s">
        <v>201</v>
      </c>
      <c r="J197" s="63" t="s">
        <v>84</v>
      </c>
      <c r="K197" s="57">
        <v>0</v>
      </c>
      <c r="L197" s="58">
        <v>1</v>
      </c>
      <c r="M197" s="58">
        <v>0</v>
      </c>
      <c r="N197" s="58">
        <v>0</v>
      </c>
      <c r="O197" s="59">
        <v>0</v>
      </c>
      <c r="P197" s="58">
        <v>1</v>
      </c>
      <c r="Q197" s="58">
        <v>1</v>
      </c>
      <c r="R197" s="58">
        <v>0</v>
      </c>
      <c r="S197" s="58">
        <v>0</v>
      </c>
      <c r="T197" s="58">
        <v>0</v>
      </c>
      <c r="U197" s="58">
        <v>0</v>
      </c>
      <c r="V197" s="59">
        <v>0</v>
      </c>
      <c r="W197" s="58">
        <v>0</v>
      </c>
      <c r="X197" s="58">
        <v>1</v>
      </c>
      <c r="Y197" s="58">
        <v>0</v>
      </c>
      <c r="Z197" s="58">
        <v>0</v>
      </c>
      <c r="AA197" s="58">
        <v>0</v>
      </c>
      <c r="AB197" s="58">
        <v>1</v>
      </c>
      <c r="AC197" s="58">
        <v>0</v>
      </c>
      <c r="AD197" s="58">
        <v>0</v>
      </c>
      <c r="AE197" s="58">
        <v>0</v>
      </c>
      <c r="AF197" s="58">
        <v>0</v>
      </c>
      <c r="AG197" s="58">
        <v>0</v>
      </c>
      <c r="AH197" s="58">
        <v>0</v>
      </c>
      <c r="AI197" s="58">
        <v>0</v>
      </c>
      <c r="AJ197" s="59">
        <v>0</v>
      </c>
      <c r="AK197" s="58">
        <v>1</v>
      </c>
      <c r="AL197" s="58">
        <v>0</v>
      </c>
      <c r="AM197" s="58">
        <v>0</v>
      </c>
      <c r="AN197" s="59">
        <v>0</v>
      </c>
    </row>
    <row r="198" spans="1:40">
      <c r="A198" s="72" t="str">
        <f>HYPERLINK("https://www.ncbi.nlm.nih.gov/pubmed/22236953","22236953")</f>
        <v>22236953</v>
      </c>
      <c r="B198" s="55" t="s">
        <v>292</v>
      </c>
      <c r="C198" s="56" t="s">
        <v>196</v>
      </c>
      <c r="D198" s="56" t="s">
        <v>225</v>
      </c>
      <c r="E198" s="56" t="s">
        <v>205</v>
      </c>
      <c r="F198" s="56" t="s">
        <v>261</v>
      </c>
      <c r="G198" s="60" t="s">
        <v>203</v>
      </c>
      <c r="H198" s="56" t="s">
        <v>13</v>
      </c>
      <c r="I198" s="56" t="s">
        <v>208</v>
      </c>
      <c r="J198" s="63" t="s">
        <v>84</v>
      </c>
      <c r="K198" s="58">
        <v>1</v>
      </c>
      <c r="L198" s="58">
        <v>0</v>
      </c>
      <c r="M198" s="58">
        <v>0</v>
      </c>
      <c r="N198" s="58">
        <v>0</v>
      </c>
      <c r="O198" s="59">
        <v>0</v>
      </c>
      <c r="P198" s="57">
        <v>1</v>
      </c>
      <c r="Q198" s="58">
        <v>0</v>
      </c>
      <c r="R198" s="58">
        <v>0</v>
      </c>
      <c r="S198" s="58">
        <v>0</v>
      </c>
      <c r="T198" s="58">
        <v>0</v>
      </c>
      <c r="U198" s="58">
        <v>0</v>
      </c>
      <c r="V198" s="59">
        <v>0</v>
      </c>
      <c r="W198" s="58">
        <v>0</v>
      </c>
      <c r="X198" s="58">
        <v>1</v>
      </c>
      <c r="Y198" s="58">
        <v>0</v>
      </c>
      <c r="Z198" s="58">
        <v>0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58">
        <v>0</v>
      </c>
      <c r="AG198" s="58">
        <v>0</v>
      </c>
      <c r="AH198" s="58">
        <v>0</v>
      </c>
      <c r="AI198" s="58">
        <v>0</v>
      </c>
      <c r="AJ198" s="59">
        <v>0</v>
      </c>
      <c r="AK198" s="58">
        <v>1</v>
      </c>
      <c r="AL198" s="58">
        <v>1</v>
      </c>
      <c r="AM198" s="58">
        <v>0</v>
      </c>
      <c r="AN198" s="59">
        <v>0</v>
      </c>
    </row>
    <row r="199" spans="1:40">
      <c r="A199" s="72" t="str">
        <f>HYPERLINK("https://www.ncbi.nlm.nih.gov/pubmed/23578968","23578968")</f>
        <v>23578968</v>
      </c>
      <c r="B199" s="55" t="s">
        <v>292</v>
      </c>
      <c r="C199" s="56" t="s">
        <v>196</v>
      </c>
      <c r="D199" s="56" t="s">
        <v>225</v>
      </c>
      <c r="E199" s="56" t="s">
        <v>205</v>
      </c>
      <c r="F199" s="56" t="s">
        <v>261</v>
      </c>
      <c r="G199" s="60" t="s">
        <v>203</v>
      </c>
      <c r="H199" s="56" t="s">
        <v>13</v>
      </c>
      <c r="I199" s="56" t="s">
        <v>201</v>
      </c>
      <c r="J199" s="63" t="s">
        <v>84</v>
      </c>
      <c r="K199" s="57">
        <v>0</v>
      </c>
      <c r="L199" s="58">
        <v>1</v>
      </c>
      <c r="M199" s="58">
        <v>0</v>
      </c>
      <c r="N199" s="58">
        <v>0</v>
      </c>
      <c r="O199" s="59">
        <v>0</v>
      </c>
      <c r="P199" s="57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9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1</v>
      </c>
      <c r="AC199" s="58">
        <v>0</v>
      </c>
      <c r="AD199" s="58">
        <v>0</v>
      </c>
      <c r="AE199" s="58">
        <v>0</v>
      </c>
      <c r="AF199" s="58">
        <v>0</v>
      </c>
      <c r="AG199" s="58">
        <v>0</v>
      </c>
      <c r="AH199" s="58">
        <v>0</v>
      </c>
      <c r="AI199" s="58">
        <v>0</v>
      </c>
      <c r="AJ199" s="59">
        <v>0</v>
      </c>
      <c r="AK199" s="58">
        <v>0</v>
      </c>
      <c r="AL199" s="58">
        <v>0</v>
      </c>
      <c r="AM199" s="58">
        <v>0</v>
      </c>
      <c r="AN199" s="59">
        <v>0</v>
      </c>
    </row>
    <row r="200" spans="1:40">
      <c r="A200" s="72" t="str">
        <f>HYPERLINK("https://www.ncbi.nlm.nih.gov/pubmed/23969005","23969005")</f>
        <v>23969005</v>
      </c>
      <c r="B200" s="55" t="s">
        <v>292</v>
      </c>
      <c r="C200" s="56" t="s">
        <v>196</v>
      </c>
      <c r="D200" s="56" t="s">
        <v>225</v>
      </c>
      <c r="E200" s="56" t="s">
        <v>205</v>
      </c>
      <c r="F200" s="56" t="s">
        <v>261</v>
      </c>
      <c r="G200" s="60" t="s">
        <v>203</v>
      </c>
      <c r="H200" s="56" t="s">
        <v>13</v>
      </c>
      <c r="I200" s="56" t="s">
        <v>208</v>
      </c>
      <c r="J200" s="63" t="s">
        <v>142</v>
      </c>
      <c r="K200" s="57">
        <v>0</v>
      </c>
      <c r="L200" s="58">
        <v>1</v>
      </c>
      <c r="M200" s="58">
        <v>0</v>
      </c>
      <c r="N200" s="58">
        <v>0</v>
      </c>
      <c r="O200" s="58">
        <v>0</v>
      </c>
      <c r="P200" s="57">
        <v>0</v>
      </c>
      <c r="Q200" s="58">
        <v>0</v>
      </c>
      <c r="R200" s="58">
        <v>0</v>
      </c>
      <c r="S200" s="58">
        <v>0</v>
      </c>
      <c r="T200" s="58">
        <v>0</v>
      </c>
      <c r="U200" s="58">
        <v>0</v>
      </c>
      <c r="V200" s="59">
        <v>0</v>
      </c>
      <c r="W200" s="58">
        <v>0</v>
      </c>
      <c r="X200" s="58">
        <v>1</v>
      </c>
      <c r="Y200" s="58">
        <v>0</v>
      </c>
      <c r="Z200" s="58">
        <v>0</v>
      </c>
      <c r="AA200" s="58">
        <v>0</v>
      </c>
      <c r="AB200" s="58">
        <v>0</v>
      </c>
      <c r="AC200" s="58">
        <v>0</v>
      </c>
      <c r="AD200" s="58">
        <v>0</v>
      </c>
      <c r="AE200" s="58">
        <v>0</v>
      </c>
      <c r="AF200" s="58">
        <v>0</v>
      </c>
      <c r="AG200" s="58">
        <v>0</v>
      </c>
      <c r="AH200" s="58">
        <v>0</v>
      </c>
      <c r="AI200" s="58">
        <v>0</v>
      </c>
      <c r="AJ200" s="59">
        <v>0</v>
      </c>
      <c r="AK200" s="58">
        <v>1</v>
      </c>
      <c r="AL200" s="58">
        <v>0</v>
      </c>
      <c r="AM200" s="58">
        <v>0</v>
      </c>
      <c r="AN200" s="59">
        <v>0</v>
      </c>
    </row>
    <row r="201" spans="1:40">
      <c r="A201" s="72" t="str">
        <f>HYPERLINK("https://www.ncbi.nlm.nih.gov/pubmed/24014645","24014645")</f>
        <v>24014645</v>
      </c>
      <c r="B201" s="55" t="s">
        <v>292</v>
      </c>
      <c r="C201" s="56" t="s">
        <v>196</v>
      </c>
      <c r="D201" s="56" t="s">
        <v>225</v>
      </c>
      <c r="E201" s="56" t="s">
        <v>205</v>
      </c>
      <c r="F201" s="56" t="s">
        <v>261</v>
      </c>
      <c r="G201" s="60" t="s">
        <v>203</v>
      </c>
      <c r="H201" s="56" t="s">
        <v>13</v>
      </c>
      <c r="I201" s="56" t="s">
        <v>208</v>
      </c>
      <c r="J201" s="63" t="s">
        <v>142</v>
      </c>
      <c r="K201" s="57">
        <v>0</v>
      </c>
      <c r="L201" s="58">
        <v>0</v>
      </c>
      <c r="M201" s="58">
        <v>1</v>
      </c>
      <c r="N201" s="58">
        <v>0</v>
      </c>
      <c r="O201" s="59">
        <v>0</v>
      </c>
      <c r="P201" s="57">
        <v>1</v>
      </c>
      <c r="Q201" s="58">
        <v>1</v>
      </c>
      <c r="R201" s="58">
        <v>0</v>
      </c>
      <c r="S201" s="58">
        <v>0</v>
      </c>
      <c r="T201" s="58">
        <v>1</v>
      </c>
      <c r="U201" s="58">
        <v>1</v>
      </c>
      <c r="V201" s="59">
        <v>1</v>
      </c>
      <c r="W201" s="58">
        <v>0</v>
      </c>
      <c r="X201" s="58">
        <v>0</v>
      </c>
      <c r="Y201" s="58">
        <v>0</v>
      </c>
      <c r="Z201" s="58">
        <v>0</v>
      </c>
      <c r="AA201" s="58">
        <v>0</v>
      </c>
      <c r="AB201" s="58">
        <v>1</v>
      </c>
      <c r="AC201" s="58">
        <v>0</v>
      </c>
      <c r="AD201" s="58">
        <v>0</v>
      </c>
      <c r="AE201" s="58">
        <v>0</v>
      </c>
      <c r="AF201" s="58">
        <v>0</v>
      </c>
      <c r="AG201" s="58">
        <v>0</v>
      </c>
      <c r="AH201" s="58">
        <v>0</v>
      </c>
      <c r="AI201" s="58">
        <v>0</v>
      </c>
      <c r="AJ201" s="59">
        <v>0</v>
      </c>
      <c r="AK201" s="58">
        <v>1</v>
      </c>
      <c r="AL201" s="58">
        <v>0</v>
      </c>
      <c r="AM201" s="58">
        <v>0</v>
      </c>
      <c r="AN201" s="59">
        <v>0</v>
      </c>
    </row>
    <row r="202" spans="1:40">
      <c r="A202" s="72" t="str">
        <f>HYPERLINK("https://www.ncbi.nlm.nih.gov/pubmed/26647388","26647388")</f>
        <v>26647388</v>
      </c>
      <c r="B202" s="55" t="s">
        <v>292</v>
      </c>
      <c r="C202" s="56" t="s">
        <v>196</v>
      </c>
      <c r="D202" s="56" t="s">
        <v>225</v>
      </c>
      <c r="E202" s="56" t="s">
        <v>205</v>
      </c>
      <c r="F202" s="56" t="s">
        <v>261</v>
      </c>
      <c r="G202" s="60" t="s">
        <v>203</v>
      </c>
      <c r="H202" s="56" t="s">
        <v>13</v>
      </c>
      <c r="I202" s="56" t="s">
        <v>208</v>
      </c>
      <c r="J202" s="63" t="s">
        <v>84</v>
      </c>
      <c r="K202" s="58">
        <v>0</v>
      </c>
      <c r="L202" s="58">
        <v>0</v>
      </c>
      <c r="M202" s="58">
        <v>0</v>
      </c>
      <c r="N202" s="58">
        <v>0</v>
      </c>
      <c r="O202" s="59">
        <v>1</v>
      </c>
      <c r="P202" s="58">
        <v>0</v>
      </c>
      <c r="Q202" s="58">
        <v>0</v>
      </c>
      <c r="R202" s="58">
        <v>0</v>
      </c>
      <c r="S202" s="58">
        <v>0</v>
      </c>
      <c r="T202" s="58">
        <v>0</v>
      </c>
      <c r="U202" s="58">
        <v>0</v>
      </c>
      <c r="V202" s="59">
        <v>0</v>
      </c>
      <c r="W202" s="58">
        <v>0</v>
      </c>
      <c r="X202" s="58">
        <v>1</v>
      </c>
      <c r="Y202" s="58">
        <v>0</v>
      </c>
      <c r="Z202" s="58">
        <v>0</v>
      </c>
      <c r="AA202" s="58">
        <v>0</v>
      </c>
      <c r="AB202" s="58">
        <v>0</v>
      </c>
      <c r="AC202" s="58">
        <v>0</v>
      </c>
      <c r="AD202" s="58">
        <v>0</v>
      </c>
      <c r="AE202" s="58">
        <v>0</v>
      </c>
      <c r="AF202" s="58">
        <v>0</v>
      </c>
      <c r="AG202" s="58">
        <v>0</v>
      </c>
      <c r="AH202" s="58">
        <v>0</v>
      </c>
      <c r="AI202" s="58">
        <v>0</v>
      </c>
      <c r="AJ202" s="59">
        <v>0</v>
      </c>
      <c r="AK202" s="58">
        <v>0</v>
      </c>
      <c r="AL202" s="58">
        <v>0</v>
      </c>
      <c r="AM202" s="58">
        <v>0</v>
      </c>
      <c r="AN202" s="59">
        <v>0</v>
      </c>
    </row>
    <row r="203" spans="1:40">
      <c r="A203" s="72" t="str">
        <f>HYPERLINK("https://www.ncbi.nlm.nih.gov/pubmed/26783879","26783879")</f>
        <v>26783879</v>
      </c>
      <c r="B203" s="55" t="s">
        <v>292</v>
      </c>
      <c r="C203" s="56" t="s">
        <v>196</v>
      </c>
      <c r="D203" s="56" t="s">
        <v>225</v>
      </c>
      <c r="E203" s="56" t="s">
        <v>205</v>
      </c>
      <c r="F203" s="56" t="s">
        <v>261</v>
      </c>
      <c r="G203" s="60" t="s">
        <v>203</v>
      </c>
      <c r="H203" s="56" t="s">
        <v>13</v>
      </c>
      <c r="I203" s="56" t="s">
        <v>294</v>
      </c>
      <c r="J203" s="63" t="s">
        <v>84</v>
      </c>
      <c r="K203" s="57">
        <v>0</v>
      </c>
      <c r="L203" s="58">
        <v>0</v>
      </c>
      <c r="M203" s="58">
        <v>0</v>
      </c>
      <c r="N203" s="58">
        <v>0</v>
      </c>
      <c r="O203" s="59">
        <v>1</v>
      </c>
      <c r="P203" s="58">
        <v>1</v>
      </c>
      <c r="Q203" s="58">
        <v>0</v>
      </c>
      <c r="R203" s="58">
        <v>0</v>
      </c>
      <c r="S203" s="58">
        <v>0</v>
      </c>
      <c r="T203" s="58">
        <v>0</v>
      </c>
      <c r="U203" s="58">
        <v>1</v>
      </c>
      <c r="V203" s="59">
        <v>0</v>
      </c>
      <c r="W203" s="58">
        <v>0</v>
      </c>
      <c r="X203" s="58">
        <v>1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0</v>
      </c>
      <c r="AG203" s="58">
        <v>0</v>
      </c>
      <c r="AH203" s="58">
        <v>0</v>
      </c>
      <c r="AI203" s="58">
        <v>0</v>
      </c>
      <c r="AJ203" s="59">
        <v>0</v>
      </c>
      <c r="AK203" s="58">
        <v>1</v>
      </c>
      <c r="AL203" s="58">
        <v>0</v>
      </c>
      <c r="AM203" s="58">
        <v>0</v>
      </c>
      <c r="AN203" s="59">
        <v>0</v>
      </c>
    </row>
    <row r="204" spans="1:40">
      <c r="A204" s="72" t="str">
        <f>HYPERLINK("https://www.ncbi.nlm.nih.gov/pubmed/27181934","27181934")</f>
        <v>27181934</v>
      </c>
      <c r="B204" s="55" t="s">
        <v>292</v>
      </c>
      <c r="C204" s="56" t="s">
        <v>196</v>
      </c>
      <c r="D204" s="56" t="s">
        <v>225</v>
      </c>
      <c r="E204" s="56" t="s">
        <v>205</v>
      </c>
      <c r="F204" s="56" t="s">
        <v>261</v>
      </c>
      <c r="G204" s="60" t="s">
        <v>203</v>
      </c>
      <c r="H204" s="56" t="s">
        <v>13</v>
      </c>
      <c r="I204" s="56" t="s">
        <v>295</v>
      </c>
      <c r="J204" s="63" t="s">
        <v>142</v>
      </c>
      <c r="K204" s="58">
        <v>1</v>
      </c>
      <c r="L204" s="58">
        <v>0</v>
      </c>
      <c r="M204" s="58">
        <v>0</v>
      </c>
      <c r="N204" s="58">
        <v>0</v>
      </c>
      <c r="O204" s="58">
        <v>0</v>
      </c>
      <c r="P204" s="57">
        <v>1</v>
      </c>
      <c r="Q204" s="58">
        <v>0</v>
      </c>
      <c r="R204" s="58">
        <v>0</v>
      </c>
      <c r="S204" s="58">
        <v>0</v>
      </c>
      <c r="T204" s="58">
        <v>0</v>
      </c>
      <c r="U204" s="58">
        <v>1</v>
      </c>
      <c r="V204" s="59">
        <v>0</v>
      </c>
      <c r="W204" s="58">
        <v>0</v>
      </c>
      <c r="X204" s="58">
        <v>1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0</v>
      </c>
      <c r="AJ204" s="59">
        <v>0</v>
      </c>
      <c r="AK204" s="58">
        <v>0</v>
      </c>
      <c r="AL204" s="58">
        <v>1</v>
      </c>
      <c r="AM204" s="58">
        <v>0</v>
      </c>
      <c r="AN204" s="59">
        <v>0</v>
      </c>
    </row>
    <row r="205" spans="1:40">
      <c r="A205" s="72" t="str">
        <f>HYPERLINK("https://www.ncbi.nlm.nih.gov/pubmed/27423704","27423704")</f>
        <v>27423704</v>
      </c>
      <c r="B205" s="55" t="s">
        <v>292</v>
      </c>
      <c r="C205" s="56" t="s">
        <v>196</v>
      </c>
      <c r="D205" s="56" t="s">
        <v>225</v>
      </c>
      <c r="E205" s="56" t="s">
        <v>205</v>
      </c>
      <c r="F205" s="56" t="s">
        <v>261</v>
      </c>
      <c r="G205" s="60" t="s">
        <v>203</v>
      </c>
      <c r="H205" s="56" t="s">
        <v>13</v>
      </c>
      <c r="I205" s="56" t="s">
        <v>230</v>
      </c>
      <c r="J205" s="63" t="s">
        <v>142</v>
      </c>
      <c r="K205" s="58">
        <v>1</v>
      </c>
      <c r="L205" s="58">
        <v>0</v>
      </c>
      <c r="M205" s="58">
        <v>0</v>
      </c>
      <c r="N205" s="58">
        <v>0</v>
      </c>
      <c r="O205" s="58">
        <v>0</v>
      </c>
      <c r="P205" s="57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9">
        <v>0</v>
      </c>
      <c r="W205" s="58">
        <v>0</v>
      </c>
      <c r="X205" s="58">
        <v>1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0</v>
      </c>
      <c r="AG205" s="58">
        <v>0</v>
      </c>
      <c r="AH205" s="58">
        <v>0</v>
      </c>
      <c r="AI205" s="58">
        <v>0</v>
      </c>
      <c r="AJ205" s="59">
        <v>0</v>
      </c>
      <c r="AK205" s="58">
        <v>0</v>
      </c>
      <c r="AL205" s="58">
        <v>0</v>
      </c>
      <c r="AM205" s="58">
        <v>0</v>
      </c>
      <c r="AN205" s="59">
        <v>0</v>
      </c>
    </row>
    <row r="206" spans="1:40">
      <c r="A206" s="72" t="str">
        <f>HYPERLINK("https://www.ncbi.nlm.nih.gov/pubmed/27590779","27590779")</f>
        <v>27590779</v>
      </c>
      <c r="B206" s="55" t="s">
        <v>292</v>
      </c>
      <c r="C206" s="56" t="s">
        <v>196</v>
      </c>
      <c r="D206" s="56" t="s">
        <v>225</v>
      </c>
      <c r="E206" s="56" t="s">
        <v>205</v>
      </c>
      <c r="F206" s="56" t="s">
        <v>261</v>
      </c>
      <c r="G206" s="60" t="s">
        <v>203</v>
      </c>
      <c r="H206" s="56" t="s">
        <v>13</v>
      </c>
      <c r="I206" s="56" t="s">
        <v>296</v>
      </c>
      <c r="J206" s="63" t="s">
        <v>142</v>
      </c>
      <c r="K206" s="58">
        <v>0</v>
      </c>
      <c r="L206" s="58">
        <v>0</v>
      </c>
      <c r="M206" s="58">
        <v>0</v>
      </c>
      <c r="N206" s="58">
        <v>0</v>
      </c>
      <c r="O206" s="59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9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8">
        <v>1</v>
      </c>
      <c r="AC206" s="58">
        <v>1</v>
      </c>
      <c r="AD206" s="58">
        <v>1</v>
      </c>
      <c r="AE206" s="58">
        <v>0</v>
      </c>
      <c r="AF206" s="58">
        <v>0</v>
      </c>
      <c r="AG206" s="58">
        <v>0</v>
      </c>
      <c r="AH206" s="58">
        <v>0</v>
      </c>
      <c r="AI206" s="58">
        <v>0</v>
      </c>
      <c r="AJ206" s="59">
        <v>0</v>
      </c>
      <c r="AK206" s="58">
        <v>0</v>
      </c>
      <c r="AL206" s="58">
        <v>0</v>
      </c>
      <c r="AM206" s="58">
        <v>0</v>
      </c>
      <c r="AN206" s="59">
        <v>0</v>
      </c>
    </row>
    <row r="207" spans="1:40">
      <c r="A207" s="72" t="str">
        <f>HYPERLINK("https://www.ncbi.nlm.nih.gov/pubmed/28697429","28697429")</f>
        <v>28697429</v>
      </c>
      <c r="B207" s="55" t="s">
        <v>292</v>
      </c>
      <c r="C207" s="56" t="s">
        <v>196</v>
      </c>
      <c r="D207" s="56" t="s">
        <v>225</v>
      </c>
      <c r="E207" s="56" t="s">
        <v>205</v>
      </c>
      <c r="F207" s="56" t="s">
        <v>261</v>
      </c>
      <c r="G207" s="60" t="s">
        <v>203</v>
      </c>
      <c r="H207" s="56" t="s">
        <v>13</v>
      </c>
      <c r="I207" s="56" t="s">
        <v>297</v>
      </c>
      <c r="J207" s="63" t="s">
        <v>84</v>
      </c>
      <c r="K207" s="58">
        <v>0</v>
      </c>
      <c r="L207" s="58">
        <v>0</v>
      </c>
      <c r="M207" s="58">
        <v>0</v>
      </c>
      <c r="N207" s="58">
        <v>0</v>
      </c>
      <c r="O207" s="58">
        <v>0</v>
      </c>
      <c r="P207" s="57">
        <v>1</v>
      </c>
      <c r="Q207" s="58">
        <v>0</v>
      </c>
      <c r="R207" s="58">
        <v>1</v>
      </c>
      <c r="S207" s="58">
        <v>0</v>
      </c>
      <c r="T207" s="58">
        <v>0</v>
      </c>
      <c r="U207" s="58">
        <v>0</v>
      </c>
      <c r="V207" s="59">
        <v>0</v>
      </c>
      <c r="W207" s="58">
        <v>0</v>
      </c>
      <c r="X207" s="58">
        <v>0</v>
      </c>
      <c r="Y207" s="58">
        <v>0</v>
      </c>
      <c r="Z207" s="58">
        <v>0</v>
      </c>
      <c r="AA207" s="58">
        <v>0</v>
      </c>
      <c r="AB207" s="58">
        <v>1</v>
      </c>
      <c r="AC207" s="58">
        <v>1</v>
      </c>
      <c r="AD207" s="58">
        <v>0</v>
      </c>
      <c r="AE207" s="58">
        <v>0</v>
      </c>
      <c r="AF207" s="58">
        <v>0</v>
      </c>
      <c r="AG207" s="58">
        <v>0</v>
      </c>
      <c r="AH207" s="58">
        <v>0</v>
      </c>
      <c r="AI207" s="58">
        <v>0</v>
      </c>
      <c r="AJ207" s="59">
        <v>0</v>
      </c>
      <c r="AK207" s="58">
        <v>0</v>
      </c>
      <c r="AL207" s="58">
        <v>0</v>
      </c>
      <c r="AM207" s="58">
        <v>0</v>
      </c>
      <c r="AN207" s="59">
        <v>0</v>
      </c>
    </row>
    <row r="208" spans="1:40">
      <c r="A208" s="72" t="str">
        <f>HYPERLINK("https://www.ncbi.nlm.nih.gov/pubmed/28962244","28962244")</f>
        <v>28962244</v>
      </c>
      <c r="B208" s="55" t="s">
        <v>292</v>
      </c>
      <c r="C208" s="56" t="s">
        <v>196</v>
      </c>
      <c r="D208" s="56" t="s">
        <v>225</v>
      </c>
      <c r="E208" s="56" t="s">
        <v>205</v>
      </c>
      <c r="F208" s="56" t="s">
        <v>261</v>
      </c>
      <c r="G208" s="60" t="s">
        <v>203</v>
      </c>
      <c r="H208" s="56" t="s">
        <v>13</v>
      </c>
      <c r="I208" s="56" t="s">
        <v>298</v>
      </c>
      <c r="J208" s="63" t="s">
        <v>142</v>
      </c>
      <c r="K208" s="58">
        <v>0</v>
      </c>
      <c r="L208" s="58">
        <v>1</v>
      </c>
      <c r="M208" s="58">
        <v>1</v>
      </c>
      <c r="N208" s="58">
        <v>0</v>
      </c>
      <c r="O208" s="58">
        <v>0</v>
      </c>
      <c r="P208" s="57">
        <v>1</v>
      </c>
      <c r="Q208" s="58">
        <v>1</v>
      </c>
      <c r="R208" s="58">
        <v>0</v>
      </c>
      <c r="S208" s="58">
        <v>0</v>
      </c>
      <c r="T208" s="58">
        <v>1</v>
      </c>
      <c r="U208" s="58">
        <v>1</v>
      </c>
      <c r="V208" s="59">
        <v>0</v>
      </c>
      <c r="W208" s="58">
        <v>0</v>
      </c>
      <c r="X208" s="58">
        <v>0</v>
      </c>
      <c r="Y208" s="58">
        <v>0</v>
      </c>
      <c r="Z208" s="58">
        <v>0</v>
      </c>
      <c r="AA208" s="58">
        <v>0</v>
      </c>
      <c r="AB208" s="58">
        <v>1</v>
      </c>
      <c r="AC208" s="58">
        <v>0</v>
      </c>
      <c r="AD208" s="58">
        <v>0</v>
      </c>
      <c r="AE208" s="58">
        <v>0</v>
      </c>
      <c r="AF208" s="58">
        <v>0</v>
      </c>
      <c r="AG208" s="58">
        <v>0</v>
      </c>
      <c r="AH208" s="58">
        <v>0</v>
      </c>
      <c r="AI208" s="58">
        <v>0</v>
      </c>
      <c r="AJ208" s="59">
        <v>0</v>
      </c>
      <c r="AK208" s="58">
        <v>1</v>
      </c>
      <c r="AL208" s="58">
        <v>0</v>
      </c>
      <c r="AM208" s="58">
        <v>0</v>
      </c>
      <c r="AN208" s="59">
        <v>0</v>
      </c>
    </row>
    <row r="209" spans="1:40">
      <c r="A209" s="72" t="str">
        <f>HYPERLINK("https://www.ncbi.nlm.nih.gov/pubmed/29560447","29560447")</f>
        <v>29560447</v>
      </c>
      <c r="B209" s="55" t="s">
        <v>292</v>
      </c>
      <c r="C209" s="56" t="s">
        <v>196</v>
      </c>
      <c r="D209" s="56" t="s">
        <v>225</v>
      </c>
      <c r="E209" s="56" t="s">
        <v>205</v>
      </c>
      <c r="F209" s="56" t="s">
        <v>261</v>
      </c>
      <c r="G209" s="60" t="s">
        <v>203</v>
      </c>
      <c r="H209" s="56" t="s">
        <v>13</v>
      </c>
      <c r="I209" s="56" t="s">
        <v>278</v>
      </c>
      <c r="J209" s="63" t="s">
        <v>299</v>
      </c>
      <c r="K209" s="58">
        <v>0</v>
      </c>
      <c r="L209" s="58">
        <v>0</v>
      </c>
      <c r="M209" s="58">
        <v>0</v>
      </c>
      <c r="N209" s="58">
        <v>0</v>
      </c>
      <c r="O209" s="58">
        <v>0</v>
      </c>
      <c r="P209" s="57">
        <v>0</v>
      </c>
      <c r="Q209" s="58">
        <v>1</v>
      </c>
      <c r="R209" s="58">
        <v>0</v>
      </c>
      <c r="S209" s="58">
        <v>1</v>
      </c>
      <c r="T209" s="58">
        <v>0</v>
      </c>
      <c r="U209" s="58">
        <v>1</v>
      </c>
      <c r="V209" s="59">
        <v>1</v>
      </c>
      <c r="W209" s="58">
        <v>0</v>
      </c>
      <c r="X209" s="58">
        <v>1</v>
      </c>
      <c r="Y209" s="58">
        <v>0</v>
      </c>
      <c r="Z209" s="58">
        <v>1</v>
      </c>
      <c r="AA209" s="58">
        <v>0</v>
      </c>
      <c r="AB209" s="58">
        <v>1</v>
      </c>
      <c r="AC209" s="58">
        <v>0</v>
      </c>
      <c r="AD209" s="58">
        <v>0</v>
      </c>
      <c r="AE209" s="58">
        <v>0</v>
      </c>
      <c r="AF209" s="58">
        <v>0</v>
      </c>
      <c r="AG209" s="58">
        <v>0</v>
      </c>
      <c r="AH209" s="58">
        <v>0</v>
      </c>
      <c r="AI209" s="58">
        <v>0</v>
      </c>
      <c r="AJ209" s="59">
        <v>0</v>
      </c>
      <c r="AK209" s="58">
        <v>0</v>
      </c>
      <c r="AL209" s="58">
        <v>0</v>
      </c>
      <c r="AM209" s="58">
        <v>0</v>
      </c>
      <c r="AN209" s="59">
        <v>0</v>
      </c>
    </row>
    <row r="210" spans="1:40">
      <c r="A210" s="72" t="str">
        <f>HYPERLINK("https://www.ncbi.nlm.nih.gov/pubmed/30648648","30648648")</f>
        <v>30648648</v>
      </c>
      <c r="B210" s="55" t="s">
        <v>292</v>
      </c>
      <c r="C210" s="56" t="s">
        <v>196</v>
      </c>
      <c r="D210" s="56" t="s">
        <v>225</v>
      </c>
      <c r="E210" s="56" t="s">
        <v>205</v>
      </c>
      <c r="F210" s="56" t="s">
        <v>261</v>
      </c>
      <c r="G210" s="60" t="s">
        <v>203</v>
      </c>
      <c r="H210" s="56" t="s">
        <v>13</v>
      </c>
      <c r="I210" s="56" t="s">
        <v>300</v>
      </c>
      <c r="J210" s="63" t="s">
        <v>84</v>
      </c>
      <c r="K210" s="58">
        <v>0</v>
      </c>
      <c r="L210" s="58">
        <v>0</v>
      </c>
      <c r="M210" s="58">
        <v>0</v>
      </c>
      <c r="N210" s="58">
        <v>0</v>
      </c>
      <c r="O210" s="59">
        <v>0</v>
      </c>
      <c r="P210" s="57">
        <v>0</v>
      </c>
      <c r="Q210" s="58">
        <v>0</v>
      </c>
      <c r="R210" s="58">
        <v>0</v>
      </c>
      <c r="S210" s="58">
        <v>0</v>
      </c>
      <c r="T210" s="58">
        <v>0</v>
      </c>
      <c r="U210" s="58">
        <v>0</v>
      </c>
      <c r="V210" s="59">
        <v>0</v>
      </c>
      <c r="W210" s="58">
        <v>0</v>
      </c>
      <c r="X210" s="58">
        <v>1</v>
      </c>
      <c r="Y210" s="58">
        <v>0</v>
      </c>
      <c r="Z210" s="58">
        <v>0</v>
      </c>
      <c r="AA210" s="58">
        <v>0</v>
      </c>
      <c r="AB210" s="58">
        <v>0</v>
      </c>
      <c r="AC210" s="58">
        <v>0</v>
      </c>
      <c r="AD210" s="58">
        <v>0</v>
      </c>
      <c r="AE210" s="58">
        <v>0</v>
      </c>
      <c r="AF210" s="58">
        <v>0</v>
      </c>
      <c r="AG210" s="58">
        <v>0</v>
      </c>
      <c r="AH210" s="58">
        <v>0</v>
      </c>
      <c r="AI210" s="58">
        <v>0</v>
      </c>
      <c r="AJ210" s="59">
        <v>0</v>
      </c>
      <c r="AK210" s="58">
        <v>1</v>
      </c>
      <c r="AL210" s="58">
        <v>0</v>
      </c>
      <c r="AM210" s="58">
        <v>0</v>
      </c>
      <c r="AN210" s="59">
        <v>0</v>
      </c>
    </row>
    <row r="211" spans="1:40">
      <c r="A211" s="72" t="str">
        <f>HYPERLINK("https://www.ncbi.nlm.nih.gov/pubmed/31126612","31126612")</f>
        <v>31126612</v>
      </c>
      <c r="B211" s="55" t="s">
        <v>292</v>
      </c>
      <c r="C211" s="56" t="s">
        <v>196</v>
      </c>
      <c r="D211" s="56" t="s">
        <v>225</v>
      </c>
      <c r="E211" s="56" t="s">
        <v>205</v>
      </c>
      <c r="F211" s="56" t="s">
        <v>261</v>
      </c>
      <c r="G211" s="60" t="s">
        <v>203</v>
      </c>
      <c r="H211" s="56" t="s">
        <v>13</v>
      </c>
      <c r="I211" s="56" t="s">
        <v>246</v>
      </c>
      <c r="J211" s="63" t="s">
        <v>84</v>
      </c>
      <c r="K211" s="58">
        <v>0</v>
      </c>
      <c r="L211" s="58">
        <v>0</v>
      </c>
      <c r="M211" s="58">
        <v>0</v>
      </c>
      <c r="N211" s="58">
        <v>0</v>
      </c>
      <c r="O211" s="58">
        <v>0</v>
      </c>
      <c r="P211" s="57">
        <v>0</v>
      </c>
      <c r="Q211" s="58">
        <v>0</v>
      </c>
      <c r="R211" s="58">
        <v>0</v>
      </c>
      <c r="S211" s="58">
        <v>0</v>
      </c>
      <c r="T211" s="58">
        <v>0</v>
      </c>
      <c r="U211" s="58">
        <v>1</v>
      </c>
      <c r="V211" s="59">
        <v>0</v>
      </c>
      <c r="W211" s="58">
        <v>0</v>
      </c>
      <c r="X211" s="58">
        <v>1</v>
      </c>
      <c r="Y211" s="58">
        <v>0</v>
      </c>
      <c r="Z211" s="58">
        <v>0</v>
      </c>
      <c r="AA211" s="58">
        <v>0</v>
      </c>
      <c r="AB211" s="58">
        <v>0</v>
      </c>
      <c r="AC211" s="58">
        <v>0</v>
      </c>
      <c r="AD211" s="58">
        <v>0</v>
      </c>
      <c r="AE211" s="58">
        <v>0</v>
      </c>
      <c r="AF211" s="58">
        <v>0</v>
      </c>
      <c r="AG211" s="58">
        <v>0</v>
      </c>
      <c r="AH211" s="58">
        <v>0</v>
      </c>
      <c r="AI211" s="58">
        <v>0</v>
      </c>
      <c r="AJ211" s="59">
        <v>0</v>
      </c>
      <c r="AK211" s="58">
        <v>0</v>
      </c>
      <c r="AL211" s="58">
        <v>0</v>
      </c>
      <c r="AM211" s="58">
        <v>0</v>
      </c>
      <c r="AN211" s="59">
        <v>0</v>
      </c>
    </row>
    <row r="212" spans="1:40">
      <c r="A212" s="72" t="str">
        <f>HYPERLINK("https://www.ncbi.nlm.nih.gov/pubmed/31195090","31195090")</f>
        <v>31195090</v>
      </c>
      <c r="B212" s="55" t="s">
        <v>292</v>
      </c>
      <c r="C212" s="56" t="s">
        <v>196</v>
      </c>
      <c r="D212" s="56" t="s">
        <v>225</v>
      </c>
      <c r="E212" s="56" t="s">
        <v>205</v>
      </c>
      <c r="F212" s="56" t="s">
        <v>261</v>
      </c>
      <c r="G212" s="60" t="s">
        <v>203</v>
      </c>
      <c r="H212" s="56" t="s">
        <v>13</v>
      </c>
      <c r="I212" s="56" t="s">
        <v>246</v>
      </c>
      <c r="J212" s="63" t="s">
        <v>84</v>
      </c>
      <c r="K212" s="58">
        <v>0</v>
      </c>
      <c r="L212" s="58">
        <v>0</v>
      </c>
      <c r="M212" s="58">
        <v>1</v>
      </c>
      <c r="N212" s="58">
        <v>0</v>
      </c>
      <c r="O212" s="59">
        <v>0</v>
      </c>
      <c r="P212" s="58">
        <v>0</v>
      </c>
      <c r="Q212" s="58">
        <v>0</v>
      </c>
      <c r="R212" s="58">
        <v>0</v>
      </c>
      <c r="S212" s="58">
        <v>0</v>
      </c>
      <c r="T212" s="58">
        <v>0</v>
      </c>
      <c r="U212" s="58">
        <v>0</v>
      </c>
      <c r="V212" s="59">
        <v>0</v>
      </c>
      <c r="W212" s="58">
        <v>0</v>
      </c>
      <c r="X212" s="58">
        <v>1</v>
      </c>
      <c r="Y212" s="58">
        <v>0</v>
      </c>
      <c r="Z212" s="58">
        <v>0</v>
      </c>
      <c r="AA212" s="58">
        <v>0</v>
      </c>
      <c r="AB212" s="58">
        <v>1</v>
      </c>
      <c r="AC212" s="58">
        <v>0</v>
      </c>
      <c r="AD212" s="58">
        <v>0</v>
      </c>
      <c r="AE212" s="58">
        <v>0</v>
      </c>
      <c r="AF212" s="58">
        <v>0</v>
      </c>
      <c r="AG212" s="58">
        <v>0</v>
      </c>
      <c r="AH212" s="58">
        <v>0</v>
      </c>
      <c r="AI212" s="58">
        <v>0</v>
      </c>
      <c r="AJ212" s="59">
        <v>0</v>
      </c>
      <c r="AK212" s="58">
        <v>0</v>
      </c>
      <c r="AL212" s="58">
        <v>0</v>
      </c>
      <c r="AM212" s="58">
        <v>0</v>
      </c>
      <c r="AN212" s="59">
        <v>0</v>
      </c>
    </row>
    <row r="213" spans="1:40">
      <c r="A213" s="72" t="str">
        <f>HYPERLINK("https://www.ncbi.nlm.nih.gov/pubmed/31759407","31759407")</f>
        <v>31759407</v>
      </c>
      <c r="B213" s="55" t="s">
        <v>292</v>
      </c>
      <c r="C213" s="56" t="s">
        <v>196</v>
      </c>
      <c r="D213" s="56" t="s">
        <v>225</v>
      </c>
      <c r="E213" s="56" t="s">
        <v>205</v>
      </c>
      <c r="F213" s="56" t="s">
        <v>261</v>
      </c>
      <c r="G213" s="60" t="s">
        <v>203</v>
      </c>
      <c r="H213" s="56" t="s">
        <v>13</v>
      </c>
      <c r="I213" s="56" t="s">
        <v>246</v>
      </c>
      <c r="J213" s="63" t="s">
        <v>82</v>
      </c>
      <c r="K213" s="58">
        <v>0</v>
      </c>
      <c r="L213" s="58">
        <v>0</v>
      </c>
      <c r="M213" s="58">
        <v>0</v>
      </c>
      <c r="N213" s="58">
        <v>0</v>
      </c>
      <c r="O213" s="59">
        <v>0</v>
      </c>
      <c r="P213" s="58">
        <v>0</v>
      </c>
      <c r="Q213" s="58">
        <v>0</v>
      </c>
      <c r="R213" s="58">
        <v>0</v>
      </c>
      <c r="S213" s="58">
        <v>0</v>
      </c>
      <c r="T213" s="58">
        <v>0</v>
      </c>
      <c r="U213" s="58">
        <v>0</v>
      </c>
      <c r="V213" s="59">
        <v>0</v>
      </c>
      <c r="W213" s="58">
        <v>0</v>
      </c>
      <c r="X213" s="58">
        <v>0</v>
      </c>
      <c r="Y213" s="58">
        <v>0</v>
      </c>
      <c r="Z213" s="58">
        <v>0</v>
      </c>
      <c r="AA213" s="58">
        <v>0</v>
      </c>
      <c r="AB213" s="58">
        <v>0</v>
      </c>
      <c r="AC213" s="58">
        <v>1</v>
      </c>
      <c r="AD213" s="58">
        <v>0</v>
      </c>
      <c r="AE213" s="58">
        <v>0</v>
      </c>
      <c r="AF213" s="58">
        <v>0</v>
      </c>
      <c r="AG213" s="58">
        <v>0</v>
      </c>
      <c r="AH213" s="58">
        <v>0</v>
      </c>
      <c r="AI213" s="58">
        <v>0</v>
      </c>
      <c r="AJ213" s="59">
        <v>0</v>
      </c>
      <c r="AK213" s="58">
        <v>0</v>
      </c>
      <c r="AL213" s="58">
        <v>0</v>
      </c>
      <c r="AM213" s="58">
        <v>0</v>
      </c>
      <c r="AN213" s="59">
        <v>0</v>
      </c>
    </row>
    <row r="214" spans="1:40">
      <c r="A214" s="72" t="str">
        <f>HYPERLINK("https://www.ncbi.nlm.nih.gov/pubmed/34627990","34627990")</f>
        <v>34627990</v>
      </c>
      <c r="B214" s="55" t="s">
        <v>292</v>
      </c>
      <c r="C214" s="56" t="s">
        <v>196</v>
      </c>
      <c r="D214" s="56" t="s">
        <v>225</v>
      </c>
      <c r="E214" s="56" t="s">
        <v>205</v>
      </c>
      <c r="F214" s="56" t="s">
        <v>261</v>
      </c>
      <c r="G214" s="60" t="s">
        <v>203</v>
      </c>
      <c r="H214" s="56" t="s">
        <v>13</v>
      </c>
      <c r="I214" s="56" t="s">
        <v>300</v>
      </c>
      <c r="J214" s="63" t="s">
        <v>84</v>
      </c>
      <c r="K214" s="58">
        <v>0</v>
      </c>
      <c r="L214" s="58">
        <v>1</v>
      </c>
      <c r="M214" s="58">
        <v>0</v>
      </c>
      <c r="N214" s="58">
        <v>0</v>
      </c>
      <c r="O214" s="58">
        <v>0</v>
      </c>
      <c r="P214" s="57">
        <v>1</v>
      </c>
      <c r="Q214" s="58">
        <v>0</v>
      </c>
      <c r="R214" s="58">
        <v>0</v>
      </c>
      <c r="S214" s="58">
        <v>0</v>
      </c>
      <c r="T214" s="58">
        <v>0</v>
      </c>
      <c r="U214" s="58">
        <v>1</v>
      </c>
      <c r="V214" s="59">
        <v>0</v>
      </c>
      <c r="W214" s="58">
        <v>0</v>
      </c>
      <c r="X214" s="58">
        <v>1</v>
      </c>
      <c r="Y214" s="58">
        <v>0</v>
      </c>
      <c r="Z214" s="58">
        <v>0</v>
      </c>
      <c r="AA214" s="58">
        <v>0</v>
      </c>
      <c r="AB214" s="58">
        <v>0</v>
      </c>
      <c r="AC214" s="58">
        <v>0</v>
      </c>
      <c r="AD214" s="58">
        <v>0</v>
      </c>
      <c r="AE214" s="58">
        <v>0</v>
      </c>
      <c r="AF214" s="58">
        <v>0</v>
      </c>
      <c r="AG214" s="58">
        <v>0</v>
      </c>
      <c r="AH214" s="58">
        <v>0</v>
      </c>
      <c r="AI214" s="58">
        <v>0</v>
      </c>
      <c r="AJ214" s="59">
        <v>0</v>
      </c>
      <c r="AK214" s="58">
        <v>1</v>
      </c>
      <c r="AL214" s="58">
        <v>0</v>
      </c>
      <c r="AM214" s="58">
        <v>0</v>
      </c>
      <c r="AN214" s="59">
        <v>0</v>
      </c>
    </row>
    <row r="215" spans="1:40">
      <c r="A215" s="72" t="str">
        <f>HYPERLINK("https://www.ncbi.nlm.nih.gov/pubmed/39307342","39307342")</f>
        <v>39307342</v>
      </c>
      <c r="B215" s="55" t="s">
        <v>292</v>
      </c>
      <c r="C215" s="56" t="s">
        <v>196</v>
      </c>
      <c r="D215" s="56" t="s">
        <v>225</v>
      </c>
      <c r="E215" s="56" t="s">
        <v>205</v>
      </c>
      <c r="F215" s="56" t="s">
        <v>261</v>
      </c>
      <c r="G215" s="60" t="s">
        <v>203</v>
      </c>
      <c r="H215" s="56" t="s">
        <v>13</v>
      </c>
      <c r="I215" s="60" t="s">
        <v>203</v>
      </c>
      <c r="J215" s="63" t="s">
        <v>84</v>
      </c>
      <c r="K215" s="57">
        <v>0</v>
      </c>
      <c r="L215" s="58">
        <v>0</v>
      </c>
      <c r="M215" s="58">
        <v>0</v>
      </c>
      <c r="N215" s="58">
        <v>0</v>
      </c>
      <c r="O215" s="59">
        <v>0</v>
      </c>
      <c r="P215" s="58">
        <v>1</v>
      </c>
      <c r="Q215" s="58">
        <v>1</v>
      </c>
      <c r="R215" s="58">
        <v>0</v>
      </c>
      <c r="S215" s="58">
        <v>0</v>
      </c>
      <c r="T215" s="58">
        <v>1</v>
      </c>
      <c r="U215" s="58">
        <v>1</v>
      </c>
      <c r="V215" s="59">
        <v>0</v>
      </c>
      <c r="W215" s="58">
        <v>0</v>
      </c>
      <c r="X215" s="58">
        <v>1</v>
      </c>
      <c r="Y215" s="58">
        <v>0</v>
      </c>
      <c r="Z215" s="58">
        <v>0</v>
      </c>
      <c r="AA215" s="58">
        <v>0</v>
      </c>
      <c r="AB215" s="58">
        <v>0</v>
      </c>
      <c r="AC215" s="58">
        <v>0</v>
      </c>
      <c r="AD215" s="58">
        <v>0</v>
      </c>
      <c r="AE215" s="58">
        <v>0</v>
      </c>
      <c r="AF215" s="58">
        <v>0</v>
      </c>
      <c r="AG215" s="58">
        <v>0</v>
      </c>
      <c r="AH215" s="58">
        <v>0</v>
      </c>
      <c r="AI215" s="58">
        <v>0</v>
      </c>
      <c r="AJ215" s="59">
        <v>0</v>
      </c>
      <c r="AK215" s="58">
        <v>1</v>
      </c>
      <c r="AL215" s="58">
        <v>0</v>
      </c>
      <c r="AM215" s="58">
        <v>0</v>
      </c>
      <c r="AN215" s="59">
        <v>0</v>
      </c>
    </row>
    <row r="216" spans="1:40">
      <c r="A216" s="72" t="str">
        <f>HYPERLINK("https://www.ncbi.nlm.nih.gov/pubmed/10373400","10373400")</f>
        <v>10373400</v>
      </c>
      <c r="B216" s="56" t="s">
        <v>301</v>
      </c>
      <c r="C216" s="56" t="s">
        <v>196</v>
      </c>
      <c r="D216" s="56" t="s">
        <v>225</v>
      </c>
      <c r="E216" s="56" t="s">
        <v>205</v>
      </c>
      <c r="F216" s="56" t="s">
        <v>261</v>
      </c>
      <c r="G216" s="60" t="s">
        <v>203</v>
      </c>
      <c r="H216" s="56" t="s">
        <v>13</v>
      </c>
      <c r="I216" s="56" t="s">
        <v>224</v>
      </c>
      <c r="J216" s="63" t="s">
        <v>142</v>
      </c>
      <c r="K216" s="57">
        <v>1</v>
      </c>
      <c r="L216" s="58">
        <v>0</v>
      </c>
      <c r="M216" s="58">
        <v>0</v>
      </c>
      <c r="N216" s="58">
        <v>0</v>
      </c>
      <c r="O216" s="59">
        <v>1</v>
      </c>
      <c r="P216" s="58">
        <v>0</v>
      </c>
      <c r="Q216" s="58">
        <v>0</v>
      </c>
      <c r="R216" s="58">
        <v>0</v>
      </c>
      <c r="S216" s="58">
        <v>0</v>
      </c>
      <c r="T216" s="58">
        <v>0</v>
      </c>
      <c r="U216" s="58">
        <v>0</v>
      </c>
      <c r="V216" s="59">
        <v>0</v>
      </c>
      <c r="W216" s="58">
        <v>0</v>
      </c>
      <c r="X216" s="58">
        <v>1</v>
      </c>
      <c r="Y216" s="58">
        <v>0</v>
      </c>
      <c r="Z216" s="58">
        <v>0</v>
      </c>
      <c r="AA216" s="58">
        <v>0</v>
      </c>
      <c r="AB216" s="58">
        <v>0</v>
      </c>
      <c r="AC216" s="58">
        <v>0</v>
      </c>
      <c r="AD216" s="58">
        <v>0</v>
      </c>
      <c r="AE216" s="58">
        <v>0</v>
      </c>
      <c r="AF216" s="58">
        <v>0</v>
      </c>
      <c r="AG216" s="58">
        <v>0</v>
      </c>
      <c r="AH216" s="58">
        <v>0</v>
      </c>
      <c r="AI216" s="58">
        <v>0</v>
      </c>
      <c r="AJ216" s="59">
        <v>0</v>
      </c>
      <c r="AK216" s="58">
        <v>0</v>
      </c>
      <c r="AL216" s="58">
        <v>0</v>
      </c>
      <c r="AM216" s="58">
        <v>0</v>
      </c>
      <c r="AN216" s="59">
        <v>0</v>
      </c>
    </row>
    <row r="217" spans="1:40">
      <c r="A217" s="72" t="str">
        <f>HYPERLINK("https://www.ncbi.nlm.nih.gov/pubmed/16375936","16375936")</f>
        <v>16375936</v>
      </c>
      <c r="B217" s="56" t="s">
        <v>301</v>
      </c>
      <c r="C217" s="56" t="s">
        <v>196</v>
      </c>
      <c r="D217" s="56" t="s">
        <v>225</v>
      </c>
      <c r="E217" s="56" t="s">
        <v>205</v>
      </c>
      <c r="F217" s="56" t="s">
        <v>261</v>
      </c>
      <c r="G217" s="60" t="s">
        <v>203</v>
      </c>
      <c r="H217" s="56" t="s">
        <v>13</v>
      </c>
      <c r="I217" s="60" t="s">
        <v>223</v>
      </c>
      <c r="J217" s="63" t="s">
        <v>94</v>
      </c>
      <c r="K217" s="57">
        <v>1</v>
      </c>
      <c r="L217" s="58">
        <v>0</v>
      </c>
      <c r="M217" s="58">
        <v>0</v>
      </c>
      <c r="N217" s="58">
        <v>0</v>
      </c>
      <c r="O217" s="59">
        <v>0</v>
      </c>
      <c r="P217" s="58">
        <v>0</v>
      </c>
      <c r="Q217" s="58">
        <v>0</v>
      </c>
      <c r="R217" s="58">
        <v>0</v>
      </c>
      <c r="S217" s="58">
        <v>0</v>
      </c>
      <c r="T217" s="58">
        <v>0</v>
      </c>
      <c r="U217" s="58">
        <v>0</v>
      </c>
      <c r="V217" s="59">
        <v>0</v>
      </c>
      <c r="W217" s="58">
        <v>0</v>
      </c>
      <c r="X217" s="58">
        <v>1</v>
      </c>
      <c r="Y217" s="58">
        <v>0</v>
      </c>
      <c r="Z217" s="58">
        <v>0</v>
      </c>
      <c r="AA217" s="58">
        <v>0</v>
      </c>
      <c r="AB217" s="58">
        <v>0</v>
      </c>
      <c r="AC217" s="58">
        <v>0</v>
      </c>
      <c r="AD217" s="58">
        <v>0</v>
      </c>
      <c r="AE217" s="58">
        <v>0</v>
      </c>
      <c r="AF217" s="58">
        <v>0</v>
      </c>
      <c r="AG217" s="58">
        <v>0</v>
      </c>
      <c r="AH217" s="58">
        <v>0</v>
      </c>
      <c r="AI217" s="58">
        <v>0</v>
      </c>
      <c r="AJ217" s="59">
        <v>0</v>
      </c>
      <c r="AK217" s="58">
        <v>0</v>
      </c>
      <c r="AL217" s="58">
        <v>0</v>
      </c>
      <c r="AM217" s="58">
        <v>0</v>
      </c>
      <c r="AN217" s="59">
        <v>0</v>
      </c>
    </row>
    <row r="218" spans="1:40">
      <c r="A218" s="72" t="str">
        <f>HYPERLINK("https://www.ncbi.nlm.nih.gov/pubmed/18304986","18304986")</f>
        <v>18304986</v>
      </c>
      <c r="B218" s="56" t="s">
        <v>301</v>
      </c>
      <c r="C218" s="56" t="s">
        <v>196</v>
      </c>
      <c r="D218" s="56" t="s">
        <v>225</v>
      </c>
      <c r="E218" s="56" t="s">
        <v>205</v>
      </c>
      <c r="F218" s="56" t="s">
        <v>261</v>
      </c>
      <c r="G218" s="60" t="s">
        <v>203</v>
      </c>
      <c r="H218" s="56" t="s">
        <v>13</v>
      </c>
      <c r="I218" s="56" t="s">
        <v>201</v>
      </c>
      <c r="J218" s="63" t="s">
        <v>60</v>
      </c>
      <c r="K218" s="57">
        <v>1</v>
      </c>
      <c r="L218" s="58">
        <v>0</v>
      </c>
      <c r="M218" s="58">
        <v>0</v>
      </c>
      <c r="N218" s="58">
        <v>0</v>
      </c>
      <c r="O218" s="59">
        <v>0</v>
      </c>
      <c r="P218" s="57">
        <v>1</v>
      </c>
      <c r="Q218" s="58">
        <v>1</v>
      </c>
      <c r="R218" s="58">
        <v>0</v>
      </c>
      <c r="S218" s="58">
        <v>0</v>
      </c>
      <c r="T218" s="58">
        <v>0</v>
      </c>
      <c r="U218" s="58">
        <v>0</v>
      </c>
      <c r="V218" s="59">
        <v>0</v>
      </c>
      <c r="W218" s="58">
        <v>0</v>
      </c>
      <c r="X218" s="58">
        <v>1</v>
      </c>
      <c r="Y218" s="58">
        <v>0</v>
      </c>
      <c r="Z218" s="58">
        <v>0</v>
      </c>
      <c r="AA218" s="58">
        <v>0</v>
      </c>
      <c r="AB218" s="58">
        <v>1</v>
      </c>
      <c r="AC218" s="58">
        <v>0</v>
      </c>
      <c r="AD218" s="58">
        <v>0</v>
      </c>
      <c r="AE218" s="58">
        <v>0</v>
      </c>
      <c r="AF218" s="58">
        <v>0</v>
      </c>
      <c r="AG218" s="58">
        <v>0</v>
      </c>
      <c r="AH218" s="58">
        <v>0</v>
      </c>
      <c r="AI218" s="58">
        <v>0</v>
      </c>
      <c r="AJ218" s="59">
        <v>0</v>
      </c>
      <c r="AK218" s="58">
        <v>1</v>
      </c>
      <c r="AL218" s="58">
        <v>0</v>
      </c>
      <c r="AM218" s="58">
        <v>0</v>
      </c>
      <c r="AN218" s="59">
        <v>0</v>
      </c>
    </row>
    <row r="219" spans="1:40">
      <c r="A219" s="72" t="str">
        <f>HYPERLINK("https://www.ncbi.nlm.nih.gov/pubmed/25720297","25720297")</f>
        <v>25720297</v>
      </c>
      <c r="B219" s="56" t="s">
        <v>301</v>
      </c>
      <c r="C219" s="56" t="s">
        <v>196</v>
      </c>
      <c r="D219" s="56" t="s">
        <v>225</v>
      </c>
      <c r="E219" s="56" t="s">
        <v>205</v>
      </c>
      <c r="F219" s="56" t="s">
        <v>261</v>
      </c>
      <c r="G219" s="60" t="s">
        <v>203</v>
      </c>
      <c r="H219" s="56" t="s">
        <v>13</v>
      </c>
      <c r="I219" s="56" t="s">
        <v>208</v>
      </c>
      <c r="J219" s="63" t="s">
        <v>84</v>
      </c>
      <c r="K219" s="57">
        <v>1</v>
      </c>
      <c r="L219" s="58">
        <v>0</v>
      </c>
      <c r="M219" s="58">
        <v>0</v>
      </c>
      <c r="N219" s="58">
        <v>0</v>
      </c>
      <c r="O219" s="58">
        <v>0</v>
      </c>
      <c r="P219" s="57">
        <v>0</v>
      </c>
      <c r="Q219" s="58">
        <v>0</v>
      </c>
      <c r="R219" s="58">
        <v>0</v>
      </c>
      <c r="S219" s="58">
        <v>0</v>
      </c>
      <c r="T219" s="58">
        <v>0</v>
      </c>
      <c r="U219" s="58">
        <v>0</v>
      </c>
      <c r="V219" s="59">
        <v>0</v>
      </c>
      <c r="W219" s="58">
        <v>0</v>
      </c>
      <c r="X219" s="58">
        <v>0</v>
      </c>
      <c r="Y219" s="58">
        <v>0</v>
      </c>
      <c r="Z219" s="58">
        <v>0</v>
      </c>
      <c r="AA219" s="58">
        <v>0</v>
      </c>
      <c r="AB219" s="58">
        <v>1</v>
      </c>
      <c r="AC219" s="58">
        <v>0</v>
      </c>
      <c r="AD219" s="58">
        <v>0</v>
      </c>
      <c r="AE219" s="58">
        <v>0</v>
      </c>
      <c r="AF219" s="58">
        <v>0</v>
      </c>
      <c r="AG219" s="58">
        <v>0</v>
      </c>
      <c r="AH219" s="58">
        <v>0</v>
      </c>
      <c r="AI219" s="58">
        <v>0</v>
      </c>
      <c r="AJ219" s="59">
        <v>0</v>
      </c>
      <c r="AK219" s="58">
        <v>0</v>
      </c>
      <c r="AL219" s="58">
        <v>0</v>
      </c>
      <c r="AM219" s="58">
        <v>0</v>
      </c>
      <c r="AN219" s="59">
        <v>0</v>
      </c>
    </row>
    <row r="220" spans="1:40">
      <c r="A220" s="72" t="str">
        <f>HYPERLINK("https://www.ncbi.nlm.nih.gov/pubmed/30935992","30935992")</f>
        <v>30935992</v>
      </c>
      <c r="B220" s="56" t="s">
        <v>301</v>
      </c>
      <c r="C220" s="56" t="s">
        <v>196</v>
      </c>
      <c r="D220" s="56" t="s">
        <v>225</v>
      </c>
      <c r="E220" s="56" t="s">
        <v>205</v>
      </c>
      <c r="F220" s="56" t="s">
        <v>261</v>
      </c>
      <c r="G220" s="60" t="s">
        <v>203</v>
      </c>
      <c r="H220" s="56" t="s">
        <v>13</v>
      </c>
      <c r="I220" s="56" t="s">
        <v>211</v>
      </c>
      <c r="J220" s="63" t="s">
        <v>302</v>
      </c>
      <c r="K220" s="58">
        <v>1</v>
      </c>
      <c r="L220" s="58">
        <v>0</v>
      </c>
      <c r="M220" s="58">
        <v>0</v>
      </c>
      <c r="N220" s="58">
        <v>0</v>
      </c>
      <c r="O220" s="59">
        <v>0</v>
      </c>
      <c r="P220" s="57">
        <v>0</v>
      </c>
      <c r="Q220" s="58">
        <v>0</v>
      </c>
      <c r="R220" s="58">
        <v>0</v>
      </c>
      <c r="S220" s="58">
        <v>0</v>
      </c>
      <c r="T220" s="58">
        <v>0</v>
      </c>
      <c r="U220" s="58">
        <v>0</v>
      </c>
      <c r="V220" s="59">
        <v>0</v>
      </c>
      <c r="W220" s="58">
        <v>0</v>
      </c>
      <c r="X220" s="58">
        <v>0</v>
      </c>
      <c r="Y220" s="58">
        <v>0</v>
      </c>
      <c r="Z220" s="58">
        <v>1</v>
      </c>
      <c r="AA220" s="58">
        <v>0</v>
      </c>
      <c r="AB220" s="58">
        <v>1</v>
      </c>
      <c r="AC220" s="58">
        <v>0</v>
      </c>
      <c r="AD220" s="58">
        <v>0</v>
      </c>
      <c r="AE220" s="58">
        <v>0</v>
      </c>
      <c r="AF220" s="58">
        <v>1</v>
      </c>
      <c r="AG220" s="58">
        <v>0</v>
      </c>
      <c r="AH220" s="58">
        <v>0</v>
      </c>
      <c r="AI220" s="58">
        <v>0</v>
      </c>
      <c r="AJ220" s="59">
        <v>0</v>
      </c>
      <c r="AK220" s="58">
        <v>0</v>
      </c>
      <c r="AL220" s="58">
        <v>0</v>
      </c>
      <c r="AM220" s="58">
        <v>0</v>
      </c>
      <c r="AN220" s="59">
        <v>0</v>
      </c>
    </row>
    <row r="221" spans="1:40">
      <c r="A221" s="72" t="str">
        <f>HYPERLINK("https://www.ncbi.nlm.nih.gov/pubmed/34768887","34768887")</f>
        <v>34768887</v>
      </c>
      <c r="B221" s="56" t="s">
        <v>301</v>
      </c>
      <c r="C221" s="56" t="s">
        <v>196</v>
      </c>
      <c r="D221" s="56" t="s">
        <v>225</v>
      </c>
      <c r="E221" s="56" t="s">
        <v>205</v>
      </c>
      <c r="F221" s="56" t="s">
        <v>261</v>
      </c>
      <c r="G221" s="60" t="s">
        <v>203</v>
      </c>
      <c r="H221" s="56" t="s">
        <v>13</v>
      </c>
      <c r="I221" s="56" t="s">
        <v>235</v>
      </c>
      <c r="J221" s="63" t="s">
        <v>84</v>
      </c>
      <c r="K221" s="57">
        <v>1</v>
      </c>
      <c r="L221" s="58">
        <v>0</v>
      </c>
      <c r="M221" s="58">
        <v>1</v>
      </c>
      <c r="N221" s="58">
        <v>0</v>
      </c>
      <c r="O221" s="59">
        <v>0</v>
      </c>
      <c r="P221" s="57">
        <v>0</v>
      </c>
      <c r="Q221" s="58">
        <v>0</v>
      </c>
      <c r="R221" s="58">
        <v>0</v>
      </c>
      <c r="S221" s="58">
        <v>0</v>
      </c>
      <c r="T221" s="58">
        <v>0</v>
      </c>
      <c r="U221" s="58">
        <v>0</v>
      </c>
      <c r="V221" s="59">
        <v>0</v>
      </c>
      <c r="W221" s="58">
        <v>0</v>
      </c>
      <c r="X221" s="58">
        <v>1</v>
      </c>
      <c r="Y221" s="58">
        <v>0</v>
      </c>
      <c r="Z221" s="58">
        <v>0</v>
      </c>
      <c r="AA221" s="58">
        <v>0</v>
      </c>
      <c r="AB221" s="58">
        <v>1</v>
      </c>
      <c r="AC221" s="58">
        <v>0</v>
      </c>
      <c r="AD221" s="58">
        <v>0</v>
      </c>
      <c r="AE221" s="58">
        <v>0</v>
      </c>
      <c r="AF221" s="58">
        <v>0</v>
      </c>
      <c r="AG221" s="58">
        <v>0</v>
      </c>
      <c r="AH221" s="58">
        <v>0</v>
      </c>
      <c r="AI221" s="58">
        <v>0</v>
      </c>
      <c r="AJ221" s="59">
        <v>0</v>
      </c>
      <c r="AK221" s="58">
        <v>1</v>
      </c>
      <c r="AL221" s="58">
        <v>0</v>
      </c>
      <c r="AM221" s="58">
        <v>0</v>
      </c>
      <c r="AN221" s="59">
        <v>0</v>
      </c>
    </row>
    <row r="222" spans="1:40">
      <c r="A222" s="72" t="str">
        <f>HYPERLINK("https://www.ncbi.nlm.nih.gov/pubmed/35739735","35739735")</f>
        <v>35739735</v>
      </c>
      <c r="B222" s="56" t="s">
        <v>301</v>
      </c>
      <c r="C222" s="56" t="s">
        <v>196</v>
      </c>
      <c r="D222" s="56" t="s">
        <v>225</v>
      </c>
      <c r="E222" s="56" t="s">
        <v>205</v>
      </c>
      <c r="F222" s="56" t="s">
        <v>261</v>
      </c>
      <c r="G222" s="60" t="s">
        <v>203</v>
      </c>
      <c r="H222" s="56" t="s">
        <v>13</v>
      </c>
      <c r="I222" s="56" t="s">
        <v>238</v>
      </c>
      <c r="J222" s="63" t="s">
        <v>303</v>
      </c>
      <c r="K222" s="57">
        <v>1</v>
      </c>
      <c r="L222" s="58">
        <v>0</v>
      </c>
      <c r="M222" s="58">
        <v>0</v>
      </c>
      <c r="N222" s="58">
        <v>0</v>
      </c>
      <c r="O222" s="59">
        <v>0</v>
      </c>
      <c r="P222" s="58">
        <v>0</v>
      </c>
      <c r="Q222" s="58">
        <v>0</v>
      </c>
      <c r="R222" s="58">
        <v>0</v>
      </c>
      <c r="S222" s="58">
        <v>0</v>
      </c>
      <c r="T222" s="58">
        <v>0</v>
      </c>
      <c r="U222" s="58">
        <v>0</v>
      </c>
      <c r="V222" s="59">
        <v>0</v>
      </c>
      <c r="W222" s="58">
        <v>0</v>
      </c>
      <c r="X222" s="58">
        <v>0</v>
      </c>
      <c r="Y222" s="58">
        <v>0</v>
      </c>
      <c r="Z222" s="58">
        <v>1</v>
      </c>
      <c r="AA222" s="58">
        <v>0</v>
      </c>
      <c r="AB222" s="58">
        <v>1</v>
      </c>
      <c r="AC222" s="58">
        <v>0</v>
      </c>
      <c r="AD222" s="58">
        <v>0</v>
      </c>
      <c r="AE222" s="58">
        <v>0</v>
      </c>
      <c r="AF222" s="58">
        <v>1</v>
      </c>
      <c r="AG222" s="58">
        <v>0</v>
      </c>
      <c r="AH222" s="58">
        <v>0</v>
      </c>
      <c r="AI222" s="58">
        <v>0</v>
      </c>
      <c r="AJ222" s="59">
        <v>0</v>
      </c>
      <c r="AK222" s="58">
        <v>0</v>
      </c>
      <c r="AL222" s="58">
        <v>0</v>
      </c>
      <c r="AM222" s="58">
        <v>0</v>
      </c>
      <c r="AN222" s="59">
        <v>0</v>
      </c>
    </row>
    <row r="223" spans="1:40">
      <c r="A223" s="72" t="str">
        <f>HYPERLINK("https://www.ncbi.nlm.nih.gov/pubmed/37296657","37296657")</f>
        <v>37296657</v>
      </c>
      <c r="B223" s="56" t="s">
        <v>301</v>
      </c>
      <c r="C223" s="56" t="s">
        <v>196</v>
      </c>
      <c r="D223" s="56" t="s">
        <v>225</v>
      </c>
      <c r="E223" s="56" t="s">
        <v>205</v>
      </c>
      <c r="F223" s="56" t="s">
        <v>261</v>
      </c>
      <c r="G223" s="60" t="s">
        <v>203</v>
      </c>
      <c r="H223" s="56" t="s">
        <v>13</v>
      </c>
      <c r="I223" s="56" t="s">
        <v>238</v>
      </c>
      <c r="J223" s="63" t="s">
        <v>304</v>
      </c>
      <c r="K223" s="58">
        <v>1</v>
      </c>
      <c r="L223" s="58">
        <v>1</v>
      </c>
      <c r="M223" s="58">
        <v>0</v>
      </c>
      <c r="N223" s="58">
        <v>0</v>
      </c>
      <c r="O223" s="59">
        <v>0</v>
      </c>
      <c r="P223" s="57">
        <v>0</v>
      </c>
      <c r="Q223" s="58">
        <v>1</v>
      </c>
      <c r="R223" s="58">
        <v>1</v>
      </c>
      <c r="S223" s="58">
        <v>0</v>
      </c>
      <c r="T223" s="58">
        <v>0</v>
      </c>
      <c r="U223" s="58">
        <v>0</v>
      </c>
      <c r="V223" s="59">
        <v>0</v>
      </c>
      <c r="W223" s="58">
        <v>0</v>
      </c>
      <c r="X223" s="58">
        <v>1</v>
      </c>
      <c r="Y223" s="58">
        <v>0</v>
      </c>
      <c r="Z223" s="58">
        <v>0</v>
      </c>
      <c r="AA223" s="58">
        <v>0</v>
      </c>
      <c r="AB223" s="58">
        <v>1</v>
      </c>
      <c r="AC223" s="58">
        <v>0</v>
      </c>
      <c r="AD223" s="58">
        <v>0</v>
      </c>
      <c r="AE223" s="58">
        <v>0</v>
      </c>
      <c r="AF223" s="58">
        <v>0</v>
      </c>
      <c r="AG223" s="58">
        <v>0</v>
      </c>
      <c r="AH223" s="58">
        <v>0</v>
      </c>
      <c r="AI223" s="58">
        <v>0</v>
      </c>
      <c r="AJ223" s="59">
        <v>0</v>
      </c>
      <c r="AK223" s="58">
        <v>1</v>
      </c>
      <c r="AL223" s="58">
        <v>0</v>
      </c>
      <c r="AM223" s="58">
        <v>0</v>
      </c>
      <c r="AN223" s="59">
        <v>0</v>
      </c>
    </row>
    <row r="224" spans="1:40">
      <c r="A224" s="72" t="str">
        <f>HYPERLINK("https://www.ncbi.nlm.nih.gov/pubmed/12072389","12072389")</f>
        <v>12072389</v>
      </c>
      <c r="B224" s="56" t="s">
        <v>305</v>
      </c>
      <c r="C224" s="56" t="s">
        <v>196</v>
      </c>
      <c r="D224" s="56" t="s">
        <v>225</v>
      </c>
      <c r="E224" s="56" t="s">
        <v>212</v>
      </c>
      <c r="F224" s="56" t="s">
        <v>261</v>
      </c>
      <c r="G224" s="56" t="s">
        <v>231</v>
      </c>
      <c r="H224" s="56" t="s">
        <v>13</v>
      </c>
      <c r="I224" s="56" t="s">
        <v>208</v>
      </c>
      <c r="J224" s="63" t="s">
        <v>142</v>
      </c>
      <c r="K224" s="57">
        <v>0</v>
      </c>
      <c r="L224" s="58">
        <v>0</v>
      </c>
      <c r="M224" s="58">
        <v>0</v>
      </c>
      <c r="N224" s="58">
        <v>0</v>
      </c>
      <c r="O224" s="59">
        <v>0</v>
      </c>
      <c r="P224" s="58">
        <v>0</v>
      </c>
      <c r="Q224" s="58">
        <v>0</v>
      </c>
      <c r="R224" s="58">
        <v>0</v>
      </c>
      <c r="S224" s="58">
        <v>0</v>
      </c>
      <c r="T224" s="58">
        <v>0</v>
      </c>
      <c r="U224" s="58">
        <v>0</v>
      </c>
      <c r="V224" s="59">
        <v>0</v>
      </c>
      <c r="W224" s="58">
        <v>0</v>
      </c>
      <c r="X224" s="58">
        <v>1</v>
      </c>
      <c r="Y224" s="58">
        <v>0</v>
      </c>
      <c r="Z224" s="58">
        <v>0</v>
      </c>
      <c r="AA224" s="58">
        <v>0</v>
      </c>
      <c r="AB224" s="58">
        <v>0</v>
      </c>
      <c r="AC224" s="58">
        <v>0</v>
      </c>
      <c r="AD224" s="58">
        <v>0</v>
      </c>
      <c r="AE224" s="58">
        <v>0</v>
      </c>
      <c r="AF224" s="58">
        <v>0</v>
      </c>
      <c r="AG224" s="58">
        <v>0</v>
      </c>
      <c r="AH224" s="58">
        <v>0</v>
      </c>
      <c r="AI224" s="58">
        <v>0</v>
      </c>
      <c r="AJ224" s="59">
        <v>0</v>
      </c>
      <c r="AK224" s="58">
        <v>0</v>
      </c>
      <c r="AL224" s="58">
        <v>0</v>
      </c>
      <c r="AM224" s="58">
        <v>0</v>
      </c>
      <c r="AN224" s="59">
        <v>0</v>
      </c>
    </row>
    <row r="225" spans="1:40">
      <c r="A225" s="72" t="str">
        <f>HYPERLINK("https://www.ncbi.nlm.nih.gov/pubmed/20096755","20096755")</f>
        <v>20096755</v>
      </c>
      <c r="B225" s="56" t="s">
        <v>305</v>
      </c>
      <c r="C225" s="56" t="s">
        <v>196</v>
      </c>
      <c r="D225" s="56" t="s">
        <v>225</v>
      </c>
      <c r="E225" s="56" t="s">
        <v>212</v>
      </c>
      <c r="F225" s="56" t="s">
        <v>261</v>
      </c>
      <c r="G225" s="56" t="s">
        <v>231</v>
      </c>
      <c r="H225" s="56" t="s">
        <v>13</v>
      </c>
      <c r="I225" s="56" t="s">
        <v>208</v>
      </c>
      <c r="J225" s="63" t="s">
        <v>142</v>
      </c>
      <c r="K225" s="57">
        <v>0</v>
      </c>
      <c r="L225" s="58">
        <v>0</v>
      </c>
      <c r="M225" s="58">
        <v>0</v>
      </c>
      <c r="N225" s="58">
        <v>0</v>
      </c>
      <c r="O225" s="59">
        <v>0</v>
      </c>
      <c r="P225" s="58">
        <v>0</v>
      </c>
      <c r="Q225" s="58">
        <v>0</v>
      </c>
      <c r="R225" s="58">
        <v>1</v>
      </c>
      <c r="S225" s="58">
        <v>0</v>
      </c>
      <c r="T225" s="58">
        <v>0</v>
      </c>
      <c r="U225" s="58">
        <v>0</v>
      </c>
      <c r="V225" s="59">
        <v>0</v>
      </c>
      <c r="W225" s="58">
        <v>0</v>
      </c>
      <c r="X225" s="58">
        <v>0</v>
      </c>
      <c r="Y225" s="58">
        <v>0</v>
      </c>
      <c r="Z225" s="58">
        <v>0</v>
      </c>
      <c r="AA225" s="58">
        <v>0</v>
      </c>
      <c r="AB225" s="58">
        <v>1</v>
      </c>
      <c r="AC225" s="58">
        <v>0</v>
      </c>
      <c r="AD225" s="58">
        <v>0</v>
      </c>
      <c r="AE225" s="58">
        <v>0</v>
      </c>
      <c r="AF225" s="58">
        <v>0</v>
      </c>
      <c r="AG225" s="58">
        <v>0</v>
      </c>
      <c r="AH225" s="58">
        <v>0</v>
      </c>
      <c r="AI225" s="58">
        <v>0</v>
      </c>
      <c r="AJ225" s="59">
        <v>0</v>
      </c>
      <c r="AK225" s="58">
        <v>0</v>
      </c>
      <c r="AL225" s="58">
        <v>0</v>
      </c>
      <c r="AM225" s="58">
        <v>0</v>
      </c>
      <c r="AN225" s="59">
        <v>0</v>
      </c>
    </row>
    <row r="226" spans="1:40">
      <c r="A226" s="72" t="str">
        <f>HYPERLINK("https://www.ncbi.nlm.nih.gov/pubmed/23578968","23578968")</f>
        <v>23578968</v>
      </c>
      <c r="B226" s="56" t="s">
        <v>305</v>
      </c>
      <c r="C226" s="56" t="s">
        <v>196</v>
      </c>
      <c r="D226" s="56" t="s">
        <v>225</v>
      </c>
      <c r="E226" s="56" t="s">
        <v>212</v>
      </c>
      <c r="F226" s="56" t="s">
        <v>261</v>
      </c>
      <c r="G226" s="56" t="s">
        <v>231</v>
      </c>
      <c r="H226" s="56" t="s">
        <v>13</v>
      </c>
      <c r="I226" s="56" t="s">
        <v>201</v>
      </c>
      <c r="J226" s="63" t="s">
        <v>84</v>
      </c>
      <c r="K226" s="57">
        <v>0</v>
      </c>
      <c r="L226" s="58">
        <v>0</v>
      </c>
      <c r="M226" s="58">
        <v>0</v>
      </c>
      <c r="N226" s="58">
        <v>0</v>
      </c>
      <c r="O226" s="59">
        <v>0</v>
      </c>
      <c r="P226" s="57">
        <v>0</v>
      </c>
      <c r="Q226" s="58">
        <v>0</v>
      </c>
      <c r="R226" s="58">
        <v>0</v>
      </c>
      <c r="S226" s="58">
        <v>0</v>
      </c>
      <c r="T226" s="58">
        <v>0</v>
      </c>
      <c r="U226" s="58">
        <v>0</v>
      </c>
      <c r="V226" s="59">
        <v>0</v>
      </c>
      <c r="W226" s="58">
        <v>0</v>
      </c>
      <c r="X226" s="58">
        <v>0</v>
      </c>
      <c r="Y226" s="58">
        <v>0</v>
      </c>
      <c r="Z226" s="58">
        <v>0</v>
      </c>
      <c r="AA226" s="58">
        <v>0</v>
      </c>
      <c r="AB226" s="58">
        <v>1</v>
      </c>
      <c r="AC226" s="58">
        <v>0</v>
      </c>
      <c r="AD226" s="58">
        <v>0</v>
      </c>
      <c r="AE226" s="58">
        <v>0</v>
      </c>
      <c r="AF226" s="58">
        <v>0</v>
      </c>
      <c r="AG226" s="58">
        <v>0</v>
      </c>
      <c r="AH226" s="58">
        <v>0</v>
      </c>
      <c r="AI226" s="58">
        <v>0</v>
      </c>
      <c r="AJ226" s="59">
        <v>0</v>
      </c>
      <c r="AK226" s="58">
        <v>0</v>
      </c>
      <c r="AL226" s="58">
        <v>0</v>
      </c>
      <c r="AM226" s="58">
        <v>0</v>
      </c>
      <c r="AN226" s="59">
        <v>0</v>
      </c>
    </row>
    <row r="227" spans="1:40">
      <c r="A227" s="72" t="str">
        <f>HYPERLINK("https://www.ncbi.nlm.nih.gov/pubmed/29247840","29247840")</f>
        <v>29247840</v>
      </c>
      <c r="B227" s="56" t="s">
        <v>306</v>
      </c>
      <c r="C227" s="56" t="s">
        <v>196</v>
      </c>
      <c r="D227" s="56" t="s">
        <v>204</v>
      </c>
      <c r="E227" s="56" t="s">
        <v>205</v>
      </c>
      <c r="F227" s="56" t="s">
        <v>261</v>
      </c>
      <c r="G227" s="56" t="s">
        <v>231</v>
      </c>
      <c r="H227" s="56" t="s">
        <v>13</v>
      </c>
      <c r="I227" s="56" t="s">
        <v>211</v>
      </c>
      <c r="J227" s="63" t="s">
        <v>307</v>
      </c>
      <c r="K227" s="57">
        <v>0</v>
      </c>
      <c r="L227" s="58">
        <v>0</v>
      </c>
      <c r="M227" s="58">
        <v>0</v>
      </c>
      <c r="N227" s="58">
        <v>0</v>
      </c>
      <c r="O227" s="58">
        <v>0</v>
      </c>
      <c r="P227" s="57">
        <v>0</v>
      </c>
      <c r="Q227" s="58">
        <v>0</v>
      </c>
      <c r="R227" s="58">
        <v>0</v>
      </c>
      <c r="S227" s="58">
        <v>0</v>
      </c>
      <c r="T227" s="58">
        <v>0</v>
      </c>
      <c r="U227" s="58">
        <v>0</v>
      </c>
      <c r="V227" s="59">
        <v>0</v>
      </c>
      <c r="W227" s="58">
        <v>0</v>
      </c>
      <c r="X227" s="58">
        <v>0</v>
      </c>
      <c r="Y227" s="58">
        <v>0</v>
      </c>
      <c r="Z227" s="58">
        <v>0</v>
      </c>
      <c r="AA227" s="58">
        <v>0</v>
      </c>
      <c r="AB227" s="58">
        <v>1</v>
      </c>
      <c r="AC227" s="58">
        <v>0</v>
      </c>
      <c r="AD227" s="58">
        <v>0</v>
      </c>
      <c r="AE227" s="58">
        <v>0</v>
      </c>
      <c r="AF227" s="58">
        <v>0</v>
      </c>
      <c r="AG227" s="58">
        <v>0</v>
      </c>
      <c r="AH227" s="58">
        <v>0</v>
      </c>
      <c r="AI227" s="58">
        <v>0</v>
      </c>
      <c r="AJ227" s="59">
        <v>0</v>
      </c>
      <c r="AK227" s="58">
        <v>0</v>
      </c>
      <c r="AL227" s="58">
        <v>0</v>
      </c>
      <c r="AM227" s="58">
        <v>0</v>
      </c>
      <c r="AN227" s="59">
        <v>0</v>
      </c>
    </row>
    <row r="228" spans="1:40">
      <c r="A228" s="72" t="str">
        <f>HYPERLINK("https://www.ncbi.nlm.nih.gov/pubmed/31342755","31342755")</f>
        <v>31342755</v>
      </c>
      <c r="B228" s="56" t="s">
        <v>306</v>
      </c>
      <c r="C228" s="56" t="s">
        <v>196</v>
      </c>
      <c r="D228" s="56" t="s">
        <v>204</v>
      </c>
      <c r="E228" s="56" t="s">
        <v>205</v>
      </c>
      <c r="F228" s="56" t="s">
        <v>261</v>
      </c>
      <c r="G228" s="56" t="s">
        <v>231</v>
      </c>
      <c r="H228" s="56" t="s">
        <v>13</v>
      </c>
      <c r="I228" s="56" t="s">
        <v>308</v>
      </c>
      <c r="J228" s="63" t="s">
        <v>84</v>
      </c>
      <c r="K228" s="58">
        <v>0</v>
      </c>
      <c r="L228" s="58">
        <v>0</v>
      </c>
      <c r="M228" s="58">
        <v>0</v>
      </c>
      <c r="N228" s="58">
        <v>0</v>
      </c>
      <c r="O228" s="59">
        <v>0</v>
      </c>
      <c r="P228" s="57">
        <v>0</v>
      </c>
      <c r="Q228" s="58">
        <v>0</v>
      </c>
      <c r="R228" s="58">
        <v>0</v>
      </c>
      <c r="S228" s="58">
        <v>0</v>
      </c>
      <c r="T228" s="58">
        <v>0</v>
      </c>
      <c r="U228" s="58">
        <v>0</v>
      </c>
      <c r="V228" s="59">
        <v>0</v>
      </c>
      <c r="W228" s="58">
        <v>0</v>
      </c>
      <c r="X228" s="58">
        <v>0</v>
      </c>
      <c r="Y228" s="58">
        <v>0</v>
      </c>
      <c r="Z228" s="58">
        <v>0</v>
      </c>
      <c r="AA228" s="58">
        <v>0</v>
      </c>
      <c r="AB228" s="58">
        <v>1</v>
      </c>
      <c r="AC228" s="58">
        <v>0</v>
      </c>
      <c r="AD228" s="58">
        <v>0</v>
      </c>
      <c r="AE228" s="58">
        <v>0</v>
      </c>
      <c r="AF228" s="58">
        <v>0</v>
      </c>
      <c r="AG228" s="58">
        <v>0</v>
      </c>
      <c r="AH228" s="58">
        <v>0</v>
      </c>
      <c r="AI228" s="58">
        <v>0</v>
      </c>
      <c r="AJ228" s="59">
        <v>0</v>
      </c>
      <c r="AK228" s="58">
        <v>0</v>
      </c>
      <c r="AL228" s="58">
        <v>0</v>
      </c>
      <c r="AM228" s="58">
        <v>0</v>
      </c>
      <c r="AN228" s="59">
        <v>0</v>
      </c>
    </row>
    <row r="229" spans="1:40">
      <c r="A229" s="72" t="str">
        <f>HYPERLINK("https://www.ncbi.nlm.nih.gov/pubmed/32585208","32585208")</f>
        <v>32585208</v>
      </c>
      <c r="B229" s="56" t="s">
        <v>306</v>
      </c>
      <c r="C229" s="56" t="s">
        <v>196</v>
      </c>
      <c r="D229" s="56" t="s">
        <v>204</v>
      </c>
      <c r="E229" s="56" t="s">
        <v>205</v>
      </c>
      <c r="F229" s="56" t="s">
        <v>261</v>
      </c>
      <c r="G229" s="56" t="s">
        <v>231</v>
      </c>
      <c r="H229" s="56" t="s">
        <v>13</v>
      </c>
      <c r="I229" s="56" t="s">
        <v>211</v>
      </c>
      <c r="J229" s="63" t="s">
        <v>84</v>
      </c>
      <c r="K229" s="58">
        <v>0</v>
      </c>
      <c r="L229" s="58">
        <v>0</v>
      </c>
      <c r="M229" s="58">
        <v>0</v>
      </c>
      <c r="N229" s="58">
        <v>0</v>
      </c>
      <c r="O229" s="59">
        <v>0</v>
      </c>
      <c r="P229" s="57">
        <v>0</v>
      </c>
      <c r="Q229" s="58">
        <v>0</v>
      </c>
      <c r="R229" s="58">
        <v>0</v>
      </c>
      <c r="S229" s="58">
        <v>0</v>
      </c>
      <c r="T229" s="58">
        <v>0</v>
      </c>
      <c r="U229" s="58">
        <v>1</v>
      </c>
      <c r="V229" s="59">
        <v>0</v>
      </c>
      <c r="W229" s="58">
        <v>0</v>
      </c>
      <c r="X229" s="58">
        <v>0</v>
      </c>
      <c r="Y229" s="58">
        <v>0</v>
      </c>
      <c r="Z229" s="58">
        <v>0</v>
      </c>
      <c r="AA229" s="58">
        <v>0</v>
      </c>
      <c r="AB229" s="58">
        <v>1</v>
      </c>
      <c r="AC229" s="58">
        <v>0</v>
      </c>
      <c r="AD229" s="58">
        <v>0</v>
      </c>
      <c r="AE229" s="58">
        <v>0</v>
      </c>
      <c r="AF229" s="58">
        <v>0</v>
      </c>
      <c r="AG229" s="58">
        <v>0</v>
      </c>
      <c r="AH229" s="58">
        <v>0</v>
      </c>
      <c r="AI229" s="58">
        <v>0</v>
      </c>
      <c r="AJ229" s="59">
        <v>0</v>
      </c>
      <c r="AK229" s="58">
        <v>1</v>
      </c>
      <c r="AL229" s="58">
        <v>0</v>
      </c>
      <c r="AM229" s="58">
        <v>0</v>
      </c>
      <c r="AN229" s="59">
        <v>0</v>
      </c>
    </row>
    <row r="230" spans="1:40" s="67" customFormat="1">
      <c r="A230" s="75" t="str">
        <f>HYPERLINK("https://www.ncbi.nlm.nih.gov/pubmed/33010548","33010548")</f>
        <v>33010548</v>
      </c>
      <c r="B230" s="56" t="s">
        <v>306</v>
      </c>
      <c r="C230" s="56" t="s">
        <v>196</v>
      </c>
      <c r="D230" s="56" t="s">
        <v>204</v>
      </c>
      <c r="E230" s="56" t="s">
        <v>205</v>
      </c>
      <c r="F230" s="56" t="s">
        <v>261</v>
      </c>
      <c r="G230" s="56" t="s">
        <v>231</v>
      </c>
      <c r="H230" s="56" t="s">
        <v>13</v>
      </c>
      <c r="I230" s="56" t="s">
        <v>308</v>
      </c>
      <c r="J230" s="63" t="s">
        <v>84</v>
      </c>
      <c r="K230" s="57">
        <v>0</v>
      </c>
      <c r="L230" s="58">
        <v>0</v>
      </c>
      <c r="M230" s="58">
        <v>0</v>
      </c>
      <c r="N230" s="58">
        <v>0</v>
      </c>
      <c r="O230" s="59">
        <v>0</v>
      </c>
      <c r="P230" s="57">
        <v>0</v>
      </c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9">
        <v>0</v>
      </c>
      <c r="W230" s="58">
        <v>0</v>
      </c>
      <c r="X230" s="58">
        <v>0</v>
      </c>
      <c r="Y230" s="58">
        <v>0</v>
      </c>
      <c r="Z230" s="58">
        <v>0</v>
      </c>
      <c r="AA230" s="58">
        <v>0</v>
      </c>
      <c r="AB230" s="66">
        <v>1</v>
      </c>
      <c r="AC230" s="58">
        <v>0</v>
      </c>
      <c r="AD230" s="58">
        <v>0</v>
      </c>
      <c r="AE230" s="58">
        <v>0</v>
      </c>
      <c r="AF230" s="58">
        <v>0</v>
      </c>
      <c r="AG230" s="58">
        <v>0</v>
      </c>
      <c r="AH230" s="58">
        <v>0</v>
      </c>
      <c r="AI230" s="58">
        <v>0</v>
      </c>
      <c r="AJ230" s="59">
        <v>0</v>
      </c>
      <c r="AK230" s="58">
        <v>0</v>
      </c>
      <c r="AL230" s="58">
        <v>0</v>
      </c>
      <c r="AM230" s="58">
        <v>0</v>
      </c>
      <c r="AN230" s="59">
        <v>0</v>
      </c>
    </row>
    <row r="231" spans="1:40">
      <c r="A231" s="72" t="str">
        <f>HYPERLINK("https://www.ncbi.nlm.nih.gov/pubmed/33148124","33148124")</f>
        <v>33148124</v>
      </c>
      <c r="B231" s="56" t="s">
        <v>306</v>
      </c>
      <c r="C231" s="56" t="s">
        <v>196</v>
      </c>
      <c r="D231" s="56" t="s">
        <v>204</v>
      </c>
      <c r="E231" s="56" t="s">
        <v>205</v>
      </c>
      <c r="F231" s="56" t="s">
        <v>261</v>
      </c>
      <c r="G231" s="56" t="s">
        <v>231</v>
      </c>
      <c r="H231" s="56" t="s">
        <v>13</v>
      </c>
      <c r="I231" s="56" t="s">
        <v>308</v>
      </c>
      <c r="J231" s="63" t="s">
        <v>84</v>
      </c>
      <c r="K231" s="57">
        <v>0</v>
      </c>
      <c r="L231" s="58">
        <v>0</v>
      </c>
      <c r="M231" s="58">
        <v>0</v>
      </c>
      <c r="N231" s="58">
        <v>0</v>
      </c>
      <c r="O231" s="59">
        <v>0</v>
      </c>
      <c r="P231" s="58">
        <v>1</v>
      </c>
      <c r="Q231" s="58">
        <v>0</v>
      </c>
      <c r="R231" s="58">
        <v>0</v>
      </c>
      <c r="S231" s="58">
        <v>0</v>
      </c>
      <c r="T231" s="58">
        <v>0</v>
      </c>
      <c r="U231" s="58">
        <v>1</v>
      </c>
      <c r="V231" s="59">
        <v>0</v>
      </c>
      <c r="W231" s="58">
        <v>0</v>
      </c>
      <c r="X231" s="58">
        <v>0</v>
      </c>
      <c r="Y231" s="58">
        <v>0</v>
      </c>
      <c r="Z231" s="58">
        <v>0</v>
      </c>
      <c r="AA231" s="58">
        <v>0</v>
      </c>
      <c r="AB231" s="58">
        <v>1</v>
      </c>
      <c r="AC231" s="58">
        <v>0</v>
      </c>
      <c r="AD231" s="58">
        <v>0</v>
      </c>
      <c r="AE231" s="58">
        <v>0</v>
      </c>
      <c r="AF231" s="58">
        <v>0</v>
      </c>
      <c r="AG231" s="58">
        <v>0</v>
      </c>
      <c r="AH231" s="58">
        <v>0</v>
      </c>
      <c r="AI231" s="58">
        <v>0</v>
      </c>
      <c r="AJ231" s="59">
        <v>0</v>
      </c>
      <c r="AK231" s="58">
        <v>1</v>
      </c>
      <c r="AL231" s="58">
        <v>0</v>
      </c>
      <c r="AM231" s="58">
        <v>0</v>
      </c>
      <c r="AN231" s="59">
        <v>0</v>
      </c>
    </row>
    <row r="232" spans="1:40">
      <c r="A232" s="72" t="str">
        <f>HYPERLINK("https://www.ncbi.nlm.nih.gov/pubmed/33297044","33297044")</f>
        <v>33297044</v>
      </c>
      <c r="B232" s="56" t="s">
        <v>306</v>
      </c>
      <c r="C232" s="56" t="s">
        <v>196</v>
      </c>
      <c r="D232" s="56" t="s">
        <v>204</v>
      </c>
      <c r="E232" s="56" t="s">
        <v>205</v>
      </c>
      <c r="F232" s="56" t="s">
        <v>261</v>
      </c>
      <c r="G232" s="56" t="s">
        <v>231</v>
      </c>
      <c r="H232" s="56" t="s">
        <v>13</v>
      </c>
      <c r="I232" s="56" t="s">
        <v>211</v>
      </c>
      <c r="J232" s="63" t="s">
        <v>84</v>
      </c>
      <c r="K232" s="57">
        <v>0</v>
      </c>
      <c r="L232" s="58">
        <v>0</v>
      </c>
      <c r="M232" s="58">
        <v>0</v>
      </c>
      <c r="N232" s="58">
        <v>0</v>
      </c>
      <c r="O232" s="59">
        <v>0</v>
      </c>
      <c r="P232" s="57">
        <v>1</v>
      </c>
      <c r="Q232" s="58">
        <v>0</v>
      </c>
      <c r="R232" s="58">
        <v>0</v>
      </c>
      <c r="S232" s="58">
        <v>1</v>
      </c>
      <c r="T232" s="58">
        <v>1</v>
      </c>
      <c r="U232" s="58">
        <v>1</v>
      </c>
      <c r="V232" s="59">
        <v>0</v>
      </c>
      <c r="W232" s="58">
        <v>0</v>
      </c>
      <c r="X232" s="58">
        <v>0</v>
      </c>
      <c r="Y232" s="58">
        <v>0</v>
      </c>
      <c r="Z232" s="58">
        <v>0</v>
      </c>
      <c r="AA232" s="58">
        <v>0</v>
      </c>
      <c r="AB232" s="58">
        <v>1</v>
      </c>
      <c r="AC232" s="58">
        <v>0</v>
      </c>
      <c r="AD232" s="58">
        <v>0</v>
      </c>
      <c r="AE232" s="58">
        <v>0</v>
      </c>
      <c r="AF232" s="58">
        <v>0</v>
      </c>
      <c r="AG232" s="58">
        <v>0</v>
      </c>
      <c r="AH232" s="58">
        <v>0</v>
      </c>
      <c r="AI232" s="58">
        <v>0</v>
      </c>
      <c r="AJ232" s="59">
        <v>0</v>
      </c>
      <c r="AK232" s="58">
        <v>1</v>
      </c>
      <c r="AL232" s="58">
        <v>0</v>
      </c>
      <c r="AM232" s="58">
        <v>0</v>
      </c>
      <c r="AN232" s="59">
        <v>0</v>
      </c>
    </row>
    <row r="233" spans="1:40">
      <c r="A233" s="72" t="str">
        <f>HYPERLINK("https://www.ncbi.nlm.nih.gov/pubmed/33360214","33360214")</f>
        <v>33360214</v>
      </c>
      <c r="B233" s="56" t="s">
        <v>306</v>
      </c>
      <c r="C233" s="56" t="s">
        <v>196</v>
      </c>
      <c r="D233" s="56" t="s">
        <v>204</v>
      </c>
      <c r="E233" s="56" t="s">
        <v>205</v>
      </c>
      <c r="F233" s="56" t="s">
        <v>261</v>
      </c>
      <c r="G233" s="56" t="s">
        <v>231</v>
      </c>
      <c r="H233" s="56" t="s">
        <v>13</v>
      </c>
      <c r="I233" s="56" t="s">
        <v>308</v>
      </c>
      <c r="J233" s="63" t="s">
        <v>84</v>
      </c>
      <c r="K233" s="57">
        <v>0</v>
      </c>
      <c r="L233" s="58">
        <v>0</v>
      </c>
      <c r="M233" s="58">
        <v>0</v>
      </c>
      <c r="N233" s="58">
        <v>0</v>
      </c>
      <c r="O233" s="58">
        <v>0</v>
      </c>
      <c r="P233" s="57">
        <v>0</v>
      </c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9">
        <v>0</v>
      </c>
      <c r="W233" s="58">
        <v>0</v>
      </c>
      <c r="X233" s="58">
        <v>0</v>
      </c>
      <c r="Y233" s="58">
        <v>0</v>
      </c>
      <c r="Z233" s="58">
        <v>0</v>
      </c>
      <c r="AA233" s="58">
        <v>0</v>
      </c>
      <c r="AB233" s="58">
        <v>1</v>
      </c>
      <c r="AC233" s="58">
        <v>0</v>
      </c>
      <c r="AD233" s="58">
        <v>0</v>
      </c>
      <c r="AE233" s="58">
        <v>0</v>
      </c>
      <c r="AF233" s="58">
        <v>0</v>
      </c>
      <c r="AG233" s="58">
        <v>0</v>
      </c>
      <c r="AH233" s="58">
        <v>0</v>
      </c>
      <c r="AI233" s="58">
        <v>0</v>
      </c>
      <c r="AJ233" s="59">
        <v>0</v>
      </c>
      <c r="AK233" s="58">
        <v>0</v>
      </c>
      <c r="AL233" s="58">
        <v>0</v>
      </c>
      <c r="AM233" s="58">
        <v>0</v>
      </c>
      <c r="AN233" s="59">
        <v>0</v>
      </c>
    </row>
    <row r="234" spans="1:40">
      <c r="A234" s="72" t="str">
        <f>HYPERLINK("https://www.ncbi.nlm.nih.gov/pubmed/34165216","34165216")</f>
        <v>34165216</v>
      </c>
      <c r="B234" s="56" t="s">
        <v>306</v>
      </c>
      <c r="C234" s="56" t="s">
        <v>196</v>
      </c>
      <c r="D234" s="56" t="s">
        <v>204</v>
      </c>
      <c r="E234" s="56" t="s">
        <v>205</v>
      </c>
      <c r="F234" s="56" t="s">
        <v>261</v>
      </c>
      <c r="G234" s="56" t="s">
        <v>231</v>
      </c>
      <c r="H234" s="56" t="s">
        <v>13</v>
      </c>
      <c r="I234" s="56" t="s">
        <v>211</v>
      </c>
      <c r="J234" s="63" t="s">
        <v>84</v>
      </c>
      <c r="K234" s="58">
        <v>1</v>
      </c>
      <c r="L234" s="58">
        <v>0</v>
      </c>
      <c r="M234" s="58">
        <v>0</v>
      </c>
      <c r="N234" s="58">
        <v>0</v>
      </c>
      <c r="O234" s="58">
        <v>0</v>
      </c>
      <c r="P234" s="57">
        <v>0</v>
      </c>
      <c r="Q234" s="58">
        <v>0</v>
      </c>
      <c r="R234" s="58">
        <v>0</v>
      </c>
      <c r="S234" s="58">
        <v>0</v>
      </c>
      <c r="T234" s="58">
        <v>0</v>
      </c>
      <c r="U234" s="58">
        <v>0</v>
      </c>
      <c r="V234" s="59">
        <v>0</v>
      </c>
      <c r="W234" s="58">
        <v>0</v>
      </c>
      <c r="X234" s="58">
        <v>0</v>
      </c>
      <c r="Y234" s="58">
        <v>0</v>
      </c>
      <c r="Z234" s="58">
        <v>0</v>
      </c>
      <c r="AA234" s="58">
        <v>0</v>
      </c>
      <c r="AB234" s="58">
        <v>1</v>
      </c>
      <c r="AC234" s="58">
        <v>0</v>
      </c>
      <c r="AD234" s="58">
        <v>0</v>
      </c>
      <c r="AE234" s="58">
        <v>0</v>
      </c>
      <c r="AF234" s="58">
        <v>0</v>
      </c>
      <c r="AG234" s="58">
        <v>0</v>
      </c>
      <c r="AH234" s="58">
        <v>0</v>
      </c>
      <c r="AI234" s="58">
        <v>0</v>
      </c>
      <c r="AJ234" s="59">
        <v>0</v>
      </c>
      <c r="AK234" s="58">
        <v>0</v>
      </c>
      <c r="AL234" s="58">
        <v>0</v>
      </c>
      <c r="AM234" s="58">
        <v>0</v>
      </c>
      <c r="AN234" s="59">
        <v>0</v>
      </c>
    </row>
    <row r="235" spans="1:40">
      <c r="A235" s="72" t="str">
        <f>HYPERLINK("https://www.ncbi.nlm.nih.gov/pubmed/34550611","34550611")</f>
        <v>34550611</v>
      </c>
      <c r="B235" s="56" t="s">
        <v>306</v>
      </c>
      <c r="C235" s="56" t="s">
        <v>196</v>
      </c>
      <c r="D235" s="56" t="s">
        <v>204</v>
      </c>
      <c r="E235" s="56" t="s">
        <v>205</v>
      </c>
      <c r="F235" s="56" t="s">
        <v>261</v>
      </c>
      <c r="G235" s="56" t="s">
        <v>231</v>
      </c>
      <c r="H235" s="56" t="s">
        <v>13</v>
      </c>
      <c r="I235" s="56" t="s">
        <v>308</v>
      </c>
      <c r="J235" s="63" t="s">
        <v>82</v>
      </c>
      <c r="K235" s="58">
        <v>0</v>
      </c>
      <c r="L235" s="58">
        <v>0</v>
      </c>
      <c r="M235" s="58">
        <v>0</v>
      </c>
      <c r="N235" s="58">
        <v>0</v>
      </c>
      <c r="O235" s="58">
        <v>0</v>
      </c>
      <c r="P235" s="57">
        <v>0</v>
      </c>
      <c r="Q235" s="58">
        <v>0</v>
      </c>
      <c r="R235" s="58">
        <v>0</v>
      </c>
      <c r="S235" s="58">
        <v>0</v>
      </c>
      <c r="T235" s="58">
        <v>0</v>
      </c>
      <c r="U235" s="58">
        <v>0</v>
      </c>
      <c r="V235" s="59">
        <v>0</v>
      </c>
      <c r="W235" s="58">
        <v>0</v>
      </c>
      <c r="X235" s="58">
        <v>0</v>
      </c>
      <c r="Y235" s="58">
        <v>0</v>
      </c>
      <c r="Z235" s="58">
        <v>0</v>
      </c>
      <c r="AA235" s="58">
        <v>0</v>
      </c>
      <c r="AB235" s="58">
        <v>1</v>
      </c>
      <c r="AC235" s="58">
        <v>0</v>
      </c>
      <c r="AD235" s="58">
        <v>0</v>
      </c>
      <c r="AE235" s="58">
        <v>0</v>
      </c>
      <c r="AF235" s="58">
        <v>0</v>
      </c>
      <c r="AG235" s="58">
        <v>0</v>
      </c>
      <c r="AH235" s="58">
        <v>0</v>
      </c>
      <c r="AI235" s="58">
        <v>0</v>
      </c>
      <c r="AJ235" s="59">
        <v>0</v>
      </c>
      <c r="AK235" s="58">
        <v>0</v>
      </c>
      <c r="AL235" s="58">
        <v>0</v>
      </c>
      <c r="AM235" s="58">
        <v>0</v>
      </c>
      <c r="AN235" s="59">
        <v>0</v>
      </c>
    </row>
    <row r="236" spans="1:40">
      <c r="A236" s="72" t="str">
        <f>HYPERLINK("https://www.ncbi.nlm.nih.gov/pubmed/35331755","35331755")</f>
        <v>35331755</v>
      </c>
      <c r="B236" s="56" t="s">
        <v>306</v>
      </c>
      <c r="C236" s="56" t="s">
        <v>196</v>
      </c>
      <c r="D236" s="56" t="s">
        <v>204</v>
      </c>
      <c r="E236" s="56" t="s">
        <v>205</v>
      </c>
      <c r="F236" s="56" t="s">
        <v>261</v>
      </c>
      <c r="G236" s="56" t="s">
        <v>231</v>
      </c>
      <c r="H236" s="56" t="s">
        <v>13</v>
      </c>
      <c r="I236" s="56" t="s">
        <v>211</v>
      </c>
      <c r="J236" s="63" t="s">
        <v>84</v>
      </c>
      <c r="K236" s="57">
        <v>0</v>
      </c>
      <c r="L236" s="58">
        <v>0</v>
      </c>
      <c r="M236" s="58">
        <v>0</v>
      </c>
      <c r="N236" s="58">
        <v>0</v>
      </c>
      <c r="O236" s="59">
        <v>0</v>
      </c>
      <c r="P236" s="57">
        <v>1</v>
      </c>
      <c r="Q236" s="58">
        <v>1</v>
      </c>
      <c r="R236" s="58">
        <v>0</v>
      </c>
      <c r="S236" s="58">
        <v>0</v>
      </c>
      <c r="T236" s="58">
        <v>1</v>
      </c>
      <c r="U236" s="58">
        <v>1</v>
      </c>
      <c r="V236" s="59">
        <v>0</v>
      </c>
      <c r="W236" s="58">
        <v>0</v>
      </c>
      <c r="X236" s="58">
        <v>0</v>
      </c>
      <c r="Y236" s="58">
        <v>0</v>
      </c>
      <c r="Z236" s="58">
        <v>0</v>
      </c>
      <c r="AA236" s="58">
        <v>0</v>
      </c>
      <c r="AB236" s="58">
        <v>1</v>
      </c>
      <c r="AC236" s="58">
        <v>0</v>
      </c>
      <c r="AD236" s="58">
        <v>0</v>
      </c>
      <c r="AE236" s="58">
        <v>0</v>
      </c>
      <c r="AF236" s="58">
        <v>0</v>
      </c>
      <c r="AG236" s="58">
        <v>0</v>
      </c>
      <c r="AH236" s="58">
        <v>0</v>
      </c>
      <c r="AI236" s="58">
        <v>0</v>
      </c>
      <c r="AJ236" s="59">
        <v>0</v>
      </c>
      <c r="AK236" s="58">
        <v>1</v>
      </c>
      <c r="AL236" s="58">
        <v>0</v>
      </c>
      <c r="AM236" s="58">
        <v>0</v>
      </c>
      <c r="AN236" s="59">
        <v>0</v>
      </c>
    </row>
    <row r="237" spans="1:40">
      <c r="A237" s="72" t="str">
        <f>HYPERLINK("https://www.ncbi.nlm.nih.gov/pubmed/35504394","35504394")</f>
        <v>35504394</v>
      </c>
      <c r="B237" s="56" t="s">
        <v>306</v>
      </c>
      <c r="C237" s="56" t="s">
        <v>196</v>
      </c>
      <c r="D237" s="56" t="s">
        <v>204</v>
      </c>
      <c r="E237" s="56" t="s">
        <v>205</v>
      </c>
      <c r="F237" s="56" t="s">
        <v>261</v>
      </c>
      <c r="G237" s="56" t="s">
        <v>231</v>
      </c>
      <c r="H237" s="56" t="s">
        <v>13</v>
      </c>
      <c r="I237" s="56" t="s">
        <v>308</v>
      </c>
      <c r="J237" s="63" t="s">
        <v>84</v>
      </c>
      <c r="K237" s="57">
        <v>0</v>
      </c>
      <c r="L237" s="58">
        <v>0</v>
      </c>
      <c r="M237" s="58">
        <v>0</v>
      </c>
      <c r="N237" s="58">
        <v>0</v>
      </c>
      <c r="O237" s="58">
        <v>0</v>
      </c>
      <c r="P237" s="57">
        <v>0</v>
      </c>
      <c r="Q237" s="58">
        <v>0</v>
      </c>
      <c r="R237" s="58">
        <v>0</v>
      </c>
      <c r="S237" s="58">
        <v>0</v>
      </c>
      <c r="T237" s="58">
        <v>0</v>
      </c>
      <c r="U237" s="58">
        <v>0</v>
      </c>
      <c r="V237" s="59">
        <v>0</v>
      </c>
      <c r="W237" s="58">
        <v>0</v>
      </c>
      <c r="X237" s="58">
        <v>0</v>
      </c>
      <c r="Y237" s="58">
        <v>0</v>
      </c>
      <c r="Z237" s="58">
        <v>0</v>
      </c>
      <c r="AA237" s="58">
        <v>0</v>
      </c>
      <c r="AB237" s="58">
        <v>1</v>
      </c>
      <c r="AC237" s="58">
        <v>0</v>
      </c>
      <c r="AD237" s="58">
        <v>0</v>
      </c>
      <c r="AE237" s="58">
        <v>0</v>
      </c>
      <c r="AF237" s="58">
        <v>0</v>
      </c>
      <c r="AG237" s="58">
        <v>0</v>
      </c>
      <c r="AH237" s="58">
        <v>0</v>
      </c>
      <c r="AI237" s="58">
        <v>0</v>
      </c>
      <c r="AJ237" s="59">
        <v>0</v>
      </c>
      <c r="AK237" s="58">
        <v>0</v>
      </c>
      <c r="AL237" s="58">
        <v>0</v>
      </c>
      <c r="AM237" s="58">
        <v>0</v>
      </c>
      <c r="AN237" s="59">
        <v>1</v>
      </c>
    </row>
    <row r="238" spans="1:40">
      <c r="A238" s="72" t="str">
        <f>HYPERLINK("https://www.ncbi.nlm.nih.gov/pubmed/35948002","35948002")</f>
        <v>35948002</v>
      </c>
      <c r="B238" s="56" t="s">
        <v>306</v>
      </c>
      <c r="C238" s="56" t="s">
        <v>196</v>
      </c>
      <c r="D238" s="56" t="s">
        <v>204</v>
      </c>
      <c r="E238" s="56" t="s">
        <v>205</v>
      </c>
      <c r="F238" s="56" t="s">
        <v>261</v>
      </c>
      <c r="G238" s="56" t="s">
        <v>231</v>
      </c>
      <c r="H238" s="56" t="s">
        <v>13</v>
      </c>
      <c r="I238" s="56" t="s">
        <v>201</v>
      </c>
      <c r="J238" s="63" t="s">
        <v>84</v>
      </c>
      <c r="K238" s="57">
        <v>1</v>
      </c>
      <c r="L238" s="58">
        <v>0</v>
      </c>
      <c r="M238" s="58">
        <v>0</v>
      </c>
      <c r="N238" s="58">
        <v>0</v>
      </c>
      <c r="O238" s="58">
        <v>0</v>
      </c>
      <c r="P238" s="57">
        <v>0</v>
      </c>
      <c r="Q238" s="58">
        <v>1</v>
      </c>
      <c r="R238" s="58">
        <v>0</v>
      </c>
      <c r="S238" s="58">
        <v>0</v>
      </c>
      <c r="T238" s="58">
        <v>0</v>
      </c>
      <c r="U238" s="58">
        <v>0</v>
      </c>
      <c r="V238" s="59">
        <v>0</v>
      </c>
      <c r="W238" s="58">
        <v>0</v>
      </c>
      <c r="X238" s="58">
        <v>0</v>
      </c>
      <c r="Y238" s="58">
        <v>0</v>
      </c>
      <c r="Z238" s="58">
        <v>0</v>
      </c>
      <c r="AA238" s="58">
        <v>0</v>
      </c>
      <c r="AB238" s="58">
        <v>1</v>
      </c>
      <c r="AC238" s="58">
        <v>0</v>
      </c>
      <c r="AD238" s="58">
        <v>0</v>
      </c>
      <c r="AE238" s="58">
        <v>0</v>
      </c>
      <c r="AF238" s="58">
        <v>0</v>
      </c>
      <c r="AG238" s="58">
        <v>0</v>
      </c>
      <c r="AH238" s="58">
        <v>0</v>
      </c>
      <c r="AI238" s="58">
        <v>0</v>
      </c>
      <c r="AJ238" s="59">
        <v>0</v>
      </c>
      <c r="AK238" s="58">
        <v>0</v>
      </c>
      <c r="AL238" s="58">
        <v>0</v>
      </c>
      <c r="AM238" s="58">
        <v>0</v>
      </c>
      <c r="AN238" s="59">
        <v>0</v>
      </c>
    </row>
    <row r="239" spans="1:40">
      <c r="A239" s="76" t="str">
        <f>HYPERLINK("https://www.ncbi.nlm.nih.gov/pubmed/36545881","36545881")</f>
        <v>36545881</v>
      </c>
      <c r="B239" s="56" t="s">
        <v>306</v>
      </c>
      <c r="C239" s="56" t="s">
        <v>196</v>
      </c>
      <c r="D239" s="56" t="s">
        <v>204</v>
      </c>
      <c r="E239" s="56" t="s">
        <v>205</v>
      </c>
      <c r="F239" s="56" t="s">
        <v>261</v>
      </c>
      <c r="G239" s="56" t="s">
        <v>231</v>
      </c>
      <c r="H239" s="56" t="s">
        <v>13</v>
      </c>
      <c r="I239" s="56" t="s">
        <v>308</v>
      </c>
      <c r="J239" s="63" t="s">
        <v>84</v>
      </c>
      <c r="K239" s="57">
        <v>0</v>
      </c>
      <c r="L239" s="58">
        <v>0</v>
      </c>
      <c r="M239" s="58">
        <v>0</v>
      </c>
      <c r="N239" s="58">
        <v>0</v>
      </c>
      <c r="O239" s="58">
        <v>0</v>
      </c>
      <c r="P239" s="57">
        <v>0</v>
      </c>
      <c r="Q239" s="58">
        <v>0</v>
      </c>
      <c r="R239" s="58">
        <v>0</v>
      </c>
      <c r="S239" s="58">
        <v>0</v>
      </c>
      <c r="T239" s="58">
        <v>0</v>
      </c>
      <c r="U239" s="58">
        <v>0</v>
      </c>
      <c r="V239" s="59">
        <v>0</v>
      </c>
      <c r="W239" s="58">
        <v>0</v>
      </c>
      <c r="X239" s="58">
        <v>0</v>
      </c>
      <c r="Y239" s="58">
        <v>0</v>
      </c>
      <c r="Z239" s="58">
        <v>0</v>
      </c>
      <c r="AA239" s="58">
        <v>0</v>
      </c>
      <c r="AB239" s="58">
        <v>1</v>
      </c>
      <c r="AC239" s="58">
        <v>0</v>
      </c>
      <c r="AD239" s="58">
        <v>0</v>
      </c>
      <c r="AE239" s="58">
        <v>0</v>
      </c>
      <c r="AF239" s="58">
        <v>0</v>
      </c>
      <c r="AG239" s="58">
        <v>0</v>
      </c>
      <c r="AH239" s="58">
        <v>0</v>
      </c>
      <c r="AI239" s="58">
        <v>0</v>
      </c>
      <c r="AJ239" s="59">
        <v>0</v>
      </c>
      <c r="AK239" s="58">
        <v>0</v>
      </c>
      <c r="AL239" s="58">
        <v>0</v>
      </c>
      <c r="AM239" s="58">
        <v>0</v>
      </c>
      <c r="AN239" s="59">
        <v>0</v>
      </c>
    </row>
    <row r="240" spans="1:40">
      <c r="A240" s="72" t="str">
        <f>HYPERLINK("https://www.ncbi.nlm.nih.gov/pubmed/37246248","37246248")</f>
        <v>37246248</v>
      </c>
      <c r="B240" s="56" t="s">
        <v>306</v>
      </c>
      <c r="C240" s="56" t="s">
        <v>196</v>
      </c>
      <c r="D240" s="56" t="s">
        <v>204</v>
      </c>
      <c r="E240" s="56" t="s">
        <v>205</v>
      </c>
      <c r="F240" s="56" t="s">
        <v>261</v>
      </c>
      <c r="G240" s="56" t="s">
        <v>231</v>
      </c>
      <c r="H240" s="56" t="s">
        <v>13</v>
      </c>
      <c r="I240" s="56" t="s">
        <v>309</v>
      </c>
      <c r="J240" s="63" t="s">
        <v>43</v>
      </c>
      <c r="K240" s="58">
        <v>1</v>
      </c>
      <c r="L240" s="58">
        <v>0</v>
      </c>
      <c r="M240" s="58">
        <v>0</v>
      </c>
      <c r="N240" s="58">
        <v>0</v>
      </c>
      <c r="O240" s="59">
        <v>0</v>
      </c>
      <c r="P240" s="58">
        <v>0</v>
      </c>
      <c r="Q240" s="58">
        <v>1</v>
      </c>
      <c r="R240" s="58">
        <v>0</v>
      </c>
      <c r="S240" s="58">
        <v>0</v>
      </c>
      <c r="T240" s="58">
        <v>0</v>
      </c>
      <c r="U240" s="58">
        <v>1</v>
      </c>
      <c r="V240" s="59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1</v>
      </c>
      <c r="AC240" s="58">
        <v>0</v>
      </c>
      <c r="AD240" s="58">
        <v>0</v>
      </c>
      <c r="AE240" s="58">
        <v>0</v>
      </c>
      <c r="AF240" s="58">
        <v>0</v>
      </c>
      <c r="AG240" s="58">
        <v>0</v>
      </c>
      <c r="AH240" s="58">
        <v>0</v>
      </c>
      <c r="AI240" s="58">
        <v>0</v>
      </c>
      <c r="AJ240" s="59">
        <v>0</v>
      </c>
      <c r="AK240" s="58">
        <v>0</v>
      </c>
      <c r="AL240" s="58">
        <v>0</v>
      </c>
      <c r="AM240" s="58">
        <v>0</v>
      </c>
      <c r="AN240" s="59">
        <v>0</v>
      </c>
    </row>
    <row r="241" spans="1:40">
      <c r="A241" s="72" t="str">
        <f>HYPERLINK("https://www.ncbi.nlm.nih.gov/pubmed/38590960","38590960")</f>
        <v>38590960</v>
      </c>
      <c r="B241" s="56" t="s">
        <v>306</v>
      </c>
      <c r="C241" s="56" t="s">
        <v>196</v>
      </c>
      <c r="D241" s="56" t="s">
        <v>204</v>
      </c>
      <c r="E241" s="56" t="s">
        <v>205</v>
      </c>
      <c r="F241" s="56" t="s">
        <v>261</v>
      </c>
      <c r="G241" s="56" t="s">
        <v>231</v>
      </c>
      <c r="H241" s="56" t="s">
        <v>13</v>
      </c>
      <c r="I241" s="56" t="s">
        <v>308</v>
      </c>
      <c r="J241" s="63" t="s">
        <v>43</v>
      </c>
      <c r="K241" s="57">
        <v>1</v>
      </c>
      <c r="L241" s="58">
        <v>0</v>
      </c>
      <c r="M241" s="58">
        <v>0</v>
      </c>
      <c r="N241" s="58">
        <v>0</v>
      </c>
      <c r="O241" s="58">
        <v>0</v>
      </c>
      <c r="P241" s="57">
        <v>1</v>
      </c>
      <c r="Q241" s="58">
        <v>1</v>
      </c>
      <c r="R241" s="58">
        <v>0</v>
      </c>
      <c r="S241" s="58">
        <v>0</v>
      </c>
      <c r="T241" s="58">
        <v>1</v>
      </c>
      <c r="U241" s="58">
        <v>1</v>
      </c>
      <c r="V241" s="59">
        <v>0</v>
      </c>
      <c r="W241" s="58">
        <v>0</v>
      </c>
      <c r="X241" s="58">
        <v>0</v>
      </c>
      <c r="Y241" s="58">
        <v>0</v>
      </c>
      <c r="Z241" s="58">
        <v>0</v>
      </c>
      <c r="AA241" s="58">
        <v>0</v>
      </c>
      <c r="AB241" s="58">
        <v>1</v>
      </c>
      <c r="AC241" s="58">
        <v>0</v>
      </c>
      <c r="AD241" s="58">
        <v>0</v>
      </c>
      <c r="AE241" s="58">
        <v>0</v>
      </c>
      <c r="AF241" s="58">
        <v>0</v>
      </c>
      <c r="AG241" s="58">
        <v>0</v>
      </c>
      <c r="AH241" s="58">
        <v>0</v>
      </c>
      <c r="AI241" s="58">
        <v>0</v>
      </c>
      <c r="AJ241" s="59">
        <v>0</v>
      </c>
      <c r="AK241" s="58">
        <v>1</v>
      </c>
      <c r="AL241" s="58">
        <v>0</v>
      </c>
      <c r="AM241" s="58">
        <v>0</v>
      </c>
      <c r="AN241" s="59">
        <v>0</v>
      </c>
    </row>
    <row r="242" spans="1:40">
      <c r="A242" s="72" t="str">
        <f>HYPERLINK("https://www.ncbi.nlm.nih.gov/pubmed/38663197","38663197")</f>
        <v>38663197</v>
      </c>
      <c r="B242" s="56" t="s">
        <v>306</v>
      </c>
      <c r="C242" s="56" t="s">
        <v>196</v>
      </c>
      <c r="D242" s="56" t="s">
        <v>204</v>
      </c>
      <c r="E242" s="56" t="s">
        <v>205</v>
      </c>
      <c r="F242" s="56" t="s">
        <v>261</v>
      </c>
      <c r="G242" s="56" t="s">
        <v>231</v>
      </c>
      <c r="H242" s="56" t="s">
        <v>13</v>
      </c>
      <c r="I242" s="56" t="s">
        <v>211</v>
      </c>
      <c r="J242" s="63" t="s">
        <v>84</v>
      </c>
      <c r="K242" s="57">
        <v>0</v>
      </c>
      <c r="L242" s="58">
        <v>0</v>
      </c>
      <c r="M242" s="58">
        <v>0</v>
      </c>
      <c r="N242" s="58">
        <v>0</v>
      </c>
      <c r="O242" s="58">
        <v>0</v>
      </c>
      <c r="P242" s="57">
        <v>0</v>
      </c>
      <c r="Q242" s="58">
        <v>0</v>
      </c>
      <c r="R242" s="58">
        <v>0</v>
      </c>
      <c r="S242" s="58">
        <v>0</v>
      </c>
      <c r="T242" s="58">
        <v>0</v>
      </c>
      <c r="U242" s="58">
        <v>0</v>
      </c>
      <c r="V242" s="59">
        <v>0</v>
      </c>
      <c r="W242" s="58">
        <v>0</v>
      </c>
      <c r="X242" s="58">
        <v>0</v>
      </c>
      <c r="Y242" s="58">
        <v>0</v>
      </c>
      <c r="Z242" s="58">
        <v>0</v>
      </c>
      <c r="AA242" s="58">
        <v>0</v>
      </c>
      <c r="AB242" s="58">
        <v>1</v>
      </c>
      <c r="AC242" s="58">
        <v>0</v>
      </c>
      <c r="AD242" s="58">
        <v>0</v>
      </c>
      <c r="AE242" s="58">
        <v>0</v>
      </c>
      <c r="AF242" s="58">
        <v>0</v>
      </c>
      <c r="AG242" s="58">
        <v>0</v>
      </c>
      <c r="AH242" s="58">
        <v>0</v>
      </c>
      <c r="AI242" s="58">
        <v>0</v>
      </c>
      <c r="AJ242" s="59">
        <v>0</v>
      </c>
      <c r="AK242" s="58">
        <v>0</v>
      </c>
      <c r="AL242" s="58">
        <v>0</v>
      </c>
      <c r="AM242" s="58">
        <v>0</v>
      </c>
      <c r="AN242" s="59">
        <v>0</v>
      </c>
    </row>
    <row r="243" spans="1:40">
      <c r="A243" s="72" t="str">
        <f>HYPERLINK("https://www.ncbi.nlm.nih.gov/pubmed/39239657","39239657")</f>
        <v>39239657</v>
      </c>
      <c r="B243" s="56" t="s">
        <v>306</v>
      </c>
      <c r="C243" s="56" t="s">
        <v>196</v>
      </c>
      <c r="D243" s="56" t="s">
        <v>204</v>
      </c>
      <c r="E243" s="56" t="s">
        <v>205</v>
      </c>
      <c r="F243" s="56" t="s">
        <v>261</v>
      </c>
      <c r="G243" s="56" t="s">
        <v>231</v>
      </c>
      <c r="H243" s="56" t="s">
        <v>13</v>
      </c>
      <c r="I243" s="56" t="s">
        <v>308</v>
      </c>
      <c r="J243" s="63" t="s">
        <v>84</v>
      </c>
      <c r="K243" s="57">
        <v>0</v>
      </c>
      <c r="L243" s="58">
        <v>0</v>
      </c>
      <c r="M243" s="58">
        <v>0</v>
      </c>
      <c r="N243" s="58">
        <v>0</v>
      </c>
      <c r="O243" s="58">
        <v>0</v>
      </c>
      <c r="P243" s="58">
        <v>1</v>
      </c>
      <c r="Q243" s="58">
        <v>1</v>
      </c>
      <c r="R243" s="58">
        <v>0</v>
      </c>
      <c r="S243" s="58">
        <v>0</v>
      </c>
      <c r="T243" s="58">
        <v>0</v>
      </c>
      <c r="U243" s="58">
        <v>1</v>
      </c>
      <c r="V243" s="59">
        <v>0</v>
      </c>
      <c r="W243" s="58">
        <v>0</v>
      </c>
      <c r="X243" s="58">
        <v>0</v>
      </c>
      <c r="Y243" s="58">
        <v>0</v>
      </c>
      <c r="Z243" s="58">
        <v>0</v>
      </c>
      <c r="AA243" s="58">
        <v>0</v>
      </c>
      <c r="AB243" s="58">
        <v>1</v>
      </c>
      <c r="AC243" s="58">
        <v>0</v>
      </c>
      <c r="AD243" s="58">
        <v>0</v>
      </c>
      <c r="AE243" s="58">
        <v>0</v>
      </c>
      <c r="AF243" s="58">
        <v>0</v>
      </c>
      <c r="AG243" s="58">
        <v>0</v>
      </c>
      <c r="AH243" s="58">
        <v>0</v>
      </c>
      <c r="AI243" s="58">
        <v>0</v>
      </c>
      <c r="AJ243" s="59">
        <v>0</v>
      </c>
      <c r="AK243" s="58">
        <v>1</v>
      </c>
      <c r="AL243" s="58">
        <v>0</v>
      </c>
      <c r="AM243" s="58">
        <v>0</v>
      </c>
      <c r="AN243" s="59">
        <v>0</v>
      </c>
    </row>
    <row r="244" spans="1:40">
      <c r="A244" s="72" t="str">
        <f>HYPERLINK("https://www.ncbi.nlm.nih.gov/pubmed/7997239","7997239")</f>
        <v>7997239</v>
      </c>
      <c r="B244" s="56" t="s">
        <v>310</v>
      </c>
      <c r="C244" s="56" t="s">
        <v>196</v>
      </c>
      <c r="D244" s="56" t="s">
        <v>225</v>
      </c>
      <c r="E244" s="56" t="s">
        <v>205</v>
      </c>
      <c r="F244" s="56" t="s">
        <v>261</v>
      </c>
      <c r="G244" s="60" t="s">
        <v>203</v>
      </c>
      <c r="H244" s="56" t="s">
        <v>13</v>
      </c>
      <c r="I244" s="56" t="s">
        <v>227</v>
      </c>
      <c r="J244" s="63" t="s">
        <v>142</v>
      </c>
      <c r="K244" s="57">
        <v>1</v>
      </c>
      <c r="L244" s="58">
        <v>0</v>
      </c>
      <c r="M244" s="58">
        <v>0</v>
      </c>
      <c r="N244" s="58">
        <v>0</v>
      </c>
      <c r="O244" s="58">
        <v>1</v>
      </c>
      <c r="P244" s="58">
        <v>0</v>
      </c>
      <c r="Q244" s="58">
        <v>0</v>
      </c>
      <c r="R244" s="58">
        <v>0</v>
      </c>
      <c r="S244" s="58">
        <v>0</v>
      </c>
      <c r="T244" s="58">
        <v>0</v>
      </c>
      <c r="U244" s="58">
        <v>0</v>
      </c>
      <c r="V244" s="59">
        <v>0</v>
      </c>
      <c r="W244" s="58">
        <v>0</v>
      </c>
      <c r="X244" s="58">
        <v>1</v>
      </c>
      <c r="Y244" s="58">
        <v>0</v>
      </c>
      <c r="Z244" s="58">
        <v>0</v>
      </c>
      <c r="AA244" s="58">
        <v>0</v>
      </c>
      <c r="AB244" s="58">
        <v>1</v>
      </c>
      <c r="AC244" s="58">
        <v>1</v>
      </c>
      <c r="AD244" s="58">
        <v>0</v>
      </c>
      <c r="AE244" s="58">
        <v>0</v>
      </c>
      <c r="AF244" s="58">
        <v>0</v>
      </c>
      <c r="AG244" s="58">
        <v>0</v>
      </c>
      <c r="AH244" s="58">
        <v>0</v>
      </c>
      <c r="AI244" s="58">
        <v>0</v>
      </c>
      <c r="AJ244" s="59">
        <v>0</v>
      </c>
      <c r="AK244" s="58">
        <v>0</v>
      </c>
      <c r="AL244" s="58">
        <v>0</v>
      </c>
      <c r="AM244" s="58">
        <v>0</v>
      </c>
      <c r="AN244" s="59">
        <v>0</v>
      </c>
    </row>
    <row r="245" spans="1:40">
      <c r="A245" s="77"/>
      <c r="B245" s="56"/>
      <c r="C245" s="56"/>
      <c r="D245" s="56"/>
      <c r="E245" s="56"/>
      <c r="F245" s="56"/>
      <c r="G245" s="56"/>
      <c r="H245" s="56"/>
      <c r="I245" s="56"/>
      <c r="J245" s="56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</row>
    <row r="246" spans="1:40">
      <c r="A246" s="77"/>
      <c r="B246" s="56"/>
      <c r="C246" s="56"/>
      <c r="D246" s="56"/>
      <c r="E246" s="56"/>
      <c r="F246" s="56"/>
      <c r="G246" s="56"/>
      <c r="H246" s="56"/>
      <c r="I246" s="56"/>
      <c r="J246" s="56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</row>
    <row r="247" spans="1:40">
      <c r="A247" s="77"/>
      <c r="B247" s="56"/>
      <c r="C247" s="56"/>
      <c r="D247" s="56"/>
      <c r="E247" s="56"/>
      <c r="F247" s="56"/>
      <c r="G247" s="56"/>
      <c r="H247" s="56"/>
      <c r="I247" s="56"/>
      <c r="J247" s="56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</row>
    <row r="248" spans="1:40">
      <c r="A248" s="77"/>
      <c r="B248" s="68"/>
      <c r="C248" s="56"/>
      <c r="D248" s="56"/>
      <c r="E248" s="56"/>
      <c r="F248" s="56"/>
      <c r="G248" s="56"/>
      <c r="H248" s="56"/>
      <c r="I248" s="56"/>
      <c r="J248" s="56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</row>
    <row r="249" spans="1:40">
      <c r="A249" s="77"/>
      <c r="B249" s="68"/>
      <c r="C249" s="56"/>
      <c r="D249" s="56"/>
      <c r="E249" s="56"/>
      <c r="F249" s="56"/>
      <c r="H249" s="56"/>
      <c r="I249" s="56"/>
      <c r="J249" s="56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</row>
    <row r="250" spans="1:40">
      <c r="A250" s="77"/>
      <c r="B250" s="68"/>
      <c r="C250" s="56"/>
      <c r="D250" s="55"/>
      <c r="E250" s="56"/>
      <c r="F250" s="56"/>
      <c r="G250" s="56"/>
      <c r="H250" s="56"/>
      <c r="I250" s="56"/>
      <c r="J250" s="56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</row>
    <row r="251" spans="1:40">
      <c r="A251" s="77"/>
      <c r="C251" s="56"/>
      <c r="D251" s="56"/>
      <c r="E251" s="56"/>
      <c r="F251" s="56"/>
      <c r="G251" s="56"/>
      <c r="H251" s="56"/>
      <c r="I251" s="56"/>
      <c r="J251" s="56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</row>
    <row r="252" spans="1:40">
      <c r="A252" s="77"/>
      <c r="B252" s="56"/>
      <c r="H252" s="56"/>
      <c r="I252" s="56"/>
      <c r="J252" s="56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</row>
    <row r="253" spans="1:40">
      <c r="A253" s="77"/>
      <c r="B253" s="56"/>
      <c r="C253" s="69"/>
      <c r="D253" s="69"/>
      <c r="E253" s="69"/>
      <c r="F253" s="69"/>
      <c r="G253" s="69"/>
      <c r="H253" s="56"/>
      <c r="I253" s="56"/>
      <c r="J253" s="56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</row>
    <row r="254" spans="1:40">
      <c r="A254" s="77"/>
      <c r="B254" s="56"/>
      <c r="C254" s="56"/>
      <c r="D254" s="56"/>
      <c r="E254" s="56"/>
      <c r="F254" s="56"/>
      <c r="G254" s="56"/>
      <c r="H254" s="56"/>
      <c r="I254" s="56"/>
      <c r="J254" s="56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  <c r="W254" s="70"/>
      <c r="X254" s="70"/>
      <c r="Y254" s="70"/>
      <c r="Z254" s="70"/>
      <c r="AA254" s="70"/>
      <c r="AB254" s="70"/>
      <c r="AC254" s="70"/>
      <c r="AD254" s="70"/>
      <c r="AE254" s="70"/>
      <c r="AF254" s="70"/>
      <c r="AG254" s="70"/>
      <c r="AH254" s="70"/>
      <c r="AI254" s="70"/>
      <c r="AJ254" s="70"/>
      <c r="AK254" s="70"/>
      <c r="AL254" s="70"/>
      <c r="AM254" s="70"/>
      <c r="AN254" s="70"/>
    </row>
    <row r="255" spans="1:40">
      <c r="A255" s="77"/>
      <c r="B255" s="68"/>
      <c r="C255" s="56"/>
      <c r="D255" s="56"/>
      <c r="E255" s="56"/>
      <c r="F255" s="56"/>
      <c r="G255" s="56"/>
      <c r="H255" s="56"/>
      <c r="I255" s="56"/>
      <c r="J255" s="56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</row>
    <row r="256" spans="1:40">
      <c r="A256" s="77"/>
      <c r="B256" s="68"/>
      <c r="C256" s="56"/>
      <c r="D256" s="56"/>
      <c r="E256" s="56"/>
      <c r="F256" s="55"/>
      <c r="G256" s="56"/>
      <c r="H256" s="56"/>
      <c r="I256" s="56"/>
      <c r="J256" s="56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</row>
    <row r="257" spans="1:40">
      <c r="A257" s="77"/>
      <c r="B257" s="68"/>
      <c r="C257" s="56"/>
      <c r="D257" s="56"/>
      <c r="E257" s="56"/>
      <c r="F257" s="56"/>
      <c r="G257" s="56"/>
      <c r="H257" s="56"/>
      <c r="I257" s="56"/>
      <c r="J257" s="56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</row>
    <row r="258" spans="1:40">
      <c r="A258" s="77"/>
      <c r="B258" s="68"/>
      <c r="C258" s="56"/>
      <c r="D258" s="56"/>
      <c r="E258" s="56"/>
      <c r="F258" s="56"/>
      <c r="G258" s="56"/>
      <c r="H258" s="56"/>
      <c r="I258" s="56"/>
      <c r="J258" s="56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</row>
    <row r="259" spans="1:40">
      <c r="A259" s="77"/>
      <c r="B259" s="68"/>
      <c r="C259" s="56"/>
      <c r="D259" s="56"/>
      <c r="E259" s="56"/>
      <c r="F259" s="56"/>
      <c r="G259" s="56"/>
      <c r="H259" s="56"/>
      <c r="I259" s="56"/>
      <c r="J259" s="56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</row>
    <row r="260" spans="1:40">
      <c r="A260" s="77"/>
      <c r="C260" s="69"/>
      <c r="D260" s="56"/>
      <c r="E260" s="56"/>
      <c r="F260" s="56"/>
      <c r="G260" s="56"/>
      <c r="H260" s="56"/>
      <c r="I260" s="56"/>
      <c r="J260" s="56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</row>
    <row r="261" spans="1:40">
      <c r="A261" s="77"/>
      <c r="B261" s="68"/>
      <c r="D261" s="56"/>
      <c r="E261" s="56"/>
      <c r="F261" s="56"/>
      <c r="G261" s="56"/>
      <c r="H261" s="56"/>
      <c r="I261" s="56"/>
      <c r="J261" s="56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</row>
    <row r="262" spans="1:40">
      <c r="A262" s="77"/>
      <c r="B262" s="68"/>
      <c r="C262" s="56"/>
      <c r="D262" s="56"/>
      <c r="E262" s="56"/>
      <c r="F262" s="56"/>
      <c r="G262" s="56"/>
      <c r="H262" s="56"/>
      <c r="I262" s="56"/>
      <c r="J262" s="56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</row>
    <row r="263" spans="1:40">
      <c r="A263" s="77"/>
      <c r="B263" s="68"/>
      <c r="C263" s="56"/>
      <c r="D263" s="56"/>
      <c r="E263" s="56"/>
      <c r="F263" s="56"/>
      <c r="G263" s="56"/>
      <c r="H263" s="56"/>
      <c r="I263" s="56"/>
      <c r="J263" s="55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</row>
    <row r="264" spans="1:40">
      <c r="A264" s="77"/>
      <c r="B264" s="68"/>
      <c r="C264" s="56"/>
      <c r="D264" s="56"/>
      <c r="E264" s="56"/>
      <c r="F264" s="56"/>
      <c r="G264" s="69"/>
      <c r="H264" s="56"/>
      <c r="I264" s="56"/>
      <c r="J264" s="56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</row>
    <row r="265" spans="1:40">
      <c r="A265" s="77"/>
      <c r="B265" s="68"/>
      <c r="C265" s="56"/>
      <c r="D265" s="56"/>
      <c r="E265" s="56"/>
      <c r="F265" s="56"/>
      <c r="G265" s="56"/>
      <c r="H265" s="56"/>
      <c r="I265" s="56"/>
      <c r="J265" s="56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</row>
    <row r="266" spans="1:40">
      <c r="A266" s="77"/>
      <c r="B266" s="68"/>
      <c r="C266" s="56"/>
      <c r="D266" s="56"/>
      <c r="E266" s="56"/>
      <c r="F266" s="56"/>
      <c r="G266" s="56"/>
      <c r="H266" s="56"/>
      <c r="I266" s="56"/>
      <c r="J266" s="56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</row>
    <row r="267" spans="1:40">
      <c r="A267" s="77"/>
      <c r="B267" s="68"/>
      <c r="C267" s="56"/>
      <c r="D267" s="56"/>
      <c r="E267" s="56"/>
      <c r="F267" s="56"/>
      <c r="G267" s="56"/>
      <c r="H267" s="56"/>
      <c r="I267" s="56"/>
      <c r="J267" s="56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</row>
    <row r="268" spans="1:40">
      <c r="A268" s="77"/>
      <c r="B268" s="68"/>
      <c r="C268" s="56"/>
      <c r="D268" s="56"/>
      <c r="E268" s="56"/>
      <c r="F268" s="56"/>
      <c r="G268" s="69"/>
      <c r="H268" s="56"/>
      <c r="I268" s="56"/>
      <c r="J268" s="56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</row>
    <row r="269" spans="1:40">
      <c r="A269" s="77"/>
      <c r="B269" s="68"/>
      <c r="C269" s="56"/>
      <c r="D269" s="56"/>
      <c r="E269" s="56"/>
      <c r="F269" s="56"/>
      <c r="G269" s="56"/>
      <c r="H269" s="56"/>
      <c r="I269" s="56"/>
      <c r="J269" s="56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</row>
    <row r="270" spans="1:40">
      <c r="A270" s="77"/>
      <c r="B270" s="68"/>
      <c r="C270" s="56"/>
      <c r="D270" s="56"/>
      <c r="E270" s="56"/>
      <c r="F270" s="56"/>
      <c r="G270" s="56"/>
      <c r="H270" s="56"/>
      <c r="I270" s="56"/>
      <c r="J270" s="56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</row>
    <row r="271" spans="1:40">
      <c r="A271" s="77"/>
      <c r="B271" s="56"/>
      <c r="C271" s="69"/>
      <c r="D271" s="56"/>
      <c r="E271" s="56"/>
      <c r="F271" s="56"/>
      <c r="G271" s="56"/>
      <c r="H271" s="56"/>
      <c r="I271" s="56"/>
      <c r="J271" s="56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</row>
    <row r="272" spans="1:40">
      <c r="A272" s="77"/>
      <c r="B272" s="56"/>
      <c r="C272" s="56"/>
      <c r="D272" s="56"/>
      <c r="E272" s="56"/>
      <c r="F272" s="56"/>
      <c r="G272" s="56"/>
      <c r="H272" s="56"/>
      <c r="I272" s="56"/>
      <c r="J272" s="56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</row>
    <row r="273" spans="1:40">
      <c r="A273" s="77"/>
      <c r="B273" s="56"/>
      <c r="C273" s="56"/>
      <c r="D273" s="56"/>
      <c r="E273" s="56"/>
      <c r="F273" s="56"/>
      <c r="G273" s="56"/>
      <c r="H273" s="56"/>
      <c r="I273" s="56"/>
      <c r="J273" s="56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</row>
    <row r="274" spans="1:40">
      <c r="A274" s="77"/>
      <c r="B274" s="56"/>
      <c r="C274" s="56"/>
      <c r="D274" s="56"/>
      <c r="E274" s="56"/>
      <c r="F274" s="56"/>
      <c r="G274" s="56"/>
      <c r="H274" s="56"/>
      <c r="I274" s="56"/>
      <c r="J274" s="56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</row>
    <row r="275" spans="1:40">
      <c r="A275" s="77"/>
      <c r="B275" s="56"/>
      <c r="C275" s="56"/>
      <c r="D275" s="56"/>
      <c r="E275" s="56"/>
      <c r="F275" s="56"/>
      <c r="G275" s="56"/>
      <c r="H275" s="56"/>
      <c r="I275" s="56"/>
      <c r="J275" s="55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</row>
    <row r="276" spans="1:40">
      <c r="A276" s="77"/>
      <c r="B276" s="56"/>
      <c r="C276" s="56"/>
      <c r="D276" s="56"/>
      <c r="E276" s="56"/>
      <c r="F276" s="56"/>
      <c r="G276" s="56"/>
      <c r="H276" s="56"/>
      <c r="I276" s="56"/>
      <c r="J276" s="56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</row>
    <row r="277" spans="1:40">
      <c r="A277" s="77"/>
      <c r="B277" s="56"/>
      <c r="C277" s="56"/>
      <c r="D277" s="56"/>
      <c r="E277" s="56"/>
      <c r="G277" s="56"/>
      <c r="H277" s="56"/>
      <c r="I277" s="56"/>
      <c r="J277" s="56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</row>
    <row r="278" spans="1:40">
      <c r="A278" s="77"/>
      <c r="B278" s="56"/>
      <c r="C278" s="56"/>
      <c r="D278" s="56"/>
      <c r="E278" s="56"/>
      <c r="F278" s="56"/>
      <c r="G278" s="56"/>
      <c r="H278" s="56"/>
      <c r="I278" s="56"/>
      <c r="J278" s="56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</row>
    <row r="279" spans="1:40">
      <c r="A279" s="77"/>
      <c r="B279" s="56"/>
      <c r="C279" s="56"/>
      <c r="D279" s="56"/>
      <c r="E279" s="56"/>
      <c r="F279" s="56"/>
      <c r="G279" s="56"/>
      <c r="H279" s="56"/>
      <c r="I279" s="56"/>
      <c r="J279" s="56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</row>
    <row r="280" spans="1:40">
      <c r="A280" s="77"/>
      <c r="B280" s="56"/>
      <c r="C280" s="56"/>
      <c r="D280" s="56"/>
      <c r="E280" s="56"/>
      <c r="F280" s="56"/>
      <c r="G280" s="56"/>
      <c r="H280" s="56"/>
      <c r="I280" s="56"/>
      <c r="J280" s="56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</row>
    <row r="281" spans="1:40">
      <c r="A281" s="77"/>
      <c r="B281" s="56"/>
      <c r="C281" s="56"/>
      <c r="D281" s="56"/>
      <c r="E281" s="56"/>
      <c r="F281" s="56"/>
      <c r="G281" s="56"/>
      <c r="H281" s="56"/>
      <c r="I281" s="56"/>
      <c r="J281" s="56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</row>
    <row r="282" spans="1:40">
      <c r="A282" s="77"/>
      <c r="B282" s="56"/>
      <c r="C282" s="56"/>
      <c r="D282" s="56"/>
      <c r="E282" s="56"/>
      <c r="G282" s="56"/>
      <c r="H282" s="56"/>
      <c r="I282" s="56"/>
      <c r="J282" s="56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</row>
    <row r="283" spans="1:40">
      <c r="A283" s="77"/>
      <c r="B283" s="56"/>
      <c r="C283" s="56"/>
      <c r="D283" s="56"/>
      <c r="E283" s="56"/>
      <c r="G283" s="56"/>
      <c r="H283" s="56"/>
      <c r="I283" s="56"/>
      <c r="J283" s="56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</row>
    <row r="284" spans="1:40">
      <c r="A284" s="77"/>
      <c r="B284" s="56"/>
      <c r="C284" s="56"/>
      <c r="D284" s="56"/>
      <c r="E284" s="56"/>
      <c r="F284" s="56"/>
      <c r="G284" s="56"/>
      <c r="H284" s="56"/>
      <c r="I284" s="56"/>
      <c r="J284" s="56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</row>
    <row r="285" spans="1:40">
      <c r="A285" s="77"/>
      <c r="B285" s="56"/>
      <c r="C285" s="56"/>
      <c r="D285" s="56"/>
      <c r="E285" s="56"/>
      <c r="F285" s="56"/>
      <c r="G285" s="56"/>
      <c r="H285" s="56"/>
      <c r="I285" s="56"/>
      <c r="J285" s="56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</row>
    <row r="286" spans="1:40">
      <c r="A286" s="77"/>
      <c r="B286" s="56"/>
      <c r="C286" s="56"/>
      <c r="D286" s="56"/>
      <c r="E286" s="56"/>
      <c r="F286" s="56"/>
      <c r="G286" s="56"/>
      <c r="H286" s="56"/>
      <c r="I286" s="56"/>
      <c r="J286" s="56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</row>
    <row r="287" spans="1:40">
      <c r="A287" s="77"/>
      <c r="B287" s="56"/>
      <c r="C287" s="56"/>
      <c r="D287" s="56"/>
      <c r="E287" s="56"/>
      <c r="F287" s="56"/>
      <c r="G287" s="56"/>
      <c r="H287" s="56"/>
      <c r="I287" s="56"/>
      <c r="J287" s="56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</row>
    <row r="288" spans="1:40">
      <c r="A288" s="77"/>
      <c r="B288" s="56"/>
      <c r="C288" s="56"/>
      <c r="D288" s="56"/>
      <c r="E288" s="56"/>
      <c r="F288" s="56"/>
      <c r="G288" s="56"/>
      <c r="H288" s="56"/>
      <c r="I288" s="56"/>
      <c r="J288" s="56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</row>
    <row r="289" spans="1:40">
      <c r="A289" s="77"/>
      <c r="B289" s="56"/>
      <c r="C289" s="56"/>
      <c r="D289" s="56"/>
      <c r="E289" s="56"/>
      <c r="F289" s="56"/>
      <c r="G289" s="56"/>
      <c r="H289" s="56"/>
      <c r="I289" s="56"/>
      <c r="J289" s="56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</row>
    <row r="290" spans="1:40">
      <c r="A290" s="77"/>
      <c r="B290" s="56"/>
      <c r="C290" s="56"/>
      <c r="D290" s="56"/>
      <c r="E290" s="56"/>
      <c r="F290" s="56"/>
      <c r="G290" s="56"/>
      <c r="H290" s="56"/>
      <c r="I290" s="56"/>
      <c r="J290" s="56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</row>
    <row r="291" spans="1:40">
      <c r="A291" s="77"/>
      <c r="B291" s="56"/>
      <c r="C291" s="56"/>
      <c r="D291" s="56"/>
      <c r="E291" s="56"/>
      <c r="F291" s="56"/>
      <c r="G291" s="56"/>
      <c r="H291" s="56"/>
      <c r="I291" s="56"/>
      <c r="J291" s="56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</row>
    <row r="292" spans="1:40">
      <c r="A292" s="77"/>
      <c r="B292" s="56"/>
      <c r="C292" s="56"/>
      <c r="D292" s="56"/>
      <c r="E292" s="56"/>
      <c r="F292" s="56"/>
      <c r="G292" s="56"/>
      <c r="H292" s="56"/>
      <c r="I292" s="56"/>
      <c r="J292" s="56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</row>
    <row r="293" spans="1:40">
      <c r="A293" s="77"/>
      <c r="B293" s="56"/>
      <c r="C293" s="56"/>
      <c r="D293" s="56"/>
      <c r="E293" s="56"/>
      <c r="F293" s="56"/>
      <c r="G293" s="56"/>
      <c r="H293" s="56"/>
      <c r="I293" s="56"/>
      <c r="J293" s="56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</row>
    <row r="294" spans="1:40">
      <c r="A294" s="77"/>
      <c r="B294" s="56"/>
      <c r="C294" s="56"/>
      <c r="D294" s="56"/>
      <c r="E294" s="56"/>
      <c r="F294" s="56"/>
      <c r="G294" s="56"/>
      <c r="H294" s="56"/>
      <c r="I294" s="56"/>
      <c r="J294" s="56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</row>
    <row r="295" spans="1:40">
      <c r="A295" s="77"/>
      <c r="B295" s="56"/>
      <c r="C295" s="56"/>
      <c r="D295" s="56"/>
      <c r="E295" s="56"/>
      <c r="F295" s="56"/>
      <c r="G295" s="56"/>
      <c r="H295" s="56"/>
      <c r="I295" s="56"/>
      <c r="J295" s="56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</row>
    <row r="296" spans="1:40">
      <c r="A296" s="77"/>
      <c r="B296" s="56"/>
      <c r="C296" s="56"/>
      <c r="D296" s="56"/>
      <c r="E296" s="56"/>
      <c r="F296" s="56"/>
      <c r="G296" s="56"/>
      <c r="H296" s="56"/>
      <c r="I296" s="56"/>
      <c r="J296" s="56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</row>
    <row r="297" spans="1:40">
      <c r="A297" s="77"/>
      <c r="B297" s="56"/>
      <c r="C297" s="56"/>
      <c r="D297" s="56"/>
      <c r="E297" s="56"/>
      <c r="F297" s="56"/>
      <c r="G297" s="56"/>
      <c r="H297" s="56"/>
      <c r="I297" s="56"/>
      <c r="J297" s="56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</row>
    <row r="298" spans="1:40">
      <c r="A298" s="77"/>
      <c r="B298" s="56"/>
      <c r="C298" s="56"/>
      <c r="D298" s="56"/>
      <c r="E298" s="56"/>
      <c r="F298" s="56"/>
      <c r="G298" s="56"/>
      <c r="H298" s="56"/>
      <c r="I298" s="56"/>
      <c r="J298" s="56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</row>
    <row r="299" spans="1:40">
      <c r="A299" s="77"/>
      <c r="B299" s="56"/>
      <c r="C299" s="56"/>
      <c r="D299" s="56"/>
      <c r="E299" s="56"/>
      <c r="F299" s="56"/>
      <c r="G299" s="56"/>
      <c r="H299" s="56"/>
      <c r="I299" s="56"/>
      <c r="J299" s="56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</row>
    <row r="300" spans="1:40">
      <c r="A300" s="77"/>
      <c r="B300" s="56"/>
      <c r="C300" s="56"/>
      <c r="D300" s="56"/>
      <c r="E300" s="56"/>
      <c r="F300" s="56"/>
      <c r="G300" s="56"/>
      <c r="H300" s="56"/>
      <c r="I300" s="56"/>
      <c r="J300" s="56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</row>
    <row r="301" spans="1:40">
      <c r="A301" s="77"/>
      <c r="B301" s="56"/>
      <c r="C301" s="56"/>
      <c r="D301" s="56"/>
      <c r="E301" s="56"/>
      <c r="F301" s="56"/>
      <c r="G301" s="56"/>
      <c r="H301" s="56"/>
      <c r="I301" s="56"/>
      <c r="J301" s="56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</row>
    <row r="302" spans="1:40">
      <c r="A302" s="77"/>
      <c r="B302" s="56"/>
      <c r="C302" s="56"/>
      <c r="D302" s="56"/>
      <c r="E302" s="56"/>
      <c r="F302" s="56"/>
      <c r="G302" s="56"/>
      <c r="H302" s="56"/>
      <c r="I302" s="56"/>
      <c r="J302" s="56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</row>
    <row r="303" spans="1:40">
      <c r="A303" s="77"/>
      <c r="B303" s="56"/>
      <c r="C303" s="56"/>
      <c r="D303" s="56"/>
      <c r="E303" s="56"/>
      <c r="F303" s="56"/>
      <c r="G303" s="56"/>
      <c r="H303" s="56"/>
      <c r="I303" s="56"/>
      <c r="J303" s="56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</row>
    <row r="304" spans="1:40">
      <c r="A304" s="77"/>
      <c r="B304" s="56"/>
      <c r="C304" s="56"/>
      <c r="D304" s="56"/>
      <c r="E304" s="56"/>
      <c r="F304" s="56"/>
      <c r="G304" s="56"/>
      <c r="H304" s="56"/>
      <c r="I304" s="56"/>
      <c r="J304" s="56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</row>
    <row r="305" spans="1:40">
      <c r="A305" s="77"/>
      <c r="B305" s="56"/>
      <c r="C305" s="56"/>
      <c r="D305" s="56"/>
      <c r="E305" s="56"/>
      <c r="F305" s="56"/>
      <c r="G305" s="56"/>
      <c r="H305" s="56"/>
      <c r="I305" s="56"/>
      <c r="J305" s="56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</row>
    <row r="306" spans="1:40">
      <c r="A306" s="77"/>
      <c r="B306" s="56"/>
      <c r="C306" s="56"/>
      <c r="D306" s="56"/>
      <c r="E306" s="56"/>
      <c r="F306" s="56"/>
      <c r="G306" s="56"/>
      <c r="H306" s="56"/>
      <c r="I306" s="56"/>
      <c r="J306" s="56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</row>
    <row r="307" spans="1:40">
      <c r="A307" s="77"/>
      <c r="B307" s="56"/>
      <c r="C307" s="56"/>
      <c r="D307" s="56"/>
      <c r="E307" s="56"/>
      <c r="F307" s="56"/>
      <c r="G307" s="56"/>
      <c r="H307" s="56"/>
      <c r="I307" s="56"/>
      <c r="J307" s="56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</row>
    <row r="308" spans="1:40">
      <c r="A308" s="77"/>
      <c r="B308" s="56"/>
      <c r="C308" s="56"/>
      <c r="D308" s="56"/>
      <c r="E308" s="56"/>
      <c r="F308" s="56"/>
      <c r="G308" s="56"/>
      <c r="H308" s="56"/>
      <c r="I308" s="56"/>
      <c r="J308" s="56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</row>
    <row r="309" spans="1:40">
      <c r="A309" s="77"/>
      <c r="B309" s="56"/>
      <c r="C309" s="56"/>
      <c r="D309" s="56"/>
      <c r="E309" s="56"/>
      <c r="F309" s="56"/>
      <c r="G309" s="56"/>
      <c r="H309" s="56"/>
      <c r="I309" s="56"/>
      <c r="J309" s="56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</row>
  </sheetData>
  <autoFilter ref="A2:AN244" xr:uid="{E7DA99B9-FF92-4835-B6B4-78D166DF3698}"/>
  <mergeCells count="14">
    <mergeCell ref="F1:F2"/>
    <mergeCell ref="A1:A2"/>
    <mergeCell ref="B1:B2"/>
    <mergeCell ref="C1:C2"/>
    <mergeCell ref="D1:D2"/>
    <mergeCell ref="E1:E2"/>
    <mergeCell ref="W1:AJ1"/>
    <mergeCell ref="AK1:AN1"/>
    <mergeCell ref="G1:G2"/>
    <mergeCell ref="H1:H2"/>
    <mergeCell ref="I1:I2"/>
    <mergeCell ref="J1:J2"/>
    <mergeCell ref="K1:O1"/>
    <mergeCell ref="P1:V1"/>
  </mergeCells>
  <conditionalFormatting sqref="A1">
    <cfRule type="duplicateValues" dxfId="117" priority="182"/>
    <cfRule type="duplicateValues" dxfId="116" priority="181"/>
  </conditionalFormatting>
  <conditionalFormatting sqref="B1">
    <cfRule type="duplicateValues" dxfId="115" priority="179"/>
    <cfRule type="duplicateValues" dxfId="114" priority="180"/>
  </conditionalFormatting>
  <conditionalFormatting sqref="K239:K240">
    <cfRule type="cellIs" dxfId="113" priority="42" operator="equal">
      <formula>1</formula>
    </cfRule>
  </conditionalFormatting>
  <conditionalFormatting sqref="K160:L182">
    <cfRule type="cellIs" dxfId="112" priority="124" operator="equal">
      <formula>1</formula>
    </cfRule>
  </conditionalFormatting>
  <conditionalFormatting sqref="K233:N238">
    <cfRule type="cellIs" dxfId="111" priority="47" operator="equal">
      <formula>1</formula>
    </cfRule>
  </conditionalFormatting>
  <conditionalFormatting sqref="K241:N244">
    <cfRule type="cellIs" dxfId="110" priority="6" operator="equal">
      <formula>1</formula>
    </cfRule>
  </conditionalFormatting>
  <conditionalFormatting sqref="K128:O129">
    <cfRule type="cellIs" dxfId="109" priority="164" operator="equal">
      <formula>1</formula>
    </cfRule>
  </conditionalFormatting>
  <conditionalFormatting sqref="K147:O147">
    <cfRule type="cellIs" dxfId="108" priority="145" operator="equal">
      <formula>1</formula>
    </cfRule>
  </conditionalFormatting>
  <conditionalFormatting sqref="K183:O197">
    <cfRule type="cellIs" dxfId="107" priority="99" operator="equal">
      <formula>1</formula>
    </cfRule>
  </conditionalFormatting>
  <conditionalFormatting sqref="K112:U127">
    <cfRule type="cellIs" dxfId="106" priority="166" operator="equal">
      <formula>1</formula>
    </cfRule>
  </conditionalFormatting>
  <conditionalFormatting sqref="K148:U159">
    <cfRule type="cellIs" dxfId="105" priority="134" operator="equal">
      <formula>1</formula>
    </cfRule>
  </conditionalFormatting>
  <conditionalFormatting sqref="K198:V232">
    <cfRule type="cellIs" dxfId="104" priority="85" operator="equal">
      <formula>1</formula>
    </cfRule>
  </conditionalFormatting>
  <conditionalFormatting sqref="K111:AA111">
    <cfRule type="cellIs" dxfId="103" priority="175" operator="equal">
      <formula>1</formula>
    </cfRule>
  </conditionalFormatting>
  <conditionalFormatting sqref="K3:AN110 K130:L146 Q189:U190 W196:AF196 W198:AB198 X205:AB205 AB206 X222:X223 W224:X224 O241:O242 U242:U243 O243:Q244 K245:AN263 L264:AN309 K265:K309">
    <cfRule type="cellIs" dxfId="102" priority="149" operator="equal">
      <formula>1</formula>
    </cfRule>
  </conditionalFormatting>
  <conditionalFormatting sqref="L239:N239">
    <cfRule type="cellIs" dxfId="101" priority="41" operator="equal">
      <formula>1</formula>
    </cfRule>
  </conditionalFormatting>
  <conditionalFormatting sqref="L240:U240">
    <cfRule type="cellIs" dxfId="100" priority="33" operator="equal">
      <formula>1</formula>
    </cfRule>
  </conditionalFormatting>
  <conditionalFormatting sqref="M142:N143">
    <cfRule type="cellIs" dxfId="99" priority="153" operator="equal">
      <formula>1</formula>
    </cfRule>
  </conditionalFormatting>
  <conditionalFormatting sqref="M167:N182">
    <cfRule type="cellIs" dxfId="98" priority="125" operator="equal">
      <formula>1</formula>
    </cfRule>
  </conditionalFormatting>
  <conditionalFormatting sqref="M130:O141">
    <cfRule type="cellIs" dxfId="97" priority="155" operator="equal">
      <formula>1</formula>
    </cfRule>
  </conditionalFormatting>
  <conditionalFormatting sqref="M144:O146">
    <cfRule type="cellIs" dxfId="96" priority="148" operator="equal">
      <formula>1</formula>
    </cfRule>
  </conditionalFormatting>
  <conditionalFormatting sqref="M166:O166">
    <cfRule type="cellIs" dxfId="95" priority="132" operator="equal">
      <formula>1</formula>
    </cfRule>
  </conditionalFormatting>
  <conditionalFormatting sqref="M160:U165">
    <cfRule type="cellIs" dxfId="94" priority="133" operator="equal">
      <formula>1</formula>
    </cfRule>
  </conditionalFormatting>
  <conditionalFormatting sqref="O142 AB145:AC145 W146:AC146">
    <cfRule type="cellIs" dxfId="93" priority="176" operator="equal">
      <formula>1</formula>
    </cfRule>
  </conditionalFormatting>
  <conditionalFormatting sqref="O167:O170">
    <cfRule type="cellIs" dxfId="92" priority="131" operator="equal">
      <formula>1</formula>
    </cfRule>
  </conditionalFormatting>
  <conditionalFormatting sqref="O233:O239">
    <cfRule type="cellIs" dxfId="91" priority="59" operator="equal">
      <formula>1</formula>
    </cfRule>
  </conditionalFormatting>
  <conditionalFormatting sqref="O143:U143">
    <cfRule type="cellIs" dxfId="90" priority="152" operator="equal">
      <formula>1</formula>
    </cfRule>
  </conditionalFormatting>
  <conditionalFormatting sqref="O171:U182">
    <cfRule type="cellIs" dxfId="89" priority="123" operator="equal">
      <formula>1</formula>
    </cfRule>
  </conditionalFormatting>
  <conditionalFormatting sqref="P188:P190">
    <cfRule type="cellIs" dxfId="88" priority="100" operator="equal">
      <formula>1</formula>
    </cfRule>
  </conditionalFormatting>
  <conditionalFormatting sqref="P242:T242">
    <cfRule type="cellIs" dxfId="87" priority="17" operator="equal">
      <formula>1</formula>
    </cfRule>
  </conditionalFormatting>
  <conditionalFormatting sqref="P128:U133">
    <cfRule type="cellIs" dxfId="86" priority="162" operator="equal">
      <formula>1</formula>
    </cfRule>
  </conditionalFormatting>
  <conditionalFormatting sqref="P135:U142">
    <cfRule type="cellIs" dxfId="85" priority="154" operator="equal">
      <formula>1</formula>
    </cfRule>
  </conditionalFormatting>
  <conditionalFormatting sqref="P144:U147">
    <cfRule type="cellIs" dxfId="84" priority="144" operator="equal">
      <formula>1</formula>
    </cfRule>
  </conditionalFormatting>
  <conditionalFormatting sqref="P166:U170">
    <cfRule type="cellIs" dxfId="83" priority="130" operator="equal">
      <formula>1</formula>
    </cfRule>
  </conditionalFormatting>
  <conditionalFormatting sqref="P183:U186">
    <cfRule type="cellIs" dxfId="82" priority="117" operator="equal">
      <formula>1</formula>
    </cfRule>
  </conditionalFormatting>
  <conditionalFormatting sqref="P191:U196">
    <cfRule type="cellIs" dxfId="81" priority="104" operator="equal">
      <formula>1</formula>
    </cfRule>
  </conditionalFormatting>
  <conditionalFormatting sqref="P241:U241">
    <cfRule type="cellIs" dxfId="80" priority="21" operator="equal">
      <formula>1</formula>
    </cfRule>
  </conditionalFormatting>
  <conditionalFormatting sqref="P238:V239">
    <cfRule type="cellIs" dxfId="79" priority="40" operator="equal">
      <formula>1</formula>
    </cfRule>
  </conditionalFormatting>
  <conditionalFormatting sqref="P134:AA134">
    <cfRule type="cellIs" dxfId="78" priority="160" operator="equal">
      <formula>1</formula>
    </cfRule>
  </conditionalFormatting>
  <conditionalFormatting sqref="P187:AB187">
    <cfRule type="cellIs" dxfId="77" priority="114" operator="equal">
      <formula>1</formula>
    </cfRule>
  </conditionalFormatting>
  <conditionalFormatting sqref="P197:AB197">
    <cfRule type="cellIs" dxfId="76" priority="109" operator="equal">
      <formula>1</formula>
    </cfRule>
  </conditionalFormatting>
  <conditionalFormatting sqref="P234:AI237">
    <cfRule type="cellIs" dxfId="75" priority="49" operator="equal">
      <formula>1</formula>
    </cfRule>
  </conditionalFormatting>
  <conditionalFormatting sqref="P233:AK233">
    <cfRule type="cellIs" dxfId="74" priority="78" operator="equal">
      <formula>1</formula>
    </cfRule>
  </conditionalFormatting>
  <conditionalFormatting sqref="Q188:AJ188">
    <cfRule type="cellIs" dxfId="73" priority="98" operator="equal">
      <formula>1</formula>
    </cfRule>
  </conditionalFormatting>
  <conditionalFormatting sqref="R243:T243">
    <cfRule type="cellIs" dxfId="72" priority="12" operator="equal">
      <formula>1</formula>
    </cfRule>
  </conditionalFormatting>
  <conditionalFormatting sqref="R244:U244">
    <cfRule type="cellIs" dxfId="71" priority="5" operator="equal">
      <formula>1</formula>
    </cfRule>
  </conditionalFormatting>
  <conditionalFormatting sqref="V112:V133">
    <cfRule type="cellIs" dxfId="70" priority="163" operator="equal">
      <formula>1</formula>
    </cfRule>
  </conditionalFormatting>
  <conditionalFormatting sqref="V135:V186">
    <cfRule type="cellIs" dxfId="69" priority="116" operator="equal">
      <formula>1</formula>
    </cfRule>
  </conditionalFormatting>
  <conditionalFormatting sqref="V189:V196">
    <cfRule type="cellIs" dxfId="68" priority="111" operator="equal">
      <formula>1</formula>
    </cfRule>
  </conditionalFormatting>
  <conditionalFormatting sqref="V240:V244">
    <cfRule type="cellIs" dxfId="67" priority="32" operator="equal">
      <formula>1</formula>
    </cfRule>
  </conditionalFormatting>
  <conditionalFormatting sqref="W203:W223">
    <cfRule type="cellIs" dxfId="66" priority="90" operator="equal">
      <formula>1</formula>
    </cfRule>
  </conditionalFormatting>
  <conditionalFormatting sqref="W193:X195">
    <cfRule type="cellIs" dxfId="65" priority="110" operator="equal">
      <formula>1</formula>
    </cfRule>
  </conditionalFormatting>
  <conditionalFormatting sqref="W2:AA2">
    <cfRule type="cellIs" dxfId="64" priority="178" operator="equal">
      <formula>1</formula>
    </cfRule>
  </conditionalFormatting>
  <conditionalFormatting sqref="W112:AA116">
    <cfRule type="cellIs" dxfId="63" priority="174" operator="equal">
      <formula>1</formula>
    </cfRule>
  </conditionalFormatting>
  <conditionalFormatting sqref="W125:AA126">
    <cfRule type="cellIs" dxfId="62" priority="168" operator="equal">
      <formula>1</formula>
    </cfRule>
  </conditionalFormatting>
  <conditionalFormatting sqref="W129:AA133">
    <cfRule type="cellIs" dxfId="61" priority="161" operator="equal">
      <formula>1</formula>
    </cfRule>
  </conditionalFormatting>
  <conditionalFormatting sqref="W135:AA138">
    <cfRule type="cellIs" dxfId="60" priority="159" operator="equal">
      <formula>1</formula>
    </cfRule>
  </conditionalFormatting>
  <conditionalFormatting sqref="W140:AA145">
    <cfRule type="cellIs" dxfId="59" priority="150" operator="equal">
      <formula>1</formula>
    </cfRule>
  </conditionalFormatting>
  <conditionalFormatting sqref="W147:AA149">
    <cfRule type="cellIs" dxfId="58" priority="142" operator="equal">
      <formula>1</formula>
    </cfRule>
  </conditionalFormatting>
  <conditionalFormatting sqref="W152:AA157">
    <cfRule type="cellIs" dxfId="57" priority="136" operator="equal">
      <formula>1</formula>
    </cfRule>
  </conditionalFormatting>
  <conditionalFormatting sqref="W181:AA183">
    <cfRule type="cellIs" dxfId="56" priority="120" operator="equal">
      <formula>1</formula>
    </cfRule>
  </conditionalFormatting>
  <conditionalFormatting sqref="W192:AA192">
    <cfRule type="cellIs" dxfId="55" priority="112" operator="equal">
      <formula>1</formula>
    </cfRule>
  </conditionalFormatting>
  <conditionalFormatting sqref="W225:AA226">
    <cfRule type="cellIs" dxfId="54" priority="88" operator="equal">
      <formula>1</formula>
    </cfRule>
  </conditionalFormatting>
  <conditionalFormatting sqref="W185:AB186">
    <cfRule type="cellIs" dxfId="53" priority="115" operator="equal">
      <formula>1</formula>
    </cfRule>
  </conditionalFormatting>
  <conditionalFormatting sqref="W227:AF232">
    <cfRule type="cellIs" dxfId="52" priority="84" operator="equal">
      <formula>1</formula>
    </cfRule>
  </conditionalFormatting>
  <conditionalFormatting sqref="W238:AI244">
    <cfRule type="cellIs" dxfId="51" priority="2" operator="equal">
      <formula>1</formula>
    </cfRule>
  </conditionalFormatting>
  <conditionalFormatting sqref="W122:AJ124">
    <cfRule type="cellIs" dxfId="50" priority="171" operator="equal">
      <formula>1</formula>
    </cfRule>
  </conditionalFormatting>
  <conditionalFormatting sqref="W127:AJ128">
    <cfRule type="cellIs" dxfId="49" priority="165" operator="equal">
      <formula>1</formula>
    </cfRule>
  </conditionalFormatting>
  <conditionalFormatting sqref="W150:AJ151">
    <cfRule type="cellIs" dxfId="48" priority="140" operator="equal">
      <formula>1</formula>
    </cfRule>
  </conditionalFormatting>
  <conditionalFormatting sqref="W158:AJ170">
    <cfRule type="cellIs" dxfId="47" priority="129" operator="equal">
      <formula>1</formula>
    </cfRule>
  </conditionalFormatting>
  <conditionalFormatting sqref="W172:AJ180">
    <cfRule type="cellIs" dxfId="46" priority="126" operator="equal">
      <formula>1</formula>
    </cfRule>
  </conditionalFormatting>
  <conditionalFormatting sqref="W184:AJ184">
    <cfRule type="cellIs" dxfId="45" priority="118" operator="equal">
      <formula>1</formula>
    </cfRule>
  </conditionalFormatting>
  <conditionalFormatting sqref="W189:AJ191">
    <cfRule type="cellIs" dxfId="44" priority="108" operator="equal">
      <formula>1</formula>
    </cfRule>
  </conditionalFormatting>
  <conditionalFormatting sqref="W199:AJ202">
    <cfRule type="cellIs" dxfId="43" priority="101" operator="equal">
      <formula>1</formula>
    </cfRule>
  </conditionalFormatting>
  <conditionalFormatting sqref="W117:AN121">
    <cfRule type="cellIs" dxfId="42" priority="172" operator="equal">
      <formula>1</formula>
    </cfRule>
  </conditionalFormatting>
  <conditionalFormatting sqref="W139:AN139">
    <cfRule type="cellIs" dxfId="41" priority="156" operator="equal">
      <formula>1</formula>
    </cfRule>
  </conditionalFormatting>
  <conditionalFormatting sqref="W171:AN171">
    <cfRule type="cellIs" dxfId="40" priority="127" operator="equal">
      <formula>1</formula>
    </cfRule>
  </conditionalFormatting>
  <conditionalFormatting sqref="X206:AA221">
    <cfRule type="cellIs" dxfId="39" priority="91" operator="equal">
      <formula>1</formula>
    </cfRule>
  </conditionalFormatting>
  <conditionalFormatting sqref="X203:AJ204">
    <cfRule type="cellIs" dxfId="38" priority="96" operator="equal">
      <formula>1</formula>
    </cfRule>
  </conditionalFormatting>
  <conditionalFormatting sqref="Y193:AA194">
    <cfRule type="cellIs" dxfId="37" priority="107" operator="equal">
      <formula>1</formula>
    </cfRule>
  </conditionalFormatting>
  <conditionalFormatting sqref="Y222:AA224">
    <cfRule type="cellIs" dxfId="36" priority="89" operator="equal">
      <formula>1</formula>
    </cfRule>
  </conditionalFormatting>
  <conditionalFormatting sqref="Y195:AF195">
    <cfRule type="cellIs" dxfId="35" priority="105" operator="equal">
      <formula>1</formula>
    </cfRule>
  </conditionalFormatting>
  <conditionalFormatting sqref="AB207:AE226">
    <cfRule type="cellIs" dxfId="34" priority="86" operator="equal">
      <formula>1</formula>
    </cfRule>
  </conditionalFormatting>
  <conditionalFormatting sqref="AB125:AJ125">
    <cfRule type="cellIs" dxfId="33" priority="170" operator="equal">
      <formula>1</formula>
    </cfRule>
  </conditionalFormatting>
  <conditionalFormatting sqref="AB129:AJ138">
    <cfRule type="cellIs" dxfId="32" priority="158" operator="equal">
      <formula>1</formula>
    </cfRule>
  </conditionalFormatting>
  <conditionalFormatting sqref="AB140:AJ144">
    <cfRule type="cellIs" dxfId="31" priority="151" operator="equal">
      <formula>1</formula>
    </cfRule>
  </conditionalFormatting>
  <conditionalFormatting sqref="AB148:AJ149">
    <cfRule type="cellIs" dxfId="30" priority="141" operator="equal">
      <formula>1</formula>
    </cfRule>
  </conditionalFormatting>
  <conditionalFormatting sqref="AB152:AJ152">
    <cfRule type="cellIs" dxfId="29" priority="139" operator="equal">
      <formula>1</formula>
    </cfRule>
  </conditionalFormatting>
  <conditionalFormatting sqref="AB155:AJ157">
    <cfRule type="cellIs" dxfId="28" priority="135" operator="equal">
      <formula>1</formula>
    </cfRule>
  </conditionalFormatting>
  <conditionalFormatting sqref="AB181:AJ182">
    <cfRule type="cellIs" dxfId="27" priority="122" operator="equal">
      <formula>1</formula>
    </cfRule>
  </conditionalFormatting>
  <conditionalFormatting sqref="AB192:AJ194">
    <cfRule type="cellIs" dxfId="26" priority="106" operator="equal">
      <formula>1</formula>
    </cfRule>
  </conditionalFormatting>
  <conditionalFormatting sqref="AB111:AN116">
    <cfRule type="cellIs" dxfId="25" priority="173" operator="equal">
      <formula>1</formula>
    </cfRule>
  </conditionalFormatting>
  <conditionalFormatting sqref="AB126:AN126">
    <cfRule type="cellIs" dxfId="24" priority="167" operator="equal">
      <formula>1</formula>
    </cfRule>
  </conditionalFormatting>
  <conditionalFormatting sqref="AB147:AN147">
    <cfRule type="cellIs" dxfId="23" priority="143" operator="equal">
      <formula>1</formula>
    </cfRule>
  </conditionalFormatting>
  <conditionalFormatting sqref="AB153:AN154">
    <cfRule type="cellIs" dxfId="22" priority="137" operator="equal">
      <formula>1</formula>
    </cfRule>
  </conditionalFormatting>
  <conditionalFormatting sqref="AB183:AN183">
    <cfRule type="cellIs" dxfId="21" priority="119" operator="equal">
      <formula>1</formula>
    </cfRule>
  </conditionalFormatting>
  <conditionalFormatting sqref="AC205:AE206">
    <cfRule type="cellIs" dxfId="20" priority="95" operator="equal">
      <formula>1</formula>
    </cfRule>
  </conditionalFormatting>
  <conditionalFormatting sqref="AC185:AJ187">
    <cfRule type="cellIs" dxfId="19" priority="113" operator="equal">
      <formula>1</formula>
    </cfRule>
  </conditionalFormatting>
  <conditionalFormatting sqref="AC197:AJ198">
    <cfRule type="cellIs" dxfId="18" priority="102" operator="equal">
      <formula>1</formula>
    </cfRule>
  </conditionalFormatting>
  <conditionalFormatting sqref="AD2:AJ2">
    <cfRule type="cellIs" dxfId="17" priority="177" operator="equal">
      <formula>1</formula>
    </cfRule>
  </conditionalFormatting>
  <conditionalFormatting sqref="AD145:AJ146">
    <cfRule type="cellIs" dxfId="16" priority="147" operator="equal">
      <formula>1</formula>
    </cfRule>
  </conditionalFormatting>
  <conditionalFormatting sqref="AF205:AF226">
    <cfRule type="cellIs" dxfId="15" priority="87" operator="equal">
      <formula>1</formula>
    </cfRule>
  </conditionalFormatting>
  <conditionalFormatting sqref="AG210:AI232">
    <cfRule type="cellIs" dxfId="14" priority="83" operator="equal">
      <formula>1</formula>
    </cfRule>
  </conditionalFormatting>
  <conditionalFormatting sqref="AG195:AJ196">
    <cfRule type="cellIs" dxfId="13" priority="103" operator="equal">
      <formula>1</formula>
    </cfRule>
  </conditionalFormatting>
  <conditionalFormatting sqref="AG205:AJ209">
    <cfRule type="cellIs" dxfId="12" priority="94" operator="equal">
      <formula>1</formula>
    </cfRule>
  </conditionalFormatting>
  <conditionalFormatting sqref="AJ210:AJ212">
    <cfRule type="cellIs" dxfId="11" priority="93" operator="equal">
      <formula>1</formula>
    </cfRule>
  </conditionalFormatting>
  <conditionalFormatting sqref="AJ213:AK232">
    <cfRule type="cellIs" dxfId="10" priority="82" operator="equal">
      <formula>1</formula>
    </cfRule>
  </conditionalFormatting>
  <conditionalFormatting sqref="AJ234:AK244">
    <cfRule type="cellIs" dxfId="9" priority="8" operator="equal">
      <formula>1</formula>
    </cfRule>
  </conditionalFormatting>
  <conditionalFormatting sqref="AK192:AK212">
    <cfRule type="cellIs" dxfId="8" priority="92" operator="equal">
      <formula>1</formula>
    </cfRule>
  </conditionalFormatting>
  <conditionalFormatting sqref="AK122:AN125">
    <cfRule type="cellIs" dxfId="7" priority="169" operator="equal">
      <formula>1</formula>
    </cfRule>
  </conditionalFormatting>
  <conditionalFormatting sqref="AK127:AN138">
    <cfRule type="cellIs" dxfId="6" priority="157" operator="equal">
      <formula>1</formula>
    </cfRule>
  </conditionalFormatting>
  <conditionalFormatting sqref="AK140:AN146">
    <cfRule type="cellIs" dxfId="5" priority="146" operator="equal">
      <formula>1</formula>
    </cfRule>
  </conditionalFormatting>
  <conditionalFormatting sqref="AK148:AN152">
    <cfRule type="cellIs" dxfId="4" priority="138" operator="equal">
      <formula>1</formula>
    </cfRule>
  </conditionalFormatting>
  <conditionalFormatting sqref="AK155:AN170">
    <cfRule type="cellIs" dxfId="3" priority="128" operator="equal">
      <formula>1</formula>
    </cfRule>
  </conditionalFormatting>
  <conditionalFormatting sqref="AK172:AN182">
    <cfRule type="cellIs" dxfId="2" priority="121" operator="equal">
      <formula>1</formula>
    </cfRule>
  </conditionalFormatting>
  <conditionalFormatting sqref="AK184:AN191">
    <cfRule type="cellIs" dxfId="1" priority="97" operator="equal">
      <formula>1</formula>
    </cfRule>
  </conditionalFormatting>
  <conditionalFormatting sqref="AL192:AN244">
    <cfRule type="cellIs" dxfId="0" priority="1" operator="equal">
      <formula>1</formula>
    </cfRule>
  </conditionalFormatting>
  <pageMargins left="0.7" right="0.7" top="0.78740157499999996" bottom="0.78740157499999996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79D6B-7D59-4962-A104-EA37839DB87D}">
  <sheetPr filterMode="1">
    <tabColor theme="5" tint="0.39997558519241921"/>
  </sheetPr>
  <dimension ref="A1:AE4381"/>
  <sheetViews>
    <sheetView tabSelected="1" zoomScale="70" zoomScaleNormal="70" workbookViewId="0">
      <pane ySplit="1" topLeftCell="A82" activePane="bottomLeft" state="frozen"/>
      <selection pane="bottomLeft" activeCell="G92" sqref="G92"/>
    </sheetView>
  </sheetViews>
  <sheetFormatPr defaultRowHeight="15"/>
  <cols>
    <col min="1" max="1" width="20.28515625" customWidth="1"/>
    <col min="2" max="2" width="12.85546875" style="1" customWidth="1"/>
    <col min="3" max="6" width="6.7109375" style="3" customWidth="1"/>
    <col min="7" max="7" width="25.5703125" customWidth="1"/>
    <col min="8" max="8" width="26.7109375" customWidth="1"/>
    <col min="9" max="9" width="14.7109375" style="7" customWidth="1"/>
    <col min="10" max="10" width="37.140625" style="7" customWidth="1"/>
  </cols>
  <sheetData>
    <row r="1" spans="1:10" s="30" customFormat="1" ht="15.75">
      <c r="A1" s="26" t="s">
        <v>311</v>
      </c>
      <c r="B1" s="27" t="s">
        <v>312</v>
      </c>
      <c r="C1" s="28" t="s">
        <v>158</v>
      </c>
      <c r="D1" s="28" t="s">
        <v>191</v>
      </c>
      <c r="E1" s="28" t="s">
        <v>313</v>
      </c>
      <c r="F1" s="28" t="s">
        <v>136</v>
      </c>
      <c r="G1" s="26" t="s">
        <v>314</v>
      </c>
      <c r="H1" s="26" t="s">
        <v>315</v>
      </c>
      <c r="I1" s="29" t="s">
        <v>316</v>
      </c>
      <c r="J1" s="29" t="s">
        <v>317</v>
      </c>
    </row>
    <row r="2" spans="1:10" ht="14.45" hidden="1" customHeight="1">
      <c r="A2" t="s">
        <v>318</v>
      </c>
      <c r="B2" s="14" t="str">
        <f>HYPERLINK("https://www.ncbi.nlm.nih.gov/pubmed/22461451","22461451")</f>
        <v>22461451</v>
      </c>
      <c r="C2" s="12"/>
      <c r="G2" t="s">
        <v>319</v>
      </c>
      <c r="H2" s="7" t="s">
        <v>320</v>
      </c>
      <c r="I2" s="23" t="s">
        <v>321</v>
      </c>
      <c r="J2" s="7" t="s">
        <v>322</v>
      </c>
    </row>
    <row r="3" spans="1:10" ht="14.45" hidden="1" customHeight="1">
      <c r="A3" t="s">
        <v>318</v>
      </c>
      <c r="B3" s="13" t="str">
        <f>HYPERLINK("https://www.ncbi.nlm.nih.gov/pubmed/23591565","23591565")</f>
        <v>23591565</v>
      </c>
      <c r="C3" s="9"/>
      <c r="F3" s="9"/>
      <c r="G3" t="s">
        <v>319</v>
      </c>
      <c r="H3" s="7" t="s">
        <v>320</v>
      </c>
      <c r="J3" s="7" t="s">
        <v>323</v>
      </c>
    </row>
    <row r="4" spans="1:10" ht="14.45" hidden="1" customHeight="1">
      <c r="A4" t="s">
        <v>318</v>
      </c>
      <c r="B4" s="13" t="str">
        <f>HYPERLINK("https://www.ncbi.nlm.nih.gov/pubmed/26377646","26377646")</f>
        <v>26377646</v>
      </c>
      <c r="C4" s="12"/>
      <c r="F4" s="12"/>
      <c r="G4" t="s">
        <v>319</v>
      </c>
      <c r="H4" s="7" t="s">
        <v>320</v>
      </c>
      <c r="I4" s="23" t="s">
        <v>324</v>
      </c>
      <c r="J4" s="7" t="s">
        <v>325</v>
      </c>
    </row>
    <row r="5" spans="1:10" ht="14.45" hidden="1" customHeight="1">
      <c r="A5" t="s">
        <v>318</v>
      </c>
      <c r="B5" s="14" t="str">
        <f>HYPERLINK("https://www.ncbi.nlm.nih.gov/pubmed/20087668","20087668")</f>
        <v>20087668</v>
      </c>
      <c r="C5" s="9"/>
      <c r="E5" s="9"/>
      <c r="G5" t="s">
        <v>267</v>
      </c>
      <c r="H5" t="s">
        <v>326</v>
      </c>
      <c r="J5" s="7" t="s">
        <v>327</v>
      </c>
    </row>
    <row r="6" spans="1:10" ht="14.45" hidden="1" customHeight="1">
      <c r="A6" t="s">
        <v>318</v>
      </c>
      <c r="B6" s="13" t="str">
        <f>HYPERLINK("https://www.ncbi.nlm.nih.gov/pubmed/20890769","20890769")</f>
        <v>20890769</v>
      </c>
      <c r="C6" s="9"/>
      <c r="E6" s="9"/>
      <c r="G6" t="s">
        <v>267</v>
      </c>
      <c r="H6" t="s">
        <v>326</v>
      </c>
      <c r="J6" s="7" t="s">
        <v>328</v>
      </c>
    </row>
    <row r="7" spans="1:10" ht="14.45" hidden="1" customHeight="1">
      <c r="A7" t="s">
        <v>318</v>
      </c>
      <c r="B7" s="14" t="str">
        <f>HYPERLINK("https://www.ncbi.nlm.nih.gov/pubmed/20890769","20890769")</f>
        <v>20890769</v>
      </c>
      <c r="C7" s="9"/>
      <c r="E7" s="9"/>
      <c r="G7" t="s">
        <v>267</v>
      </c>
      <c r="H7" t="s">
        <v>326</v>
      </c>
      <c r="J7" s="7" t="s">
        <v>329</v>
      </c>
    </row>
    <row r="8" spans="1:10" ht="14.45" hidden="1" customHeight="1">
      <c r="A8" t="s">
        <v>318</v>
      </c>
      <c r="B8" s="14" t="str">
        <f>HYPERLINK("https://www.ncbi.nlm.nih.gov/pubmed/20890769","20890769")</f>
        <v>20890769</v>
      </c>
      <c r="C8" s="9"/>
      <c r="E8" s="9"/>
      <c r="G8" t="s">
        <v>267</v>
      </c>
      <c r="H8" t="s">
        <v>326</v>
      </c>
      <c r="J8" s="7" t="s">
        <v>330</v>
      </c>
    </row>
    <row r="9" spans="1:10" ht="14.45" hidden="1" customHeight="1">
      <c r="A9" t="s">
        <v>318</v>
      </c>
      <c r="B9" s="14" t="str">
        <f>HYPERLINK("https://www.ncbi.nlm.nih.gov/pubmed/20890769","20890769")</f>
        <v>20890769</v>
      </c>
      <c r="C9" s="11"/>
      <c r="E9" s="9"/>
      <c r="G9" t="s">
        <v>267</v>
      </c>
      <c r="H9" t="s">
        <v>326</v>
      </c>
      <c r="J9" s="7" t="s">
        <v>331</v>
      </c>
    </row>
    <row r="10" spans="1:10" ht="14.45" hidden="1" customHeight="1">
      <c r="A10" t="s">
        <v>318</v>
      </c>
      <c r="B10" s="14" t="str">
        <f>HYPERLINK("https://www.ncbi.nlm.nih.gov/pubmed/20890769","20890769")</f>
        <v>20890769</v>
      </c>
      <c r="C10" s="11"/>
      <c r="E10" s="9"/>
      <c r="G10" t="s">
        <v>267</v>
      </c>
      <c r="H10" t="s">
        <v>326</v>
      </c>
      <c r="J10" s="7" t="s">
        <v>332</v>
      </c>
    </row>
    <row r="11" spans="1:10" ht="14.45" hidden="1" customHeight="1">
      <c r="A11" t="s">
        <v>318</v>
      </c>
      <c r="B11" s="13" t="str">
        <f>HYPERLINK("https://www.ncbi.nlm.nih.gov/pubmed/21126571","21126571")</f>
        <v>21126571</v>
      </c>
      <c r="E11" s="9"/>
      <c r="F11" s="9"/>
      <c r="G11" t="s">
        <v>267</v>
      </c>
      <c r="H11" t="s">
        <v>326</v>
      </c>
      <c r="J11" s="7" t="s">
        <v>333</v>
      </c>
    </row>
    <row r="12" spans="1:10" ht="15" hidden="1" customHeight="1">
      <c r="A12" t="s">
        <v>318</v>
      </c>
      <c r="B12" s="13" t="str">
        <f>HYPERLINK("https://www.ncbi.nlm.nih.gov/pubmed/24486430","24486430")</f>
        <v>24486430</v>
      </c>
      <c r="E12" s="9"/>
      <c r="G12" t="s">
        <v>267</v>
      </c>
      <c r="H12" t="s">
        <v>326</v>
      </c>
      <c r="J12" s="7" t="s">
        <v>334</v>
      </c>
    </row>
    <row r="13" spans="1:10" hidden="1">
      <c r="A13" t="s">
        <v>318</v>
      </c>
      <c r="B13" s="13" t="str">
        <f>HYPERLINK("https://www.ncbi.nlm.nih.gov/pubmed/24928889","24928889")</f>
        <v>24928889</v>
      </c>
      <c r="C13" s="9"/>
      <c r="D13" s="44"/>
      <c r="E13" s="9"/>
      <c r="F13" s="9"/>
      <c r="G13" t="s">
        <v>267</v>
      </c>
      <c r="H13" t="s">
        <v>326</v>
      </c>
      <c r="J13" s="7" t="s">
        <v>335</v>
      </c>
    </row>
    <row r="14" spans="1:10" hidden="1">
      <c r="A14" t="s">
        <v>318</v>
      </c>
      <c r="B14" s="13" t="str">
        <f>HYPERLINK("https://www.ncbi.nlm.nih.gov/pubmed/28936609","28936609")</f>
        <v>28936609</v>
      </c>
      <c r="C14" s="9"/>
      <c r="E14" s="9"/>
      <c r="G14" t="s">
        <v>267</v>
      </c>
      <c r="H14" t="s">
        <v>326</v>
      </c>
      <c r="J14" s="7" t="s">
        <v>336</v>
      </c>
    </row>
    <row r="15" spans="1:10" hidden="1">
      <c r="A15" t="s">
        <v>318</v>
      </c>
      <c r="B15" s="13" t="str">
        <f>HYPERLINK("https://www.ncbi.nlm.nih.gov/pubmed/29216406","29216406")</f>
        <v>29216406</v>
      </c>
      <c r="C15" s="9"/>
      <c r="D15" s="80"/>
      <c r="E15" s="4"/>
      <c r="F15" s="9"/>
      <c r="G15" t="s">
        <v>267</v>
      </c>
      <c r="H15" t="s">
        <v>326</v>
      </c>
      <c r="I15" s="24" t="s">
        <v>337</v>
      </c>
      <c r="J15" s="7" t="s">
        <v>338</v>
      </c>
    </row>
    <row r="16" spans="1:10" hidden="1">
      <c r="A16" t="s">
        <v>318</v>
      </c>
      <c r="B16" s="13" t="str">
        <f>HYPERLINK("https://www.ncbi.nlm.nih.gov/pubmed/12128101","12128101")</f>
        <v>12128101</v>
      </c>
      <c r="C16" s="10"/>
      <c r="G16" t="s">
        <v>213</v>
      </c>
      <c r="H16" t="s">
        <v>339</v>
      </c>
      <c r="I16" s="24" t="s">
        <v>340</v>
      </c>
      <c r="J16" s="7" t="s">
        <v>341</v>
      </c>
    </row>
    <row r="17" spans="1:10" hidden="1">
      <c r="A17" t="s">
        <v>318</v>
      </c>
      <c r="B17" s="13" t="str">
        <f>HYPERLINK("https://www.ncbi.nlm.nih.gov/pubmed/20667998","20667998")</f>
        <v>20667998</v>
      </c>
      <c r="C17" s="9"/>
      <c r="F17" s="12"/>
      <c r="G17" t="s">
        <v>213</v>
      </c>
      <c r="H17" t="s">
        <v>339</v>
      </c>
      <c r="I17" s="23" t="s">
        <v>321</v>
      </c>
      <c r="J17" s="7" t="s">
        <v>342</v>
      </c>
    </row>
    <row r="18" spans="1:10" hidden="1">
      <c r="A18" t="s">
        <v>318</v>
      </c>
      <c r="B18" s="13" t="str">
        <f>HYPERLINK("https://www.ncbi.nlm.nih.gov/pubmed/23022511","23022511")</f>
        <v>23022511</v>
      </c>
      <c r="C18" s="9"/>
      <c r="G18" t="s">
        <v>213</v>
      </c>
      <c r="H18" t="s">
        <v>339</v>
      </c>
      <c r="I18" s="24" t="s">
        <v>343</v>
      </c>
      <c r="J18" s="7" t="s">
        <v>344</v>
      </c>
    </row>
    <row r="19" spans="1:10" hidden="1">
      <c r="A19" t="s">
        <v>318</v>
      </c>
      <c r="B19" s="13" t="str">
        <f>HYPERLINK("https://www.ncbi.nlm.nih.gov/pubmed/27554787","27554787")</f>
        <v>27554787</v>
      </c>
      <c r="C19" s="38"/>
      <c r="G19" t="s">
        <v>213</v>
      </c>
      <c r="H19" t="s">
        <v>339</v>
      </c>
      <c r="I19" s="23" t="s">
        <v>321</v>
      </c>
      <c r="J19" s="46" t="s">
        <v>345</v>
      </c>
    </row>
    <row r="20" spans="1:10" ht="18" hidden="1" customHeight="1">
      <c r="A20" t="s">
        <v>346</v>
      </c>
      <c r="B20" s="14" t="str">
        <f>HYPERLINK("https://www.ncbi.nlm.nih.gov/pubmed/20890769","20890769")</f>
        <v>20890769</v>
      </c>
      <c r="C20" s="11"/>
      <c r="E20" s="11"/>
      <c r="G20" t="s">
        <v>267</v>
      </c>
      <c r="H20" t="s">
        <v>326</v>
      </c>
      <c r="J20" s="7" t="s">
        <v>347</v>
      </c>
    </row>
    <row r="21" spans="1:10" ht="14.45" hidden="1" customHeight="1">
      <c r="A21" t="s">
        <v>346</v>
      </c>
      <c r="B21" s="14" t="str">
        <f>HYPERLINK("https://www.ncbi.nlm.nih.gov/pubmed/20890769","20890769")</f>
        <v>20890769</v>
      </c>
      <c r="C21" s="11"/>
      <c r="E21" s="11"/>
      <c r="G21" t="s">
        <v>267</v>
      </c>
      <c r="H21" t="s">
        <v>326</v>
      </c>
      <c r="J21" s="7" t="s">
        <v>348</v>
      </c>
    </row>
    <row r="22" spans="1:10" ht="14.45" hidden="1" customHeight="1">
      <c r="A22" t="s">
        <v>346</v>
      </c>
      <c r="B22" s="14" t="str">
        <f>HYPERLINK("https://www.ncbi.nlm.nih.gov/pubmed/20890769","20890769")</f>
        <v>20890769</v>
      </c>
      <c r="C22" s="11"/>
      <c r="E22" s="11"/>
      <c r="G22" t="s">
        <v>267</v>
      </c>
      <c r="H22" t="s">
        <v>326</v>
      </c>
      <c r="J22" s="7" t="s">
        <v>349</v>
      </c>
    </row>
    <row r="23" spans="1:10" ht="14.45" hidden="1" customHeight="1">
      <c r="A23" t="s">
        <v>346</v>
      </c>
      <c r="B23" s="14" t="str">
        <f>HYPERLINK("https://www.ncbi.nlm.nih.gov/pubmed/20890769","20890769")</f>
        <v>20890769</v>
      </c>
      <c r="C23" s="11"/>
      <c r="E23" s="11"/>
      <c r="G23" t="s">
        <v>267</v>
      </c>
      <c r="H23" t="s">
        <v>326</v>
      </c>
      <c r="J23" s="7" t="s">
        <v>350</v>
      </c>
    </row>
    <row r="24" spans="1:10" ht="14.45" hidden="1" customHeight="1">
      <c r="A24" t="s">
        <v>346</v>
      </c>
      <c r="B24" s="14" t="str">
        <f>HYPERLINK("https://www.ncbi.nlm.nih.gov/pubmed/20890769","20890769")</f>
        <v>20890769</v>
      </c>
      <c r="C24" s="11"/>
      <c r="E24" s="11"/>
      <c r="G24" t="s">
        <v>267</v>
      </c>
      <c r="H24" t="s">
        <v>326</v>
      </c>
      <c r="J24" s="7" t="s">
        <v>351</v>
      </c>
    </row>
    <row r="25" spans="1:10" ht="14.45" hidden="1" customHeight="1">
      <c r="A25" t="s">
        <v>346</v>
      </c>
      <c r="B25" s="14" t="str">
        <f>HYPERLINK("https://www.ncbi.nlm.nih.gov/pubmed/29216406","29216406")</f>
        <v>29216406</v>
      </c>
      <c r="C25" s="11"/>
      <c r="D25" s="11"/>
      <c r="E25" s="81"/>
      <c r="F25" s="11"/>
      <c r="G25" t="s">
        <v>267</v>
      </c>
      <c r="H25" t="s">
        <v>326</v>
      </c>
      <c r="I25" s="24" t="s">
        <v>337</v>
      </c>
      <c r="J25" s="50" t="s">
        <v>352</v>
      </c>
    </row>
    <row r="26" spans="1:10" ht="14.45" hidden="1" customHeight="1">
      <c r="A26" t="s">
        <v>31</v>
      </c>
      <c r="B26" s="14" t="str">
        <f>HYPERLINK("https://www.ncbi.nlm.nih.gov/pubmed/20890769","20890769")</f>
        <v>20890769</v>
      </c>
      <c r="C26" s="10"/>
      <c r="E26" s="9"/>
      <c r="G26" t="s">
        <v>267</v>
      </c>
      <c r="H26" t="s">
        <v>326</v>
      </c>
      <c r="J26" s="7" t="s">
        <v>353</v>
      </c>
    </row>
    <row r="27" spans="1:10" ht="14.45" hidden="1" customHeight="1">
      <c r="A27" t="s">
        <v>31</v>
      </c>
      <c r="B27" s="14" t="str">
        <f>HYPERLINK("https://www.ncbi.nlm.nih.gov/pubmed/20890769","20890769")</f>
        <v>20890769</v>
      </c>
      <c r="C27" s="10"/>
      <c r="E27" s="9"/>
      <c r="G27" t="s">
        <v>267</v>
      </c>
      <c r="H27" t="s">
        <v>326</v>
      </c>
      <c r="J27" s="7" t="s">
        <v>354</v>
      </c>
    </row>
    <row r="28" spans="1:10" ht="14.45" hidden="1" customHeight="1">
      <c r="A28" t="s">
        <v>31</v>
      </c>
      <c r="B28" s="13" t="str">
        <f>HYPERLINK("https://www.ncbi.nlm.nih.gov/pubmed/21427057","21427057")</f>
        <v>21427057</v>
      </c>
      <c r="C28" s="10"/>
      <c r="D28" s="10"/>
      <c r="E28" s="9"/>
      <c r="F28" s="9"/>
      <c r="G28" t="s">
        <v>267</v>
      </c>
      <c r="H28" t="s">
        <v>326</v>
      </c>
      <c r="J28" s="7" t="s">
        <v>355</v>
      </c>
    </row>
    <row r="29" spans="1:10" ht="14.45" hidden="1" customHeight="1">
      <c r="A29" t="s">
        <v>31</v>
      </c>
      <c r="B29" s="13" t="str">
        <f>HYPERLINK("https://www.ncbi.nlm.nih.gov/pubmed/22554500","22554500")</f>
        <v>22554500</v>
      </c>
      <c r="C29" s="9"/>
      <c r="E29" s="9"/>
      <c r="G29" t="s">
        <v>267</v>
      </c>
      <c r="H29" t="s">
        <v>326</v>
      </c>
      <c r="J29" s="7" t="s">
        <v>356</v>
      </c>
    </row>
    <row r="30" spans="1:10" ht="14.45" hidden="1" customHeight="1">
      <c r="A30" t="s">
        <v>31</v>
      </c>
      <c r="B30" s="13" t="str">
        <f>HYPERLINK("https://www.ncbi.nlm.nih.gov/pubmed/23990906","23990906")</f>
        <v>23990906</v>
      </c>
      <c r="C30" s="10"/>
      <c r="E30" s="9"/>
      <c r="F30" s="11"/>
      <c r="G30" t="s">
        <v>267</v>
      </c>
      <c r="H30" t="s">
        <v>326</v>
      </c>
      <c r="J30" s="7" t="s">
        <v>357</v>
      </c>
    </row>
    <row r="31" spans="1:10" ht="14.45" hidden="1" customHeight="1">
      <c r="A31" t="s">
        <v>31</v>
      </c>
      <c r="B31" s="14" t="str">
        <f>HYPERLINK("https://www.ncbi.nlm.nih.gov/pubmed/24928889","24928889")</f>
        <v>24928889</v>
      </c>
      <c r="C31" s="10"/>
      <c r="D31" s="10"/>
      <c r="E31" s="9"/>
      <c r="F31" s="9"/>
      <c r="G31" t="s">
        <v>267</v>
      </c>
      <c r="H31" t="s">
        <v>326</v>
      </c>
      <c r="J31" s="7" t="s">
        <v>358</v>
      </c>
    </row>
    <row r="32" spans="1:10" ht="14.45" hidden="1" customHeight="1">
      <c r="A32" t="s">
        <v>31</v>
      </c>
      <c r="B32" s="13" t="str">
        <f>HYPERLINK("https://www.ncbi.nlm.nih.gov/pubmed/25579646","25579646")</f>
        <v>25579646</v>
      </c>
      <c r="C32" s="10"/>
      <c r="E32" s="9"/>
      <c r="G32" t="s">
        <v>267</v>
      </c>
      <c r="H32" t="s">
        <v>326</v>
      </c>
      <c r="J32" s="7" t="s">
        <v>359</v>
      </c>
    </row>
    <row r="33" spans="1:12" ht="14.45" hidden="1" customHeight="1">
      <c r="A33" t="s">
        <v>31</v>
      </c>
      <c r="B33" s="13" t="str">
        <f>HYPERLINK("https://www.ncbi.nlm.nih.gov/pubmed/38276253","38276253")</f>
        <v>38276253</v>
      </c>
      <c r="C33" s="10"/>
      <c r="E33" s="12"/>
      <c r="F33" s="12"/>
      <c r="G33" t="s">
        <v>267</v>
      </c>
      <c r="H33" t="s">
        <v>326</v>
      </c>
      <c r="J33" s="7" t="s">
        <v>360</v>
      </c>
    </row>
    <row r="34" spans="1:12" ht="14.45" hidden="1" customHeight="1">
      <c r="A34" t="s">
        <v>31</v>
      </c>
      <c r="B34" s="13" t="str">
        <f>HYPERLINK("https://www.ncbi.nlm.nih.gov/pubmed/38966215","38966215")</f>
        <v>38966215</v>
      </c>
      <c r="C34" s="10"/>
      <c r="D34" s="10"/>
      <c r="E34" s="9"/>
      <c r="F34" s="10"/>
      <c r="G34" t="s">
        <v>267</v>
      </c>
      <c r="H34" t="s">
        <v>326</v>
      </c>
      <c r="J34" s="7" t="s">
        <v>361</v>
      </c>
    </row>
    <row r="35" spans="1:12" ht="14.45" hidden="1" customHeight="1">
      <c r="A35" t="s">
        <v>31</v>
      </c>
      <c r="B35" s="13" t="str">
        <f>HYPERLINK("https://www.ncbi.nlm.nih.gov/pubmed/24014645","24014645")</f>
        <v>24014645</v>
      </c>
      <c r="C35" s="9"/>
      <c r="G35" t="s">
        <v>292</v>
      </c>
      <c r="H35" s="7" t="s">
        <v>320</v>
      </c>
      <c r="J35" s="7" t="s">
        <v>362</v>
      </c>
    </row>
    <row r="36" spans="1:12" ht="12" hidden="1" customHeight="1">
      <c r="A36" t="s">
        <v>31</v>
      </c>
      <c r="B36" s="13" t="str">
        <f>HYPERLINK("https://www.ncbi.nlm.nih.gov/pubmed/28697429","28697429")</f>
        <v>28697429</v>
      </c>
      <c r="C36" s="10"/>
      <c r="E36" s="9"/>
      <c r="G36" t="s">
        <v>292</v>
      </c>
      <c r="H36" s="7" t="s">
        <v>320</v>
      </c>
      <c r="J36" s="7" t="s">
        <v>363</v>
      </c>
    </row>
    <row r="37" spans="1:12" hidden="1">
      <c r="A37" t="s">
        <v>31</v>
      </c>
      <c r="B37" s="13" t="str">
        <f>HYPERLINK("https://www.ncbi.nlm.nih.gov/pubmed/31126612","31126612")</f>
        <v>31126612</v>
      </c>
      <c r="F37" s="11"/>
      <c r="G37" t="s">
        <v>292</v>
      </c>
      <c r="H37" s="7" t="s">
        <v>320</v>
      </c>
      <c r="J37" s="7" t="s">
        <v>364</v>
      </c>
    </row>
    <row r="38" spans="1:12" hidden="1">
      <c r="A38" t="s">
        <v>31</v>
      </c>
      <c r="B38" s="13" t="str">
        <f>HYPERLINK("https://www.ncbi.nlm.nih.gov/pubmed/31759407","31759407")</f>
        <v>31759407</v>
      </c>
      <c r="E38" s="10"/>
      <c r="G38" t="s">
        <v>292</v>
      </c>
      <c r="H38" s="7" t="s">
        <v>320</v>
      </c>
      <c r="J38" s="7" t="s">
        <v>365</v>
      </c>
    </row>
    <row r="39" spans="1:12" hidden="1">
      <c r="A39" t="s">
        <v>31</v>
      </c>
      <c r="B39" s="13" t="str">
        <f>HYPERLINK("https://www.ncbi.nlm.nih.gov/pubmed/10373400","10373400")</f>
        <v>10373400</v>
      </c>
      <c r="F39" s="39"/>
      <c r="G39" t="s">
        <v>301</v>
      </c>
      <c r="H39" s="7" t="s">
        <v>320</v>
      </c>
      <c r="I39" s="23" t="s">
        <v>321</v>
      </c>
      <c r="J39" s="7" t="s">
        <v>366</v>
      </c>
    </row>
    <row r="40" spans="1:12" hidden="1">
      <c r="A40" t="s">
        <v>31</v>
      </c>
      <c r="B40" s="13" t="str">
        <f>HYPERLINK("https://www.ncbi.nlm.nih.gov/pubmed/37296657","37296657")</f>
        <v>37296657</v>
      </c>
      <c r="C40" s="11"/>
      <c r="F40" s="11"/>
      <c r="G40" t="s">
        <v>301</v>
      </c>
      <c r="H40" s="7" t="s">
        <v>320</v>
      </c>
      <c r="I40" s="23" t="s">
        <v>367</v>
      </c>
      <c r="J40" s="7" t="s">
        <v>368</v>
      </c>
    </row>
    <row r="41" spans="1:12" hidden="1">
      <c r="A41" t="s">
        <v>31</v>
      </c>
      <c r="B41" s="13" t="str">
        <f>HYPERLINK("https://www.ncbi.nlm.nih.gov/pubmed/14605012","14605012")</f>
        <v>14605012</v>
      </c>
      <c r="C41" s="10" t="s">
        <v>369</v>
      </c>
      <c r="G41" t="s">
        <v>213</v>
      </c>
      <c r="H41" t="s">
        <v>370</v>
      </c>
      <c r="I41" s="23" t="s">
        <v>371</v>
      </c>
      <c r="J41" s="7" t="s">
        <v>372</v>
      </c>
    </row>
    <row r="42" spans="1:12" hidden="1">
      <c r="A42" t="s">
        <v>31</v>
      </c>
      <c r="B42" s="13" t="str">
        <f>HYPERLINK("https://www.ncbi.nlm.nih.gov/pubmed/20096755","20096755")</f>
        <v>20096755</v>
      </c>
      <c r="C42" s="10"/>
      <c r="G42" t="s">
        <v>373</v>
      </c>
      <c r="H42" s="7" t="s">
        <v>374</v>
      </c>
      <c r="J42" s="7" t="s">
        <v>375</v>
      </c>
    </row>
    <row r="43" spans="1:12" hidden="1">
      <c r="A43" t="s">
        <v>31</v>
      </c>
      <c r="B43" s="13" t="str">
        <f>HYPERLINK("https://www.ncbi.nlm.nih.gov/pubmed/28482050","28482050")</f>
        <v>28482050</v>
      </c>
      <c r="C43" s="10"/>
      <c r="G43" t="s">
        <v>376</v>
      </c>
      <c r="H43" t="s">
        <v>377</v>
      </c>
      <c r="I43" s="24" t="s">
        <v>378</v>
      </c>
      <c r="J43" s="7" t="s">
        <v>379</v>
      </c>
    </row>
    <row r="44" spans="1:12" s="7" customFormat="1" hidden="1">
      <c r="A44" t="s">
        <v>31</v>
      </c>
      <c r="B44" s="14" t="str">
        <f>HYPERLINK("https://www.ncbi.nlm.nih.gov/pubmed/23284716","23284716")</f>
        <v>23284716</v>
      </c>
      <c r="C44" s="10"/>
      <c r="D44" s="3"/>
      <c r="E44" s="3"/>
      <c r="F44" s="3"/>
      <c r="G44" t="s">
        <v>376</v>
      </c>
      <c r="H44" t="s">
        <v>380</v>
      </c>
      <c r="J44" s="7" t="s">
        <v>381</v>
      </c>
      <c r="L44"/>
    </row>
    <row r="45" spans="1:12" hidden="1">
      <c r="A45" t="s">
        <v>31</v>
      </c>
      <c r="B45" s="13" t="str">
        <f>HYPERLINK("https://www.ncbi.nlm.nih.gov/pubmed/25706302","25706302")</f>
        <v>25706302</v>
      </c>
      <c r="C45" s="10"/>
      <c r="G45" t="s">
        <v>376</v>
      </c>
      <c r="H45" t="s">
        <v>382</v>
      </c>
      <c r="I45" s="23" t="s">
        <v>367</v>
      </c>
      <c r="J45" s="7" t="s">
        <v>383</v>
      </c>
    </row>
    <row r="46" spans="1:12" hidden="1">
      <c r="A46" t="s">
        <v>31</v>
      </c>
      <c r="B46" s="13" t="str">
        <f>HYPERLINK("https://www.ncbi.nlm.nih.gov/pubmed/23284716","23284716")</f>
        <v>23284716</v>
      </c>
      <c r="C46" s="10"/>
      <c r="G46" t="s">
        <v>376</v>
      </c>
      <c r="H46" t="s">
        <v>384</v>
      </c>
      <c r="J46" s="7" t="s">
        <v>385</v>
      </c>
    </row>
    <row r="47" spans="1:12" hidden="1">
      <c r="A47" t="s">
        <v>31</v>
      </c>
      <c r="B47" s="14" t="str">
        <f>HYPERLINK("https://www.ncbi.nlm.nih.gov/pubmed/25706302","25706302")</f>
        <v>25706302</v>
      </c>
      <c r="C47" s="10" t="s">
        <v>369</v>
      </c>
      <c r="G47" t="s">
        <v>376</v>
      </c>
      <c r="H47" t="s">
        <v>386</v>
      </c>
      <c r="J47" s="7" t="s">
        <v>387</v>
      </c>
    </row>
    <row r="48" spans="1:12" hidden="1">
      <c r="A48" t="s">
        <v>31</v>
      </c>
      <c r="B48" s="14" t="str">
        <f>HYPERLINK("https://www.ncbi.nlm.nih.gov/pubmed/25706302","25706302")</f>
        <v>25706302</v>
      </c>
      <c r="C48" s="10"/>
      <c r="G48" t="s">
        <v>376</v>
      </c>
      <c r="H48" t="s">
        <v>388</v>
      </c>
      <c r="J48" s="7" t="s">
        <v>389</v>
      </c>
    </row>
    <row r="49" spans="1:10" hidden="1">
      <c r="A49" t="s">
        <v>31</v>
      </c>
      <c r="B49" s="14" t="str">
        <f>HYPERLINK("https://www.ncbi.nlm.nih.gov/pubmed/23284716","23284716")</f>
        <v>23284716</v>
      </c>
      <c r="C49" s="10"/>
      <c r="G49" t="s">
        <v>376</v>
      </c>
      <c r="H49" t="s">
        <v>390</v>
      </c>
      <c r="J49" s="7" t="s">
        <v>385</v>
      </c>
    </row>
    <row r="50" spans="1:10" hidden="1">
      <c r="A50" t="s">
        <v>31</v>
      </c>
      <c r="B50" s="13" t="str">
        <f>HYPERLINK("https://www.ncbi.nlm.nih.gov/pubmed/36780129","36780129")</f>
        <v>36780129</v>
      </c>
      <c r="C50" s="10"/>
      <c r="G50" t="s">
        <v>376</v>
      </c>
      <c r="H50" t="s">
        <v>391</v>
      </c>
      <c r="I50" s="23" t="s">
        <v>371</v>
      </c>
      <c r="J50" s="7" t="s">
        <v>392</v>
      </c>
    </row>
    <row r="51" spans="1:10" hidden="1">
      <c r="A51" t="s">
        <v>31</v>
      </c>
      <c r="B51" s="13" t="str">
        <f>HYPERLINK("https://www.ncbi.nlm.nih.gov/pubmed/29524480","29524480")</f>
        <v>29524480</v>
      </c>
      <c r="C51" s="9"/>
      <c r="G51" t="s">
        <v>376</v>
      </c>
      <c r="H51" t="s">
        <v>393</v>
      </c>
      <c r="I51" s="24" t="s">
        <v>340</v>
      </c>
      <c r="J51" s="7" t="s">
        <v>394</v>
      </c>
    </row>
    <row r="52" spans="1:10" hidden="1">
      <c r="A52" t="s">
        <v>31</v>
      </c>
      <c r="B52" s="13" t="str">
        <f>HYPERLINK("https://www.ncbi.nlm.nih.gov/pubmed/29247840","29247840")</f>
        <v>29247840</v>
      </c>
      <c r="C52" s="10"/>
      <c r="G52" t="s">
        <v>306</v>
      </c>
      <c r="H52" s="7" t="s">
        <v>320</v>
      </c>
      <c r="J52" s="7" t="s">
        <v>395</v>
      </c>
    </row>
    <row r="53" spans="1:10" hidden="1">
      <c r="A53" t="s">
        <v>31</v>
      </c>
      <c r="B53" s="13" t="str">
        <f>HYPERLINK("https://www.ncbi.nlm.nih.gov/pubmed/31342755","31342755")</f>
        <v>31342755</v>
      </c>
      <c r="C53" s="10"/>
      <c r="G53" t="s">
        <v>306</v>
      </c>
      <c r="H53" s="7" t="s">
        <v>320</v>
      </c>
      <c r="J53" s="7" t="s">
        <v>396</v>
      </c>
    </row>
    <row r="54" spans="1:10" hidden="1">
      <c r="A54" t="s">
        <v>31</v>
      </c>
      <c r="B54" s="13" t="str">
        <f>HYPERLINK("https://www.ncbi.nlm.nih.gov/pubmed/32585208","32585208")</f>
        <v>32585208</v>
      </c>
      <c r="C54" s="10"/>
      <c r="G54" t="s">
        <v>306</v>
      </c>
      <c r="H54" s="7" t="s">
        <v>320</v>
      </c>
      <c r="J54" s="7" t="s">
        <v>397</v>
      </c>
    </row>
    <row r="55" spans="1:10" hidden="1">
      <c r="A55" t="s">
        <v>31</v>
      </c>
      <c r="B55" s="13" t="str">
        <f>HYPERLINK("https://www.ncbi.nlm.nih.gov/pubmed/33297044","33297044")</f>
        <v>33297044</v>
      </c>
      <c r="C55" s="10"/>
      <c r="G55" t="s">
        <v>306</v>
      </c>
      <c r="H55" s="7" t="s">
        <v>320</v>
      </c>
      <c r="J55" s="7" t="s">
        <v>398</v>
      </c>
    </row>
    <row r="56" spans="1:10" hidden="1">
      <c r="A56" t="s">
        <v>31</v>
      </c>
      <c r="B56" s="13" t="str">
        <f>HYPERLINK("https://www.ncbi.nlm.nih.gov/pubmed/36545881","36545881")</f>
        <v>36545881</v>
      </c>
      <c r="C56" s="12"/>
      <c r="G56" t="s">
        <v>306</v>
      </c>
      <c r="H56" s="7" t="s">
        <v>320</v>
      </c>
      <c r="J56" s="46" t="s">
        <v>399</v>
      </c>
    </row>
    <row r="57" spans="1:10" hidden="1">
      <c r="A57" t="s">
        <v>31</v>
      </c>
      <c r="B57" s="13" t="str">
        <f>HYPERLINK("https://www.ncbi.nlm.nih.gov/pubmed/39239657","39239657")</f>
        <v>39239657</v>
      </c>
      <c r="C57" s="10"/>
      <c r="G57" t="s">
        <v>306</v>
      </c>
      <c r="H57" s="7" t="s">
        <v>320</v>
      </c>
      <c r="J57" s="7" t="s">
        <v>400</v>
      </c>
    </row>
    <row r="58" spans="1:10" hidden="1">
      <c r="A58" t="s">
        <v>31</v>
      </c>
      <c r="B58" s="14" t="str">
        <f>HYPERLINK("https://www.ncbi.nlm.nih.gov/pubmed/35504394","35504394")</f>
        <v>35504394</v>
      </c>
      <c r="C58" s="10"/>
      <c r="G58" t="s">
        <v>401</v>
      </c>
      <c r="H58" s="7" t="s">
        <v>320</v>
      </c>
      <c r="J58" s="7" t="s">
        <v>402</v>
      </c>
    </row>
    <row r="59" spans="1:10" hidden="1">
      <c r="A59" t="s">
        <v>403</v>
      </c>
      <c r="B59" s="13" t="str">
        <f>HYPERLINK("https://www.ncbi.nlm.nih.gov/pubmed/29216406","29216406")</f>
        <v>29216406</v>
      </c>
      <c r="C59" s="10"/>
      <c r="D59" s="10"/>
      <c r="E59" s="4"/>
      <c r="F59" s="11"/>
      <c r="G59" t="s">
        <v>267</v>
      </c>
      <c r="H59" s="7" t="s">
        <v>326</v>
      </c>
      <c r="I59" s="24" t="s">
        <v>337</v>
      </c>
      <c r="J59" s="50" t="s">
        <v>404</v>
      </c>
    </row>
    <row r="60" spans="1:10" hidden="1">
      <c r="A60" s="7" t="s">
        <v>403</v>
      </c>
      <c r="B60" s="13" t="str">
        <f>HYPERLINK("https://www.ncbi.nlm.nih.gov/pubmed/31266599","31266599")</f>
        <v>31266599</v>
      </c>
      <c r="C60" s="6"/>
      <c r="D60" s="6"/>
      <c r="E60" s="5"/>
      <c r="F60" s="6"/>
      <c r="G60" t="s">
        <v>376</v>
      </c>
      <c r="H60" s="7" t="s">
        <v>405</v>
      </c>
      <c r="J60" s="7" t="s">
        <v>406</v>
      </c>
    </row>
    <row r="61" spans="1:10" ht="14.45" hidden="1" customHeight="1">
      <c r="A61" t="s">
        <v>407</v>
      </c>
      <c r="B61" s="13" t="str">
        <f>HYPERLINK("https://www.ncbi.nlm.nih.gov/pubmed/18648085","18648085")</f>
        <v>18648085</v>
      </c>
      <c r="C61" s="11"/>
      <c r="E61" s="11"/>
      <c r="F61" s="9"/>
      <c r="G61" t="s">
        <v>267</v>
      </c>
      <c r="H61" t="s">
        <v>326</v>
      </c>
      <c r="J61" s="7" t="s">
        <v>408</v>
      </c>
    </row>
    <row r="62" spans="1:10" ht="14.45" hidden="1" customHeight="1">
      <c r="A62" t="s">
        <v>407</v>
      </c>
      <c r="B62" s="14" t="str">
        <f>HYPERLINK("https://www.ncbi.nlm.nih.gov/pubmed/20890769","20890769")</f>
        <v>20890769</v>
      </c>
      <c r="C62" s="9"/>
      <c r="E62" s="11"/>
      <c r="G62" t="s">
        <v>267</v>
      </c>
      <c r="H62" t="s">
        <v>326</v>
      </c>
      <c r="J62" s="7" t="s">
        <v>409</v>
      </c>
    </row>
    <row r="63" spans="1:10" ht="14.45" hidden="1" customHeight="1">
      <c r="A63" t="s">
        <v>407</v>
      </c>
      <c r="B63" s="14" t="str">
        <f>HYPERLINK("https://www.ncbi.nlm.nih.gov/pubmed/20890769","20890769")</f>
        <v>20890769</v>
      </c>
      <c r="C63" s="11"/>
      <c r="E63" s="9"/>
      <c r="G63" t="s">
        <v>267</v>
      </c>
      <c r="H63" t="s">
        <v>326</v>
      </c>
      <c r="J63" s="7" t="s">
        <v>410</v>
      </c>
    </row>
    <row r="64" spans="1:10" ht="14.45" hidden="1" customHeight="1">
      <c r="A64" t="s">
        <v>407</v>
      </c>
      <c r="B64" s="14" t="str">
        <f>HYPERLINK("https://www.ncbi.nlm.nih.gov/pubmed/20890769","20890769")</f>
        <v>20890769</v>
      </c>
      <c r="C64" s="9"/>
      <c r="E64" s="9"/>
      <c r="G64" t="s">
        <v>267</v>
      </c>
      <c r="H64" t="s">
        <v>326</v>
      </c>
      <c r="J64" s="7" t="s">
        <v>411</v>
      </c>
    </row>
    <row r="65" spans="1:31" ht="14.45" hidden="1" customHeight="1">
      <c r="A65" t="s">
        <v>407</v>
      </c>
      <c r="B65" s="14" t="str">
        <f>HYPERLINK("https://www.ncbi.nlm.nih.gov/pubmed/20890769","20890769")</f>
        <v>20890769</v>
      </c>
      <c r="C65" s="11"/>
      <c r="E65" s="11"/>
      <c r="G65" t="s">
        <v>267</v>
      </c>
      <c r="H65" t="s">
        <v>326</v>
      </c>
      <c r="J65" s="7" t="s">
        <v>350</v>
      </c>
    </row>
    <row r="66" spans="1:31" ht="14.45" hidden="1" customHeight="1">
      <c r="A66" t="s">
        <v>407</v>
      </c>
      <c r="B66" s="14" t="str">
        <f>HYPERLINK("https://www.ncbi.nlm.nih.gov/pubmed/20890769","20890769")</f>
        <v>20890769</v>
      </c>
      <c r="C66" s="11"/>
      <c r="E66" s="11"/>
      <c r="G66" t="s">
        <v>267</v>
      </c>
      <c r="H66" t="s">
        <v>326</v>
      </c>
      <c r="J66" s="7" t="s">
        <v>351</v>
      </c>
    </row>
    <row r="67" spans="1:31" ht="14.45" hidden="1" customHeight="1">
      <c r="A67" t="s">
        <v>407</v>
      </c>
      <c r="B67" s="15" t="str">
        <f>HYPERLINK("https://www.ncbi.nlm.nih.gov/pubmed/23990906","23990906")</f>
        <v>23990906</v>
      </c>
      <c r="C67" s="11"/>
      <c r="E67" s="11"/>
      <c r="F67" s="44"/>
      <c r="G67" t="s">
        <v>267</v>
      </c>
      <c r="H67" t="s">
        <v>326</v>
      </c>
      <c r="J67" s="7" t="s">
        <v>412</v>
      </c>
    </row>
    <row r="68" spans="1:31" ht="14.45" hidden="1" customHeight="1">
      <c r="A68" t="s">
        <v>407</v>
      </c>
      <c r="B68" s="14" t="str">
        <f>HYPERLINK("https://www.ncbi.nlm.nih.gov/pubmed/24928889","24928889")</f>
        <v>24928889</v>
      </c>
      <c r="C68" s="10"/>
      <c r="D68" s="10"/>
      <c r="E68" s="9"/>
      <c r="F68" s="9"/>
      <c r="G68" t="s">
        <v>267</v>
      </c>
      <c r="H68" t="s">
        <v>326</v>
      </c>
      <c r="J68" s="7" t="s">
        <v>413</v>
      </c>
    </row>
    <row r="69" spans="1:31" ht="14.45" hidden="1" customHeight="1">
      <c r="A69" t="s">
        <v>407</v>
      </c>
      <c r="B69" s="13" t="str">
        <f>HYPERLINK("https://www.ncbi.nlm.nih.gov/pubmed/29216406","29216406")</f>
        <v>29216406</v>
      </c>
      <c r="C69" s="44"/>
      <c r="D69" s="44"/>
      <c r="E69" s="48"/>
      <c r="F69" s="9"/>
      <c r="G69" t="s">
        <v>267</v>
      </c>
      <c r="H69" t="s">
        <v>326</v>
      </c>
      <c r="I69" s="24" t="s">
        <v>337</v>
      </c>
      <c r="J69" s="50" t="s">
        <v>414</v>
      </c>
    </row>
    <row r="70" spans="1:31" ht="14.45" hidden="1" customHeight="1">
      <c r="A70" t="s">
        <v>407</v>
      </c>
      <c r="B70" s="14" t="str">
        <f>HYPERLINK("https://www.ncbi.nlm.nih.gov/pubmed/36702264","36702264")</f>
        <v>36702264</v>
      </c>
      <c r="C70" s="12"/>
      <c r="E70" s="9"/>
      <c r="G70" t="s">
        <v>267</v>
      </c>
      <c r="H70" t="s">
        <v>326</v>
      </c>
      <c r="J70" s="7" t="s">
        <v>415</v>
      </c>
    </row>
    <row r="71" spans="1:31" hidden="1">
      <c r="A71" t="s">
        <v>407</v>
      </c>
      <c r="B71" s="14" t="str">
        <f>HYPERLINK("https://www.ncbi.nlm.nih.gov/pubmed/19897028","19897028")</f>
        <v>19897028</v>
      </c>
      <c r="C71" s="11"/>
      <c r="G71" t="s">
        <v>376</v>
      </c>
      <c r="H71" t="s">
        <v>416</v>
      </c>
      <c r="I71" s="24" t="s">
        <v>378</v>
      </c>
      <c r="J71" s="7" t="s">
        <v>417</v>
      </c>
    </row>
    <row r="72" spans="1:31" ht="14.45" hidden="1" customHeight="1">
      <c r="A72" t="s">
        <v>418</v>
      </c>
      <c r="B72" s="16" t="str">
        <f>HYPERLINK("https://www.ncbi.nlm.nih.gov/pubmed/31330226","31330226")</f>
        <v>31330226</v>
      </c>
      <c r="C72" s="10"/>
      <c r="D72" s="10"/>
      <c r="E72" s="10"/>
      <c r="F72" s="10"/>
      <c r="G72" t="s">
        <v>267</v>
      </c>
      <c r="H72" t="s">
        <v>326</v>
      </c>
      <c r="J72" s="7" t="s">
        <v>419</v>
      </c>
    </row>
    <row r="73" spans="1:31" hidden="1">
      <c r="A73" t="s">
        <v>418</v>
      </c>
      <c r="B73" s="22">
        <v>6320571</v>
      </c>
      <c r="G73" t="s">
        <v>213</v>
      </c>
      <c r="H73" t="s">
        <v>420</v>
      </c>
      <c r="I73" s="23" t="s">
        <v>371</v>
      </c>
      <c r="J73" s="7" t="s">
        <v>421</v>
      </c>
    </row>
    <row r="74" spans="1:31" ht="14.45" hidden="1" customHeight="1">
      <c r="A74" t="s">
        <v>58</v>
      </c>
      <c r="B74" s="14" t="str">
        <f>HYPERLINK("https://www.ncbi.nlm.nih.gov/pubmed/20890769","20890769")</f>
        <v>20890769</v>
      </c>
      <c r="C74" s="11"/>
      <c r="E74" s="9"/>
      <c r="G74" t="s">
        <v>267</v>
      </c>
      <c r="H74" t="s">
        <v>326</v>
      </c>
      <c r="J74" s="7" t="s">
        <v>422</v>
      </c>
    </row>
    <row r="75" spans="1:31" ht="14.45" hidden="1" customHeight="1">
      <c r="A75" t="s">
        <v>58</v>
      </c>
      <c r="B75" s="14" t="str">
        <f>HYPERLINK("https://www.ncbi.nlm.nih.gov/pubmed/20890769","20890769")</f>
        <v>20890769</v>
      </c>
      <c r="C75" s="11"/>
      <c r="E75" s="9"/>
      <c r="G75" t="s">
        <v>267</v>
      </c>
      <c r="H75" t="s">
        <v>326</v>
      </c>
      <c r="J75" s="7" t="s">
        <v>423</v>
      </c>
    </row>
    <row r="76" spans="1:31" ht="14.45" hidden="1" customHeight="1">
      <c r="A76" t="s">
        <v>58</v>
      </c>
      <c r="B76" s="16" t="str">
        <f>HYPERLINK("https://www.ncbi.nlm.nih.gov/pubmed/22402212","22402212")</f>
        <v>22402212</v>
      </c>
      <c r="C76" s="10"/>
      <c r="G76" t="s">
        <v>267</v>
      </c>
      <c r="H76" t="s">
        <v>326</v>
      </c>
      <c r="J76" s="7" t="s">
        <v>424</v>
      </c>
    </row>
    <row r="77" spans="1:31" ht="14.45" hidden="1" customHeight="1">
      <c r="A77" t="s">
        <v>58</v>
      </c>
      <c r="B77" s="16" t="str">
        <f>HYPERLINK("https://www.ncbi.nlm.nih.gov/pubmed/23990906","23990906")</f>
        <v>23990906</v>
      </c>
      <c r="C77" s="44"/>
      <c r="D77" s="45"/>
      <c r="E77" s="44"/>
      <c r="F77" s="44"/>
      <c r="G77" t="s">
        <v>267</v>
      </c>
      <c r="H77" t="s">
        <v>326</v>
      </c>
      <c r="J77" s="7" t="s">
        <v>425</v>
      </c>
    </row>
    <row r="78" spans="1:31" s="19" customFormat="1" ht="14.45" hidden="1" customHeight="1">
      <c r="A78" t="s">
        <v>58</v>
      </c>
      <c r="B78" s="13" t="str">
        <f>HYPERLINK("https://www.ncbi.nlm.nih.gov/pubmed/29216406","29216406")</f>
        <v>29216406</v>
      </c>
      <c r="C78" s="44"/>
      <c r="D78" s="44"/>
      <c r="E78" s="4"/>
      <c r="F78" s="9"/>
      <c r="G78" t="s">
        <v>267</v>
      </c>
      <c r="H78" t="s">
        <v>326</v>
      </c>
      <c r="I78" s="24" t="s">
        <v>337</v>
      </c>
      <c r="J78" s="50" t="s">
        <v>426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14.45" hidden="1" customHeight="1">
      <c r="A79" t="s">
        <v>58</v>
      </c>
      <c r="B79" s="14" t="str">
        <f>HYPERLINK("https://www.ncbi.nlm.nih.gov/pubmed/30825681","30825681")</f>
        <v>30825681</v>
      </c>
      <c r="C79" s="11"/>
      <c r="E79" s="9"/>
      <c r="G79" t="s">
        <v>267</v>
      </c>
      <c r="H79" t="s">
        <v>326</v>
      </c>
      <c r="J79" s="7" t="s">
        <v>427</v>
      </c>
    </row>
    <row r="80" spans="1:31" ht="14.45" hidden="1" customHeight="1">
      <c r="A80" t="s">
        <v>58</v>
      </c>
      <c r="B80" s="13" t="str">
        <f>HYPERLINK("https://www.ncbi.nlm.nih.gov/pubmed/32334352","32334352")</f>
        <v>32334352</v>
      </c>
      <c r="C80" s="12"/>
      <c r="E80" s="9"/>
      <c r="G80" t="s">
        <v>267</v>
      </c>
      <c r="H80" t="s">
        <v>326</v>
      </c>
      <c r="J80" s="7" t="s">
        <v>428</v>
      </c>
    </row>
    <row r="81" spans="1:10" ht="14.45" hidden="1" customHeight="1">
      <c r="A81" t="s">
        <v>58</v>
      </c>
      <c r="B81" s="14" t="str">
        <f>HYPERLINK("https://www.ncbi.nlm.nih.gov/pubmed/33628236","33628236")</f>
        <v>33628236</v>
      </c>
      <c r="C81" s="9"/>
      <c r="E81" s="9"/>
      <c r="G81" t="s">
        <v>267</v>
      </c>
      <c r="H81" t="s">
        <v>326</v>
      </c>
      <c r="J81" s="7" t="s">
        <v>429</v>
      </c>
    </row>
    <row r="82" spans="1:10">
      <c r="A82" t="s">
        <v>58</v>
      </c>
      <c r="B82" s="16" t="str">
        <f>HYPERLINK("https://www.ncbi.nlm.nih.gov/pubmed/22236953","22236953")</f>
        <v>22236953</v>
      </c>
      <c r="F82" s="10"/>
      <c r="G82" t="s">
        <v>292</v>
      </c>
      <c r="H82" s="7" t="s">
        <v>320</v>
      </c>
      <c r="I82" s="24" t="s">
        <v>378</v>
      </c>
      <c r="J82" s="7" t="s">
        <v>430</v>
      </c>
    </row>
    <row r="83" spans="1:10">
      <c r="A83" t="s">
        <v>58</v>
      </c>
      <c r="B83" s="14" t="str">
        <f>HYPERLINK("https://www.ncbi.nlm.nih.gov/pubmed/24014645","24014645")</f>
        <v>24014645</v>
      </c>
      <c r="C83" s="11"/>
      <c r="G83" t="s">
        <v>292</v>
      </c>
      <c r="H83" s="7" t="s">
        <v>320</v>
      </c>
      <c r="J83" s="7" t="s">
        <v>431</v>
      </c>
    </row>
    <row r="84" spans="1:10">
      <c r="A84" t="s">
        <v>58</v>
      </c>
      <c r="B84" s="16" t="str">
        <f>HYPERLINK("https://www.ncbi.nlm.nih.gov/pubmed/30935992","30935992")</f>
        <v>30935992</v>
      </c>
      <c r="C84" s="11"/>
      <c r="D84" s="9"/>
      <c r="G84" t="s">
        <v>301</v>
      </c>
      <c r="H84" s="7" t="s">
        <v>320</v>
      </c>
      <c r="I84" s="24" t="s">
        <v>378</v>
      </c>
      <c r="J84" s="7" t="s">
        <v>432</v>
      </c>
    </row>
    <row r="85" spans="1:10">
      <c r="A85" t="s">
        <v>58</v>
      </c>
      <c r="B85" s="16" t="str">
        <f>HYPERLINK("https://www.ncbi.nlm.nih.gov/pubmed/34768887","34768887")</f>
        <v>34768887</v>
      </c>
      <c r="C85" s="11"/>
      <c r="G85" s="7" t="s">
        <v>301</v>
      </c>
      <c r="H85" s="7" t="s">
        <v>320</v>
      </c>
      <c r="I85" s="24" t="s">
        <v>433</v>
      </c>
      <c r="J85" s="7" t="s">
        <v>434</v>
      </c>
    </row>
    <row r="86" spans="1:10">
      <c r="A86" t="s">
        <v>58</v>
      </c>
      <c r="B86" s="16" t="str">
        <f>HYPERLINK("https://www.ncbi.nlm.nih.gov/pubmed/35739735","35739735")</f>
        <v>35739735</v>
      </c>
      <c r="C86" s="10"/>
      <c r="D86" s="11"/>
      <c r="G86" t="s">
        <v>301</v>
      </c>
      <c r="H86" s="7" t="s">
        <v>320</v>
      </c>
      <c r="I86" s="24" t="s">
        <v>378</v>
      </c>
      <c r="J86" s="7" t="s">
        <v>435</v>
      </c>
    </row>
    <row r="87" spans="1:10">
      <c r="A87" t="s">
        <v>58</v>
      </c>
      <c r="B87" s="16" t="str">
        <f>HYPERLINK("https://www.ncbi.nlm.nih.gov/pubmed/22402212","22402212")</f>
        <v>22402212</v>
      </c>
      <c r="C87" s="10"/>
      <c r="G87" t="s">
        <v>376</v>
      </c>
      <c r="H87" t="s">
        <v>436</v>
      </c>
      <c r="J87" s="7" t="s">
        <v>437</v>
      </c>
    </row>
    <row r="88" spans="1:10">
      <c r="A88" t="s">
        <v>58</v>
      </c>
      <c r="B88" s="14" t="str">
        <f>HYPERLINK("https://www.ncbi.nlm.nih.gov/pubmed/16979278","16979278")</f>
        <v>16979278</v>
      </c>
      <c r="C88" s="39"/>
      <c r="G88" t="s">
        <v>376</v>
      </c>
      <c r="H88" t="s">
        <v>438</v>
      </c>
      <c r="I88" s="24" t="s">
        <v>439</v>
      </c>
      <c r="J88" s="46" t="s">
        <v>440</v>
      </c>
    </row>
    <row r="89" spans="1:10">
      <c r="A89" t="s">
        <v>58</v>
      </c>
      <c r="B89" s="14" t="str">
        <f>HYPERLINK("https://www.ncbi.nlm.nih.gov/pubmed/19440488","19440488")</f>
        <v>19440488</v>
      </c>
      <c r="C89" s="9"/>
      <c r="G89" t="s">
        <v>376</v>
      </c>
      <c r="H89" t="s">
        <v>438</v>
      </c>
      <c r="I89" s="24" t="s">
        <v>439</v>
      </c>
      <c r="J89" s="7" t="s">
        <v>441</v>
      </c>
    </row>
    <row r="90" spans="1:10">
      <c r="A90" t="s">
        <v>58</v>
      </c>
      <c r="B90" s="14" t="str">
        <f>HYPERLINK("https://www.ncbi.nlm.nih.gov/pubmed/34165216","34165216")</f>
        <v>34165216</v>
      </c>
      <c r="C90" s="10"/>
      <c r="G90" t="s">
        <v>306</v>
      </c>
      <c r="H90" s="7" t="s">
        <v>320</v>
      </c>
      <c r="I90" s="24" t="s">
        <v>378</v>
      </c>
      <c r="J90" s="7" t="s">
        <v>442</v>
      </c>
    </row>
    <row r="91" spans="1:10" ht="14.45" hidden="1" customHeight="1">
      <c r="A91" t="s">
        <v>443</v>
      </c>
      <c r="B91" s="14" t="str">
        <f>HYPERLINK("https://www.ncbi.nlm.nih.gov/pubmed/20890769","20890769")</f>
        <v>20890769</v>
      </c>
      <c r="C91" s="11"/>
      <c r="E91" s="9"/>
      <c r="G91" t="s">
        <v>267</v>
      </c>
      <c r="H91" t="s">
        <v>326</v>
      </c>
      <c r="J91" s="7" t="s">
        <v>444</v>
      </c>
    </row>
    <row r="92" spans="1:10" ht="14.45" hidden="1" customHeight="1">
      <c r="A92" t="s">
        <v>443</v>
      </c>
      <c r="B92" s="14" t="str">
        <f>HYPERLINK("https://www.ncbi.nlm.nih.gov/pubmed/20890769","20890769")</f>
        <v>20890769</v>
      </c>
      <c r="C92" s="11"/>
      <c r="E92" s="11"/>
      <c r="G92" t="s">
        <v>267</v>
      </c>
      <c r="H92" t="s">
        <v>326</v>
      </c>
      <c r="J92" s="7" t="s">
        <v>348</v>
      </c>
    </row>
    <row r="93" spans="1:10" ht="14.45" hidden="1" customHeight="1">
      <c r="A93" t="s">
        <v>443</v>
      </c>
      <c r="B93" s="13" t="str">
        <f>HYPERLINK("https://www.ncbi.nlm.nih.gov/pubmed/29216406","29216406")</f>
        <v>29216406</v>
      </c>
      <c r="C93" s="44"/>
      <c r="D93" s="44"/>
      <c r="E93" s="48"/>
      <c r="F93" s="44"/>
      <c r="G93" t="s">
        <v>267</v>
      </c>
      <c r="H93" t="s">
        <v>326</v>
      </c>
      <c r="I93" s="24" t="s">
        <v>337</v>
      </c>
      <c r="J93" s="50" t="s">
        <v>445</v>
      </c>
    </row>
    <row r="94" spans="1:10" hidden="1">
      <c r="A94" t="s">
        <v>443</v>
      </c>
      <c r="B94" s="14" t="str">
        <f>HYPERLINK("https://www.ncbi.nlm.nih.gov/pubmed/31606569","31606569")</f>
        <v>31606569</v>
      </c>
      <c r="C94" s="10"/>
      <c r="G94" t="s">
        <v>213</v>
      </c>
      <c r="H94" t="s">
        <v>446</v>
      </c>
      <c r="I94" s="24" t="s">
        <v>447</v>
      </c>
      <c r="J94" s="7" t="s">
        <v>448</v>
      </c>
    </row>
    <row r="95" spans="1:10" hidden="1">
      <c r="A95" t="s">
        <v>443</v>
      </c>
      <c r="B95" s="14" t="str">
        <f>HYPERLINK("https://www.ncbi.nlm.nih.gov/pubmed/19897028","19897028")</f>
        <v>19897028</v>
      </c>
      <c r="C95" s="11"/>
      <c r="G95" t="s">
        <v>376</v>
      </c>
      <c r="H95" t="s">
        <v>416</v>
      </c>
      <c r="I95" s="24" t="s">
        <v>378</v>
      </c>
      <c r="J95" s="7" t="s">
        <v>449</v>
      </c>
    </row>
    <row r="96" spans="1:10" ht="14.45" hidden="1" customHeight="1">
      <c r="A96" t="s">
        <v>450</v>
      </c>
      <c r="B96" s="16" t="str">
        <f>HYPERLINK("https://www.ncbi.nlm.nih.gov/pubmed/17449096","17449096")</f>
        <v>17449096</v>
      </c>
      <c r="C96" s="10"/>
      <c r="E96" s="10"/>
      <c r="G96" t="s">
        <v>267</v>
      </c>
      <c r="H96" t="s">
        <v>326</v>
      </c>
      <c r="J96" s="7" t="s">
        <v>451</v>
      </c>
    </row>
    <row r="97" spans="1:10" ht="14.45" hidden="1" customHeight="1">
      <c r="A97" t="s">
        <v>450</v>
      </c>
      <c r="B97" s="14" t="str">
        <f>HYPERLINK("https://www.ncbi.nlm.nih.gov/pubmed/20890769","20890769")</f>
        <v>20890769</v>
      </c>
      <c r="C97" s="11"/>
      <c r="E97" s="11"/>
      <c r="G97" t="s">
        <v>267</v>
      </c>
      <c r="H97" t="s">
        <v>326</v>
      </c>
      <c r="J97" s="7" t="s">
        <v>347</v>
      </c>
    </row>
    <row r="98" spans="1:10" ht="14.45" hidden="1" customHeight="1">
      <c r="A98" t="s">
        <v>450</v>
      </c>
      <c r="B98" s="14" t="str">
        <f>HYPERLINK("https://www.ncbi.nlm.nih.gov/pubmed/20890769","20890769")</f>
        <v>20890769</v>
      </c>
      <c r="C98" s="10"/>
      <c r="E98" s="10"/>
      <c r="G98" t="s">
        <v>267</v>
      </c>
      <c r="H98" t="s">
        <v>326</v>
      </c>
      <c r="J98" s="7" t="s">
        <v>354</v>
      </c>
    </row>
    <row r="99" spans="1:10" ht="14.45" hidden="1" customHeight="1">
      <c r="A99" t="s">
        <v>450</v>
      </c>
      <c r="B99" s="14" t="str">
        <f>HYPERLINK("https://www.ncbi.nlm.nih.gov/pubmed/22554500","22554500")</f>
        <v>22554500</v>
      </c>
      <c r="C99" s="10"/>
      <c r="E99" s="10"/>
      <c r="G99" t="s">
        <v>267</v>
      </c>
      <c r="H99" t="s">
        <v>326</v>
      </c>
      <c r="J99" s="7" t="s">
        <v>452</v>
      </c>
    </row>
    <row r="100" spans="1:10" ht="14.45" hidden="1" customHeight="1">
      <c r="A100" t="s">
        <v>450</v>
      </c>
      <c r="B100" s="13" t="str">
        <f>HYPERLINK("https://www.ncbi.nlm.nih.gov/pubmed/29216406","29216406")</f>
        <v>29216406</v>
      </c>
      <c r="C100" s="10"/>
      <c r="D100" s="10"/>
      <c r="E100" s="49"/>
      <c r="F100" s="10"/>
      <c r="G100" t="s">
        <v>267</v>
      </c>
      <c r="H100" t="s">
        <v>326</v>
      </c>
      <c r="I100" s="24" t="s">
        <v>337</v>
      </c>
      <c r="J100" s="50" t="s">
        <v>453</v>
      </c>
    </row>
    <row r="101" spans="1:10" ht="14.45" hidden="1" customHeight="1">
      <c r="A101" t="s">
        <v>454</v>
      </c>
      <c r="B101" s="14" t="str">
        <f>HYPERLINK("https://www.ncbi.nlm.nih.gov/pubmed/20890769","20890769")</f>
        <v>20890769</v>
      </c>
      <c r="C101" s="10"/>
      <c r="E101" s="11"/>
      <c r="G101" t="s">
        <v>267</v>
      </c>
      <c r="H101" t="s">
        <v>326</v>
      </c>
      <c r="J101" s="7" t="s">
        <v>455</v>
      </c>
    </row>
    <row r="102" spans="1:10" ht="14.45" hidden="1" customHeight="1">
      <c r="A102" t="s">
        <v>454</v>
      </c>
      <c r="B102" s="14" t="str">
        <f>HYPERLINK("https://www.ncbi.nlm.nih.gov/pubmed/20890769","20890769")</f>
        <v>20890769</v>
      </c>
      <c r="C102" s="10"/>
      <c r="E102" s="10"/>
      <c r="G102" t="s">
        <v>267</v>
      </c>
      <c r="H102" t="s">
        <v>326</v>
      </c>
      <c r="J102" s="7" t="s">
        <v>456</v>
      </c>
    </row>
    <row r="103" spans="1:10" ht="14.45" hidden="1" customHeight="1">
      <c r="A103" t="s">
        <v>454</v>
      </c>
      <c r="B103" s="13" t="str">
        <f>HYPERLINK("https://www.ncbi.nlm.nih.gov/pubmed/29216406","29216406")</f>
        <v>29216406</v>
      </c>
      <c r="C103" s="44"/>
      <c r="D103" s="44"/>
      <c r="E103" s="48"/>
      <c r="F103" s="10"/>
      <c r="G103" t="s">
        <v>267</v>
      </c>
      <c r="H103" t="s">
        <v>326</v>
      </c>
      <c r="I103" s="24" t="s">
        <v>337</v>
      </c>
      <c r="J103" s="50" t="s">
        <v>457</v>
      </c>
    </row>
    <row r="104" spans="1:10" hidden="1">
      <c r="A104" t="s">
        <v>454</v>
      </c>
      <c r="B104" s="14" t="str">
        <f>HYPERLINK("https://www.ncbi.nlm.nih.gov/pubmed/9928669","9928669")</f>
        <v>9928669</v>
      </c>
      <c r="C104" s="10"/>
      <c r="E104" s="10"/>
      <c r="G104" t="s">
        <v>376</v>
      </c>
      <c r="H104" t="s">
        <v>458</v>
      </c>
      <c r="I104" s="24" t="s">
        <v>378</v>
      </c>
      <c r="J104" s="7" t="s">
        <v>459</v>
      </c>
    </row>
    <row r="105" spans="1:10" ht="14.45" hidden="1" customHeight="1">
      <c r="A105" t="s">
        <v>460</v>
      </c>
      <c r="B105" s="14" t="str">
        <f>HYPERLINK("https://www.ncbi.nlm.nih.gov/pubmed/23038793","23038793")</f>
        <v>23038793</v>
      </c>
      <c r="C105" s="10"/>
      <c r="D105" s="10"/>
      <c r="G105" t="s">
        <v>267</v>
      </c>
      <c r="H105" t="s">
        <v>326</v>
      </c>
      <c r="J105" s="7" t="s">
        <v>461</v>
      </c>
    </row>
    <row r="106" spans="1:10" ht="18" hidden="1">
      <c r="A106" t="s">
        <v>460</v>
      </c>
      <c r="B106" s="16" t="str">
        <f>HYPERLINK("https://www.ncbi.nlm.nih.gov/pubmed/31330226","31330226")</f>
        <v>31330226</v>
      </c>
      <c r="C106" s="10"/>
      <c r="D106" s="10"/>
      <c r="F106" s="9"/>
      <c r="G106" t="s">
        <v>267</v>
      </c>
      <c r="H106" t="s">
        <v>326</v>
      </c>
      <c r="J106" s="7" t="s">
        <v>462</v>
      </c>
    </row>
    <row r="107" spans="1:10" ht="14.45" hidden="1" customHeight="1">
      <c r="A107" t="s">
        <v>460</v>
      </c>
      <c r="B107" s="14" t="str">
        <f>HYPERLINK("https://www.ncbi.nlm.nih.gov/pubmed/37637492","37637492")</f>
        <v>37637492</v>
      </c>
      <c r="D107" s="11"/>
      <c r="F107" s="11"/>
      <c r="G107" t="s">
        <v>267</v>
      </c>
      <c r="H107" t="s">
        <v>326</v>
      </c>
      <c r="I107" s="24" t="s">
        <v>337</v>
      </c>
      <c r="J107" s="7" t="s">
        <v>463</v>
      </c>
    </row>
    <row r="108" spans="1:10" ht="14.45" hidden="1" customHeight="1">
      <c r="A108" t="s">
        <v>460</v>
      </c>
      <c r="B108" s="14" t="str">
        <f>HYPERLINK("https://www.ncbi.nlm.nih.gov/pubmed/23038793","23038793")</f>
        <v>23038793</v>
      </c>
      <c r="C108" s="10"/>
      <c r="D108" s="10"/>
      <c r="F108" s="10"/>
      <c r="G108" t="s">
        <v>291</v>
      </c>
      <c r="H108" t="s">
        <v>326</v>
      </c>
      <c r="J108" s="7" t="s">
        <v>464</v>
      </c>
    </row>
    <row r="109" spans="1:10" hidden="1">
      <c r="A109" t="s">
        <v>460</v>
      </c>
      <c r="B109" s="14" t="str">
        <f>HYPERLINK("https://www.ncbi.nlm.nih.gov/pubmed/28962244","28962244")</f>
        <v>28962244</v>
      </c>
      <c r="C109" s="11"/>
      <c r="G109" t="s">
        <v>292</v>
      </c>
      <c r="H109" s="7" t="s">
        <v>320</v>
      </c>
      <c r="J109" s="7" t="s">
        <v>465</v>
      </c>
    </row>
    <row r="110" spans="1:10" hidden="1">
      <c r="A110" t="s">
        <v>460</v>
      </c>
      <c r="B110" s="14" t="str">
        <f>HYPERLINK("https://www.ncbi.nlm.nih.gov/pubmed/2840013","2840013")</f>
        <v>2840013</v>
      </c>
      <c r="C110" s="10"/>
      <c r="G110" t="s">
        <v>213</v>
      </c>
      <c r="H110" t="s">
        <v>466</v>
      </c>
      <c r="I110" s="24" t="s">
        <v>433</v>
      </c>
      <c r="J110" s="7" t="s">
        <v>467</v>
      </c>
    </row>
    <row r="111" spans="1:10" ht="14.45" hidden="1" customHeight="1">
      <c r="A111" t="s">
        <v>468</v>
      </c>
      <c r="B111" s="14" t="str">
        <f>HYPERLINK("https://www.ncbi.nlm.nih.gov/pubmed/20890769","20890769")</f>
        <v>20890769</v>
      </c>
      <c r="C111" s="11"/>
      <c r="E111" s="9"/>
      <c r="G111" t="s">
        <v>267</v>
      </c>
      <c r="H111" t="s">
        <v>326</v>
      </c>
      <c r="J111" s="7" t="s">
        <v>444</v>
      </c>
    </row>
    <row r="112" spans="1:10" ht="14.45" hidden="1" customHeight="1">
      <c r="A112" t="s">
        <v>468</v>
      </c>
      <c r="B112" s="14" t="str">
        <f>HYPERLINK("https://www.ncbi.nlm.nih.gov/pubmed/20890769","20890769")</f>
        <v>20890769</v>
      </c>
      <c r="C112" s="11"/>
      <c r="E112" s="11"/>
      <c r="G112" t="s">
        <v>267</v>
      </c>
      <c r="H112" t="s">
        <v>326</v>
      </c>
      <c r="J112" s="7" t="s">
        <v>348</v>
      </c>
    </row>
    <row r="113" spans="1:10" ht="14.45" hidden="1" customHeight="1">
      <c r="A113" t="s">
        <v>468</v>
      </c>
      <c r="B113" s="13" t="str">
        <f>HYPERLINK("https://www.ncbi.nlm.nih.gov/pubmed/24434083","24434083")</f>
        <v>24434083</v>
      </c>
      <c r="C113" s="11"/>
      <c r="F113" s="44"/>
      <c r="G113" t="s">
        <v>267</v>
      </c>
      <c r="H113" t="s">
        <v>326</v>
      </c>
      <c r="J113" s="46" t="s">
        <v>469</v>
      </c>
    </row>
    <row r="114" spans="1:10" ht="14.45" hidden="1" customHeight="1">
      <c r="A114" t="s">
        <v>468</v>
      </c>
      <c r="B114" s="13" t="str">
        <f>HYPERLINK("https://www.ncbi.nlm.nih.gov/pubmed/29216406","29216406")</f>
        <v>29216406</v>
      </c>
      <c r="C114" s="44"/>
      <c r="E114" s="48"/>
      <c r="G114" t="s">
        <v>267</v>
      </c>
      <c r="H114" t="s">
        <v>326</v>
      </c>
      <c r="I114" s="24" t="s">
        <v>337</v>
      </c>
      <c r="J114" s="50" t="s">
        <v>470</v>
      </c>
    </row>
    <row r="115" spans="1:10" hidden="1">
      <c r="A115" t="s">
        <v>468</v>
      </c>
      <c r="B115" s="16" t="str">
        <f>HYPERLINK("https://www.ncbi.nlm.nih.gov/pubmed/27590779","27590779")</f>
        <v>27590779</v>
      </c>
      <c r="F115" s="44"/>
      <c r="G115" t="s">
        <v>292</v>
      </c>
      <c r="H115" s="7" t="s">
        <v>320</v>
      </c>
      <c r="J115" s="7" t="s">
        <v>471</v>
      </c>
    </row>
    <row r="116" spans="1:10" hidden="1">
      <c r="A116" t="s">
        <v>468</v>
      </c>
      <c r="B116" s="13" t="str">
        <f>HYPERLINK("https://www.ncbi.nlm.nih.gov/pubmed/27590779","27590779")</f>
        <v>27590779</v>
      </c>
      <c r="C116" s="11"/>
      <c r="E116" s="11"/>
      <c r="G116" t="s">
        <v>213</v>
      </c>
      <c r="H116" t="s">
        <v>472</v>
      </c>
      <c r="J116" s="7" t="s">
        <v>473</v>
      </c>
    </row>
    <row r="117" spans="1:10" hidden="1">
      <c r="A117" t="s">
        <v>468</v>
      </c>
      <c r="B117" s="13" t="str">
        <f>HYPERLINK("https://www.ncbi.nlm.nih.gov/pubmed/19897028","19897028")</f>
        <v>19897028</v>
      </c>
      <c r="C117" s="10"/>
      <c r="G117" t="s">
        <v>376</v>
      </c>
      <c r="H117" t="s">
        <v>416</v>
      </c>
      <c r="I117" s="24" t="s">
        <v>378</v>
      </c>
      <c r="J117" s="7" t="s">
        <v>474</v>
      </c>
    </row>
    <row r="118" spans="1:10" hidden="1">
      <c r="A118" t="s">
        <v>468</v>
      </c>
      <c r="B118" s="14" t="str">
        <f>HYPERLINK("https://www.ncbi.nlm.nih.gov/pubmed/9928669","9928669")</f>
        <v>9928669</v>
      </c>
      <c r="C118" s="11"/>
      <c r="E118" s="11"/>
      <c r="G118" t="s">
        <v>376</v>
      </c>
      <c r="H118" t="s">
        <v>458</v>
      </c>
      <c r="I118" s="24" t="s">
        <v>378</v>
      </c>
      <c r="J118" s="7" t="s">
        <v>475</v>
      </c>
    </row>
    <row r="119" spans="1:10" hidden="1">
      <c r="A119" t="s">
        <v>468</v>
      </c>
      <c r="B119" s="14" t="str">
        <f>HYPERLINK("https://www.ncbi.nlm.nih.gov/pubmed/17888624","17888624")</f>
        <v>17888624</v>
      </c>
      <c r="C119" s="9"/>
      <c r="F119" s="44"/>
      <c r="G119" t="s">
        <v>376</v>
      </c>
      <c r="H119" t="s">
        <v>476</v>
      </c>
      <c r="J119" s="7" t="s">
        <v>477</v>
      </c>
    </row>
    <row r="120" spans="1:10" ht="14.45" hidden="1" customHeight="1">
      <c r="A120" t="s">
        <v>187</v>
      </c>
      <c r="B120" s="13" t="str">
        <f>HYPERLINK("https://www.ncbi.nlm.nih.gov/pubmed/22461451","22461451")</f>
        <v>22461451</v>
      </c>
      <c r="C120" s="9"/>
      <c r="E120" s="11"/>
      <c r="F120" s="9"/>
      <c r="G120" t="s">
        <v>319</v>
      </c>
      <c r="H120" s="7" t="s">
        <v>320</v>
      </c>
      <c r="J120" s="7" t="s">
        <v>478</v>
      </c>
    </row>
    <row r="121" spans="1:10" ht="14.45" hidden="1" customHeight="1">
      <c r="A121" t="s">
        <v>187</v>
      </c>
      <c r="B121" s="13" t="str">
        <f>HYPERLINK("https://www.ncbi.nlm.nih.gov/pubmed/26377646","26377646")</f>
        <v>26377646</v>
      </c>
      <c r="C121" s="9"/>
      <c r="D121" s="45"/>
      <c r="E121" s="45"/>
      <c r="G121" t="s">
        <v>319</v>
      </c>
      <c r="H121" s="7" t="s">
        <v>320</v>
      </c>
      <c r="I121" s="24"/>
      <c r="J121" s="7" t="s">
        <v>479</v>
      </c>
    </row>
    <row r="122" spans="1:10" hidden="1">
      <c r="A122" t="s">
        <v>187</v>
      </c>
      <c r="B122" s="13" t="str">
        <f>HYPERLINK("https://www.ncbi.nlm.nih.gov/pubmed/8969909","8969909")</f>
        <v>8969909</v>
      </c>
      <c r="D122" s="11"/>
      <c r="G122" t="s">
        <v>267</v>
      </c>
      <c r="H122" t="s">
        <v>326</v>
      </c>
      <c r="J122" s="7" t="s">
        <v>480</v>
      </c>
    </row>
    <row r="123" spans="1:10" ht="14.45" hidden="1" customHeight="1">
      <c r="A123" t="s">
        <v>187</v>
      </c>
      <c r="B123" s="13" t="str">
        <f>HYPERLINK("https://www.ncbi.nlm.nih.gov/pubmed/11226372","11226372")</f>
        <v>11226372</v>
      </c>
      <c r="D123" s="9"/>
      <c r="G123" t="s">
        <v>267</v>
      </c>
      <c r="H123" t="s">
        <v>326</v>
      </c>
      <c r="J123" s="7" t="s">
        <v>481</v>
      </c>
    </row>
    <row r="124" spans="1:10" ht="14.45" hidden="1" customHeight="1">
      <c r="A124" t="s">
        <v>187</v>
      </c>
      <c r="B124" s="22" t="str">
        <f>HYPERLINK("https://www.ncbi.nlm.nih.gov/pubmed/16935330","16935330")</f>
        <v>16935330</v>
      </c>
      <c r="C124" s="9"/>
      <c r="E124" s="9"/>
      <c r="F124" s="9"/>
      <c r="G124" t="s">
        <v>267</v>
      </c>
      <c r="H124" t="s">
        <v>326</v>
      </c>
      <c r="J124" s="7" t="s">
        <v>482</v>
      </c>
    </row>
    <row r="125" spans="1:10" hidden="1">
      <c r="A125" t="s">
        <v>187</v>
      </c>
      <c r="B125" s="13" t="str">
        <f>HYPERLINK("https://www.ncbi.nlm.nih.gov/pubmed/16962624","16962624")</f>
        <v>16962624</v>
      </c>
      <c r="C125" s="9"/>
      <c r="E125" s="9"/>
      <c r="F125" s="9"/>
      <c r="G125" t="s">
        <v>267</v>
      </c>
      <c r="H125" t="s">
        <v>326</v>
      </c>
      <c r="J125" s="7" t="s">
        <v>483</v>
      </c>
    </row>
    <row r="126" spans="1:10" hidden="1">
      <c r="A126" t="s">
        <v>187</v>
      </c>
      <c r="B126" s="22" t="str">
        <f>HYPERLINK("https://www.ncbi.nlm.nih.gov/pubmed/20087668","20087668")</f>
        <v>20087668</v>
      </c>
      <c r="C126" s="9"/>
      <c r="E126" s="9"/>
      <c r="G126" t="s">
        <v>267</v>
      </c>
      <c r="H126" t="s">
        <v>326</v>
      </c>
      <c r="J126" s="7" t="s">
        <v>484</v>
      </c>
    </row>
    <row r="127" spans="1:10" hidden="1">
      <c r="A127" t="s">
        <v>187</v>
      </c>
      <c r="B127" s="13" t="str">
        <f>HYPERLINK("https://www.ncbi.nlm.nih.gov/pubmed/20726872","20726872")</f>
        <v>20726872</v>
      </c>
      <c r="C127" s="9"/>
      <c r="E127" s="9"/>
      <c r="F127" s="9"/>
      <c r="G127" t="s">
        <v>267</v>
      </c>
      <c r="H127" t="s">
        <v>326</v>
      </c>
      <c r="J127" s="46" t="s">
        <v>485</v>
      </c>
    </row>
    <row r="128" spans="1:10" ht="14.45" hidden="1" customHeight="1">
      <c r="A128" t="s">
        <v>187</v>
      </c>
      <c r="B128" s="14" t="str">
        <f>HYPERLINK("https://www.ncbi.nlm.nih.gov/pubmed/20890769","20890769")</f>
        <v>20890769</v>
      </c>
      <c r="C128" s="9"/>
      <c r="E128" s="9"/>
      <c r="G128" t="s">
        <v>267</v>
      </c>
      <c r="H128" t="s">
        <v>326</v>
      </c>
      <c r="J128" s="7" t="s">
        <v>486</v>
      </c>
    </row>
    <row r="129" spans="1:10" ht="14.45" hidden="1" customHeight="1">
      <c r="A129" t="s">
        <v>187</v>
      </c>
      <c r="B129" s="14" t="str">
        <f>HYPERLINK("https://www.ncbi.nlm.nih.gov/pubmed/20890769","20890769")</f>
        <v>20890769</v>
      </c>
      <c r="C129" s="9"/>
      <c r="E129" s="9"/>
      <c r="G129" t="s">
        <v>267</v>
      </c>
      <c r="H129" t="s">
        <v>326</v>
      </c>
      <c r="J129" s="7" t="s">
        <v>487</v>
      </c>
    </row>
    <row r="130" spans="1:10" ht="14.45" hidden="1" customHeight="1">
      <c r="A130" t="s">
        <v>187</v>
      </c>
      <c r="B130" s="14" t="str">
        <f>HYPERLINK("https://www.ncbi.nlm.nih.gov/pubmed/20890769","20890769")</f>
        <v>20890769</v>
      </c>
      <c r="C130" s="9"/>
      <c r="E130" s="9"/>
      <c r="G130" t="s">
        <v>267</v>
      </c>
      <c r="H130" t="s">
        <v>326</v>
      </c>
      <c r="J130" s="7" t="s">
        <v>488</v>
      </c>
    </row>
    <row r="131" spans="1:10" ht="14.45" hidden="1" customHeight="1">
      <c r="A131" t="s">
        <v>187</v>
      </c>
      <c r="B131" s="14" t="str">
        <f>HYPERLINK("https://www.ncbi.nlm.nih.gov/pubmed/20890769","20890769")</f>
        <v>20890769</v>
      </c>
      <c r="C131" s="9"/>
      <c r="E131" s="9"/>
      <c r="G131" t="s">
        <v>267</v>
      </c>
      <c r="H131" t="s">
        <v>326</v>
      </c>
      <c r="J131" s="7" t="s">
        <v>489</v>
      </c>
    </row>
    <row r="132" spans="1:10" ht="14.45" hidden="1" customHeight="1">
      <c r="A132" t="s">
        <v>187</v>
      </c>
      <c r="B132" s="14" t="str">
        <f>HYPERLINK("https://www.ncbi.nlm.nih.gov/pubmed/20890769","20890769")</f>
        <v>20890769</v>
      </c>
      <c r="C132" s="9"/>
      <c r="E132" s="9"/>
      <c r="G132" t="s">
        <v>267</v>
      </c>
      <c r="H132" t="s">
        <v>326</v>
      </c>
      <c r="J132" s="7" t="s">
        <v>490</v>
      </c>
    </row>
    <row r="133" spans="1:10" ht="14.45" hidden="1" customHeight="1">
      <c r="A133" t="s">
        <v>187</v>
      </c>
      <c r="B133" s="13" t="str">
        <f>HYPERLINK("https://www.ncbi.nlm.nih.gov/pubmed/21722693","21722693")</f>
        <v>21722693</v>
      </c>
      <c r="C133" s="9"/>
      <c r="E133" s="9"/>
      <c r="F133" s="9"/>
      <c r="G133" t="s">
        <v>267</v>
      </c>
      <c r="H133" t="s">
        <v>326</v>
      </c>
      <c r="J133" s="7" t="s">
        <v>491</v>
      </c>
    </row>
    <row r="134" spans="1:10" ht="14.45" hidden="1" customHeight="1">
      <c r="A134" t="s">
        <v>187</v>
      </c>
      <c r="B134" s="13" t="str">
        <f>HYPERLINK("https://www.ncbi.nlm.nih.gov/pubmed/21959537","21959537")</f>
        <v>21959537</v>
      </c>
      <c r="C134" s="9"/>
      <c r="E134" s="9"/>
      <c r="G134" t="s">
        <v>267</v>
      </c>
      <c r="H134" t="s">
        <v>326</v>
      </c>
      <c r="J134" s="7" t="s">
        <v>492</v>
      </c>
    </row>
    <row r="135" spans="1:10" ht="14.45" hidden="1" customHeight="1">
      <c r="A135" t="s">
        <v>187</v>
      </c>
      <c r="B135" s="14" t="str">
        <f>HYPERLINK("https://www.ncbi.nlm.nih.gov/pubmed/21959537","21959537")</f>
        <v>21959537</v>
      </c>
      <c r="C135" s="9"/>
      <c r="E135" s="9"/>
      <c r="G135" t="s">
        <v>267</v>
      </c>
      <c r="H135" t="s">
        <v>326</v>
      </c>
      <c r="J135" s="7" t="s">
        <v>493</v>
      </c>
    </row>
    <row r="136" spans="1:10" ht="14.45" hidden="1" customHeight="1">
      <c r="A136" t="s">
        <v>187</v>
      </c>
      <c r="B136" s="14" t="str">
        <f>HYPERLINK("https://www.ncbi.nlm.nih.gov/pubmed/21959537","21959537")</f>
        <v>21959537</v>
      </c>
      <c r="C136" s="9"/>
      <c r="E136" s="9"/>
      <c r="G136" t="s">
        <v>267</v>
      </c>
      <c r="H136" t="s">
        <v>326</v>
      </c>
      <c r="J136" s="7" t="s">
        <v>494</v>
      </c>
    </row>
    <row r="137" spans="1:10" ht="14.45" hidden="1" customHeight="1">
      <c r="A137" t="s">
        <v>187</v>
      </c>
      <c r="B137" s="14" t="str">
        <f>HYPERLINK("https://www.ncbi.nlm.nih.gov/pubmed/21959537","21959537")</f>
        <v>21959537</v>
      </c>
      <c r="C137" s="9"/>
      <c r="E137" s="9"/>
      <c r="G137" t="s">
        <v>267</v>
      </c>
      <c r="H137" t="s">
        <v>326</v>
      </c>
      <c r="J137" s="7" t="s">
        <v>495</v>
      </c>
    </row>
    <row r="138" spans="1:10" ht="14.45" hidden="1" customHeight="1">
      <c r="A138" t="s">
        <v>187</v>
      </c>
      <c r="B138" s="14" t="str">
        <f>HYPERLINK("https://www.ncbi.nlm.nih.gov/pubmed/21959537","21959537")</f>
        <v>21959537</v>
      </c>
      <c r="C138" s="9"/>
      <c r="E138" s="9"/>
      <c r="G138" t="s">
        <v>267</v>
      </c>
      <c r="H138" t="s">
        <v>326</v>
      </c>
      <c r="J138" s="7" t="s">
        <v>496</v>
      </c>
    </row>
    <row r="139" spans="1:10" ht="14.45" hidden="1" customHeight="1">
      <c r="A139" t="s">
        <v>187</v>
      </c>
      <c r="B139" s="13" t="str">
        <f>HYPERLINK("https://www.ncbi.nlm.nih.gov/pubmed/22101210","22101210")</f>
        <v>22101210</v>
      </c>
      <c r="C139" s="11"/>
      <c r="D139" s="9"/>
      <c r="E139" s="44"/>
      <c r="F139" s="11"/>
      <c r="G139" t="s">
        <v>267</v>
      </c>
      <c r="H139" t="s">
        <v>326</v>
      </c>
      <c r="J139" s="7" t="s">
        <v>497</v>
      </c>
    </row>
    <row r="140" spans="1:10" ht="14.45" hidden="1" customHeight="1">
      <c r="A140" t="s">
        <v>187</v>
      </c>
      <c r="B140" s="13" t="str">
        <f>HYPERLINK("https://www.ncbi.nlm.nih.gov/pubmed/22446829","22446829")</f>
        <v>22446829</v>
      </c>
      <c r="C140" s="9"/>
      <c r="E140" s="9"/>
      <c r="G140" t="s">
        <v>267</v>
      </c>
      <c r="H140" t="s">
        <v>326</v>
      </c>
      <c r="J140" s="7" t="s">
        <v>498</v>
      </c>
    </row>
    <row r="141" spans="1:10" ht="14.45" hidden="1" customHeight="1">
      <c r="A141" t="s">
        <v>187</v>
      </c>
      <c r="B141" s="13" t="str">
        <f>HYPERLINK("https://www.ncbi.nlm.nih.gov/pubmed/22768806","22768806")</f>
        <v>22768806</v>
      </c>
      <c r="C141" s="9"/>
      <c r="D141" s="9"/>
      <c r="E141" s="9"/>
      <c r="F141" s="11"/>
      <c r="G141" t="s">
        <v>267</v>
      </c>
      <c r="H141" t="s">
        <v>326</v>
      </c>
      <c r="J141" s="46" t="s">
        <v>499</v>
      </c>
    </row>
    <row r="142" spans="1:10" ht="14.45" hidden="1" customHeight="1">
      <c r="A142" t="s">
        <v>187</v>
      </c>
      <c r="B142" s="13" t="str">
        <f>HYPERLINK("https://www.ncbi.nlm.nih.gov/pubmed/23065845","23065845")</f>
        <v>23065845</v>
      </c>
      <c r="D142" s="9"/>
      <c r="F142" s="9"/>
      <c r="G142" t="s">
        <v>267</v>
      </c>
      <c r="H142" t="s">
        <v>326</v>
      </c>
      <c r="J142" s="7" t="s">
        <v>500</v>
      </c>
    </row>
    <row r="143" spans="1:10" ht="14.45" hidden="1" customHeight="1">
      <c r="A143" t="s">
        <v>187</v>
      </c>
      <c r="B143" s="13" t="str">
        <f>HYPERLINK("https://www.ncbi.nlm.nih.gov/pubmed/23296098","23296098")</f>
        <v>23296098</v>
      </c>
      <c r="C143" s="9"/>
      <c r="E143" s="9"/>
      <c r="F143" s="9"/>
      <c r="G143" t="s">
        <v>267</v>
      </c>
      <c r="H143" t="s">
        <v>326</v>
      </c>
      <c r="J143" s="46" t="s">
        <v>501</v>
      </c>
    </row>
    <row r="144" spans="1:10" ht="14.45" hidden="1" customHeight="1">
      <c r="A144" t="s">
        <v>187</v>
      </c>
      <c r="B144" s="13" t="str">
        <f>HYPERLINK("https://www.ncbi.nlm.nih.gov/pubmed/23370353","23370353")</f>
        <v>23370353</v>
      </c>
      <c r="D144" s="9"/>
      <c r="G144" t="s">
        <v>267</v>
      </c>
      <c r="H144" t="s">
        <v>326</v>
      </c>
      <c r="J144" s="7" t="s">
        <v>502</v>
      </c>
    </row>
    <row r="145" spans="1:10" ht="14.45" hidden="1" customHeight="1">
      <c r="A145" t="s">
        <v>187</v>
      </c>
      <c r="B145" s="13" t="str">
        <f>HYPERLINK("https://www.ncbi.nlm.nih.gov/pubmed/23685396","23685396")</f>
        <v>23685396</v>
      </c>
      <c r="C145" s="11"/>
      <c r="D145" s="9"/>
      <c r="G145" t="s">
        <v>267</v>
      </c>
      <c r="H145" t="s">
        <v>326</v>
      </c>
      <c r="J145" s="7" t="s">
        <v>503</v>
      </c>
    </row>
    <row r="146" spans="1:10" ht="14.45" hidden="1" customHeight="1">
      <c r="A146" t="s">
        <v>187</v>
      </c>
      <c r="B146" s="13" t="str">
        <f>HYPERLINK("https://www.ncbi.nlm.nih.gov/pubmed/24114466","24114466")</f>
        <v>24114466</v>
      </c>
      <c r="C146" s="9"/>
      <c r="E146" s="9"/>
      <c r="G146" t="s">
        <v>267</v>
      </c>
      <c r="H146" t="s">
        <v>326</v>
      </c>
      <c r="J146" s="7" t="s">
        <v>504</v>
      </c>
    </row>
    <row r="147" spans="1:10" ht="14.45" hidden="1" customHeight="1">
      <c r="A147" t="s">
        <v>187</v>
      </c>
      <c r="B147" s="13" t="str">
        <f>HYPERLINK("https://www.ncbi.nlm.nih.gov/pubmed/24434083","24434083")</f>
        <v>24434083</v>
      </c>
      <c r="C147" s="11"/>
      <c r="F147" s="9"/>
      <c r="G147" t="s">
        <v>267</v>
      </c>
      <c r="H147" t="s">
        <v>326</v>
      </c>
      <c r="J147" s="7" t="s">
        <v>505</v>
      </c>
    </row>
    <row r="148" spans="1:10" ht="14.45" hidden="1" customHeight="1">
      <c r="A148" t="s">
        <v>187</v>
      </c>
      <c r="B148" s="13" t="str">
        <f>HYPERLINK("https://www.ncbi.nlm.nih.gov/pubmed/24515815","24515815")</f>
        <v>24515815</v>
      </c>
      <c r="C148" s="9"/>
      <c r="E148" s="9"/>
      <c r="G148" t="s">
        <v>267</v>
      </c>
      <c r="H148" t="s">
        <v>326</v>
      </c>
      <c r="J148" s="7" t="s">
        <v>506</v>
      </c>
    </row>
    <row r="149" spans="1:10" ht="14.45" hidden="1" customHeight="1">
      <c r="A149" t="s">
        <v>187</v>
      </c>
      <c r="B149" s="13" t="str">
        <f>HYPERLINK("https://www.ncbi.nlm.nih.gov/pubmed/24515815","24515815")</f>
        <v>24515815</v>
      </c>
      <c r="C149" s="9"/>
      <c r="E149" s="9"/>
      <c r="G149" t="s">
        <v>267</v>
      </c>
      <c r="H149" t="s">
        <v>326</v>
      </c>
      <c r="J149" s="50" t="s">
        <v>507</v>
      </c>
    </row>
    <row r="150" spans="1:10" ht="14.45" hidden="1" customHeight="1">
      <c r="A150" t="s">
        <v>187</v>
      </c>
      <c r="B150" s="13" t="str">
        <f>HYPERLINK("https://www.ncbi.nlm.nih.gov/pubmed/24995434","24995434")</f>
        <v>24995434</v>
      </c>
      <c r="C150" s="9"/>
      <c r="E150" s="9"/>
      <c r="F150" s="9"/>
      <c r="G150" t="s">
        <v>267</v>
      </c>
      <c r="H150" t="s">
        <v>326</v>
      </c>
      <c r="J150" s="7" t="s">
        <v>508</v>
      </c>
    </row>
    <row r="151" spans="1:10" ht="14.45" hidden="1" customHeight="1">
      <c r="A151" t="s">
        <v>187</v>
      </c>
      <c r="B151" s="13" t="str">
        <f>HYPERLINK("https://www.ncbi.nlm.nih.gov/pubmed/25579646","25579646")</f>
        <v>25579646</v>
      </c>
      <c r="C151" s="9"/>
      <c r="E151" s="9"/>
      <c r="G151" t="s">
        <v>267</v>
      </c>
      <c r="H151" t="s">
        <v>326</v>
      </c>
      <c r="J151" s="7" t="s">
        <v>509</v>
      </c>
    </row>
    <row r="152" spans="1:10" hidden="1">
      <c r="A152" t="s">
        <v>187</v>
      </c>
      <c r="B152" s="14" t="str">
        <f>HYPERLINK("https://www.ncbi.nlm.nih.gov/pubmed/25625232","25625232")</f>
        <v>25625232</v>
      </c>
      <c r="C152" s="9"/>
      <c r="E152" s="9"/>
      <c r="F152" s="9"/>
      <c r="G152" t="s">
        <v>267</v>
      </c>
      <c r="H152" t="s">
        <v>326</v>
      </c>
      <c r="J152" s="7" t="s">
        <v>510</v>
      </c>
    </row>
    <row r="153" spans="1:10" hidden="1">
      <c r="A153" t="s">
        <v>187</v>
      </c>
      <c r="B153" s="13" t="str">
        <f>HYPERLINK("https://www.ncbi.nlm.nih.gov/pubmed/25765474","25765474")</f>
        <v>25765474</v>
      </c>
      <c r="C153" s="9"/>
      <c r="D153" s="9"/>
      <c r="E153" s="9"/>
      <c r="F153" s="11"/>
      <c r="G153" t="s">
        <v>267</v>
      </c>
      <c r="H153" t="s">
        <v>326</v>
      </c>
      <c r="J153" s="7" t="s">
        <v>511</v>
      </c>
    </row>
    <row r="154" spans="1:10" hidden="1">
      <c r="A154" t="s">
        <v>187</v>
      </c>
      <c r="B154" s="13" t="str">
        <f>HYPERLINK("https://www.ncbi.nlm.nih.gov/pubmed/25871633","25871633")</f>
        <v>25871633</v>
      </c>
      <c r="C154" s="9"/>
      <c r="E154" s="9"/>
      <c r="G154" t="s">
        <v>267</v>
      </c>
      <c r="H154" t="s">
        <v>326</v>
      </c>
      <c r="J154" s="7" t="s">
        <v>512</v>
      </c>
    </row>
    <row r="155" spans="1:10" hidden="1">
      <c r="A155" t="s">
        <v>187</v>
      </c>
      <c r="B155" s="13" t="str">
        <f>HYPERLINK("https://www.ncbi.nlm.nih.gov/pubmed/26435452","26435452")</f>
        <v>26435452</v>
      </c>
      <c r="D155" s="9"/>
      <c r="F155" s="9"/>
      <c r="G155" t="s">
        <v>267</v>
      </c>
      <c r="H155" t="s">
        <v>326</v>
      </c>
      <c r="J155" s="7" t="s">
        <v>513</v>
      </c>
    </row>
    <row r="156" spans="1:10" hidden="1">
      <c r="A156" s="7" t="s">
        <v>187</v>
      </c>
      <c r="B156" s="13" t="str">
        <f>HYPERLINK("https://www.ncbi.nlm.nih.gov/pubmed/26979344","26979344")</f>
        <v>26979344</v>
      </c>
      <c r="C156" s="4"/>
      <c r="D156" s="4"/>
      <c r="E156" s="4"/>
      <c r="F156" s="4"/>
      <c r="G156" s="7" t="s">
        <v>267</v>
      </c>
      <c r="H156" t="s">
        <v>326</v>
      </c>
      <c r="J156" s="7" t="s">
        <v>514</v>
      </c>
    </row>
    <row r="157" spans="1:10" hidden="1">
      <c r="A157" s="7" t="s">
        <v>187</v>
      </c>
      <c r="B157" s="13" t="str">
        <f>HYPERLINK("https://www.ncbi.nlm.nih.gov/pubmed/27150205","27150205")</f>
        <v>27150205</v>
      </c>
      <c r="C157" s="4"/>
      <c r="D157" s="4"/>
      <c r="E157" s="4"/>
      <c r="F157" s="4"/>
      <c r="G157" s="7" t="s">
        <v>267</v>
      </c>
      <c r="H157" t="s">
        <v>326</v>
      </c>
      <c r="J157" s="7" t="s">
        <v>515</v>
      </c>
    </row>
    <row r="158" spans="1:10" hidden="1">
      <c r="A158" t="s">
        <v>187</v>
      </c>
      <c r="B158" s="13" t="str">
        <f>HYPERLINK("https://www.ncbi.nlm.nih.gov/pubmed/29216406","29216406")</f>
        <v>29216406</v>
      </c>
      <c r="C158" s="9"/>
      <c r="D158" s="9"/>
      <c r="E158" s="4"/>
      <c r="F158" s="9"/>
      <c r="G158" t="s">
        <v>267</v>
      </c>
      <c r="H158" t="s">
        <v>326</v>
      </c>
      <c r="I158" s="24" t="s">
        <v>337</v>
      </c>
      <c r="J158" s="50" t="s">
        <v>516</v>
      </c>
    </row>
    <row r="159" spans="1:10" hidden="1">
      <c r="A159" t="s">
        <v>187</v>
      </c>
      <c r="B159" s="13" t="str">
        <f>HYPERLINK("https://www.ncbi.nlm.nih.gov/pubmed/29757997","29757997")</f>
        <v>29757997</v>
      </c>
      <c r="C159" s="9"/>
      <c r="G159" t="s">
        <v>267</v>
      </c>
      <c r="H159" t="s">
        <v>326</v>
      </c>
      <c r="J159" s="7" t="s">
        <v>517</v>
      </c>
    </row>
    <row r="160" spans="1:10" hidden="1">
      <c r="A160" t="s">
        <v>187</v>
      </c>
      <c r="B160" s="13" t="str">
        <f>HYPERLINK("https://www.ncbi.nlm.nih.gov/pubmed/30017865","30017865")</f>
        <v>30017865</v>
      </c>
      <c r="C160" s="9"/>
      <c r="D160" s="9"/>
      <c r="E160" s="9"/>
      <c r="F160" s="9"/>
      <c r="G160" t="s">
        <v>267</v>
      </c>
      <c r="H160" t="s">
        <v>326</v>
      </c>
      <c r="J160" s="7" t="s">
        <v>518</v>
      </c>
    </row>
    <row r="161" spans="1:10" hidden="1">
      <c r="A161" t="s">
        <v>187</v>
      </c>
      <c r="B161" s="13" t="str">
        <f>HYPERLINK("https://www.ncbi.nlm.nih.gov/pubmed/31884045","31884045")</f>
        <v>31884045</v>
      </c>
      <c r="D161" s="9"/>
      <c r="F161" s="11"/>
      <c r="G161" t="s">
        <v>267</v>
      </c>
      <c r="H161" t="s">
        <v>326</v>
      </c>
      <c r="J161" s="7" t="s">
        <v>519</v>
      </c>
    </row>
    <row r="162" spans="1:10" hidden="1">
      <c r="A162" t="s">
        <v>187</v>
      </c>
      <c r="B162" s="13" t="str">
        <f>HYPERLINK("https://www.ncbi.nlm.nih.gov/pubmed/32334352","32334352")</f>
        <v>32334352</v>
      </c>
      <c r="C162" s="9"/>
      <c r="E162" s="9"/>
      <c r="G162" t="s">
        <v>267</v>
      </c>
      <c r="H162" t="s">
        <v>326</v>
      </c>
      <c r="J162" s="7" t="s">
        <v>520</v>
      </c>
    </row>
    <row r="163" spans="1:10" hidden="1">
      <c r="A163" t="s">
        <v>187</v>
      </c>
      <c r="B163" s="13" t="str">
        <f>HYPERLINK("https://www.ncbi.nlm.nih.gov/pubmed/35696490","35696490")</f>
        <v>35696490</v>
      </c>
      <c r="C163" s="11"/>
      <c r="D163" s="11"/>
      <c r="E163" s="9"/>
      <c r="F163" s="9"/>
      <c r="G163" t="s">
        <v>267</v>
      </c>
      <c r="H163" t="s">
        <v>326</v>
      </c>
      <c r="J163" s="7" t="s">
        <v>521</v>
      </c>
    </row>
    <row r="164" spans="1:10" hidden="1">
      <c r="A164" t="s">
        <v>187</v>
      </c>
      <c r="B164" s="13" t="str">
        <f>HYPERLINK("https://www.ncbi.nlm.nih.gov/pubmed/37551828","37551828")</f>
        <v>37551828</v>
      </c>
      <c r="C164" s="9"/>
      <c r="E164" s="9"/>
      <c r="G164" t="s">
        <v>267</v>
      </c>
      <c r="H164" t="s">
        <v>326</v>
      </c>
      <c r="J164" s="7" t="s">
        <v>522</v>
      </c>
    </row>
    <row r="165" spans="1:10" hidden="1">
      <c r="A165" t="s">
        <v>187</v>
      </c>
      <c r="B165" s="13" t="str">
        <f>HYPERLINK("https://www.ncbi.nlm.nih.gov/pubmed/1654116","1654116")</f>
        <v>1654116</v>
      </c>
      <c r="F165" s="9"/>
      <c r="G165" t="s">
        <v>292</v>
      </c>
      <c r="H165" s="7" t="s">
        <v>320</v>
      </c>
      <c r="J165" s="7" t="s">
        <v>523</v>
      </c>
    </row>
    <row r="166" spans="1:10" hidden="1">
      <c r="A166" t="s">
        <v>187</v>
      </c>
      <c r="B166" s="14" t="str">
        <f>HYPERLINK("https://www.ncbi.nlm.nih.gov/pubmed/2169287","2169287")</f>
        <v>2169287</v>
      </c>
      <c r="F166" s="9"/>
      <c r="G166" t="s">
        <v>292</v>
      </c>
      <c r="H166" s="7" t="s">
        <v>320</v>
      </c>
      <c r="J166" s="7" t="s">
        <v>524</v>
      </c>
    </row>
    <row r="167" spans="1:10" hidden="1">
      <c r="A167" t="s">
        <v>187</v>
      </c>
      <c r="B167" s="14" t="str">
        <f>HYPERLINK("https://www.ncbi.nlm.nih.gov/pubmed/2437113","2437113")</f>
        <v>2437113</v>
      </c>
      <c r="F167" s="9"/>
      <c r="G167" t="s">
        <v>292</v>
      </c>
      <c r="H167" s="7" t="s">
        <v>320</v>
      </c>
      <c r="J167" s="7" t="s">
        <v>525</v>
      </c>
    </row>
    <row r="168" spans="1:10" hidden="1">
      <c r="A168" t="s">
        <v>187</v>
      </c>
      <c r="B168" s="14" t="str">
        <f>HYPERLINK("https://www.ncbi.nlm.nih.gov/pubmed/2554289","2554289")</f>
        <v>2554289</v>
      </c>
      <c r="F168" s="9"/>
      <c r="G168" t="s">
        <v>292</v>
      </c>
      <c r="H168" s="7" t="s">
        <v>320</v>
      </c>
      <c r="J168" s="7" t="s">
        <v>526</v>
      </c>
    </row>
    <row r="169" spans="1:10" hidden="1">
      <c r="A169" t="s">
        <v>187</v>
      </c>
      <c r="B169" s="14" t="str">
        <f>HYPERLINK("https://www.ncbi.nlm.nih.gov/pubmed/8049148","8049148")</f>
        <v>8049148</v>
      </c>
      <c r="F169" s="9"/>
      <c r="G169" t="s">
        <v>292</v>
      </c>
      <c r="H169" s="7" t="s">
        <v>320</v>
      </c>
      <c r="J169" s="7" t="s">
        <v>527</v>
      </c>
    </row>
    <row r="170" spans="1:10" hidden="1">
      <c r="A170" t="s">
        <v>187</v>
      </c>
      <c r="B170" s="14" t="str">
        <f>HYPERLINK("https://www.ncbi.nlm.nih.gov/pubmed/9314578","9314578")</f>
        <v>9314578</v>
      </c>
      <c r="F170" s="9"/>
      <c r="G170" t="s">
        <v>292</v>
      </c>
      <c r="H170" s="7" t="s">
        <v>320</v>
      </c>
      <c r="J170" s="7" t="s">
        <v>528</v>
      </c>
    </row>
    <row r="171" spans="1:10" hidden="1">
      <c r="A171" t="s">
        <v>187</v>
      </c>
      <c r="B171" s="13" t="str">
        <f>HYPERLINK("https://www.ncbi.nlm.nih.gov/pubmed/12081150","12081150")</f>
        <v>12081150</v>
      </c>
      <c r="F171" s="9"/>
      <c r="G171" t="s">
        <v>292</v>
      </c>
      <c r="H171" s="7" t="s">
        <v>320</v>
      </c>
      <c r="J171" s="7" t="s">
        <v>529</v>
      </c>
    </row>
    <row r="172" spans="1:10" hidden="1">
      <c r="A172" t="s">
        <v>187</v>
      </c>
      <c r="B172" s="14" t="str">
        <f>HYPERLINK("https://www.ncbi.nlm.nih.gov/pubmed/16507311","16507311")</f>
        <v>16507311</v>
      </c>
      <c r="F172" s="9"/>
      <c r="G172" t="s">
        <v>292</v>
      </c>
      <c r="H172" s="7" t="s">
        <v>320</v>
      </c>
      <c r="J172" s="7" t="s">
        <v>530</v>
      </c>
    </row>
    <row r="173" spans="1:10" hidden="1">
      <c r="A173" t="s">
        <v>187</v>
      </c>
      <c r="B173" s="14" t="str">
        <f>HYPERLINK("https://www.ncbi.nlm.nih.gov/pubmed/26647388","26647388")</f>
        <v>26647388</v>
      </c>
      <c r="F173" s="9"/>
      <c r="G173" t="s">
        <v>292</v>
      </c>
      <c r="H173" s="7" t="s">
        <v>320</v>
      </c>
      <c r="J173" s="7" t="s">
        <v>531</v>
      </c>
    </row>
    <row r="174" spans="1:10" hidden="1">
      <c r="A174" t="s">
        <v>187</v>
      </c>
      <c r="B174" s="14" t="str">
        <f>HYPERLINK("https://www.ncbi.nlm.nih.gov/pubmed/26783879","26783879")</f>
        <v>26783879</v>
      </c>
      <c r="F174" s="9"/>
      <c r="G174" t="s">
        <v>292</v>
      </c>
      <c r="H174" s="7" t="s">
        <v>320</v>
      </c>
      <c r="J174" s="7" t="s">
        <v>532</v>
      </c>
    </row>
    <row r="175" spans="1:10" hidden="1">
      <c r="A175" t="s">
        <v>187</v>
      </c>
      <c r="B175" s="14" t="str">
        <f>HYPERLINK("https://www.ncbi.nlm.nih.gov/pubmed/29560447","29560447")</f>
        <v>29560447</v>
      </c>
      <c r="C175" s="9"/>
      <c r="D175" s="11"/>
      <c r="F175" s="9"/>
      <c r="G175" t="s">
        <v>292</v>
      </c>
      <c r="H175" s="7" t="s">
        <v>320</v>
      </c>
      <c r="J175" s="7" t="s">
        <v>533</v>
      </c>
    </row>
    <row r="176" spans="1:10" hidden="1">
      <c r="A176" t="s">
        <v>187</v>
      </c>
      <c r="B176" s="14" t="str">
        <f>HYPERLINK("https://www.ncbi.nlm.nih.gov/pubmed/39307342","39307342")</f>
        <v>39307342</v>
      </c>
      <c r="F176" s="9"/>
      <c r="G176" t="s">
        <v>292</v>
      </c>
      <c r="H176" s="7" t="s">
        <v>320</v>
      </c>
      <c r="J176" s="7" t="s">
        <v>534</v>
      </c>
    </row>
    <row r="177" spans="1:10" hidden="1">
      <c r="A177" t="s">
        <v>187</v>
      </c>
      <c r="B177" s="14" t="str">
        <f>HYPERLINK("https://www.ncbi.nlm.nih.gov/pubmed/10373400","10373400")</f>
        <v>10373400</v>
      </c>
      <c r="F177" s="9"/>
      <c r="G177" t="s">
        <v>301</v>
      </c>
      <c r="H177" s="7" t="s">
        <v>320</v>
      </c>
      <c r="J177" s="7" t="s">
        <v>535</v>
      </c>
    </row>
    <row r="178" spans="1:10" hidden="1">
      <c r="A178" t="s">
        <v>187</v>
      </c>
      <c r="B178" s="14" t="str">
        <f>HYPERLINK("https://www.ncbi.nlm.nih.gov/pubmed/10363120","10363120")</f>
        <v>10363120</v>
      </c>
      <c r="C178" s="9"/>
      <c r="G178" t="s">
        <v>213</v>
      </c>
      <c r="H178" t="s">
        <v>536</v>
      </c>
      <c r="J178" s="7" t="s">
        <v>537</v>
      </c>
    </row>
    <row r="179" spans="1:10" hidden="1">
      <c r="A179" t="s">
        <v>187</v>
      </c>
      <c r="B179" s="14" t="str">
        <f>HYPERLINK("https://www.ncbi.nlm.nih.gov/pubmed/8786851","8786851")</f>
        <v>8786851</v>
      </c>
      <c r="C179" s="9"/>
      <c r="G179" t="s">
        <v>213</v>
      </c>
      <c r="H179" t="s">
        <v>538</v>
      </c>
      <c r="J179" s="7" t="s">
        <v>539</v>
      </c>
    </row>
    <row r="180" spans="1:10" hidden="1">
      <c r="A180" t="s">
        <v>187</v>
      </c>
      <c r="B180" s="14" t="str">
        <f>HYPERLINK("https://www.ncbi.nlm.nih.gov/pubmed/15680312","15680312")</f>
        <v>15680312</v>
      </c>
      <c r="C180" s="9"/>
      <c r="G180" t="s">
        <v>213</v>
      </c>
      <c r="H180" t="s">
        <v>540</v>
      </c>
      <c r="J180" s="7" t="s">
        <v>541</v>
      </c>
    </row>
    <row r="181" spans="1:10" hidden="1">
      <c r="A181" t="s">
        <v>187</v>
      </c>
      <c r="B181" s="14" t="str">
        <f>HYPERLINK("https://www.ncbi.nlm.nih.gov/pubmed/1848443","1848443")</f>
        <v>1848443</v>
      </c>
      <c r="C181" s="9"/>
      <c r="G181" t="s">
        <v>213</v>
      </c>
      <c r="H181" t="s">
        <v>542</v>
      </c>
      <c r="J181" s="7" t="s">
        <v>543</v>
      </c>
    </row>
    <row r="182" spans="1:10" hidden="1">
      <c r="A182" t="s">
        <v>187</v>
      </c>
      <c r="B182" s="14" t="str">
        <f>HYPERLINK("https://www.ncbi.nlm.nih.gov/pubmed/2305601","2305601")</f>
        <v>2305601</v>
      </c>
      <c r="C182" s="9"/>
      <c r="G182" t="s">
        <v>213</v>
      </c>
      <c r="H182" t="s">
        <v>544</v>
      </c>
      <c r="J182" s="7" t="s">
        <v>545</v>
      </c>
    </row>
    <row r="183" spans="1:10" hidden="1">
      <c r="A183" t="s">
        <v>187</v>
      </c>
      <c r="B183" s="14" t="str">
        <f>HYPERLINK("https://www.ncbi.nlm.nih.gov/pubmed/3533962","3533962")</f>
        <v>3533962</v>
      </c>
      <c r="C183" s="4"/>
      <c r="G183" t="s">
        <v>213</v>
      </c>
      <c r="H183" t="s">
        <v>546</v>
      </c>
      <c r="J183" s="7" t="s">
        <v>547</v>
      </c>
    </row>
    <row r="184" spans="1:10" hidden="1">
      <c r="A184" t="s">
        <v>187</v>
      </c>
      <c r="B184" s="14" t="str">
        <f>HYPERLINK("https://www.ncbi.nlm.nih.gov/pubmed/1645279","1645279")</f>
        <v>1645279</v>
      </c>
      <c r="C184" s="9"/>
      <c r="G184" t="s">
        <v>213</v>
      </c>
      <c r="H184" t="s">
        <v>548</v>
      </c>
      <c r="J184" s="7" t="s">
        <v>549</v>
      </c>
    </row>
    <row r="185" spans="1:10" hidden="1">
      <c r="A185" t="s">
        <v>187</v>
      </c>
      <c r="B185" s="14" t="str">
        <f>HYPERLINK("https://www.ncbi.nlm.nih.gov/pubmed/2981068","2981068")</f>
        <v>2981068</v>
      </c>
      <c r="C185" s="9"/>
      <c r="G185" t="s">
        <v>213</v>
      </c>
      <c r="H185" t="s">
        <v>548</v>
      </c>
      <c r="J185" s="7" t="s">
        <v>550</v>
      </c>
    </row>
    <row r="186" spans="1:10" hidden="1">
      <c r="A186" t="s">
        <v>187</v>
      </c>
      <c r="B186" s="14" t="str">
        <f>HYPERLINK("https://www.ncbi.nlm.nih.gov/pubmed/3017932","3017932")</f>
        <v>3017932</v>
      </c>
      <c r="C186" s="12"/>
      <c r="G186" t="s">
        <v>213</v>
      </c>
      <c r="H186" t="s">
        <v>548</v>
      </c>
      <c r="I186" s="20" t="s">
        <v>551</v>
      </c>
      <c r="J186" s="7" t="s">
        <v>552</v>
      </c>
    </row>
    <row r="187" spans="1:10" hidden="1">
      <c r="A187" t="s">
        <v>187</v>
      </c>
      <c r="B187" s="14" t="str">
        <f>HYPERLINK("https://www.ncbi.nlm.nih.gov/pubmed/8735605","8735605")</f>
        <v>8735605</v>
      </c>
      <c r="C187" s="9"/>
      <c r="G187" t="s">
        <v>213</v>
      </c>
      <c r="H187" t="s">
        <v>553</v>
      </c>
      <c r="J187" s="7" t="s">
        <v>554</v>
      </c>
    </row>
    <row r="188" spans="1:10" hidden="1">
      <c r="A188" t="s">
        <v>187</v>
      </c>
      <c r="B188" s="14" t="str">
        <f>HYPERLINK("https://www.ncbi.nlm.nih.gov/pubmed/11135360","11135360")</f>
        <v>11135360</v>
      </c>
      <c r="C188" s="9"/>
      <c r="G188" t="s">
        <v>213</v>
      </c>
      <c r="H188" t="s">
        <v>555</v>
      </c>
      <c r="J188" s="7" t="s">
        <v>556</v>
      </c>
    </row>
    <row r="189" spans="1:10" hidden="1">
      <c r="A189" t="s">
        <v>187</v>
      </c>
      <c r="B189" s="14" t="str">
        <f>HYPERLINK("https://www.ncbi.nlm.nih.gov/pubmed/9886754","9886754")</f>
        <v>9886754</v>
      </c>
      <c r="C189" s="9"/>
      <c r="G189" t="s">
        <v>213</v>
      </c>
      <c r="H189" t="s">
        <v>557</v>
      </c>
      <c r="J189" s="7" t="s">
        <v>558</v>
      </c>
    </row>
    <row r="190" spans="1:10" hidden="1">
      <c r="A190" t="s">
        <v>187</v>
      </c>
      <c r="B190" s="14" t="str">
        <f>HYPERLINK("https://www.ncbi.nlm.nih.gov/pubmed/10928947","10928947")</f>
        <v>10928947</v>
      </c>
      <c r="C190" s="9"/>
      <c r="G190" t="s">
        <v>213</v>
      </c>
      <c r="H190" t="s">
        <v>557</v>
      </c>
      <c r="J190" s="7" t="s">
        <v>559</v>
      </c>
    </row>
    <row r="191" spans="1:10" hidden="1">
      <c r="A191" t="s">
        <v>187</v>
      </c>
      <c r="B191" s="14" t="str">
        <f>HYPERLINK("https://www.ncbi.nlm.nih.gov/pubmed/11500963","11500963")</f>
        <v>11500963</v>
      </c>
      <c r="C191" s="9"/>
      <c r="G191" t="s">
        <v>213</v>
      </c>
      <c r="H191" t="s">
        <v>557</v>
      </c>
      <c r="J191" s="7" t="s">
        <v>559</v>
      </c>
    </row>
    <row r="192" spans="1:10" hidden="1">
      <c r="A192" t="s">
        <v>187</v>
      </c>
      <c r="B192" s="14" t="str">
        <f>HYPERLINK("https://www.ncbi.nlm.nih.gov/pubmed/14635199","14635199")</f>
        <v>14635199</v>
      </c>
      <c r="C192" s="9"/>
      <c r="G192" t="s">
        <v>213</v>
      </c>
      <c r="H192" t="s">
        <v>557</v>
      </c>
      <c r="J192" s="7" t="s">
        <v>560</v>
      </c>
    </row>
    <row r="193" spans="1:10" hidden="1">
      <c r="A193" t="s">
        <v>187</v>
      </c>
      <c r="B193" s="14" t="str">
        <f>HYPERLINK("https://www.ncbi.nlm.nih.gov/pubmed/18559981","18559981")</f>
        <v>18559981</v>
      </c>
      <c r="C193" s="9"/>
      <c r="G193" t="s">
        <v>213</v>
      </c>
      <c r="H193" t="s">
        <v>557</v>
      </c>
      <c r="J193" s="7" t="s">
        <v>561</v>
      </c>
    </row>
    <row r="194" spans="1:10" hidden="1">
      <c r="A194" t="s">
        <v>187</v>
      </c>
      <c r="B194" s="14" t="str">
        <f>HYPERLINK("https://www.ncbi.nlm.nih.gov/pubmed/20432242","20432242")</f>
        <v>20432242</v>
      </c>
      <c r="C194" s="9"/>
      <c r="G194" t="s">
        <v>213</v>
      </c>
      <c r="H194" t="s">
        <v>557</v>
      </c>
      <c r="J194" s="7" t="s">
        <v>562</v>
      </c>
    </row>
    <row r="195" spans="1:10" hidden="1">
      <c r="A195" t="s">
        <v>187</v>
      </c>
      <c r="B195" s="14" t="str">
        <f>HYPERLINK("https://www.ncbi.nlm.nih.gov/pubmed/23347875","23347875")</f>
        <v>23347875</v>
      </c>
      <c r="C195" s="9"/>
      <c r="G195" t="s">
        <v>213</v>
      </c>
      <c r="H195" t="s">
        <v>563</v>
      </c>
      <c r="I195" s="20" t="s">
        <v>551</v>
      </c>
      <c r="J195" s="7" t="s">
        <v>564</v>
      </c>
    </row>
    <row r="196" spans="1:10" hidden="1">
      <c r="A196" t="s">
        <v>187</v>
      </c>
      <c r="B196" s="14" t="str">
        <f>HYPERLINK("https://www.ncbi.nlm.nih.gov/pubmed/6316065","6316065")</f>
        <v>6316065</v>
      </c>
      <c r="C196" s="9"/>
      <c r="G196" t="s">
        <v>213</v>
      </c>
      <c r="H196" t="s">
        <v>565</v>
      </c>
      <c r="I196" s="20" t="s">
        <v>551</v>
      </c>
      <c r="J196" s="7" t="s">
        <v>566</v>
      </c>
    </row>
    <row r="197" spans="1:10" hidden="1">
      <c r="A197" s="7" t="s">
        <v>187</v>
      </c>
      <c r="B197" s="14" t="str">
        <f>HYPERLINK("https://www.ncbi.nlm.nih.gov/pubmed/3188813","3188813")</f>
        <v>3188813</v>
      </c>
      <c r="C197" s="4"/>
      <c r="D197" s="8"/>
      <c r="E197" s="8"/>
      <c r="F197" s="8"/>
      <c r="G197" t="s">
        <v>213</v>
      </c>
      <c r="H197" t="s">
        <v>567</v>
      </c>
      <c r="J197" s="7" t="s">
        <v>568</v>
      </c>
    </row>
    <row r="198" spans="1:10" hidden="1">
      <c r="A198" t="s">
        <v>187</v>
      </c>
      <c r="B198" s="14" t="str">
        <f>HYPERLINK("https://www.ncbi.nlm.nih.gov/pubmed/7588282","7588282")</f>
        <v>7588282</v>
      </c>
      <c r="C198" s="9"/>
      <c r="G198" t="s">
        <v>213</v>
      </c>
      <c r="H198" t="s">
        <v>569</v>
      </c>
      <c r="J198" s="7" t="s">
        <v>570</v>
      </c>
    </row>
    <row r="199" spans="1:10" hidden="1">
      <c r="A199" t="s">
        <v>187</v>
      </c>
      <c r="B199" s="14" t="str">
        <f>HYPERLINK("https://www.ncbi.nlm.nih.gov/pubmed/1955071","1955071")</f>
        <v>1955071</v>
      </c>
      <c r="C199" s="9"/>
      <c r="G199" t="s">
        <v>213</v>
      </c>
      <c r="H199" t="s">
        <v>571</v>
      </c>
      <c r="J199" s="7" t="s">
        <v>572</v>
      </c>
    </row>
    <row r="200" spans="1:10" hidden="1">
      <c r="A200" t="s">
        <v>187</v>
      </c>
      <c r="B200" s="14" t="str">
        <f>HYPERLINK("https://www.ncbi.nlm.nih.gov/pubmed/16130272","16130272")</f>
        <v>16130272</v>
      </c>
      <c r="C200" s="9"/>
      <c r="D200" s="9"/>
      <c r="G200" t="s">
        <v>213</v>
      </c>
      <c r="H200" t="s">
        <v>370</v>
      </c>
      <c r="J200" s="7" t="s">
        <v>573</v>
      </c>
    </row>
    <row r="201" spans="1:10" hidden="1">
      <c r="A201" t="s">
        <v>187</v>
      </c>
      <c r="B201" s="14" t="str">
        <f>HYPERLINK("https://www.ncbi.nlm.nih.gov/pubmed/6204893","6204893")</f>
        <v>6204893</v>
      </c>
      <c r="C201" s="9"/>
      <c r="G201" t="s">
        <v>213</v>
      </c>
      <c r="H201" t="s">
        <v>574</v>
      </c>
      <c r="J201" s="7" t="s">
        <v>575</v>
      </c>
    </row>
    <row r="202" spans="1:10" hidden="1">
      <c r="A202" t="s">
        <v>187</v>
      </c>
      <c r="B202" s="14" t="str">
        <f>HYPERLINK("https://www.ncbi.nlm.nih.gov/pubmed/32005928","32005928")</f>
        <v>32005928</v>
      </c>
      <c r="C202" s="9"/>
      <c r="G202" t="s">
        <v>213</v>
      </c>
      <c r="H202" t="s">
        <v>576</v>
      </c>
      <c r="J202" s="7" t="s">
        <v>577</v>
      </c>
    </row>
    <row r="203" spans="1:10" hidden="1">
      <c r="A203" t="s">
        <v>187</v>
      </c>
      <c r="B203" s="14" t="str">
        <f>HYPERLINK("https://www.ncbi.nlm.nih.gov/pubmed/2848690","2848690")</f>
        <v>2848690</v>
      </c>
      <c r="C203" s="9"/>
      <c r="G203" t="s">
        <v>213</v>
      </c>
      <c r="H203" t="s">
        <v>578</v>
      </c>
      <c r="J203" s="7" t="s">
        <v>579</v>
      </c>
    </row>
    <row r="204" spans="1:10" hidden="1">
      <c r="A204" t="s">
        <v>187</v>
      </c>
      <c r="B204" s="13" t="str">
        <f>HYPERLINK("https://www.ncbi.nlm.nih.gov/pubmed/23022511","23022511")</f>
        <v>23022511</v>
      </c>
      <c r="C204" s="9"/>
      <c r="G204" t="s">
        <v>213</v>
      </c>
      <c r="H204" t="s">
        <v>339</v>
      </c>
      <c r="I204" s="24" t="s">
        <v>378</v>
      </c>
      <c r="J204" s="7" t="s">
        <v>580</v>
      </c>
    </row>
    <row r="205" spans="1:10" hidden="1">
      <c r="A205" t="s">
        <v>187</v>
      </c>
      <c r="B205" s="14" t="str">
        <f>HYPERLINK("https://www.ncbi.nlm.nih.gov/pubmed/24684461","24684461")</f>
        <v>24684461</v>
      </c>
      <c r="F205" s="9"/>
      <c r="G205" t="s">
        <v>581</v>
      </c>
      <c r="H205" t="s">
        <v>582</v>
      </c>
      <c r="J205" s="7" t="s">
        <v>583</v>
      </c>
    </row>
    <row r="206" spans="1:10" hidden="1">
      <c r="A206" t="s">
        <v>187</v>
      </c>
      <c r="B206" s="14" t="str">
        <f>HYPERLINK("https://www.ncbi.nlm.nih.gov/pubmed/31398257","31398257")</f>
        <v>31398257</v>
      </c>
      <c r="C206" s="11"/>
      <c r="D206" s="47"/>
      <c r="F206" s="9"/>
      <c r="G206" t="s">
        <v>581</v>
      </c>
      <c r="H206" t="s">
        <v>584</v>
      </c>
      <c r="J206" s="46" t="s">
        <v>585</v>
      </c>
    </row>
    <row r="207" spans="1:10" hidden="1">
      <c r="A207" t="s">
        <v>187</v>
      </c>
      <c r="B207" s="14" t="str">
        <f>HYPERLINK("https://www.ncbi.nlm.nih.gov/pubmed/25340537","25340537")</f>
        <v>25340537</v>
      </c>
      <c r="C207" s="11"/>
      <c r="F207" s="9"/>
      <c r="G207" t="s">
        <v>581</v>
      </c>
      <c r="H207" t="s">
        <v>586</v>
      </c>
      <c r="J207" s="50" t="s">
        <v>587</v>
      </c>
    </row>
    <row r="208" spans="1:10" hidden="1">
      <c r="A208" t="s">
        <v>187</v>
      </c>
      <c r="B208" s="13" t="str">
        <f>HYPERLINK("https://www.ncbi.nlm.nih.gov/pubmed/25340537","25340537")</f>
        <v>25340537</v>
      </c>
      <c r="C208" s="9"/>
      <c r="F208" s="9"/>
      <c r="G208" t="s">
        <v>581</v>
      </c>
      <c r="H208" t="s">
        <v>588</v>
      </c>
      <c r="J208" s="46" t="s">
        <v>589</v>
      </c>
    </row>
    <row r="209" spans="1:10" hidden="1">
      <c r="A209" t="s">
        <v>187</v>
      </c>
      <c r="B209" s="13" t="str">
        <f>HYPERLINK("https://www.ncbi.nlm.nih.gov/pubmed/32735821","32735821")</f>
        <v>32735821</v>
      </c>
      <c r="C209" s="9"/>
      <c r="G209" t="s">
        <v>581</v>
      </c>
      <c r="H209" t="s">
        <v>590</v>
      </c>
      <c r="I209" s="21" t="s">
        <v>591</v>
      </c>
      <c r="J209" s="46" t="s">
        <v>592</v>
      </c>
    </row>
    <row r="210" spans="1:10" hidden="1">
      <c r="A210" t="s">
        <v>187</v>
      </c>
      <c r="B210" s="14" t="str">
        <f>HYPERLINK("https://www.ncbi.nlm.nih.gov/pubmed/7997239","7997239")</f>
        <v>7997239</v>
      </c>
      <c r="F210" s="9"/>
      <c r="G210" t="s">
        <v>593</v>
      </c>
      <c r="H210" t="s">
        <v>594</v>
      </c>
      <c r="J210" s="7" t="s">
        <v>595</v>
      </c>
    </row>
    <row r="211" spans="1:10" hidden="1">
      <c r="A211" t="s">
        <v>596</v>
      </c>
      <c r="B211" s="14" t="str">
        <f>HYPERLINK("https://www.ncbi.nlm.nih.gov/pubmed/22198065","22198065")</f>
        <v>22198065</v>
      </c>
      <c r="C211" s="11"/>
      <c r="D211" s="10"/>
      <c r="E211" s="11"/>
      <c r="G211" t="s">
        <v>267</v>
      </c>
      <c r="H211" s="7" t="s">
        <v>326</v>
      </c>
      <c r="I211" s="24"/>
      <c r="J211" s="46" t="s">
        <v>597</v>
      </c>
    </row>
    <row r="212" spans="1:10" hidden="1">
      <c r="A212" t="s">
        <v>596</v>
      </c>
      <c r="B212" s="13" t="str">
        <f>HYPERLINK("https://www.ncbi.nlm.nih.gov/pubmed/28936609","28936609")</f>
        <v>28936609</v>
      </c>
      <c r="C212" s="9"/>
      <c r="E212" s="9"/>
      <c r="G212" t="s">
        <v>267</v>
      </c>
      <c r="H212" s="7" t="s">
        <v>326</v>
      </c>
      <c r="J212" s="46" t="s">
        <v>598</v>
      </c>
    </row>
    <row r="213" spans="1:10" hidden="1">
      <c r="A213" t="s">
        <v>596</v>
      </c>
      <c r="B213" s="14" t="str">
        <f>HYPERLINK("https://www.ncbi.nlm.nih.gov/pubmed/36702264","36702264")</f>
        <v>36702264</v>
      </c>
      <c r="C213" s="9"/>
      <c r="E213" s="9"/>
      <c r="G213" t="s">
        <v>267</v>
      </c>
      <c r="H213" s="7" t="s">
        <v>326</v>
      </c>
      <c r="I213" s="24"/>
      <c r="J213" s="50" t="s">
        <v>599</v>
      </c>
    </row>
    <row r="214" spans="1:10" hidden="1">
      <c r="A214" t="s">
        <v>596</v>
      </c>
      <c r="B214" s="13" t="str">
        <f>HYPERLINK("https://www.ncbi.nlm.nih.gov/pubmed/24466573","24466573")</f>
        <v>24466573</v>
      </c>
      <c r="C214" s="9" t="s">
        <v>369</v>
      </c>
      <c r="E214" s="9"/>
      <c r="G214" t="s">
        <v>213</v>
      </c>
      <c r="H214" t="s">
        <v>600</v>
      </c>
      <c r="I214" s="24" t="s">
        <v>340</v>
      </c>
      <c r="J214" s="7" t="s">
        <v>601</v>
      </c>
    </row>
    <row r="215" spans="1:10" hidden="1">
      <c r="A215" t="s">
        <v>602</v>
      </c>
      <c r="B215" s="14" t="str">
        <f>HYPERLINK("https://www.ncbi.nlm.nih.gov/pubmed/20043267","20043267")</f>
        <v>20043267</v>
      </c>
      <c r="C215" s="10"/>
      <c r="E215" s="9"/>
      <c r="G215" t="s">
        <v>267</v>
      </c>
      <c r="H215" s="7" t="s">
        <v>326</v>
      </c>
      <c r="J215" s="7" t="s">
        <v>603</v>
      </c>
    </row>
    <row r="216" spans="1:10" hidden="1">
      <c r="A216" t="s">
        <v>602</v>
      </c>
      <c r="B216" s="14" t="str">
        <f>HYPERLINK("https://www.ncbi.nlm.nih.gov/pubmed/20732377","20732377")</f>
        <v>20732377</v>
      </c>
      <c r="C216" s="10"/>
      <c r="E216" s="11"/>
      <c r="G216" t="s">
        <v>267</v>
      </c>
      <c r="H216" s="7" t="s">
        <v>326</v>
      </c>
      <c r="J216" s="7" t="s">
        <v>604</v>
      </c>
    </row>
    <row r="217" spans="1:10" hidden="1">
      <c r="A217" t="s">
        <v>602</v>
      </c>
      <c r="B217" s="13" t="str">
        <f>HYPERLINK("https://www.ncbi.nlm.nih.gov/pubmed/20890769","20890769")</f>
        <v>20890769</v>
      </c>
      <c r="C217" s="10"/>
      <c r="E217" s="9"/>
      <c r="G217" t="s">
        <v>267</v>
      </c>
      <c r="H217" s="7" t="s">
        <v>326</v>
      </c>
      <c r="J217" s="7" t="s">
        <v>353</v>
      </c>
    </row>
    <row r="218" spans="1:10" hidden="1">
      <c r="A218" t="s">
        <v>602</v>
      </c>
      <c r="B218" s="13" t="str">
        <f>HYPERLINK("https://www.ncbi.nlm.nih.gov/pubmed/20890769","20890769")</f>
        <v>20890769</v>
      </c>
      <c r="C218" s="10"/>
      <c r="E218" s="9"/>
      <c r="G218" t="s">
        <v>267</v>
      </c>
      <c r="H218" s="7" t="s">
        <v>326</v>
      </c>
      <c r="J218" s="7" t="s">
        <v>605</v>
      </c>
    </row>
    <row r="219" spans="1:10" ht="18" hidden="1">
      <c r="A219" t="s">
        <v>602</v>
      </c>
      <c r="B219" s="14" t="str">
        <f>HYPERLINK("https://www.ncbi.nlm.nih.gov/pubmed/22198065","22198065")</f>
        <v>22198065</v>
      </c>
      <c r="C219" s="11"/>
      <c r="D219" s="10"/>
      <c r="E219" s="11"/>
      <c r="F219" s="11"/>
      <c r="G219" t="s">
        <v>267</v>
      </c>
      <c r="H219" s="7" t="s">
        <v>326</v>
      </c>
      <c r="J219" s="7" t="s">
        <v>606</v>
      </c>
    </row>
    <row r="220" spans="1:10" ht="15.75" hidden="1" customHeight="1">
      <c r="A220" t="s">
        <v>602</v>
      </c>
      <c r="B220" s="14" t="str">
        <f>HYPERLINK("https://www.ncbi.nlm.nih.gov/pubmed/22554500","22554500")</f>
        <v>22554500</v>
      </c>
      <c r="C220" s="10"/>
      <c r="E220" s="9"/>
      <c r="G220" t="s">
        <v>267</v>
      </c>
      <c r="H220" s="7" t="s">
        <v>326</v>
      </c>
      <c r="J220" s="7" t="s">
        <v>607</v>
      </c>
    </row>
    <row r="221" spans="1:10" hidden="1">
      <c r="A221" t="s">
        <v>602</v>
      </c>
      <c r="B221" s="13" t="str">
        <f>HYPERLINK("https://www.ncbi.nlm.nih.gov/pubmed/23541764","23541764")</f>
        <v>23541764</v>
      </c>
      <c r="C221" s="10"/>
      <c r="D221" s="10"/>
      <c r="E221" s="9"/>
      <c r="F221" s="11"/>
      <c r="G221" t="s">
        <v>267</v>
      </c>
      <c r="H221" s="7" t="s">
        <v>326</v>
      </c>
      <c r="J221" s="7" t="s">
        <v>608</v>
      </c>
    </row>
    <row r="222" spans="1:10" hidden="1">
      <c r="A222" t="s">
        <v>602</v>
      </c>
      <c r="B222" s="13" t="str">
        <f>HYPERLINK("https://www.ncbi.nlm.nih.gov/pubmed/23590819","23590819")</f>
        <v>23590819</v>
      </c>
      <c r="C222" s="10"/>
      <c r="E222" s="9"/>
      <c r="G222" t="s">
        <v>267</v>
      </c>
      <c r="H222" s="7" t="s">
        <v>326</v>
      </c>
      <c r="J222" s="7" t="s">
        <v>609</v>
      </c>
    </row>
    <row r="223" spans="1:10" hidden="1">
      <c r="A223" t="s">
        <v>602</v>
      </c>
      <c r="B223" s="13" t="str">
        <f>HYPERLINK("https://www.ncbi.nlm.nih.gov/pubmed/29216406","29216406")</f>
        <v>29216406</v>
      </c>
      <c r="C223" s="10"/>
      <c r="D223" s="10"/>
      <c r="E223" s="81"/>
      <c r="F223" s="10"/>
      <c r="G223" t="s">
        <v>267</v>
      </c>
      <c r="H223" s="7" t="s">
        <v>326</v>
      </c>
      <c r="I223" s="24" t="s">
        <v>337</v>
      </c>
      <c r="J223" s="50" t="s">
        <v>610</v>
      </c>
    </row>
    <row r="224" spans="1:10" hidden="1">
      <c r="A224" t="s">
        <v>602</v>
      </c>
      <c r="B224" s="13" t="str">
        <f>HYPERLINK("https://www.ncbi.nlm.nih.gov/pubmed/17332522","17332522")</f>
        <v>17332522</v>
      </c>
      <c r="F224" s="10"/>
      <c r="G224" t="s">
        <v>292</v>
      </c>
      <c r="H224" s="7" t="s">
        <v>320</v>
      </c>
      <c r="I224" s="24" t="s">
        <v>611</v>
      </c>
      <c r="J224" s="7" t="s">
        <v>612</v>
      </c>
    </row>
    <row r="225" spans="1:10" hidden="1">
      <c r="A225" t="s">
        <v>602</v>
      </c>
      <c r="B225" s="13" t="str">
        <f>HYPERLINK("https://www.ncbi.nlm.nih.gov/pubmed/27181934","27181934")</f>
        <v>27181934</v>
      </c>
      <c r="F225" s="11"/>
      <c r="G225" t="s">
        <v>292</v>
      </c>
      <c r="H225" s="7" t="s">
        <v>320</v>
      </c>
      <c r="I225" s="24" t="s">
        <v>433</v>
      </c>
      <c r="J225" s="7" t="s">
        <v>613</v>
      </c>
    </row>
    <row r="226" spans="1:10" hidden="1">
      <c r="A226" t="s">
        <v>602</v>
      </c>
      <c r="B226" s="13" t="str">
        <f>HYPERLINK("https://www.ncbi.nlm.nih.gov/pubmed/17569756","17569756")</f>
        <v>17569756</v>
      </c>
      <c r="C226" s="10"/>
      <c r="G226" t="s">
        <v>213</v>
      </c>
      <c r="H226" t="s">
        <v>614</v>
      </c>
      <c r="I226" s="24" t="s">
        <v>340</v>
      </c>
      <c r="J226" s="7" t="s">
        <v>615</v>
      </c>
    </row>
    <row r="227" spans="1:10" hidden="1">
      <c r="A227" t="s">
        <v>602</v>
      </c>
      <c r="B227" s="13" t="str">
        <f>HYPERLINK("https://www.ncbi.nlm.nih.gov/pubmed/24451983","24451983")</f>
        <v>24451983</v>
      </c>
      <c r="C227" s="10"/>
      <c r="G227" t="s">
        <v>213</v>
      </c>
      <c r="H227" t="s">
        <v>614</v>
      </c>
      <c r="I227" s="24" t="s">
        <v>340</v>
      </c>
      <c r="J227" s="7" t="s">
        <v>616</v>
      </c>
    </row>
    <row r="228" spans="1:10" ht="18" hidden="1">
      <c r="A228" t="s">
        <v>602</v>
      </c>
      <c r="B228" s="13" t="str">
        <f>HYPERLINK("https://www.ncbi.nlm.nih.gov/pubmed/32520353","32520353")</f>
        <v>32520353</v>
      </c>
      <c r="C228" s="10"/>
      <c r="G228" t="s">
        <v>213</v>
      </c>
      <c r="H228" t="s">
        <v>614</v>
      </c>
      <c r="I228" s="24" t="s">
        <v>340</v>
      </c>
      <c r="J228" s="7" t="s">
        <v>617</v>
      </c>
    </row>
    <row r="229" spans="1:10" hidden="1">
      <c r="A229" t="s">
        <v>602</v>
      </c>
      <c r="B229" s="13" t="str">
        <f>HYPERLINK("https://www.ncbi.nlm.nih.gov/pubmed/21624456","21624456")</f>
        <v>21624456</v>
      </c>
      <c r="C229" s="10"/>
      <c r="G229" t="s">
        <v>376</v>
      </c>
      <c r="H229" t="s">
        <v>618</v>
      </c>
      <c r="I229" s="21"/>
      <c r="J229" s="46" t="s">
        <v>619</v>
      </c>
    </row>
    <row r="230" spans="1:10" hidden="1">
      <c r="A230" t="s">
        <v>602</v>
      </c>
      <c r="B230" s="13" t="str">
        <f>HYPERLINK("https://www.ncbi.nlm.nih.gov/pubmed/21624456","21624456")</f>
        <v>21624456</v>
      </c>
      <c r="C230" s="11"/>
      <c r="G230" t="s">
        <v>376</v>
      </c>
      <c r="H230" t="s">
        <v>620</v>
      </c>
      <c r="I230" s="21" t="s">
        <v>591</v>
      </c>
      <c r="J230" s="7" t="s">
        <v>621</v>
      </c>
    </row>
    <row r="231" spans="1:10" hidden="1">
      <c r="A231" t="s">
        <v>602</v>
      </c>
      <c r="B231" s="13" t="str">
        <f>HYPERLINK("https://www.ncbi.nlm.nih.gov/pubmed/19897028","19897028")</f>
        <v>19897028</v>
      </c>
      <c r="C231" s="10"/>
      <c r="G231" t="s">
        <v>376</v>
      </c>
      <c r="H231" t="s">
        <v>416</v>
      </c>
      <c r="I231" s="24" t="s">
        <v>378</v>
      </c>
      <c r="J231" s="7" t="s">
        <v>622</v>
      </c>
    </row>
    <row r="232" spans="1:10" ht="18" hidden="1">
      <c r="A232" t="s">
        <v>602</v>
      </c>
      <c r="B232" s="13" t="str">
        <f>HYPERLINK("https://www.ncbi.nlm.nih.gov/pubmed/35948002","35948002")</f>
        <v>35948002</v>
      </c>
      <c r="C232" s="10"/>
      <c r="G232" t="s">
        <v>306</v>
      </c>
      <c r="H232" s="7" t="s">
        <v>320</v>
      </c>
      <c r="I232" s="24" t="s">
        <v>378</v>
      </c>
      <c r="J232" s="7" t="s">
        <v>623</v>
      </c>
    </row>
    <row r="233" spans="1:10" hidden="1">
      <c r="A233" t="s">
        <v>624</v>
      </c>
      <c r="B233" s="14" t="str">
        <f>HYPERLINK("https://www.ncbi.nlm.nih.gov/pubmed/23370353","23370353")</f>
        <v>23370353</v>
      </c>
      <c r="D233" s="10"/>
      <c r="G233" t="s">
        <v>267</v>
      </c>
      <c r="H233" s="7" t="s">
        <v>326</v>
      </c>
      <c r="I233" s="24" t="s">
        <v>625</v>
      </c>
      <c r="J233" s="7" t="s">
        <v>626</v>
      </c>
    </row>
    <row r="234" spans="1:10" hidden="1">
      <c r="A234" t="s">
        <v>627</v>
      </c>
      <c r="B234" s="13" t="str">
        <f>HYPERLINK("https://www.ncbi.nlm.nih.gov/pubmed/20890769","20890769")</f>
        <v>20890769</v>
      </c>
      <c r="C234" s="11"/>
      <c r="E234" s="11"/>
      <c r="G234" t="s">
        <v>267</v>
      </c>
      <c r="H234" s="7" t="s">
        <v>326</v>
      </c>
      <c r="J234" s="7" t="s">
        <v>347</v>
      </c>
    </row>
    <row r="235" spans="1:10" hidden="1">
      <c r="A235" t="s">
        <v>627</v>
      </c>
      <c r="B235" s="13" t="str">
        <f>HYPERLINK("https://www.ncbi.nlm.nih.gov/pubmed/20890769","20890769")</f>
        <v>20890769</v>
      </c>
      <c r="C235" s="11"/>
      <c r="E235" s="11"/>
      <c r="G235" t="s">
        <v>267</v>
      </c>
      <c r="H235" s="7" t="s">
        <v>326</v>
      </c>
      <c r="J235" s="7" t="s">
        <v>348</v>
      </c>
    </row>
    <row r="236" spans="1:10" hidden="1">
      <c r="A236" t="s">
        <v>627</v>
      </c>
      <c r="B236" s="13" t="str">
        <f>HYPERLINK("https://www.ncbi.nlm.nih.gov/pubmed/22200534","22200534")</f>
        <v>22200534</v>
      </c>
      <c r="C236" s="10"/>
      <c r="G236" t="s">
        <v>213</v>
      </c>
      <c r="H236" t="s">
        <v>628</v>
      </c>
      <c r="I236" s="24"/>
      <c r="J236" s="7" t="s">
        <v>629</v>
      </c>
    </row>
    <row r="237" spans="1:10" hidden="1">
      <c r="A237" t="s">
        <v>630</v>
      </c>
      <c r="B237" s="13" t="str">
        <f>HYPERLINK("https://www.ncbi.nlm.nih.gov/pubmed/15985365","15985365")</f>
        <v>15985365</v>
      </c>
      <c r="D237" s="10"/>
      <c r="G237" t="s">
        <v>267</v>
      </c>
      <c r="H237" s="7" t="s">
        <v>326</v>
      </c>
      <c r="J237" s="7" t="s">
        <v>631</v>
      </c>
    </row>
    <row r="238" spans="1:10" hidden="1">
      <c r="A238" t="s">
        <v>630</v>
      </c>
      <c r="B238" s="13" t="str">
        <f>HYPERLINK("https://www.ncbi.nlm.nih.gov/pubmed/16935330","16935330")</f>
        <v>16935330</v>
      </c>
      <c r="C238" s="10"/>
      <c r="E238" s="10"/>
      <c r="F238" s="10"/>
      <c r="G238" t="s">
        <v>267</v>
      </c>
      <c r="H238" s="7" t="s">
        <v>326</v>
      </c>
      <c r="J238" s="7" t="s">
        <v>632</v>
      </c>
    </row>
    <row r="239" spans="1:10" hidden="1">
      <c r="A239" t="s">
        <v>630</v>
      </c>
      <c r="B239" s="13" t="str">
        <f>HYPERLINK("https://www.ncbi.nlm.nih.gov/pubmed/16962624","16962624")</f>
        <v>16962624</v>
      </c>
      <c r="C239" s="10"/>
      <c r="E239" s="10"/>
      <c r="F239" s="9"/>
      <c r="G239" t="s">
        <v>267</v>
      </c>
      <c r="H239" s="7" t="s">
        <v>326</v>
      </c>
      <c r="J239" s="7" t="s">
        <v>633</v>
      </c>
    </row>
    <row r="240" spans="1:10" hidden="1">
      <c r="A240" t="s">
        <v>630</v>
      </c>
      <c r="B240" s="13" t="str">
        <f>HYPERLINK("https://www.ncbi.nlm.nih.gov/pubmed/17449096","17449096")</f>
        <v>17449096</v>
      </c>
      <c r="C240" s="10"/>
      <c r="E240" s="10"/>
      <c r="G240" t="s">
        <v>267</v>
      </c>
      <c r="H240" s="7" t="s">
        <v>326</v>
      </c>
      <c r="J240" s="7" t="s">
        <v>634</v>
      </c>
    </row>
    <row r="241" spans="1:10" hidden="1">
      <c r="A241" t="s">
        <v>630</v>
      </c>
      <c r="B241" s="13" t="str">
        <f>HYPERLINK("https://www.ncbi.nlm.nih.gov/pubmed/20087668","20087668")</f>
        <v>20087668</v>
      </c>
      <c r="C241" s="10"/>
      <c r="E241" s="10"/>
      <c r="G241" t="s">
        <v>267</v>
      </c>
      <c r="H241" s="7" t="s">
        <v>326</v>
      </c>
      <c r="J241" s="7" t="s">
        <v>635</v>
      </c>
    </row>
    <row r="242" spans="1:10" hidden="1">
      <c r="A242" t="s">
        <v>630</v>
      </c>
      <c r="B242" s="13" t="str">
        <f>HYPERLINK("https://www.ncbi.nlm.nih.gov/pubmed/20708073","20708073")</f>
        <v>20708073</v>
      </c>
      <c r="C242" s="10"/>
      <c r="E242" s="10"/>
      <c r="F242" s="9"/>
      <c r="G242" t="s">
        <v>267</v>
      </c>
      <c r="H242" s="7" t="s">
        <v>326</v>
      </c>
      <c r="J242" s="7" t="s">
        <v>636</v>
      </c>
    </row>
    <row r="243" spans="1:10" hidden="1">
      <c r="A243" t="s">
        <v>630</v>
      </c>
      <c r="B243" s="13" t="str">
        <f>HYPERLINK("https://www.ncbi.nlm.nih.gov/pubmed/20890769","20890769")</f>
        <v>20890769</v>
      </c>
      <c r="C243" s="10"/>
      <c r="E243" s="10"/>
      <c r="G243" t="s">
        <v>267</v>
      </c>
      <c r="H243" s="7" t="s">
        <v>326</v>
      </c>
      <c r="J243" s="7" t="s">
        <v>637</v>
      </c>
    </row>
    <row r="244" spans="1:10" hidden="1">
      <c r="A244" t="s">
        <v>630</v>
      </c>
      <c r="B244" s="13" t="str">
        <f>HYPERLINK("https://www.ncbi.nlm.nih.gov/pubmed/20890769","20890769")</f>
        <v>20890769</v>
      </c>
      <c r="C244" s="10"/>
      <c r="E244" s="10"/>
      <c r="G244" t="s">
        <v>267</v>
      </c>
      <c r="H244" s="7" t="s">
        <v>326</v>
      </c>
      <c r="J244" s="7" t="s">
        <v>638</v>
      </c>
    </row>
    <row r="245" spans="1:10" hidden="1">
      <c r="A245" t="s">
        <v>630</v>
      </c>
      <c r="B245" s="13" t="str">
        <f>HYPERLINK("https://www.ncbi.nlm.nih.gov/pubmed/22198065","22198065")</f>
        <v>22198065</v>
      </c>
      <c r="C245" s="10"/>
      <c r="D245" s="10"/>
      <c r="E245" s="10"/>
      <c r="F245" s="11"/>
      <c r="G245" t="s">
        <v>267</v>
      </c>
      <c r="H245" s="7" t="s">
        <v>326</v>
      </c>
      <c r="J245" s="7" t="s">
        <v>639</v>
      </c>
    </row>
    <row r="246" spans="1:10" hidden="1">
      <c r="A246" t="s">
        <v>630</v>
      </c>
      <c r="B246" s="13" t="str">
        <f>HYPERLINK("https://www.ncbi.nlm.nih.gov/pubmed/22402212","22402212")</f>
        <v>22402212</v>
      </c>
      <c r="C246" s="10"/>
      <c r="G246" t="s">
        <v>267</v>
      </c>
      <c r="H246" s="7" t="s">
        <v>326</v>
      </c>
      <c r="J246" s="7" t="s">
        <v>640</v>
      </c>
    </row>
    <row r="247" spans="1:10" hidden="1">
      <c r="A247" t="s">
        <v>630</v>
      </c>
      <c r="B247" s="13" t="str">
        <f>HYPERLINK("https://www.ncbi.nlm.nih.gov/pubmed/22554500","22554500")</f>
        <v>22554500</v>
      </c>
      <c r="C247" s="10"/>
      <c r="E247" s="10"/>
      <c r="G247" t="s">
        <v>267</v>
      </c>
      <c r="H247" s="7" t="s">
        <v>326</v>
      </c>
      <c r="J247" s="7" t="s">
        <v>641</v>
      </c>
    </row>
    <row r="248" spans="1:10" hidden="1">
      <c r="A248" t="s">
        <v>630</v>
      </c>
      <c r="B248" s="13" t="str">
        <f>HYPERLINK("https://www.ncbi.nlm.nih.gov/pubmed/22768806","22768806")</f>
        <v>22768806</v>
      </c>
      <c r="C248" s="10"/>
      <c r="D248" s="10"/>
      <c r="E248" s="10"/>
      <c r="F248" s="9"/>
      <c r="G248" t="s">
        <v>267</v>
      </c>
      <c r="H248" s="7" t="s">
        <v>326</v>
      </c>
      <c r="J248" s="7" t="s">
        <v>642</v>
      </c>
    </row>
    <row r="249" spans="1:10" hidden="1">
      <c r="A249" t="s">
        <v>630</v>
      </c>
      <c r="B249" s="13" t="str">
        <f>HYPERLINK("https://www.ncbi.nlm.nih.gov/pubmed/23038793","23038793")</f>
        <v>23038793</v>
      </c>
      <c r="C249" s="10"/>
      <c r="D249" s="10"/>
      <c r="G249" t="s">
        <v>267</v>
      </c>
      <c r="H249" s="7" t="s">
        <v>326</v>
      </c>
      <c r="J249" s="7" t="s">
        <v>643</v>
      </c>
    </row>
    <row r="250" spans="1:10" hidden="1">
      <c r="A250" t="s">
        <v>630</v>
      </c>
      <c r="B250" s="13" t="str">
        <f>HYPERLINK("https://www.ncbi.nlm.nih.gov/pubmed/23065845","23065845")</f>
        <v>23065845</v>
      </c>
      <c r="D250" s="10"/>
      <c r="G250" t="s">
        <v>267</v>
      </c>
      <c r="H250" s="7" t="s">
        <v>326</v>
      </c>
      <c r="I250" s="24" t="s">
        <v>337</v>
      </c>
      <c r="J250" s="7" t="s">
        <v>644</v>
      </c>
    </row>
    <row r="251" spans="1:10" hidden="1">
      <c r="A251" t="s">
        <v>630</v>
      </c>
      <c r="B251" s="13" t="str">
        <f>HYPERLINK("https://www.ncbi.nlm.nih.gov/pubmed/23670170","23670170")</f>
        <v>23670170</v>
      </c>
      <c r="C251" s="10"/>
      <c r="G251" t="s">
        <v>267</v>
      </c>
      <c r="H251" s="7" t="s">
        <v>326</v>
      </c>
      <c r="J251" s="7" t="s">
        <v>645</v>
      </c>
    </row>
    <row r="252" spans="1:10" ht="18" hidden="1">
      <c r="A252" t="s">
        <v>630</v>
      </c>
      <c r="B252" s="13" t="str">
        <f>HYPERLINK("https://www.ncbi.nlm.nih.gov/pubmed/26781511","26781511")</f>
        <v>26781511</v>
      </c>
      <c r="C252" s="10"/>
      <c r="D252" s="10"/>
      <c r="E252" s="44"/>
      <c r="F252" s="44"/>
      <c r="G252" t="s">
        <v>267</v>
      </c>
      <c r="H252" s="7" t="s">
        <v>326</v>
      </c>
      <c r="I252" s="24" t="s">
        <v>337</v>
      </c>
      <c r="J252" s="7" t="s">
        <v>646</v>
      </c>
    </row>
    <row r="253" spans="1:10" hidden="1">
      <c r="A253" t="s">
        <v>630</v>
      </c>
      <c r="B253" s="13" t="str">
        <f>HYPERLINK("https://www.ncbi.nlm.nih.gov/pubmed/29216406","29216406")</f>
        <v>29216406</v>
      </c>
      <c r="C253" s="10"/>
      <c r="D253" s="10"/>
      <c r="E253" s="49"/>
      <c r="F253" s="9"/>
      <c r="G253" t="s">
        <v>267</v>
      </c>
      <c r="H253" s="7" t="s">
        <v>326</v>
      </c>
      <c r="I253" s="24" t="s">
        <v>337</v>
      </c>
      <c r="J253" s="50" t="s">
        <v>647</v>
      </c>
    </row>
    <row r="254" spans="1:10" ht="17.25" hidden="1" customHeight="1">
      <c r="A254" t="s">
        <v>630</v>
      </c>
      <c r="B254" s="13" t="str">
        <f>HYPERLINK("https://www.ncbi.nlm.nih.gov/pubmed/31330226","31330226")</f>
        <v>31330226</v>
      </c>
      <c r="C254" s="10"/>
      <c r="D254" s="10"/>
      <c r="F254" s="9"/>
      <c r="G254" t="s">
        <v>267</v>
      </c>
      <c r="H254" s="7" t="s">
        <v>326</v>
      </c>
      <c r="J254" s="50" t="s">
        <v>648</v>
      </c>
    </row>
    <row r="255" spans="1:10" hidden="1">
      <c r="A255" t="s">
        <v>630</v>
      </c>
      <c r="B255" s="13" t="str">
        <f>HYPERLINK("https://www.ncbi.nlm.nih.gov/pubmed/23038793","23038793")</f>
        <v>23038793</v>
      </c>
      <c r="C255" s="10"/>
      <c r="D255" s="10"/>
      <c r="F255" s="9"/>
      <c r="G255" t="s">
        <v>291</v>
      </c>
      <c r="H255" s="7" t="s">
        <v>326</v>
      </c>
      <c r="J255" s="7" t="s">
        <v>649</v>
      </c>
    </row>
    <row r="256" spans="1:10" hidden="1">
      <c r="A256" t="s">
        <v>630</v>
      </c>
      <c r="B256" s="13" t="str">
        <f>HYPERLINK("https://www.ncbi.nlm.nih.gov/pubmed/12081150","12081150")</f>
        <v>12081150</v>
      </c>
      <c r="F256" s="10"/>
      <c r="G256" t="s">
        <v>292</v>
      </c>
      <c r="H256" s="7" t="s">
        <v>320</v>
      </c>
      <c r="I256" s="25" t="s">
        <v>650</v>
      </c>
      <c r="J256" s="7" t="s">
        <v>651</v>
      </c>
    </row>
    <row r="257" spans="1:10" ht="18" hidden="1">
      <c r="A257" t="s">
        <v>630</v>
      </c>
      <c r="B257" s="13" t="str">
        <f>HYPERLINK("https://www.ncbi.nlm.nih.gov/pubmed/7589908","7589908")</f>
        <v>7589908</v>
      </c>
      <c r="C257" s="10"/>
      <c r="G257" t="s">
        <v>213</v>
      </c>
      <c r="H257" t="s">
        <v>652</v>
      </c>
      <c r="I257" s="24" t="s">
        <v>378</v>
      </c>
      <c r="J257" s="7" t="s">
        <v>653</v>
      </c>
    </row>
    <row r="258" spans="1:10" hidden="1">
      <c r="A258" t="s">
        <v>630</v>
      </c>
      <c r="B258" s="13" t="str">
        <f>HYPERLINK("https://www.ncbi.nlm.nih.gov/pubmed/3022746","3022746")</f>
        <v>3022746</v>
      </c>
      <c r="C258" s="10"/>
      <c r="G258" t="s">
        <v>213</v>
      </c>
      <c r="H258" t="s">
        <v>420</v>
      </c>
      <c r="I258" s="24" t="s">
        <v>340</v>
      </c>
      <c r="J258" s="7" t="s">
        <v>654</v>
      </c>
    </row>
    <row r="259" spans="1:10" hidden="1">
      <c r="A259" t="s">
        <v>630</v>
      </c>
      <c r="B259" s="13" t="str">
        <f>HYPERLINK("https://www.ncbi.nlm.nih.gov/pubmed/6320571","6320571")</f>
        <v>6320571</v>
      </c>
      <c r="C259" s="39"/>
      <c r="G259" t="s">
        <v>213</v>
      </c>
      <c r="H259" t="s">
        <v>420</v>
      </c>
      <c r="I259" s="23" t="s">
        <v>371</v>
      </c>
      <c r="J259" s="46" t="s">
        <v>655</v>
      </c>
    </row>
    <row r="260" spans="1:10" ht="18" hidden="1">
      <c r="A260" t="s">
        <v>630</v>
      </c>
      <c r="B260" s="13" t="str">
        <f>HYPERLINK("https://www.ncbi.nlm.nih.gov/pubmed/7589908","7589908")</f>
        <v>7589908</v>
      </c>
      <c r="C260" s="10"/>
      <c r="G260" t="s">
        <v>213</v>
      </c>
      <c r="H260" t="s">
        <v>420</v>
      </c>
      <c r="I260" s="24" t="s">
        <v>378</v>
      </c>
      <c r="J260" s="7" t="s">
        <v>656</v>
      </c>
    </row>
    <row r="261" spans="1:10" hidden="1">
      <c r="A261" t="s">
        <v>630</v>
      </c>
      <c r="B261" s="13" t="str">
        <f>HYPERLINK("https://www.ncbi.nlm.nih.gov/pubmed/1850172","1850172")</f>
        <v>1850172</v>
      </c>
      <c r="C261" s="10"/>
      <c r="F261" s="12"/>
      <c r="G261" t="s">
        <v>213</v>
      </c>
      <c r="H261" t="s">
        <v>657</v>
      </c>
      <c r="I261" s="24" t="s">
        <v>378</v>
      </c>
      <c r="J261" s="7" t="s">
        <v>658</v>
      </c>
    </row>
    <row r="262" spans="1:10" hidden="1">
      <c r="A262" t="s">
        <v>630</v>
      </c>
      <c r="B262" s="14" t="str">
        <f>HYPERLINK("https://www.ncbi.nlm.nih.gov/pubmed/2840013","2840013")</f>
        <v>2840013</v>
      </c>
      <c r="C262" s="10"/>
      <c r="G262" t="s">
        <v>213</v>
      </c>
      <c r="H262" t="s">
        <v>466</v>
      </c>
      <c r="I262" s="24" t="s">
        <v>433</v>
      </c>
      <c r="J262" s="7" t="s">
        <v>659</v>
      </c>
    </row>
    <row r="263" spans="1:10" ht="18" hidden="1">
      <c r="A263" t="s">
        <v>630</v>
      </c>
      <c r="B263" s="13" t="str">
        <f>HYPERLINK("https://www.ncbi.nlm.nih.gov/pubmed/7589908","7589908")</f>
        <v>7589908</v>
      </c>
      <c r="C263" s="10"/>
      <c r="G263" t="s">
        <v>213</v>
      </c>
      <c r="H263" t="s">
        <v>660</v>
      </c>
      <c r="I263" s="24" t="s">
        <v>378</v>
      </c>
      <c r="J263" s="7" t="s">
        <v>653</v>
      </c>
    </row>
    <row r="264" spans="1:10" hidden="1">
      <c r="A264" t="s">
        <v>630</v>
      </c>
      <c r="B264" s="13" t="str">
        <f>HYPERLINK("https://www.ncbi.nlm.nih.gov/pubmed/25891800","25891800")</f>
        <v>25891800</v>
      </c>
      <c r="C264" s="10"/>
      <c r="G264" t="s">
        <v>213</v>
      </c>
      <c r="H264" t="s">
        <v>661</v>
      </c>
      <c r="J264" s="7" t="s">
        <v>662</v>
      </c>
    </row>
    <row r="265" spans="1:10" ht="18" hidden="1">
      <c r="A265" t="s">
        <v>630</v>
      </c>
      <c r="B265" s="13" t="str">
        <f>HYPERLINK("https://www.ncbi.nlm.nih.gov/pubmed/3841572","3841572")</f>
        <v>3841572</v>
      </c>
      <c r="C265" s="10"/>
      <c r="G265" t="s">
        <v>213</v>
      </c>
      <c r="H265" t="s">
        <v>663</v>
      </c>
      <c r="I265" s="24" t="s">
        <v>433</v>
      </c>
      <c r="J265" s="7" t="s">
        <v>664</v>
      </c>
    </row>
    <row r="266" spans="1:10" hidden="1">
      <c r="A266" t="s">
        <v>630</v>
      </c>
      <c r="B266" s="14" t="str">
        <f>HYPERLINK("https://www.ncbi.nlm.nih.gov/pubmed/23670170","23670170")</f>
        <v>23670170</v>
      </c>
      <c r="C266" s="10"/>
      <c r="G266" t="s">
        <v>376</v>
      </c>
      <c r="H266" t="s">
        <v>665</v>
      </c>
      <c r="J266" s="7" t="s">
        <v>666</v>
      </c>
    </row>
    <row r="267" spans="1:10" hidden="1">
      <c r="A267" t="s">
        <v>630</v>
      </c>
      <c r="B267" s="14" t="str">
        <f>HYPERLINK("https://www.ncbi.nlm.nih.gov/pubmed/22402212","22402212")</f>
        <v>22402212</v>
      </c>
      <c r="C267" s="10"/>
      <c r="D267" s="10"/>
      <c r="F267" s="44"/>
      <c r="G267" t="s">
        <v>376</v>
      </c>
      <c r="H267" t="s">
        <v>436</v>
      </c>
      <c r="J267" s="7" t="s">
        <v>667</v>
      </c>
    </row>
    <row r="268" spans="1:10" hidden="1">
      <c r="A268" t="s">
        <v>630</v>
      </c>
      <c r="B268" s="13" t="str">
        <f>HYPERLINK("https://www.ncbi.nlm.nih.gov/pubmed/19165384","19165384")</f>
        <v>19165384</v>
      </c>
      <c r="C268" s="10"/>
      <c r="G268" t="s">
        <v>376</v>
      </c>
      <c r="H268" t="s">
        <v>382</v>
      </c>
      <c r="I268" s="23"/>
      <c r="J268" s="7" t="s">
        <v>668</v>
      </c>
    </row>
    <row r="269" spans="1:10" hidden="1">
      <c r="A269" t="s">
        <v>630</v>
      </c>
      <c r="B269" s="13" t="str">
        <f>HYPERLINK("https://www.ncbi.nlm.nih.gov/pubmed/24030937","24030937")</f>
        <v>24030937</v>
      </c>
      <c r="C269" s="10"/>
      <c r="G269" t="s">
        <v>376</v>
      </c>
      <c r="H269" t="s">
        <v>382</v>
      </c>
      <c r="I269" s="24" t="s">
        <v>378</v>
      </c>
      <c r="J269" s="7" t="s">
        <v>669</v>
      </c>
    </row>
    <row r="270" spans="1:10" hidden="1">
      <c r="A270" t="s">
        <v>630</v>
      </c>
      <c r="B270" s="14" t="str">
        <f>HYPERLINK("https://www.ncbi.nlm.nih.gov/pubmed/19897028","19897028")</f>
        <v>19897028</v>
      </c>
      <c r="C270" s="10"/>
      <c r="G270" t="s">
        <v>376</v>
      </c>
      <c r="H270" t="s">
        <v>416</v>
      </c>
      <c r="I270" s="24" t="s">
        <v>378</v>
      </c>
      <c r="J270" s="7" t="s">
        <v>670</v>
      </c>
    </row>
    <row r="271" spans="1:10" hidden="1">
      <c r="A271" t="s">
        <v>630</v>
      </c>
      <c r="B271" s="14" t="str">
        <f>HYPERLINK("https://www.ncbi.nlm.nih.gov/pubmed/9928669","9928669")</f>
        <v>9928669</v>
      </c>
      <c r="C271" s="10"/>
      <c r="E271" s="11"/>
      <c r="G271" t="s">
        <v>376</v>
      </c>
      <c r="H271" t="s">
        <v>458</v>
      </c>
      <c r="I271" s="24" t="s">
        <v>378</v>
      </c>
      <c r="J271" s="7" t="s">
        <v>671</v>
      </c>
    </row>
    <row r="272" spans="1:10" hidden="1">
      <c r="A272" t="s">
        <v>630</v>
      </c>
      <c r="B272" s="13" t="str">
        <f>HYPERLINK("https://www.ncbi.nlm.nih.gov/pubmed/19167474","19167474")</f>
        <v>19167474</v>
      </c>
      <c r="C272" s="10"/>
      <c r="F272" s="44"/>
      <c r="G272" t="s">
        <v>376</v>
      </c>
      <c r="H272" t="s">
        <v>672</v>
      </c>
      <c r="J272" s="7" t="s">
        <v>673</v>
      </c>
    </row>
    <row r="273" spans="1:10">
      <c r="A273" t="s">
        <v>134</v>
      </c>
      <c r="B273" s="14" t="str">
        <f>HYPERLINK("https://www.ncbi.nlm.nih.gov/pubmed/22461451","22461451")</f>
        <v>22461451</v>
      </c>
      <c r="C273" s="12"/>
      <c r="G273" t="s">
        <v>319</v>
      </c>
      <c r="H273" s="7" t="s">
        <v>320</v>
      </c>
      <c r="I273" s="23" t="s">
        <v>321</v>
      </c>
      <c r="J273" s="7" t="s">
        <v>674</v>
      </c>
    </row>
    <row r="274" spans="1:10" hidden="1">
      <c r="A274" t="s">
        <v>134</v>
      </c>
      <c r="B274" s="14" t="str">
        <f>HYPERLINK("https://www.ncbi.nlm.nih.gov/pubmed/22402212","22402212")</f>
        <v>22402212</v>
      </c>
      <c r="C274" s="10"/>
      <c r="G274" t="s">
        <v>267</v>
      </c>
      <c r="H274" s="7" t="s">
        <v>326</v>
      </c>
      <c r="J274" s="7" t="s">
        <v>675</v>
      </c>
    </row>
    <row r="275" spans="1:10" hidden="1">
      <c r="A275" t="s">
        <v>134</v>
      </c>
      <c r="B275" s="14" t="str">
        <f>HYPERLINK("https://www.ncbi.nlm.nih.gov/pubmed/32334352","32334352")</f>
        <v>32334352</v>
      </c>
      <c r="C275" s="10"/>
      <c r="E275" s="9"/>
      <c r="G275" t="s">
        <v>267</v>
      </c>
      <c r="H275" s="7" t="s">
        <v>326</v>
      </c>
      <c r="J275" s="7" t="s">
        <v>676</v>
      </c>
    </row>
    <row r="276" spans="1:10">
      <c r="A276" t="s">
        <v>134</v>
      </c>
      <c r="B276" s="13" t="str">
        <f>HYPERLINK("https://www.ncbi.nlm.nih.gov/pubmed/11297876","11297876")</f>
        <v>11297876</v>
      </c>
      <c r="F276" s="10"/>
      <c r="G276" t="s">
        <v>292</v>
      </c>
      <c r="H276" s="7" t="s">
        <v>320</v>
      </c>
      <c r="I276" s="24" t="s">
        <v>378</v>
      </c>
      <c r="J276" s="7" t="s">
        <v>677</v>
      </c>
    </row>
    <row r="277" spans="1:10">
      <c r="A277" t="s">
        <v>134</v>
      </c>
      <c r="B277" s="13" t="str">
        <f>HYPERLINK("https://www.ncbi.nlm.nih.gov/pubmed/12072389","12072389")</f>
        <v>12072389</v>
      </c>
      <c r="C277" s="3" t="s">
        <v>369</v>
      </c>
      <c r="F277" s="10"/>
      <c r="G277" t="s">
        <v>292</v>
      </c>
      <c r="H277" s="7" t="s">
        <v>320</v>
      </c>
      <c r="I277" s="24" t="s">
        <v>678</v>
      </c>
      <c r="J277" s="46" t="s">
        <v>679</v>
      </c>
    </row>
    <row r="278" spans="1:10" ht="18">
      <c r="A278" t="s">
        <v>134</v>
      </c>
      <c r="B278" s="13" t="str">
        <f>HYPERLINK("https://www.ncbi.nlm.nih.gov/pubmed/19699292","19699292")</f>
        <v>19699292</v>
      </c>
      <c r="C278" s="10"/>
      <c r="F278" s="10"/>
      <c r="G278" t="s">
        <v>292</v>
      </c>
      <c r="H278" s="7" t="s">
        <v>320</v>
      </c>
      <c r="I278" s="24" t="s">
        <v>340</v>
      </c>
      <c r="J278" s="7" t="s">
        <v>680</v>
      </c>
    </row>
    <row r="279" spans="1:10">
      <c r="A279" t="s">
        <v>134</v>
      </c>
      <c r="B279" s="14" t="str">
        <f>HYPERLINK("https://www.ncbi.nlm.nih.gov/pubmed/22236953","22236953")</f>
        <v>22236953</v>
      </c>
      <c r="F279" s="10"/>
      <c r="G279" t="s">
        <v>292</v>
      </c>
      <c r="H279" s="7" t="s">
        <v>320</v>
      </c>
      <c r="I279" s="24" t="s">
        <v>378</v>
      </c>
      <c r="J279" s="7" t="s">
        <v>681</v>
      </c>
    </row>
    <row r="280" spans="1:10" ht="18">
      <c r="A280" t="s">
        <v>134</v>
      </c>
      <c r="B280" s="13" t="str">
        <f>HYPERLINK("https://www.ncbi.nlm.nih.gov/pubmed/23578968","23578968")</f>
        <v>23578968</v>
      </c>
      <c r="C280" s="10"/>
      <c r="G280" t="s">
        <v>292</v>
      </c>
      <c r="H280" s="7" t="s">
        <v>320</v>
      </c>
      <c r="I280" s="24" t="s">
        <v>340</v>
      </c>
      <c r="J280" s="7" t="s">
        <v>682</v>
      </c>
    </row>
    <row r="281" spans="1:10">
      <c r="A281" t="s">
        <v>134</v>
      </c>
      <c r="B281" s="13" t="str">
        <f>HYPERLINK("https://www.ncbi.nlm.nih.gov/pubmed/23969005","23969005")</f>
        <v>23969005</v>
      </c>
      <c r="F281" s="10"/>
      <c r="G281" t="s">
        <v>292</v>
      </c>
      <c r="H281" s="7" t="s">
        <v>320</v>
      </c>
      <c r="I281" s="24" t="s">
        <v>340</v>
      </c>
      <c r="J281" s="7" t="s">
        <v>683</v>
      </c>
    </row>
    <row r="282" spans="1:10">
      <c r="A282" t="s">
        <v>134</v>
      </c>
      <c r="B282" s="14" t="str">
        <f>HYPERLINK("https://www.ncbi.nlm.nih.gov/pubmed/24014645","24014645")</f>
        <v>24014645</v>
      </c>
      <c r="C282" s="11"/>
      <c r="G282" t="s">
        <v>292</v>
      </c>
      <c r="H282" s="7" t="s">
        <v>320</v>
      </c>
      <c r="J282" s="7" t="s">
        <v>431</v>
      </c>
    </row>
    <row r="283" spans="1:10">
      <c r="A283" t="s">
        <v>134</v>
      </c>
      <c r="B283" s="14" t="str">
        <f>HYPERLINK("https://www.ncbi.nlm.nih.gov/pubmed/27181934","27181934")</f>
        <v>27181934</v>
      </c>
      <c r="F283" s="39"/>
      <c r="G283" t="s">
        <v>292</v>
      </c>
      <c r="H283" s="7" t="s">
        <v>320</v>
      </c>
      <c r="I283" s="23" t="s">
        <v>321</v>
      </c>
      <c r="J283" s="7" t="s">
        <v>684</v>
      </c>
    </row>
    <row r="284" spans="1:10">
      <c r="A284" t="s">
        <v>134</v>
      </c>
      <c r="B284" s="13" t="str">
        <f>HYPERLINK("https://www.ncbi.nlm.nih.gov/pubmed/27423704","27423704")</f>
        <v>27423704</v>
      </c>
      <c r="F284" s="10"/>
      <c r="G284" t="s">
        <v>292</v>
      </c>
      <c r="H284" s="7" t="s">
        <v>320</v>
      </c>
      <c r="I284" s="24" t="s">
        <v>378</v>
      </c>
      <c r="J284" s="7" t="s">
        <v>685</v>
      </c>
    </row>
    <row r="285" spans="1:10">
      <c r="A285" t="s">
        <v>134</v>
      </c>
      <c r="B285" s="13" t="str">
        <f>HYPERLINK("https://www.ncbi.nlm.nih.gov/pubmed/30648648","30648648")</f>
        <v>30648648</v>
      </c>
      <c r="F285" s="9"/>
      <c r="G285" t="s">
        <v>292</v>
      </c>
      <c r="H285" s="7" t="s">
        <v>320</v>
      </c>
      <c r="J285" s="7" t="s">
        <v>686</v>
      </c>
    </row>
    <row r="286" spans="1:10">
      <c r="A286" t="s">
        <v>134</v>
      </c>
      <c r="B286" s="13" t="str">
        <f>HYPERLINK("https://www.ncbi.nlm.nih.gov/pubmed/34627990","34627990")</f>
        <v>34627990</v>
      </c>
      <c r="F286" s="10"/>
      <c r="G286" t="s">
        <v>292</v>
      </c>
      <c r="H286" s="7" t="s">
        <v>320</v>
      </c>
      <c r="I286" s="24" t="s">
        <v>340</v>
      </c>
      <c r="J286" s="7" t="s">
        <v>687</v>
      </c>
    </row>
    <row r="287" spans="1:10">
      <c r="A287" t="s">
        <v>134</v>
      </c>
      <c r="B287" s="13" t="str">
        <f>HYPERLINK("https://www.ncbi.nlm.nih.gov/pubmed/18304986","18304986")</f>
        <v>18304986</v>
      </c>
      <c r="C287" s="9"/>
      <c r="F287" s="12"/>
      <c r="G287" t="s">
        <v>301</v>
      </c>
      <c r="H287" s="7" t="s">
        <v>320</v>
      </c>
      <c r="I287" s="23" t="s">
        <v>321</v>
      </c>
      <c r="J287" s="7" t="s">
        <v>688</v>
      </c>
    </row>
    <row r="288" spans="1:10">
      <c r="A288" t="s">
        <v>134</v>
      </c>
      <c r="B288" s="14" t="str">
        <f>HYPERLINK("https://www.ncbi.nlm.nih.gov/pubmed/30935992","30935992")</f>
        <v>30935992</v>
      </c>
      <c r="C288" s="9"/>
      <c r="D288" s="44"/>
      <c r="G288" t="s">
        <v>301</v>
      </c>
      <c r="H288" s="7" t="s">
        <v>320</v>
      </c>
      <c r="I288" s="24" t="s">
        <v>378</v>
      </c>
      <c r="J288" s="7" t="s">
        <v>689</v>
      </c>
    </row>
    <row r="289" spans="1:10">
      <c r="A289" t="s">
        <v>134</v>
      </c>
      <c r="B289" s="14" t="str">
        <f>HYPERLINK("https://www.ncbi.nlm.nih.gov/pubmed/34768887","34768887")</f>
        <v>34768887</v>
      </c>
      <c r="C289" s="39"/>
      <c r="F289" s="39"/>
      <c r="G289" t="s">
        <v>301</v>
      </c>
      <c r="H289" s="7" t="s">
        <v>320</v>
      </c>
      <c r="I289" s="24" t="s">
        <v>433</v>
      </c>
      <c r="J289" s="7" t="s">
        <v>690</v>
      </c>
    </row>
    <row r="290" spans="1:10">
      <c r="A290" t="s">
        <v>134</v>
      </c>
      <c r="B290" s="13" t="str">
        <f>HYPERLINK("https://www.ncbi.nlm.nih.gov/pubmed/21752447","21752447")</f>
        <v>21752447</v>
      </c>
      <c r="C290" s="47"/>
      <c r="G290" t="s">
        <v>213</v>
      </c>
      <c r="H290" t="s">
        <v>691</v>
      </c>
      <c r="I290" s="24" t="s">
        <v>433</v>
      </c>
      <c r="J290" s="7" t="s">
        <v>692</v>
      </c>
    </row>
    <row r="291" spans="1:10">
      <c r="A291" t="s">
        <v>134</v>
      </c>
      <c r="B291" s="13" t="str">
        <f>HYPERLINK("https://www.ncbi.nlm.nih.gov/pubmed/25677926","25677926")</f>
        <v>25677926</v>
      </c>
      <c r="C291" s="47"/>
      <c r="G291" t="s">
        <v>213</v>
      </c>
      <c r="H291" t="s">
        <v>693</v>
      </c>
      <c r="I291" s="24" t="s">
        <v>433</v>
      </c>
      <c r="J291" s="7" t="s">
        <v>694</v>
      </c>
    </row>
    <row r="292" spans="1:10">
      <c r="A292" t="s">
        <v>134</v>
      </c>
      <c r="B292" s="13" t="str">
        <f>HYPERLINK("https://www.ncbi.nlm.nih.gov/pubmed/18583092","18583092")</f>
        <v>18583092</v>
      </c>
      <c r="C292" s="10"/>
      <c r="G292" t="s">
        <v>213</v>
      </c>
      <c r="H292" t="s">
        <v>695</v>
      </c>
      <c r="I292" s="24" t="s">
        <v>696</v>
      </c>
      <c r="J292" s="7" t="s">
        <v>697</v>
      </c>
    </row>
    <row r="293" spans="1:10">
      <c r="A293" t="s">
        <v>134</v>
      </c>
      <c r="B293" s="13" t="str">
        <f>HYPERLINK("https://www.ncbi.nlm.nih.gov/pubmed/17287459","17287459")</f>
        <v>17287459</v>
      </c>
      <c r="C293" s="12"/>
      <c r="G293" t="s">
        <v>213</v>
      </c>
      <c r="H293" t="s">
        <v>698</v>
      </c>
      <c r="I293" s="24" t="s">
        <v>439</v>
      </c>
      <c r="J293" s="7" t="s">
        <v>699</v>
      </c>
    </row>
    <row r="294" spans="1:10">
      <c r="A294" t="s">
        <v>134</v>
      </c>
      <c r="B294" s="14" t="str">
        <f>HYPERLINK("https://www.ncbi.nlm.nih.gov/pubmed/29702242","29702242")</f>
        <v>29702242</v>
      </c>
      <c r="C294" s="10"/>
      <c r="G294" t="s">
        <v>213</v>
      </c>
      <c r="H294" t="s">
        <v>700</v>
      </c>
      <c r="I294" s="24" t="s">
        <v>340</v>
      </c>
      <c r="J294" s="7" t="s">
        <v>701</v>
      </c>
    </row>
    <row r="295" spans="1:10">
      <c r="A295" t="s">
        <v>134</v>
      </c>
      <c r="B295" s="13" t="str">
        <f>HYPERLINK("https://www.ncbi.nlm.nih.gov/pubmed/12072389","12072389")</f>
        <v>12072389</v>
      </c>
      <c r="C295" s="10" t="s">
        <v>369</v>
      </c>
      <c r="F295" s="10"/>
      <c r="G295" t="s">
        <v>213</v>
      </c>
      <c r="H295" t="s">
        <v>702</v>
      </c>
      <c r="I295" s="24" t="s">
        <v>378</v>
      </c>
      <c r="J295" s="7" t="s">
        <v>703</v>
      </c>
    </row>
    <row r="296" spans="1:10">
      <c r="A296" t="s">
        <v>134</v>
      </c>
      <c r="B296" s="13" t="str">
        <f>HYPERLINK("https://www.ncbi.nlm.nih.gov/pubmed/22525294","22525294")</f>
        <v>22525294</v>
      </c>
      <c r="C296" s="9"/>
      <c r="G296" t="s">
        <v>213</v>
      </c>
      <c r="H296" s="40" t="s">
        <v>704</v>
      </c>
      <c r="J296" s="7" t="s">
        <v>705</v>
      </c>
    </row>
    <row r="297" spans="1:10">
      <c r="A297" t="s">
        <v>134</v>
      </c>
      <c r="B297" s="13" t="str">
        <f>HYPERLINK("https://www.ncbi.nlm.nih.gov/pubmed/18583092","18583092")</f>
        <v>18583092</v>
      </c>
      <c r="C297" s="10"/>
      <c r="G297" t="s">
        <v>213</v>
      </c>
      <c r="H297" t="s">
        <v>567</v>
      </c>
      <c r="I297" s="24" t="s">
        <v>696</v>
      </c>
      <c r="J297" s="7" t="s">
        <v>706</v>
      </c>
    </row>
    <row r="298" spans="1:10">
      <c r="A298" t="s">
        <v>134</v>
      </c>
      <c r="B298" s="13" t="str">
        <f>HYPERLINK("https://www.ncbi.nlm.nih.gov/pubmed/8519345","8519345")</f>
        <v>8519345</v>
      </c>
      <c r="C298" s="10"/>
      <c r="G298" t="s">
        <v>213</v>
      </c>
      <c r="H298" t="s">
        <v>707</v>
      </c>
      <c r="I298" s="24" t="s">
        <v>340</v>
      </c>
      <c r="J298" s="7" t="s">
        <v>708</v>
      </c>
    </row>
    <row r="299" spans="1:10">
      <c r="A299" t="s">
        <v>134</v>
      </c>
      <c r="B299" s="13" t="str">
        <f>HYPERLINK("https://www.ncbi.nlm.nih.gov/pubmed/32799149","32799149")</f>
        <v>32799149</v>
      </c>
      <c r="C299" s="10"/>
      <c r="G299" t="s">
        <v>213</v>
      </c>
      <c r="H299" t="s">
        <v>393</v>
      </c>
      <c r="I299" s="24" t="s">
        <v>340</v>
      </c>
      <c r="J299" s="7" t="s">
        <v>709</v>
      </c>
    </row>
    <row r="300" spans="1:10">
      <c r="A300" t="s">
        <v>134</v>
      </c>
      <c r="B300" s="13" t="str">
        <f>HYPERLINK("https://www.ncbi.nlm.nih.gov/pubmed/22649361","22649361")</f>
        <v>22649361</v>
      </c>
      <c r="C300" s="12"/>
      <c r="G300" t="s">
        <v>213</v>
      </c>
      <c r="H300" t="s">
        <v>710</v>
      </c>
      <c r="I300" s="24" t="s">
        <v>433</v>
      </c>
      <c r="J300" s="7" t="s">
        <v>711</v>
      </c>
    </row>
    <row r="301" spans="1:10">
      <c r="A301" t="s">
        <v>134</v>
      </c>
      <c r="B301" s="13" t="str">
        <f>HYPERLINK("https://www.ncbi.nlm.nih.gov/pubmed/12072389","12072389")</f>
        <v>12072389</v>
      </c>
      <c r="C301" s="3" t="s">
        <v>369</v>
      </c>
      <c r="F301" s="10"/>
      <c r="G301" t="s">
        <v>305</v>
      </c>
      <c r="H301" t="s">
        <v>374</v>
      </c>
      <c r="I301" s="24"/>
      <c r="J301" s="46" t="s">
        <v>712</v>
      </c>
    </row>
    <row r="302" spans="1:10" ht="18">
      <c r="A302" t="s">
        <v>134</v>
      </c>
      <c r="B302" s="13" t="str">
        <f>HYPERLINK("https://www.ncbi.nlm.nih.gov/pubmed/23578968","23578968")</f>
        <v>23578968</v>
      </c>
      <c r="C302" s="10"/>
      <c r="G302" t="s">
        <v>305</v>
      </c>
      <c r="H302" t="s">
        <v>374</v>
      </c>
      <c r="I302" s="24"/>
      <c r="J302" s="7" t="s">
        <v>713</v>
      </c>
    </row>
    <row r="303" spans="1:10">
      <c r="A303" t="s">
        <v>134</v>
      </c>
      <c r="B303" s="14" t="str">
        <f>HYPERLINK("https://www.ncbi.nlm.nih.gov/pubmed/22402212","22402212")</f>
        <v>22402212</v>
      </c>
      <c r="C303" s="10"/>
      <c r="D303" s="10"/>
      <c r="F303" s="10"/>
      <c r="G303" t="s">
        <v>376</v>
      </c>
      <c r="H303" t="s">
        <v>436</v>
      </c>
      <c r="J303" s="7" t="s">
        <v>714</v>
      </c>
    </row>
    <row r="304" spans="1:10">
      <c r="A304" t="s">
        <v>134</v>
      </c>
      <c r="B304" s="13" t="str">
        <f>HYPERLINK("https://www.ncbi.nlm.nih.gov/pubmed/19165384","19165384")</f>
        <v>19165384</v>
      </c>
      <c r="C304" s="11"/>
      <c r="G304" t="s">
        <v>376</v>
      </c>
      <c r="H304" t="s">
        <v>382</v>
      </c>
      <c r="I304" s="24" t="s">
        <v>439</v>
      </c>
      <c r="J304" s="7" t="s">
        <v>715</v>
      </c>
    </row>
    <row r="305" spans="1:10">
      <c r="A305" t="s">
        <v>134</v>
      </c>
      <c r="B305" s="14" t="str">
        <f>HYPERLINK("https://www.ncbi.nlm.nih.gov/pubmed/16979278","16979278")</f>
        <v>16979278</v>
      </c>
      <c r="C305" s="11"/>
      <c r="G305" t="s">
        <v>376</v>
      </c>
      <c r="H305" t="s">
        <v>438</v>
      </c>
      <c r="I305" s="24" t="s">
        <v>439</v>
      </c>
      <c r="J305" s="7" t="s">
        <v>716</v>
      </c>
    </row>
    <row r="306" spans="1:10">
      <c r="A306" t="s">
        <v>134</v>
      </c>
      <c r="B306" s="13" t="str">
        <f>HYPERLINK("https://www.ncbi.nlm.nih.gov/pubmed/19440488","19440488")</f>
        <v>19440488</v>
      </c>
      <c r="C306" s="10"/>
      <c r="G306" t="s">
        <v>376</v>
      </c>
      <c r="H306" t="s">
        <v>438</v>
      </c>
      <c r="I306" s="24" t="s">
        <v>439</v>
      </c>
      <c r="J306" s="7" t="s">
        <v>717</v>
      </c>
    </row>
    <row r="307" spans="1:10">
      <c r="A307" t="s">
        <v>134</v>
      </c>
      <c r="B307" s="13" t="str">
        <f>HYPERLINK("https://www.ncbi.nlm.nih.gov/pubmed/36780129","36780129")</f>
        <v>36780129</v>
      </c>
      <c r="C307" s="10"/>
      <c r="G307" t="s">
        <v>376</v>
      </c>
      <c r="H307" t="s">
        <v>391</v>
      </c>
      <c r="I307" s="23" t="s">
        <v>371</v>
      </c>
      <c r="J307" s="7" t="s">
        <v>718</v>
      </c>
    </row>
    <row r="308" spans="1:10">
      <c r="A308" t="s">
        <v>134</v>
      </c>
      <c r="B308" s="13" t="str">
        <f>HYPERLINK("https://www.ncbi.nlm.nih.gov/pubmed/30476341","30476341")</f>
        <v>30476341</v>
      </c>
      <c r="C308" s="10"/>
      <c r="G308" t="s">
        <v>376</v>
      </c>
      <c r="H308" t="s">
        <v>719</v>
      </c>
      <c r="I308" s="24"/>
      <c r="J308" s="7" t="s">
        <v>720</v>
      </c>
    </row>
    <row r="309" spans="1:10">
      <c r="A309" t="s">
        <v>134</v>
      </c>
      <c r="B309" s="14" t="str">
        <f>HYPERLINK("https://www.ncbi.nlm.nih.gov/pubmed/27423704","27423704")</f>
        <v>27423704</v>
      </c>
      <c r="C309" s="10"/>
      <c r="G309" t="s">
        <v>376</v>
      </c>
      <c r="H309" t="s">
        <v>721</v>
      </c>
      <c r="I309" s="24" t="s">
        <v>378</v>
      </c>
      <c r="J309" s="7" t="s">
        <v>722</v>
      </c>
    </row>
    <row r="310" spans="1:10">
      <c r="A310" t="s">
        <v>134</v>
      </c>
      <c r="B310" s="13" t="str">
        <f>HYPERLINK("https://www.ncbi.nlm.nih.gov/pubmed/32799149","32799149")</f>
        <v>32799149</v>
      </c>
      <c r="C310" s="10"/>
      <c r="G310" t="s">
        <v>376</v>
      </c>
      <c r="H310" t="s">
        <v>393</v>
      </c>
      <c r="I310" s="24" t="s">
        <v>340</v>
      </c>
      <c r="J310" s="7" t="s">
        <v>723</v>
      </c>
    </row>
    <row r="311" spans="1:10">
      <c r="A311" t="s">
        <v>134</v>
      </c>
      <c r="B311" s="13" t="str">
        <f>HYPERLINK("https://www.ncbi.nlm.nih.gov/pubmed/38362108","38362108")</f>
        <v>38362108</v>
      </c>
      <c r="C311" s="10"/>
      <c r="G311" t="s">
        <v>376</v>
      </c>
      <c r="H311" t="s">
        <v>393</v>
      </c>
      <c r="I311" s="24" t="s">
        <v>340</v>
      </c>
      <c r="J311" s="7" t="s">
        <v>724</v>
      </c>
    </row>
    <row r="312" spans="1:10">
      <c r="A312" t="s">
        <v>134</v>
      </c>
      <c r="B312" s="13" t="str">
        <f>HYPERLINK("https://www.ncbi.nlm.nih.gov/pubmed/33010548","33010548")</f>
        <v>33010548</v>
      </c>
      <c r="C312" s="10"/>
      <c r="G312" t="s">
        <v>306</v>
      </c>
      <c r="H312" s="7" t="s">
        <v>320</v>
      </c>
      <c r="J312" s="7" t="s">
        <v>725</v>
      </c>
    </row>
    <row r="313" spans="1:10">
      <c r="A313" t="s">
        <v>134</v>
      </c>
      <c r="B313" s="13" t="str">
        <f>HYPERLINK("https://www.ncbi.nlm.nih.gov/pubmed/33360214","33360214")</f>
        <v>33360214</v>
      </c>
      <c r="C313" s="10"/>
      <c r="G313" t="s">
        <v>306</v>
      </c>
      <c r="H313" s="7" t="s">
        <v>320</v>
      </c>
      <c r="J313" s="7" t="s">
        <v>726</v>
      </c>
    </row>
    <row r="314" spans="1:10">
      <c r="A314" t="s">
        <v>134</v>
      </c>
      <c r="B314" s="13" t="str">
        <f>HYPERLINK("https://www.ncbi.nlm.nih.gov/pubmed/38590960","38590960")</f>
        <v>38590960</v>
      </c>
      <c r="C314" s="10"/>
      <c r="G314" t="s">
        <v>306</v>
      </c>
      <c r="H314" s="7" t="s">
        <v>320</v>
      </c>
      <c r="I314" s="24" t="s">
        <v>378</v>
      </c>
      <c r="J314" s="7" t="s">
        <v>727</v>
      </c>
    </row>
    <row r="315" spans="1:10">
      <c r="A315" t="s">
        <v>134</v>
      </c>
      <c r="B315" s="13" t="str">
        <f>HYPERLINK("https://www.ncbi.nlm.nih.gov/pubmed/38663197","38663197")</f>
        <v>38663197</v>
      </c>
      <c r="C315" s="10"/>
      <c r="G315" t="s">
        <v>306</v>
      </c>
      <c r="H315" s="7" t="s">
        <v>320</v>
      </c>
      <c r="J315" s="7" t="s">
        <v>728</v>
      </c>
    </row>
    <row r="316" spans="1:10">
      <c r="A316" t="s">
        <v>134</v>
      </c>
      <c r="B316" s="13" t="str">
        <f>HYPERLINK("https://www.ncbi.nlm.nih.gov/pubmed/37246248","37246248")</f>
        <v>37246248</v>
      </c>
      <c r="C316" s="10"/>
      <c r="G316" t="s">
        <v>401</v>
      </c>
      <c r="H316" s="7" t="s">
        <v>320</v>
      </c>
      <c r="I316" s="24" t="s">
        <v>378</v>
      </c>
      <c r="J316" s="7" t="s">
        <v>729</v>
      </c>
    </row>
    <row r="317" spans="1:10" hidden="1">
      <c r="A317" t="s">
        <v>730</v>
      </c>
      <c r="B317" s="13" t="str">
        <f>HYPERLINK("https://www.ncbi.nlm.nih.gov/pubmed/20708073","20708073")</f>
        <v>20708073</v>
      </c>
      <c r="C317" s="10"/>
      <c r="E317" s="10"/>
      <c r="F317" s="9"/>
      <c r="G317" t="s">
        <v>267</v>
      </c>
      <c r="H317" s="7" t="s">
        <v>326</v>
      </c>
      <c r="J317" s="7" t="s">
        <v>731</v>
      </c>
    </row>
    <row r="318" spans="1:10" ht="18" hidden="1">
      <c r="A318" t="s">
        <v>730</v>
      </c>
      <c r="B318" s="13" t="str">
        <f>HYPERLINK("https://www.ncbi.nlm.nih.gov/pubmed/31330226","31330226")</f>
        <v>31330226</v>
      </c>
      <c r="C318" s="10"/>
      <c r="D318" s="10"/>
      <c r="E318" s="10"/>
      <c r="F318" s="9"/>
      <c r="G318" t="s">
        <v>267</v>
      </c>
      <c r="H318" s="7" t="s">
        <v>326</v>
      </c>
      <c r="J318" s="7" t="s">
        <v>732</v>
      </c>
    </row>
    <row r="319" spans="1:10" hidden="1">
      <c r="A319" t="s">
        <v>730</v>
      </c>
      <c r="B319" s="13" t="str">
        <f>HYPERLINK("https://www.ncbi.nlm.nih.gov/pubmed/10777507","10777507")</f>
        <v>10777507</v>
      </c>
      <c r="F319" s="10"/>
      <c r="G319" t="s">
        <v>292</v>
      </c>
      <c r="H319" s="7" t="s">
        <v>320</v>
      </c>
      <c r="I319" s="24" t="s">
        <v>678</v>
      </c>
      <c r="J319" s="7" t="s">
        <v>733</v>
      </c>
    </row>
    <row r="320" spans="1:10" hidden="1">
      <c r="A320" t="s">
        <v>730</v>
      </c>
      <c r="B320" s="13" t="str">
        <f>HYPERLINK("https://www.ncbi.nlm.nih.gov/pubmed/11282276","11282276")</f>
        <v>11282276</v>
      </c>
      <c r="F320" s="10"/>
      <c r="G320" t="s">
        <v>292</v>
      </c>
      <c r="H320" s="7" t="s">
        <v>320</v>
      </c>
      <c r="I320" s="24" t="s">
        <v>678</v>
      </c>
      <c r="J320" s="7" t="s">
        <v>734</v>
      </c>
    </row>
    <row r="321" spans="1:10" hidden="1">
      <c r="A321" t="s">
        <v>730</v>
      </c>
      <c r="B321" s="13" t="str">
        <f>HYPERLINK("https://www.ncbi.nlm.nih.gov/pubmed/6320571","6320571")</f>
        <v>6320571</v>
      </c>
      <c r="C321" s="10"/>
      <c r="G321" t="s">
        <v>213</v>
      </c>
      <c r="H321" t="s">
        <v>420</v>
      </c>
      <c r="I321" s="23" t="s">
        <v>371</v>
      </c>
      <c r="J321" s="7" t="s">
        <v>735</v>
      </c>
    </row>
    <row r="322" spans="1:10" hidden="1">
      <c r="A322" t="s">
        <v>736</v>
      </c>
      <c r="B322" s="13" t="str">
        <f>HYPERLINK("https://www.ncbi.nlm.nih.gov/pubmed/20890769","20890769")</f>
        <v>20890769</v>
      </c>
      <c r="C322" s="9"/>
      <c r="E322" s="9"/>
      <c r="G322" t="s">
        <v>267</v>
      </c>
      <c r="H322" s="7" t="s">
        <v>326</v>
      </c>
      <c r="J322" s="7" t="s">
        <v>737</v>
      </c>
    </row>
    <row r="323" spans="1:10" hidden="1">
      <c r="A323" t="s">
        <v>736</v>
      </c>
      <c r="B323" s="13" t="str">
        <f>HYPERLINK("https://www.ncbi.nlm.nih.gov/pubmed/20890769","20890769")</f>
        <v>20890769</v>
      </c>
      <c r="C323" s="11"/>
      <c r="E323" s="9"/>
      <c r="G323" t="s">
        <v>267</v>
      </c>
      <c r="H323" s="7" t="s">
        <v>326</v>
      </c>
      <c r="J323" s="7" t="s">
        <v>423</v>
      </c>
    </row>
    <row r="324" spans="1:10" hidden="1">
      <c r="A324" t="s">
        <v>736</v>
      </c>
      <c r="B324" s="13" t="str">
        <f>HYPERLINK("https://www.ncbi.nlm.nih.gov/pubmed/29216406","29216406")</f>
        <v>29216406</v>
      </c>
      <c r="C324" s="11"/>
      <c r="D324" s="44"/>
      <c r="E324" s="11"/>
      <c r="F324" s="9"/>
      <c r="G324" t="s">
        <v>267</v>
      </c>
      <c r="H324" s="7" t="s">
        <v>326</v>
      </c>
      <c r="I324" s="24" t="s">
        <v>337</v>
      </c>
      <c r="J324" s="46" t="s">
        <v>738</v>
      </c>
    </row>
    <row r="325" spans="1:10" hidden="1">
      <c r="A325" t="s">
        <v>736</v>
      </c>
      <c r="B325" s="13" t="str">
        <f>HYPERLINK("https://www.ncbi.nlm.nih.gov/pubmed/19897028","19897028")</f>
        <v>19897028</v>
      </c>
      <c r="C325" s="11"/>
      <c r="G325" t="s">
        <v>376</v>
      </c>
      <c r="H325" t="s">
        <v>416</v>
      </c>
      <c r="I325" s="24" t="s">
        <v>378</v>
      </c>
      <c r="J325" s="7" t="s">
        <v>739</v>
      </c>
    </row>
    <row r="326" spans="1:10" hidden="1">
      <c r="A326" t="s">
        <v>736</v>
      </c>
      <c r="B326" s="13" t="str">
        <f>HYPERLINK("https://www.ncbi.nlm.nih.gov/pubmed/31133074","31133074")</f>
        <v>31133074</v>
      </c>
      <c r="C326" s="11"/>
      <c r="G326" t="s">
        <v>376</v>
      </c>
      <c r="H326" t="s">
        <v>393</v>
      </c>
      <c r="I326" s="24" t="s">
        <v>340</v>
      </c>
      <c r="J326" s="7" t="s">
        <v>740</v>
      </c>
    </row>
    <row r="327" spans="1:10" hidden="1">
      <c r="A327" t="s">
        <v>741</v>
      </c>
      <c r="B327" s="13" t="str">
        <f>HYPERLINK("https://www.ncbi.nlm.nih.gov/pubmed/22461451","22461451")</f>
        <v>22461451</v>
      </c>
      <c r="C327" s="39"/>
      <c r="G327" t="s">
        <v>319</v>
      </c>
      <c r="H327" s="7" t="s">
        <v>320</v>
      </c>
      <c r="I327" s="24" t="s">
        <v>378</v>
      </c>
      <c r="J327" s="7" t="s">
        <v>742</v>
      </c>
    </row>
    <row r="328" spans="1:10" hidden="1">
      <c r="A328" t="s">
        <v>741</v>
      </c>
      <c r="B328" s="13" t="str">
        <f>HYPERLINK("https://www.ncbi.nlm.nih.gov/pubmed/16375936","16375936")</f>
        <v>16375936</v>
      </c>
      <c r="C328" s="10"/>
      <c r="E328" s="10"/>
      <c r="F328" s="9"/>
      <c r="G328" t="s">
        <v>267</v>
      </c>
      <c r="H328" s="7" t="s">
        <v>326</v>
      </c>
      <c r="J328" s="7" t="s">
        <v>743</v>
      </c>
    </row>
    <row r="329" spans="1:10" hidden="1">
      <c r="A329" t="s">
        <v>741</v>
      </c>
      <c r="B329" s="13" t="str">
        <f>HYPERLINK("https://www.ncbi.nlm.nih.gov/pubmed/16962624","16962624")</f>
        <v>16962624</v>
      </c>
      <c r="C329" s="10"/>
      <c r="E329" s="10"/>
      <c r="F329" s="9"/>
      <c r="G329" t="s">
        <v>267</v>
      </c>
      <c r="H329" s="7" t="s">
        <v>326</v>
      </c>
      <c r="J329" s="7" t="s">
        <v>744</v>
      </c>
    </row>
    <row r="330" spans="1:10" hidden="1">
      <c r="A330" t="s">
        <v>741</v>
      </c>
      <c r="B330" s="13" t="str">
        <f>HYPERLINK("https://www.ncbi.nlm.nih.gov/pubmed/17449096","17449096")</f>
        <v>17449096</v>
      </c>
      <c r="C330" s="10"/>
      <c r="E330" s="10"/>
      <c r="G330" t="s">
        <v>267</v>
      </c>
      <c r="H330" s="7" t="s">
        <v>326</v>
      </c>
      <c r="J330" s="7" t="s">
        <v>745</v>
      </c>
    </row>
    <row r="331" spans="1:10" hidden="1">
      <c r="A331" t="s">
        <v>741</v>
      </c>
      <c r="B331" s="13" t="str">
        <f>HYPERLINK("https://www.ncbi.nlm.nih.gov/pubmed/19733639","19733639")</f>
        <v>19733639</v>
      </c>
      <c r="F331" s="9"/>
      <c r="G331" t="s">
        <v>267</v>
      </c>
      <c r="H331" s="7" t="s">
        <v>326</v>
      </c>
      <c r="J331" s="7" t="s">
        <v>746</v>
      </c>
    </row>
    <row r="332" spans="1:10" hidden="1">
      <c r="A332" t="s">
        <v>741</v>
      </c>
      <c r="B332" s="13" t="str">
        <f>HYPERLINK("https://www.ncbi.nlm.nih.gov/pubmed/20043267","20043267")</f>
        <v>20043267</v>
      </c>
      <c r="C332" s="10"/>
      <c r="E332" s="10"/>
      <c r="G332" t="s">
        <v>267</v>
      </c>
      <c r="H332" s="7" t="s">
        <v>326</v>
      </c>
      <c r="J332" s="7" t="s">
        <v>747</v>
      </c>
    </row>
    <row r="333" spans="1:10" hidden="1">
      <c r="A333" t="s">
        <v>741</v>
      </c>
      <c r="B333" s="13" t="str">
        <f>HYPERLINK("https://www.ncbi.nlm.nih.gov/pubmed/20087668","20087668")</f>
        <v>20087668</v>
      </c>
      <c r="C333" s="10"/>
      <c r="E333" s="10"/>
      <c r="G333" t="s">
        <v>267</v>
      </c>
      <c r="H333" s="7" t="s">
        <v>326</v>
      </c>
      <c r="J333" s="7" t="s">
        <v>748</v>
      </c>
    </row>
    <row r="334" spans="1:10" hidden="1">
      <c r="A334" t="s">
        <v>741</v>
      </c>
      <c r="B334" s="13" t="str">
        <f>HYPERLINK("https://www.ncbi.nlm.nih.gov/pubmed/20708073","20708073")</f>
        <v>20708073</v>
      </c>
      <c r="C334" s="10"/>
      <c r="E334" s="10"/>
      <c r="F334" s="9"/>
      <c r="G334" t="s">
        <v>267</v>
      </c>
      <c r="H334" s="7" t="s">
        <v>326</v>
      </c>
      <c r="J334" s="7" t="s">
        <v>749</v>
      </c>
    </row>
    <row r="335" spans="1:10" hidden="1">
      <c r="A335" t="s">
        <v>741</v>
      </c>
      <c r="B335" s="13" t="str">
        <f>HYPERLINK("https://www.ncbi.nlm.nih.gov/pubmed/20726872","20726872")</f>
        <v>20726872</v>
      </c>
      <c r="C335" s="10"/>
      <c r="E335" s="10"/>
      <c r="F335" s="9"/>
      <c r="G335" t="s">
        <v>267</v>
      </c>
      <c r="H335" s="7" t="s">
        <v>326</v>
      </c>
      <c r="J335" s="7" t="s">
        <v>750</v>
      </c>
    </row>
    <row r="336" spans="1:10" hidden="1">
      <c r="A336" t="s">
        <v>741</v>
      </c>
      <c r="B336" s="13" t="str">
        <f>HYPERLINK("https://www.ncbi.nlm.nih.gov/pubmed/20890769","20890769")</f>
        <v>20890769</v>
      </c>
      <c r="C336" s="10"/>
      <c r="E336" s="10"/>
      <c r="G336" t="s">
        <v>267</v>
      </c>
      <c r="H336" s="7" t="s">
        <v>326</v>
      </c>
      <c r="J336" s="7" t="s">
        <v>751</v>
      </c>
    </row>
    <row r="337" spans="1:31" hidden="1">
      <c r="A337" t="s">
        <v>741</v>
      </c>
      <c r="B337" s="13" t="str">
        <f>HYPERLINK("https://www.ncbi.nlm.nih.gov/pubmed/20890769","20890769")</f>
        <v>20890769</v>
      </c>
      <c r="C337" s="10"/>
      <c r="E337" s="10"/>
      <c r="G337" t="s">
        <v>267</v>
      </c>
      <c r="H337" s="7" t="s">
        <v>326</v>
      </c>
      <c r="J337" s="7" t="s">
        <v>752</v>
      </c>
    </row>
    <row r="338" spans="1:31" hidden="1">
      <c r="A338" t="s">
        <v>741</v>
      </c>
      <c r="B338" s="13" t="str">
        <f>HYPERLINK("https://www.ncbi.nlm.nih.gov/pubmed/20890769","20890769")</f>
        <v>20890769</v>
      </c>
      <c r="C338" s="10"/>
      <c r="E338" s="10"/>
      <c r="G338" t="s">
        <v>267</v>
      </c>
      <c r="H338" s="7" t="s">
        <v>326</v>
      </c>
      <c r="J338" s="7" t="s">
        <v>753</v>
      </c>
    </row>
    <row r="339" spans="1:31" hidden="1">
      <c r="A339" t="s">
        <v>741</v>
      </c>
      <c r="B339" s="13" t="str">
        <f>HYPERLINK("https://www.ncbi.nlm.nih.gov/pubmed/20890769","20890769")</f>
        <v>20890769</v>
      </c>
      <c r="C339" s="10"/>
      <c r="E339" s="10"/>
      <c r="G339" t="s">
        <v>267</v>
      </c>
      <c r="H339" s="7" t="s">
        <v>326</v>
      </c>
      <c r="J339" s="7" t="s">
        <v>754</v>
      </c>
    </row>
    <row r="340" spans="1:31" hidden="1">
      <c r="A340" t="s">
        <v>741</v>
      </c>
      <c r="B340" s="13" t="str">
        <f>HYPERLINK("https://www.ncbi.nlm.nih.gov/pubmed/20890769","20890769")</f>
        <v>20890769</v>
      </c>
      <c r="C340" s="10"/>
      <c r="E340" s="10"/>
      <c r="G340" t="s">
        <v>267</v>
      </c>
      <c r="H340" s="7" t="s">
        <v>326</v>
      </c>
      <c r="J340" s="7" t="s">
        <v>755</v>
      </c>
    </row>
    <row r="341" spans="1:31" hidden="1">
      <c r="A341" t="s">
        <v>741</v>
      </c>
      <c r="B341" s="13" t="str">
        <f>HYPERLINK("https://www.ncbi.nlm.nih.gov/pubmed/21959537","21959537")</f>
        <v>21959537</v>
      </c>
      <c r="C341" s="10"/>
      <c r="E341" s="10"/>
      <c r="G341" t="s">
        <v>267</v>
      </c>
      <c r="H341" s="7" t="s">
        <v>326</v>
      </c>
      <c r="J341" s="7" t="s">
        <v>756</v>
      </c>
    </row>
    <row r="342" spans="1:31" hidden="1">
      <c r="A342" t="s">
        <v>741</v>
      </c>
      <c r="B342" s="13" t="str">
        <f>HYPERLINK("https://www.ncbi.nlm.nih.gov/pubmed/21959537","21959537")</f>
        <v>21959537</v>
      </c>
      <c r="C342" s="10"/>
      <c r="E342" s="10"/>
      <c r="G342" t="s">
        <v>267</v>
      </c>
      <c r="H342" s="7" t="s">
        <v>326</v>
      </c>
      <c r="J342" s="7" t="s">
        <v>757</v>
      </c>
    </row>
    <row r="343" spans="1:31" hidden="1">
      <c r="A343" t="s">
        <v>741</v>
      </c>
      <c r="B343" s="13" t="str">
        <f>HYPERLINK("https://www.ncbi.nlm.nih.gov/pubmed/21959537","21959537")</f>
        <v>21959537</v>
      </c>
      <c r="C343" s="10"/>
      <c r="E343" s="10"/>
      <c r="G343" t="s">
        <v>267</v>
      </c>
      <c r="H343" s="7" t="s">
        <v>326</v>
      </c>
      <c r="J343" s="7" t="s">
        <v>758</v>
      </c>
    </row>
    <row r="344" spans="1:31" hidden="1">
      <c r="A344" t="s">
        <v>741</v>
      </c>
      <c r="B344" s="13" t="str">
        <f>HYPERLINK("https://www.ncbi.nlm.nih.gov/pubmed/21959537","21959537")</f>
        <v>21959537</v>
      </c>
      <c r="C344" s="10"/>
      <c r="E344" s="10"/>
      <c r="G344" t="s">
        <v>267</v>
      </c>
      <c r="H344" s="7" t="s">
        <v>326</v>
      </c>
      <c r="J344" s="7" t="s">
        <v>759</v>
      </c>
    </row>
    <row r="345" spans="1:31" hidden="1">
      <c r="A345" t="s">
        <v>741</v>
      </c>
      <c r="B345" s="13" t="str">
        <f>HYPERLINK("https://www.ncbi.nlm.nih.gov/pubmed/21959537","21959537")</f>
        <v>21959537</v>
      </c>
      <c r="C345" s="10"/>
      <c r="E345" s="10"/>
      <c r="G345" t="s">
        <v>267</v>
      </c>
      <c r="H345" s="7" t="s">
        <v>326</v>
      </c>
      <c r="J345" s="7" t="s">
        <v>760</v>
      </c>
    </row>
    <row r="346" spans="1:31" hidden="1">
      <c r="A346" t="s">
        <v>741</v>
      </c>
      <c r="B346" s="13" t="str">
        <f>HYPERLINK("https://www.ncbi.nlm.nih.gov/pubmed/22198065","22198065")</f>
        <v>22198065</v>
      </c>
      <c r="C346" s="11"/>
      <c r="D346" s="10"/>
      <c r="E346" s="11"/>
      <c r="F346" s="9"/>
      <c r="G346" t="s">
        <v>267</v>
      </c>
      <c r="H346" s="7" t="s">
        <v>326</v>
      </c>
      <c r="J346" s="7" t="s">
        <v>761</v>
      </c>
    </row>
    <row r="347" spans="1:31" hidden="1">
      <c r="A347" t="s">
        <v>741</v>
      </c>
      <c r="B347" s="13" t="str">
        <f>HYPERLINK("https://www.ncbi.nlm.nih.gov/pubmed/22768806","22768806")</f>
        <v>22768806</v>
      </c>
      <c r="C347" s="10"/>
      <c r="D347" s="10"/>
      <c r="E347" s="10"/>
      <c r="F347" s="9"/>
      <c r="G347" t="s">
        <v>267</v>
      </c>
      <c r="H347" s="7" t="s">
        <v>326</v>
      </c>
      <c r="J347" s="7" t="s">
        <v>762</v>
      </c>
    </row>
    <row r="348" spans="1:31" ht="18" hidden="1">
      <c r="A348" t="s">
        <v>741</v>
      </c>
      <c r="B348" s="13" t="str">
        <f>HYPERLINK("https://www.ncbi.nlm.nih.gov/pubmed/23990906","23990906")</f>
        <v>23990906</v>
      </c>
      <c r="C348" s="10"/>
      <c r="E348" s="10"/>
      <c r="F348" s="9"/>
      <c r="G348" t="s">
        <v>267</v>
      </c>
      <c r="H348" s="7" t="s">
        <v>326</v>
      </c>
      <c r="J348" s="7" t="s">
        <v>763</v>
      </c>
      <c r="K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idden="1">
      <c r="A349" t="s">
        <v>741</v>
      </c>
      <c r="B349" s="13" t="str">
        <f>HYPERLINK("https://www.ncbi.nlm.nih.gov/pubmed/24114466","24114466")</f>
        <v>24114466</v>
      </c>
      <c r="C349" s="10"/>
      <c r="E349" s="10"/>
      <c r="G349" t="s">
        <v>267</v>
      </c>
      <c r="H349" s="7" t="s">
        <v>326</v>
      </c>
      <c r="J349" s="7" t="s">
        <v>764</v>
      </c>
    </row>
    <row r="350" spans="1:31" s="2" customFormat="1" hidden="1">
      <c r="A350" t="s">
        <v>741</v>
      </c>
      <c r="B350" s="13" t="str">
        <f>HYPERLINK("https://www.ncbi.nlm.nih.gov/pubmed/24434083","24434083")</f>
        <v>24434083</v>
      </c>
      <c r="C350" s="10"/>
      <c r="D350" s="3"/>
      <c r="E350" s="3"/>
      <c r="F350" s="9"/>
      <c r="G350" t="s">
        <v>267</v>
      </c>
      <c r="H350" s="7" t="s">
        <v>326</v>
      </c>
      <c r="I350" s="7"/>
      <c r="J350" s="7" t="s">
        <v>765</v>
      </c>
      <c r="L350"/>
    </row>
    <row r="351" spans="1:31" hidden="1">
      <c r="A351" t="s">
        <v>741</v>
      </c>
      <c r="B351" s="13" t="str">
        <f>HYPERLINK("https://www.ncbi.nlm.nih.gov/pubmed/24486430","24486430")</f>
        <v>24486430</v>
      </c>
      <c r="E351" s="11"/>
      <c r="G351" t="s">
        <v>267</v>
      </c>
      <c r="H351" s="7" t="s">
        <v>326</v>
      </c>
      <c r="J351" s="7" t="s">
        <v>766</v>
      </c>
    </row>
    <row r="352" spans="1:31" s="2" customFormat="1" hidden="1">
      <c r="A352" t="s">
        <v>741</v>
      </c>
      <c r="B352" s="13" t="str">
        <f>HYPERLINK("https://www.ncbi.nlm.nih.gov/pubmed/24515815","24515815")</f>
        <v>24515815</v>
      </c>
      <c r="C352" s="10"/>
      <c r="D352" s="3"/>
      <c r="E352" s="10"/>
      <c r="F352" s="3"/>
      <c r="G352" t="s">
        <v>267</v>
      </c>
      <c r="H352" s="7" t="s">
        <v>326</v>
      </c>
      <c r="I352" s="7"/>
      <c r="J352" s="7" t="s">
        <v>767</v>
      </c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</row>
    <row r="353" spans="1:31" hidden="1">
      <c r="A353" t="s">
        <v>741</v>
      </c>
      <c r="B353" s="13" t="str">
        <f>HYPERLINK("https://www.ncbi.nlm.nih.gov/pubmed/24515815","24515815")</f>
        <v>24515815</v>
      </c>
      <c r="C353" s="10"/>
      <c r="E353" s="10"/>
      <c r="G353" t="s">
        <v>267</v>
      </c>
      <c r="H353" s="7" t="s">
        <v>326</v>
      </c>
      <c r="J353" s="50" t="s">
        <v>768</v>
      </c>
    </row>
    <row r="354" spans="1:31" hidden="1">
      <c r="A354" t="s">
        <v>741</v>
      </c>
      <c r="B354" s="13" t="str">
        <f>HYPERLINK("https://www.ncbi.nlm.nih.gov/pubmed/25579646","25579646")</f>
        <v>25579646</v>
      </c>
      <c r="C354" s="10"/>
      <c r="E354" s="10"/>
      <c r="G354" t="s">
        <v>267</v>
      </c>
      <c r="H354" s="7" t="s">
        <v>326</v>
      </c>
      <c r="J354" s="7" t="s">
        <v>769</v>
      </c>
    </row>
    <row r="355" spans="1:31" hidden="1">
      <c r="A355" t="s">
        <v>741</v>
      </c>
      <c r="B355" s="13" t="str">
        <f>HYPERLINK("https://www.ncbi.nlm.nih.gov/pubmed/25765474","25765474")</f>
        <v>25765474</v>
      </c>
      <c r="C355" s="10"/>
      <c r="D355" s="10"/>
      <c r="E355" s="10"/>
      <c r="F355" s="9"/>
      <c r="G355" t="s">
        <v>267</v>
      </c>
      <c r="H355" s="7" t="s">
        <v>326</v>
      </c>
      <c r="J355" s="7" t="s">
        <v>770</v>
      </c>
    </row>
    <row r="356" spans="1:31" ht="18" hidden="1">
      <c r="A356" t="s">
        <v>741</v>
      </c>
      <c r="B356" s="13" t="str">
        <f>HYPERLINK("https://www.ncbi.nlm.nih.gov/pubmed/26781511","26781511")</f>
        <v>26781511</v>
      </c>
      <c r="C356" s="10"/>
      <c r="D356" s="10"/>
      <c r="E356" s="10"/>
      <c r="F356" s="9"/>
      <c r="G356" t="s">
        <v>267</v>
      </c>
      <c r="H356" s="7" t="s">
        <v>326</v>
      </c>
      <c r="I356" s="24" t="s">
        <v>337</v>
      </c>
      <c r="J356" s="7" t="s">
        <v>771</v>
      </c>
    </row>
    <row r="357" spans="1:31" hidden="1">
      <c r="A357" t="s">
        <v>741</v>
      </c>
      <c r="B357" s="13" t="str">
        <f>HYPERLINK("https://www.ncbi.nlm.nih.gov/pubmed/26979344","26979344")</f>
        <v>26979344</v>
      </c>
      <c r="C357" s="10"/>
      <c r="D357" s="10"/>
      <c r="E357" s="10"/>
      <c r="F357" s="12"/>
      <c r="G357" t="s">
        <v>267</v>
      </c>
      <c r="H357" s="7" t="s">
        <v>326</v>
      </c>
      <c r="J357" s="7" t="s">
        <v>772</v>
      </c>
    </row>
    <row r="358" spans="1:31" hidden="1">
      <c r="A358" t="s">
        <v>741</v>
      </c>
      <c r="B358" s="13" t="str">
        <f>HYPERLINK("https://www.ncbi.nlm.nih.gov/pubmed/27150205","27150205")</f>
        <v>27150205</v>
      </c>
      <c r="C358" s="10"/>
      <c r="D358" s="10"/>
      <c r="E358" s="10"/>
      <c r="F358" s="4"/>
      <c r="G358" t="s">
        <v>267</v>
      </c>
      <c r="H358" s="7" t="s">
        <v>326</v>
      </c>
      <c r="J358" s="7" t="s">
        <v>773</v>
      </c>
    </row>
    <row r="359" spans="1:31" hidden="1">
      <c r="A359" t="s">
        <v>741</v>
      </c>
      <c r="B359" s="13" t="str">
        <f>HYPERLINK("https://www.ncbi.nlm.nih.gov/pubmed/28936609","28936609")</f>
        <v>28936609</v>
      </c>
      <c r="C359" s="10"/>
      <c r="E359" s="10"/>
      <c r="G359" t="s">
        <v>267</v>
      </c>
      <c r="H359" s="7" t="s">
        <v>326</v>
      </c>
      <c r="J359" s="46" t="s">
        <v>774</v>
      </c>
    </row>
    <row r="360" spans="1:31" hidden="1">
      <c r="A360" t="s">
        <v>741</v>
      </c>
      <c r="B360" s="13" t="str">
        <f>HYPERLINK("https://www.ncbi.nlm.nih.gov/pubmed/29216406","29216406")</f>
        <v>29216406</v>
      </c>
      <c r="C360" s="10"/>
      <c r="D360" s="10"/>
      <c r="E360" s="10"/>
      <c r="F360" s="9"/>
      <c r="G360" t="s">
        <v>267</v>
      </c>
      <c r="H360" s="7" t="s">
        <v>326</v>
      </c>
      <c r="I360" s="24" t="s">
        <v>337</v>
      </c>
      <c r="J360" s="7" t="s">
        <v>775</v>
      </c>
      <c r="K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s="2" customFormat="1" hidden="1">
      <c r="A361" t="s">
        <v>741</v>
      </c>
      <c r="B361" s="13" t="str">
        <f>HYPERLINK("https://www.ncbi.nlm.nih.gov/pubmed/29216406","29216406")</f>
        <v>29216406</v>
      </c>
      <c r="C361" s="10"/>
      <c r="D361" s="10"/>
      <c r="E361" s="10"/>
      <c r="F361" s="9"/>
      <c r="G361" t="s">
        <v>267</v>
      </c>
      <c r="H361" s="7" t="s">
        <v>326</v>
      </c>
      <c r="I361" s="24" t="s">
        <v>337</v>
      </c>
      <c r="J361" s="46" t="s">
        <v>776</v>
      </c>
      <c r="L361"/>
    </row>
    <row r="362" spans="1:31" hidden="1">
      <c r="A362" t="s">
        <v>741</v>
      </c>
      <c r="B362" s="13" t="str">
        <f>HYPERLINK("https://www.ncbi.nlm.nih.gov/pubmed/31884045","31884045")</f>
        <v>31884045</v>
      </c>
      <c r="D362" s="10"/>
      <c r="F362" s="9"/>
      <c r="G362" t="s">
        <v>267</v>
      </c>
      <c r="H362" s="7" t="s">
        <v>326</v>
      </c>
      <c r="J362" s="7" t="s">
        <v>777</v>
      </c>
    </row>
    <row r="363" spans="1:31" hidden="1">
      <c r="A363" t="s">
        <v>741</v>
      </c>
      <c r="B363" s="13" t="str">
        <f>HYPERLINK("https://www.ncbi.nlm.nih.gov/pubmed/32334352","32334352")</f>
        <v>32334352</v>
      </c>
      <c r="C363" s="10"/>
      <c r="E363" s="11"/>
      <c r="G363" t="s">
        <v>267</v>
      </c>
      <c r="H363" s="7" t="s">
        <v>326</v>
      </c>
      <c r="J363" s="7" t="s">
        <v>778</v>
      </c>
    </row>
    <row r="364" spans="1:31" hidden="1">
      <c r="A364" t="s">
        <v>741</v>
      </c>
      <c r="B364" s="13" t="str">
        <f>HYPERLINK("https://www.ncbi.nlm.nih.gov/pubmed/35696490","35696490")</f>
        <v>35696490</v>
      </c>
      <c r="C364" s="10"/>
      <c r="D364" s="10"/>
      <c r="E364" s="10"/>
      <c r="F364" s="9"/>
      <c r="G364" t="s">
        <v>267</v>
      </c>
      <c r="H364" s="7" t="s">
        <v>326</v>
      </c>
      <c r="J364" s="7" t="s">
        <v>779</v>
      </c>
    </row>
    <row r="365" spans="1:31" hidden="1">
      <c r="A365" t="s">
        <v>741</v>
      </c>
      <c r="B365" s="13" t="str">
        <f>HYPERLINK("https://www.ncbi.nlm.nih.gov/pubmed/37037411","37037411")</f>
        <v>37037411</v>
      </c>
      <c r="C365" s="11"/>
      <c r="D365" s="10"/>
      <c r="E365" s="11"/>
      <c r="F365" s="9"/>
      <c r="G365" t="s">
        <v>267</v>
      </c>
      <c r="H365" s="7" t="s">
        <v>326</v>
      </c>
      <c r="J365" s="7" t="s">
        <v>780</v>
      </c>
    </row>
    <row r="366" spans="1:31" hidden="1">
      <c r="A366" t="s">
        <v>741</v>
      </c>
      <c r="B366" s="13" t="str">
        <f>HYPERLINK("https://www.ncbi.nlm.nih.gov/pubmed/37551828","37551828")</f>
        <v>37551828</v>
      </c>
      <c r="C366" s="10"/>
      <c r="E366" s="10"/>
      <c r="G366" t="s">
        <v>267</v>
      </c>
      <c r="H366" s="7" t="s">
        <v>326</v>
      </c>
      <c r="J366" s="7" t="s">
        <v>781</v>
      </c>
    </row>
    <row r="367" spans="1:31" hidden="1">
      <c r="A367" t="s">
        <v>741</v>
      </c>
      <c r="B367" s="14" t="str">
        <f>HYPERLINK("https://www.ncbi.nlm.nih.gov/pubmed/37637492","37637492")</f>
        <v>37637492</v>
      </c>
      <c r="D367" s="10"/>
      <c r="F367" s="9"/>
      <c r="G367" t="s">
        <v>267</v>
      </c>
      <c r="H367" s="7" t="s">
        <v>326</v>
      </c>
      <c r="I367" s="24" t="s">
        <v>337</v>
      </c>
      <c r="J367" s="7" t="s">
        <v>782</v>
      </c>
    </row>
    <row r="368" spans="1:31" hidden="1">
      <c r="A368" t="s">
        <v>741</v>
      </c>
      <c r="B368" s="13" t="str">
        <f>HYPERLINK("https://www.ncbi.nlm.nih.gov/pubmed/28962244","28962244")</f>
        <v>28962244</v>
      </c>
      <c r="C368" s="10"/>
      <c r="G368" t="s">
        <v>292</v>
      </c>
      <c r="H368" s="7" t="s">
        <v>320</v>
      </c>
      <c r="J368" s="7" t="s">
        <v>783</v>
      </c>
    </row>
    <row r="369" spans="1:31" hidden="1">
      <c r="A369" t="s">
        <v>741</v>
      </c>
      <c r="B369" s="13" t="str">
        <f>HYPERLINK("https://www.ncbi.nlm.nih.gov/pubmed/16375936","16375936")</f>
        <v>16375936</v>
      </c>
      <c r="F369" s="10"/>
      <c r="G369" t="s">
        <v>301</v>
      </c>
      <c r="H369" s="7" t="s">
        <v>320</v>
      </c>
      <c r="I369" s="24" t="s">
        <v>433</v>
      </c>
      <c r="J369" s="7" t="s">
        <v>784</v>
      </c>
    </row>
    <row r="370" spans="1:31" s="2" customFormat="1" hidden="1">
      <c r="A370" t="s">
        <v>741</v>
      </c>
      <c r="B370" s="13" t="str">
        <f>HYPERLINK("https://www.ncbi.nlm.nih.gov/pubmed/24466573","24466573")</f>
        <v>24466573</v>
      </c>
      <c r="C370" s="10" t="s">
        <v>369</v>
      </c>
      <c r="D370" s="3"/>
      <c r="E370" s="10"/>
      <c r="F370" s="3"/>
      <c r="G370" t="s">
        <v>213</v>
      </c>
      <c r="H370" t="s">
        <v>600</v>
      </c>
      <c r="I370" s="24" t="s">
        <v>340</v>
      </c>
      <c r="J370" s="7" t="s">
        <v>785</v>
      </c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</row>
    <row r="371" spans="1:31" hidden="1">
      <c r="A371" t="s">
        <v>786</v>
      </c>
      <c r="B371" s="13" t="str">
        <f>HYPERLINK("https://www.ncbi.nlm.nih.gov/pubmed/20890769","20890769")</f>
        <v>20890769</v>
      </c>
      <c r="C371" s="10"/>
      <c r="E371" s="11"/>
      <c r="G371" t="s">
        <v>267</v>
      </c>
      <c r="H371" s="7" t="s">
        <v>326</v>
      </c>
      <c r="J371" s="7" t="s">
        <v>787</v>
      </c>
    </row>
    <row r="372" spans="1:31" hidden="1">
      <c r="A372" t="s">
        <v>786</v>
      </c>
      <c r="B372" s="13" t="str">
        <f>HYPERLINK("https://www.ncbi.nlm.nih.gov/pubmed/20890769","20890769")</f>
        <v>20890769</v>
      </c>
      <c r="C372" s="10"/>
      <c r="E372" s="11"/>
      <c r="G372" t="s">
        <v>267</v>
      </c>
      <c r="H372" s="7" t="s">
        <v>326</v>
      </c>
      <c r="J372" s="7" t="s">
        <v>788</v>
      </c>
    </row>
    <row r="373" spans="1:31" hidden="1">
      <c r="A373" t="s">
        <v>786</v>
      </c>
      <c r="B373" s="13" t="str">
        <f>HYPERLINK("https://www.ncbi.nlm.nih.gov/pubmed/24434083","24434083")</f>
        <v>24434083</v>
      </c>
      <c r="C373" s="10"/>
      <c r="F373" s="9"/>
      <c r="G373" t="s">
        <v>267</v>
      </c>
      <c r="H373" s="7" t="s">
        <v>326</v>
      </c>
      <c r="J373" s="7" t="s">
        <v>789</v>
      </c>
    </row>
    <row r="374" spans="1:31" hidden="1">
      <c r="A374" t="s">
        <v>786</v>
      </c>
      <c r="B374" s="13" t="str">
        <f>HYPERLINK("https://www.ncbi.nlm.nih.gov/pubmed/29216406","29216406")</f>
        <v>29216406</v>
      </c>
      <c r="C374" s="10"/>
      <c r="D374" s="10"/>
      <c r="E374" s="48"/>
      <c r="F374" s="9"/>
      <c r="G374" t="s">
        <v>267</v>
      </c>
      <c r="H374" s="7" t="s">
        <v>326</v>
      </c>
      <c r="I374" s="24" t="s">
        <v>337</v>
      </c>
      <c r="J374" s="50" t="s">
        <v>790</v>
      </c>
    </row>
    <row r="375" spans="1:31" hidden="1">
      <c r="A375" t="s">
        <v>786</v>
      </c>
      <c r="B375" s="13" t="str">
        <f>HYPERLINK("https://www.ncbi.nlm.nih.gov/pubmed/1850172","1850172")</f>
        <v>1850172</v>
      </c>
      <c r="C375" s="10"/>
      <c r="F375" s="9"/>
      <c r="G375" t="s">
        <v>213</v>
      </c>
      <c r="H375" t="s">
        <v>791</v>
      </c>
      <c r="I375" s="24" t="s">
        <v>378</v>
      </c>
      <c r="J375" s="7" t="s">
        <v>792</v>
      </c>
    </row>
    <row r="376" spans="1:31" hidden="1">
      <c r="A376" t="s">
        <v>793</v>
      </c>
      <c r="B376" s="13" t="str">
        <f>HYPERLINK("https://www.ncbi.nlm.nih.gov/pubmed/20890769","20890769")</f>
        <v>20890769</v>
      </c>
      <c r="C376" s="9"/>
      <c r="E376" s="9"/>
      <c r="G376" t="s">
        <v>267</v>
      </c>
      <c r="H376" s="7" t="s">
        <v>326</v>
      </c>
      <c r="J376" s="7" t="s">
        <v>794</v>
      </c>
    </row>
    <row r="377" spans="1:31" hidden="1">
      <c r="A377" t="s">
        <v>793</v>
      </c>
      <c r="B377" s="13" t="str">
        <f>HYPERLINK("https://www.ncbi.nlm.nih.gov/pubmed/20890769","20890769")</f>
        <v>20890769</v>
      </c>
      <c r="C377" s="9"/>
      <c r="E377" s="9"/>
      <c r="G377" t="s">
        <v>267</v>
      </c>
      <c r="H377" s="7" t="s">
        <v>326</v>
      </c>
      <c r="J377" s="7" t="s">
        <v>795</v>
      </c>
    </row>
    <row r="378" spans="1:31" hidden="1">
      <c r="A378" t="s">
        <v>793</v>
      </c>
      <c r="B378" s="13" t="str">
        <f>HYPERLINK("https://www.ncbi.nlm.nih.gov/pubmed/20890769","20890769")</f>
        <v>20890769</v>
      </c>
      <c r="C378" s="9"/>
      <c r="E378" s="9"/>
      <c r="G378" t="s">
        <v>267</v>
      </c>
      <c r="H378" s="7" t="s">
        <v>326</v>
      </c>
      <c r="J378" s="7" t="s">
        <v>488</v>
      </c>
    </row>
    <row r="379" spans="1:31" hidden="1">
      <c r="A379" t="s">
        <v>793</v>
      </c>
      <c r="B379" s="13" t="str">
        <f>HYPERLINK("https://www.ncbi.nlm.nih.gov/pubmed/20890769","20890769")</f>
        <v>20890769</v>
      </c>
      <c r="C379" s="9"/>
      <c r="E379" s="9"/>
      <c r="G379" t="s">
        <v>267</v>
      </c>
      <c r="H379" s="7" t="s">
        <v>326</v>
      </c>
      <c r="J379" s="7" t="s">
        <v>796</v>
      </c>
    </row>
    <row r="380" spans="1:31" s="2" customFormat="1" hidden="1">
      <c r="A380" t="s">
        <v>793</v>
      </c>
      <c r="B380" s="13" t="str">
        <f>HYPERLINK("https://www.ncbi.nlm.nih.gov/pubmed/20890769","20890769")</f>
        <v>20890769</v>
      </c>
      <c r="C380" s="9"/>
      <c r="D380" s="3"/>
      <c r="E380" s="9"/>
      <c r="F380" s="3"/>
      <c r="G380" t="s">
        <v>267</v>
      </c>
      <c r="H380" s="7" t="s">
        <v>326</v>
      </c>
      <c r="I380" s="7"/>
      <c r="J380" s="7" t="s">
        <v>797</v>
      </c>
      <c r="L380"/>
    </row>
    <row r="381" spans="1:31" hidden="1">
      <c r="A381" t="s">
        <v>793</v>
      </c>
      <c r="B381" s="13" t="str">
        <f>HYPERLINK("https://www.ncbi.nlm.nih.gov/pubmed/21185375","21185375")</f>
        <v>21185375</v>
      </c>
      <c r="D381" s="10"/>
      <c r="G381" t="s">
        <v>267</v>
      </c>
      <c r="H381" s="7" t="s">
        <v>326</v>
      </c>
      <c r="J381" s="7" t="s">
        <v>798</v>
      </c>
    </row>
    <row r="382" spans="1:31" hidden="1">
      <c r="A382" t="s">
        <v>793</v>
      </c>
      <c r="B382" s="13" t="str">
        <f>HYPERLINK("https://www.ncbi.nlm.nih.gov/pubmed/22768806","22768806")</f>
        <v>22768806</v>
      </c>
      <c r="C382" s="10"/>
      <c r="D382" s="10"/>
      <c r="E382" s="10"/>
      <c r="F382" s="10"/>
      <c r="G382" t="s">
        <v>267</v>
      </c>
      <c r="H382" s="7" t="s">
        <v>326</v>
      </c>
      <c r="J382" s="7" t="s">
        <v>799</v>
      </c>
    </row>
    <row r="383" spans="1:31" hidden="1">
      <c r="A383" t="s">
        <v>793</v>
      </c>
      <c r="B383" s="13" t="str">
        <f>HYPERLINK("https://www.ncbi.nlm.nih.gov/pubmed/34550611","34550611")</f>
        <v>34550611</v>
      </c>
      <c r="C383" s="44"/>
      <c r="G383" t="s">
        <v>401</v>
      </c>
      <c r="H383" s="7" t="s">
        <v>320</v>
      </c>
      <c r="J383" s="7" t="s">
        <v>800</v>
      </c>
    </row>
    <row r="384" spans="1:31" hidden="1">
      <c r="A384" t="s">
        <v>801</v>
      </c>
      <c r="B384" s="13" t="str">
        <f>HYPERLINK("https://www.ncbi.nlm.nih.gov/pubmed/16962624","16962624")</f>
        <v>16962624</v>
      </c>
      <c r="C384" s="10"/>
      <c r="E384" s="9"/>
      <c r="F384" s="10"/>
      <c r="G384" t="s">
        <v>267</v>
      </c>
      <c r="H384" s="7" t="s">
        <v>326</v>
      </c>
      <c r="J384" s="7" t="s">
        <v>802</v>
      </c>
    </row>
    <row r="385" spans="1:10" hidden="1">
      <c r="A385" t="s">
        <v>801</v>
      </c>
      <c r="B385" s="13" t="str">
        <f>HYPERLINK("https://www.ncbi.nlm.nih.gov/pubmed/17449096","17449096")</f>
        <v>17449096</v>
      </c>
      <c r="C385" s="10"/>
      <c r="E385" s="9"/>
      <c r="G385" t="s">
        <v>267</v>
      </c>
      <c r="H385" s="7" t="s">
        <v>326</v>
      </c>
      <c r="J385" s="7" t="s">
        <v>803</v>
      </c>
    </row>
    <row r="386" spans="1:10" hidden="1">
      <c r="A386" t="s">
        <v>801</v>
      </c>
      <c r="B386" s="13" t="str">
        <f>HYPERLINK("https://www.ncbi.nlm.nih.gov/pubmed/22554500","22554500")</f>
        <v>22554500</v>
      </c>
      <c r="C386" s="10"/>
      <c r="E386" s="9"/>
      <c r="G386" t="s">
        <v>267</v>
      </c>
      <c r="H386" s="7" t="s">
        <v>326</v>
      </c>
      <c r="J386" s="7" t="s">
        <v>804</v>
      </c>
    </row>
    <row r="387" spans="1:10" hidden="1">
      <c r="A387" t="s">
        <v>801</v>
      </c>
      <c r="B387" s="13" t="str">
        <f>HYPERLINK("https://www.ncbi.nlm.nih.gov/pubmed/23558297","23558297")</f>
        <v>23558297</v>
      </c>
      <c r="C387" s="10"/>
      <c r="E387" s="9"/>
      <c r="G387" t="s">
        <v>267</v>
      </c>
      <c r="H387" s="7" t="s">
        <v>326</v>
      </c>
      <c r="J387" s="7" t="s">
        <v>805</v>
      </c>
    </row>
    <row r="388" spans="1:10" hidden="1">
      <c r="A388" t="s">
        <v>801</v>
      </c>
      <c r="B388" s="13" t="str">
        <f>HYPERLINK("https://www.ncbi.nlm.nih.gov/pubmed/23990906","23990906")</f>
        <v>23990906</v>
      </c>
      <c r="C388" s="11"/>
      <c r="E388" s="11"/>
      <c r="F388" s="44"/>
      <c r="G388" t="s">
        <v>267</v>
      </c>
      <c r="H388" s="7" t="s">
        <v>326</v>
      </c>
      <c r="J388" s="7" t="s">
        <v>806</v>
      </c>
    </row>
    <row r="389" spans="1:10" hidden="1">
      <c r="A389" t="s">
        <v>801</v>
      </c>
      <c r="B389" s="13" t="str">
        <f>HYPERLINK("https://www.ncbi.nlm.nih.gov/pubmed/24928889","24928889")</f>
        <v>24928889</v>
      </c>
      <c r="C389" s="10"/>
      <c r="D389" s="10"/>
      <c r="E389" s="9"/>
      <c r="F389" s="10"/>
      <c r="G389" t="s">
        <v>267</v>
      </c>
      <c r="H389" s="7" t="s">
        <v>326</v>
      </c>
      <c r="J389" s="7" t="s">
        <v>807</v>
      </c>
    </row>
    <row r="390" spans="1:10" hidden="1">
      <c r="A390" t="s">
        <v>808</v>
      </c>
      <c r="B390" s="13" t="str">
        <f>HYPERLINK("https://www.ncbi.nlm.nih.gov/pubmed/21803136","21803136")</f>
        <v>21803136</v>
      </c>
      <c r="C390" s="10"/>
      <c r="E390" s="10"/>
      <c r="F390" s="10"/>
      <c r="G390" t="s">
        <v>267</v>
      </c>
      <c r="H390" s="7" t="s">
        <v>326</v>
      </c>
      <c r="J390" s="7" t="s">
        <v>809</v>
      </c>
    </row>
    <row r="391" spans="1:10" hidden="1">
      <c r="A391" t="s">
        <v>808</v>
      </c>
      <c r="B391" s="13" t="str">
        <f>HYPERLINK("https://www.ncbi.nlm.nih.gov/pubmed/22554500","22554500")</f>
        <v>22554500</v>
      </c>
      <c r="C391" s="9"/>
      <c r="E391" s="9"/>
      <c r="G391" t="s">
        <v>267</v>
      </c>
      <c r="H391" s="7" t="s">
        <v>326</v>
      </c>
      <c r="J391" s="46" t="s">
        <v>810</v>
      </c>
    </row>
    <row r="392" spans="1:10" hidden="1">
      <c r="A392" t="s">
        <v>808</v>
      </c>
      <c r="B392" s="13" t="str">
        <f>HYPERLINK("https://www.ncbi.nlm.nih.gov/pubmed/29216406","29216406")</f>
        <v>29216406</v>
      </c>
      <c r="C392" s="9"/>
      <c r="D392" s="44"/>
      <c r="E392" s="48"/>
      <c r="F392" s="9"/>
      <c r="G392" t="s">
        <v>267</v>
      </c>
      <c r="H392" s="7" t="s">
        <v>326</v>
      </c>
      <c r="I392" s="24" t="s">
        <v>337</v>
      </c>
      <c r="J392" s="50" t="s">
        <v>811</v>
      </c>
    </row>
    <row r="393" spans="1:10" hidden="1">
      <c r="A393" t="s">
        <v>808</v>
      </c>
      <c r="B393" s="13" t="str">
        <f>HYPERLINK("https://www.ncbi.nlm.nih.gov/pubmed/26783879","26783879")</f>
        <v>26783879</v>
      </c>
      <c r="F393" s="39"/>
      <c r="G393" t="s">
        <v>292</v>
      </c>
      <c r="H393" s="7" t="s">
        <v>320</v>
      </c>
      <c r="I393" s="24" t="s">
        <v>812</v>
      </c>
      <c r="J393" s="7" t="s">
        <v>813</v>
      </c>
    </row>
    <row r="394" spans="1:10" hidden="1">
      <c r="A394" t="s">
        <v>808</v>
      </c>
      <c r="B394" s="13" t="str">
        <f>HYPERLINK("https://www.ncbi.nlm.nih.gov/pubmed/31195090","31195090")</f>
        <v>31195090</v>
      </c>
      <c r="C394" s="10"/>
      <c r="F394" s="9"/>
      <c r="G394" t="s">
        <v>292</v>
      </c>
      <c r="H394" s="7" t="s">
        <v>320</v>
      </c>
      <c r="J394" s="50" t="s">
        <v>814</v>
      </c>
    </row>
    <row r="395" spans="1:10" hidden="1">
      <c r="A395" t="s">
        <v>808</v>
      </c>
      <c r="B395" s="13" t="str">
        <f>HYPERLINK("https://www.ncbi.nlm.nih.gov/pubmed/25720297","25720297")</f>
        <v>25720297</v>
      </c>
      <c r="C395" s="10"/>
      <c r="G395" t="s">
        <v>815</v>
      </c>
      <c r="H395" s="7" t="s">
        <v>320</v>
      </c>
      <c r="I395" s="24" t="s">
        <v>378</v>
      </c>
      <c r="J395" s="7" t="s">
        <v>816</v>
      </c>
    </row>
    <row r="396" spans="1:10" hidden="1">
      <c r="A396" t="s">
        <v>808</v>
      </c>
      <c r="B396" s="13" t="str">
        <f>HYPERLINK("https://www.ncbi.nlm.nih.gov/pubmed/33148124","33148124")</f>
        <v>33148124</v>
      </c>
      <c r="C396" s="10"/>
      <c r="G396" t="s">
        <v>213</v>
      </c>
      <c r="H396" t="s">
        <v>817</v>
      </c>
      <c r="J396" s="7" t="s">
        <v>818</v>
      </c>
    </row>
    <row r="397" spans="1:10" hidden="1">
      <c r="A397" t="s">
        <v>808</v>
      </c>
      <c r="B397" s="13" t="str">
        <f>HYPERLINK("https://www.ncbi.nlm.nih.gov/pubmed/17161578","17161578")</f>
        <v>17161578</v>
      </c>
      <c r="C397" s="10"/>
      <c r="G397" t="s">
        <v>213</v>
      </c>
      <c r="H397" t="s">
        <v>819</v>
      </c>
      <c r="I397" s="24" t="s">
        <v>378</v>
      </c>
      <c r="J397" s="50" t="s">
        <v>820</v>
      </c>
    </row>
    <row r="398" spans="1:10" hidden="1">
      <c r="A398" t="s">
        <v>808</v>
      </c>
      <c r="B398" s="13" t="str">
        <f>HYPERLINK("https://www.ncbi.nlm.nih.gov/pubmed/24512812","24512812")</f>
        <v>24512812</v>
      </c>
      <c r="C398" s="10"/>
      <c r="G398" t="s">
        <v>213</v>
      </c>
      <c r="H398" t="s">
        <v>821</v>
      </c>
      <c r="I398" s="24" t="s">
        <v>822</v>
      </c>
      <c r="J398" s="7" t="s">
        <v>823</v>
      </c>
    </row>
    <row r="399" spans="1:10" ht="18" hidden="1">
      <c r="A399" t="s">
        <v>808</v>
      </c>
      <c r="B399" s="13" t="str">
        <f>HYPERLINK("https://www.ncbi.nlm.nih.gov/pubmed/35202140","35202140")</f>
        <v>35202140</v>
      </c>
      <c r="C399" s="10"/>
      <c r="F399" s="10"/>
      <c r="G399" t="s">
        <v>213</v>
      </c>
      <c r="H399" t="s">
        <v>824</v>
      </c>
      <c r="J399" s="7" t="s">
        <v>825</v>
      </c>
    </row>
    <row r="400" spans="1:10" ht="18" hidden="1">
      <c r="A400" t="s">
        <v>808</v>
      </c>
      <c r="B400" s="13" t="str">
        <f>HYPERLINK("https://www.ncbi.nlm.nih.gov/pubmed/29669061","29669061")</f>
        <v>29669061</v>
      </c>
      <c r="C400" s="10"/>
      <c r="G400" t="s">
        <v>213</v>
      </c>
      <c r="H400" t="s">
        <v>826</v>
      </c>
      <c r="I400" s="24" t="s">
        <v>827</v>
      </c>
      <c r="J400" s="7" t="s">
        <v>828</v>
      </c>
    </row>
    <row r="401" spans="1:10" hidden="1">
      <c r="A401" t="s">
        <v>808</v>
      </c>
      <c r="B401" s="13" t="str">
        <f>HYPERLINK("https://www.ncbi.nlm.nih.gov/pubmed/33148124","33148124")</f>
        <v>33148124</v>
      </c>
      <c r="C401" s="10"/>
      <c r="G401" t="s">
        <v>306</v>
      </c>
      <c r="H401" s="7" t="s">
        <v>320</v>
      </c>
      <c r="J401" s="7" t="s">
        <v>829</v>
      </c>
    </row>
    <row r="402" spans="1:10" ht="18" hidden="1">
      <c r="A402" t="s">
        <v>808</v>
      </c>
      <c r="B402" s="13" t="str">
        <f>HYPERLINK("https://www.ncbi.nlm.nih.gov/pubmed/35331755","35331755")</f>
        <v>35331755</v>
      </c>
      <c r="C402" s="10"/>
      <c r="G402" t="s">
        <v>306</v>
      </c>
      <c r="H402" s="7" t="s">
        <v>320</v>
      </c>
      <c r="J402" s="7" t="s">
        <v>830</v>
      </c>
    </row>
    <row r="403" spans="1:10">
      <c r="C403"/>
      <c r="D403"/>
      <c r="E403"/>
      <c r="F403"/>
    </row>
    <row r="404" spans="1:10">
      <c r="C404"/>
      <c r="D404"/>
      <c r="E404"/>
      <c r="F404"/>
    </row>
    <row r="405" spans="1:10">
      <c r="C405"/>
      <c r="D405"/>
      <c r="E405"/>
      <c r="F405"/>
    </row>
    <row r="406" spans="1:10">
      <c r="C406"/>
      <c r="D406"/>
      <c r="E406"/>
      <c r="F406"/>
    </row>
    <row r="407" spans="1:10">
      <c r="C407"/>
      <c r="D407"/>
      <c r="E407"/>
      <c r="F407"/>
    </row>
    <row r="408" spans="1:10">
      <c r="C408"/>
      <c r="D408"/>
      <c r="E408"/>
      <c r="F408"/>
    </row>
    <row r="409" spans="1:10">
      <c r="C409"/>
      <c r="D409"/>
      <c r="E409"/>
      <c r="F409"/>
    </row>
    <row r="410" spans="1:10">
      <c r="C410"/>
      <c r="D410"/>
      <c r="E410"/>
      <c r="F410"/>
    </row>
    <row r="411" spans="1:10">
      <c r="C411"/>
      <c r="D411"/>
      <c r="E411"/>
      <c r="F411"/>
    </row>
    <row r="412" spans="1:10">
      <c r="C412"/>
      <c r="D412"/>
      <c r="E412"/>
      <c r="F412"/>
    </row>
    <row r="413" spans="1:10">
      <c r="C413"/>
      <c r="D413"/>
      <c r="E413"/>
      <c r="F413"/>
    </row>
    <row r="414" spans="1:10">
      <c r="C414"/>
      <c r="D414"/>
      <c r="E414"/>
      <c r="F414"/>
    </row>
    <row r="415" spans="1:10">
      <c r="C415"/>
      <c r="D415"/>
      <c r="E415"/>
      <c r="F415"/>
    </row>
    <row r="416" spans="1:10">
      <c r="C416"/>
      <c r="D416"/>
      <c r="E416"/>
      <c r="F416"/>
    </row>
    <row r="417" spans="3:6">
      <c r="C417"/>
      <c r="D417"/>
      <c r="E417"/>
      <c r="F417"/>
    </row>
    <row r="418" spans="3:6">
      <c r="C418"/>
      <c r="D418"/>
      <c r="E418"/>
      <c r="F418"/>
    </row>
    <row r="419" spans="3:6">
      <c r="C419"/>
      <c r="D419"/>
      <c r="E419"/>
      <c r="F419"/>
    </row>
    <row r="420" spans="3:6">
      <c r="C420"/>
      <c r="D420"/>
      <c r="E420"/>
      <c r="F420"/>
    </row>
    <row r="421" spans="3:6">
      <c r="C421"/>
      <c r="D421"/>
      <c r="E421"/>
      <c r="F421"/>
    </row>
    <row r="422" spans="3:6">
      <c r="C422"/>
      <c r="D422"/>
      <c r="E422"/>
      <c r="F422"/>
    </row>
    <row r="423" spans="3:6">
      <c r="C423"/>
      <c r="D423"/>
      <c r="E423"/>
      <c r="F423"/>
    </row>
    <row r="424" spans="3:6">
      <c r="C424"/>
      <c r="D424"/>
      <c r="E424"/>
      <c r="F424"/>
    </row>
    <row r="425" spans="3:6">
      <c r="C425"/>
      <c r="D425"/>
      <c r="E425"/>
      <c r="F425"/>
    </row>
    <row r="426" spans="3:6">
      <c r="C426"/>
      <c r="D426"/>
      <c r="E426"/>
      <c r="F426"/>
    </row>
    <row r="427" spans="3:6">
      <c r="C427"/>
      <c r="D427"/>
      <c r="E427"/>
      <c r="F427"/>
    </row>
    <row r="428" spans="3:6">
      <c r="C428"/>
      <c r="D428"/>
      <c r="E428"/>
      <c r="F428"/>
    </row>
    <row r="429" spans="3:6">
      <c r="C429"/>
      <c r="D429"/>
      <c r="E429"/>
      <c r="F429"/>
    </row>
    <row r="430" spans="3:6">
      <c r="C430"/>
      <c r="D430"/>
      <c r="E430"/>
      <c r="F430"/>
    </row>
    <row r="431" spans="3:6">
      <c r="C431"/>
      <c r="D431"/>
      <c r="E431"/>
      <c r="F431"/>
    </row>
    <row r="432" spans="3:6">
      <c r="C432"/>
      <c r="D432"/>
      <c r="E432"/>
      <c r="F432"/>
    </row>
    <row r="433" spans="3:6">
      <c r="C433"/>
      <c r="D433"/>
      <c r="E433"/>
      <c r="F433"/>
    </row>
    <row r="434" spans="3:6">
      <c r="C434"/>
      <c r="D434"/>
      <c r="E434"/>
      <c r="F434"/>
    </row>
    <row r="435" spans="3:6">
      <c r="C435"/>
      <c r="D435"/>
      <c r="E435"/>
      <c r="F435"/>
    </row>
    <row r="436" spans="3:6">
      <c r="C436"/>
      <c r="D436"/>
      <c r="E436"/>
      <c r="F436"/>
    </row>
    <row r="437" spans="3:6">
      <c r="C437"/>
      <c r="D437"/>
      <c r="E437"/>
      <c r="F437"/>
    </row>
    <row r="438" spans="3:6">
      <c r="C438"/>
      <c r="D438"/>
      <c r="E438"/>
      <c r="F438"/>
    </row>
    <row r="439" spans="3:6">
      <c r="C439"/>
      <c r="D439"/>
      <c r="E439"/>
      <c r="F439"/>
    </row>
    <row r="440" spans="3:6">
      <c r="C440"/>
      <c r="D440"/>
      <c r="E440"/>
      <c r="F440"/>
    </row>
    <row r="441" spans="3:6">
      <c r="C441"/>
      <c r="D441"/>
      <c r="E441"/>
      <c r="F441"/>
    </row>
    <row r="442" spans="3:6">
      <c r="C442"/>
      <c r="D442"/>
      <c r="E442"/>
      <c r="F442"/>
    </row>
    <row r="443" spans="3:6">
      <c r="C443"/>
      <c r="D443"/>
      <c r="E443"/>
      <c r="F443"/>
    </row>
    <row r="444" spans="3:6">
      <c r="C444"/>
      <c r="D444"/>
      <c r="E444"/>
      <c r="F444"/>
    </row>
    <row r="445" spans="3:6">
      <c r="C445"/>
      <c r="D445"/>
      <c r="E445"/>
      <c r="F445"/>
    </row>
    <row r="446" spans="3:6">
      <c r="C446"/>
      <c r="D446"/>
      <c r="E446"/>
      <c r="F446"/>
    </row>
    <row r="447" spans="3:6">
      <c r="C447"/>
      <c r="D447"/>
      <c r="E447"/>
      <c r="F447"/>
    </row>
    <row r="448" spans="3:6">
      <c r="C448"/>
      <c r="D448"/>
      <c r="E448"/>
      <c r="F448"/>
    </row>
    <row r="449" spans="3:6">
      <c r="C449"/>
      <c r="D449"/>
      <c r="E449"/>
      <c r="F449"/>
    </row>
    <row r="450" spans="3:6">
      <c r="C450"/>
      <c r="D450"/>
      <c r="E450"/>
      <c r="F450"/>
    </row>
    <row r="451" spans="3:6">
      <c r="C451"/>
      <c r="D451"/>
      <c r="E451"/>
      <c r="F451"/>
    </row>
    <row r="452" spans="3:6">
      <c r="C452"/>
      <c r="D452"/>
      <c r="E452"/>
      <c r="F452"/>
    </row>
    <row r="453" spans="3:6">
      <c r="C453"/>
      <c r="D453"/>
      <c r="E453"/>
      <c r="F453"/>
    </row>
    <row r="454" spans="3:6">
      <c r="C454"/>
      <c r="D454"/>
      <c r="E454"/>
      <c r="F454"/>
    </row>
    <row r="455" spans="3:6">
      <c r="C455"/>
      <c r="D455"/>
      <c r="E455"/>
      <c r="F455"/>
    </row>
    <row r="456" spans="3:6">
      <c r="C456"/>
      <c r="D456"/>
      <c r="E456"/>
      <c r="F456"/>
    </row>
    <row r="457" spans="3:6">
      <c r="C457"/>
      <c r="D457"/>
      <c r="E457"/>
      <c r="F457"/>
    </row>
    <row r="458" spans="3:6">
      <c r="C458"/>
      <c r="D458"/>
      <c r="E458"/>
      <c r="F458"/>
    </row>
    <row r="459" spans="3:6">
      <c r="C459"/>
      <c r="D459"/>
      <c r="E459"/>
      <c r="F459"/>
    </row>
    <row r="460" spans="3:6">
      <c r="C460"/>
      <c r="D460"/>
      <c r="E460"/>
      <c r="F460"/>
    </row>
    <row r="461" spans="3:6">
      <c r="C461"/>
      <c r="D461"/>
      <c r="E461"/>
      <c r="F461"/>
    </row>
    <row r="462" spans="3:6">
      <c r="C462"/>
      <c r="D462"/>
      <c r="E462"/>
      <c r="F462"/>
    </row>
    <row r="463" spans="3:6">
      <c r="C463"/>
      <c r="D463"/>
      <c r="E463"/>
      <c r="F463"/>
    </row>
    <row r="464" spans="3:6">
      <c r="C464"/>
      <c r="D464"/>
      <c r="E464"/>
      <c r="F464"/>
    </row>
    <row r="465" spans="3:6">
      <c r="C465"/>
      <c r="D465"/>
      <c r="E465"/>
      <c r="F465"/>
    </row>
    <row r="466" spans="3:6">
      <c r="C466"/>
      <c r="D466"/>
      <c r="E466"/>
      <c r="F466"/>
    </row>
    <row r="467" spans="3:6">
      <c r="C467"/>
      <c r="D467"/>
      <c r="E467"/>
      <c r="F467"/>
    </row>
    <row r="468" spans="3:6">
      <c r="C468"/>
      <c r="D468"/>
      <c r="E468"/>
      <c r="F468"/>
    </row>
    <row r="469" spans="3:6">
      <c r="C469"/>
      <c r="D469"/>
      <c r="E469"/>
      <c r="F469"/>
    </row>
    <row r="470" spans="3:6">
      <c r="C470"/>
      <c r="D470"/>
      <c r="E470"/>
      <c r="F470"/>
    </row>
    <row r="471" spans="3:6">
      <c r="C471"/>
      <c r="D471"/>
      <c r="E471"/>
      <c r="F471"/>
    </row>
    <row r="472" spans="3:6">
      <c r="C472"/>
      <c r="D472"/>
      <c r="E472"/>
      <c r="F472"/>
    </row>
    <row r="473" spans="3:6">
      <c r="C473"/>
      <c r="D473"/>
      <c r="E473"/>
      <c r="F473"/>
    </row>
    <row r="474" spans="3:6">
      <c r="C474"/>
      <c r="D474"/>
      <c r="E474"/>
      <c r="F474"/>
    </row>
    <row r="475" spans="3:6">
      <c r="C475"/>
      <c r="D475"/>
      <c r="E475"/>
      <c r="F475"/>
    </row>
    <row r="476" spans="3:6">
      <c r="C476"/>
      <c r="D476"/>
      <c r="E476"/>
      <c r="F476"/>
    </row>
    <row r="477" spans="3:6">
      <c r="C477"/>
      <c r="D477"/>
      <c r="E477"/>
      <c r="F477"/>
    </row>
    <row r="478" spans="3:6">
      <c r="C478"/>
      <c r="D478"/>
      <c r="E478"/>
      <c r="F478"/>
    </row>
    <row r="479" spans="3:6">
      <c r="C479"/>
      <c r="D479"/>
      <c r="E479"/>
      <c r="F479"/>
    </row>
    <row r="480" spans="3:6">
      <c r="C480"/>
      <c r="D480"/>
      <c r="E480"/>
      <c r="F480"/>
    </row>
    <row r="481" spans="3:6">
      <c r="C481"/>
      <c r="D481"/>
      <c r="E481"/>
      <c r="F481"/>
    </row>
    <row r="482" spans="3:6">
      <c r="C482"/>
      <c r="D482"/>
      <c r="E482"/>
      <c r="F482"/>
    </row>
    <row r="483" spans="3:6">
      <c r="C483"/>
      <c r="D483"/>
      <c r="E483"/>
      <c r="F483"/>
    </row>
    <row r="484" spans="3:6">
      <c r="C484"/>
      <c r="D484"/>
      <c r="E484"/>
      <c r="F484"/>
    </row>
    <row r="485" spans="3:6">
      <c r="C485"/>
      <c r="D485"/>
      <c r="E485"/>
      <c r="F485"/>
    </row>
    <row r="486" spans="3:6">
      <c r="C486"/>
      <c r="D486"/>
      <c r="E486"/>
      <c r="F486"/>
    </row>
    <row r="487" spans="3:6">
      <c r="C487"/>
      <c r="D487"/>
      <c r="E487"/>
      <c r="F487"/>
    </row>
    <row r="488" spans="3:6">
      <c r="C488"/>
      <c r="D488"/>
      <c r="E488"/>
      <c r="F488"/>
    </row>
    <row r="489" spans="3:6">
      <c r="C489"/>
      <c r="D489"/>
      <c r="E489"/>
      <c r="F489"/>
    </row>
    <row r="490" spans="3:6">
      <c r="C490"/>
      <c r="D490"/>
      <c r="E490"/>
      <c r="F490"/>
    </row>
    <row r="491" spans="3:6">
      <c r="C491"/>
      <c r="D491"/>
      <c r="E491"/>
      <c r="F491"/>
    </row>
    <row r="492" spans="3:6">
      <c r="C492"/>
      <c r="D492"/>
      <c r="E492"/>
      <c r="F492"/>
    </row>
    <row r="493" spans="3:6">
      <c r="C493"/>
      <c r="D493"/>
      <c r="E493"/>
      <c r="F493"/>
    </row>
    <row r="494" spans="3:6">
      <c r="C494"/>
      <c r="D494"/>
      <c r="E494"/>
      <c r="F494"/>
    </row>
    <row r="495" spans="3:6">
      <c r="C495"/>
      <c r="D495"/>
      <c r="E495"/>
      <c r="F495"/>
    </row>
    <row r="496" spans="3:6">
      <c r="C496"/>
      <c r="D496"/>
      <c r="E496"/>
      <c r="F496"/>
    </row>
    <row r="497" spans="3:6">
      <c r="C497"/>
      <c r="D497"/>
      <c r="E497"/>
      <c r="F497"/>
    </row>
    <row r="498" spans="3:6">
      <c r="C498"/>
      <c r="D498"/>
      <c r="E498"/>
      <c r="F498"/>
    </row>
    <row r="499" spans="3:6">
      <c r="C499"/>
      <c r="D499"/>
      <c r="E499"/>
      <c r="F499"/>
    </row>
    <row r="500" spans="3:6">
      <c r="C500"/>
      <c r="D500"/>
      <c r="E500"/>
      <c r="F500"/>
    </row>
    <row r="501" spans="3:6">
      <c r="C501"/>
      <c r="D501"/>
      <c r="E501"/>
      <c r="F501"/>
    </row>
    <row r="502" spans="3:6">
      <c r="C502"/>
      <c r="D502"/>
      <c r="E502"/>
      <c r="F502"/>
    </row>
    <row r="503" spans="3:6">
      <c r="C503"/>
      <c r="D503"/>
      <c r="E503"/>
      <c r="F503"/>
    </row>
    <row r="504" spans="3:6">
      <c r="C504"/>
      <c r="D504"/>
      <c r="E504"/>
      <c r="F504"/>
    </row>
    <row r="505" spans="3:6">
      <c r="C505"/>
      <c r="D505"/>
      <c r="E505"/>
      <c r="F505"/>
    </row>
    <row r="506" spans="3:6">
      <c r="C506"/>
      <c r="D506"/>
      <c r="E506"/>
      <c r="F506"/>
    </row>
    <row r="507" spans="3:6">
      <c r="C507"/>
      <c r="D507"/>
      <c r="E507"/>
      <c r="F507"/>
    </row>
    <row r="508" spans="3:6">
      <c r="C508"/>
      <c r="D508"/>
      <c r="E508"/>
      <c r="F508"/>
    </row>
    <row r="509" spans="3:6">
      <c r="C509"/>
      <c r="D509"/>
      <c r="E509"/>
      <c r="F509"/>
    </row>
    <row r="510" spans="3:6">
      <c r="C510"/>
      <c r="D510"/>
      <c r="E510"/>
      <c r="F510"/>
    </row>
    <row r="511" spans="3:6">
      <c r="C511"/>
      <c r="D511"/>
      <c r="E511"/>
      <c r="F511"/>
    </row>
    <row r="512" spans="3:6">
      <c r="C512"/>
      <c r="D512"/>
      <c r="E512"/>
      <c r="F512"/>
    </row>
    <row r="513" spans="3:6">
      <c r="C513"/>
      <c r="D513"/>
      <c r="E513"/>
      <c r="F513"/>
    </row>
    <row r="514" spans="3:6">
      <c r="C514"/>
      <c r="D514"/>
      <c r="E514"/>
      <c r="F514"/>
    </row>
    <row r="515" spans="3:6">
      <c r="C515"/>
      <c r="D515"/>
      <c r="E515"/>
      <c r="F515"/>
    </row>
    <row r="516" spans="3:6">
      <c r="C516"/>
      <c r="D516"/>
      <c r="E516"/>
      <c r="F516"/>
    </row>
    <row r="517" spans="3:6">
      <c r="C517"/>
      <c r="D517"/>
      <c r="E517"/>
      <c r="F517"/>
    </row>
    <row r="518" spans="3:6">
      <c r="C518"/>
      <c r="D518"/>
      <c r="E518"/>
      <c r="F518"/>
    </row>
    <row r="519" spans="3:6">
      <c r="C519"/>
      <c r="D519"/>
      <c r="E519"/>
      <c r="F519"/>
    </row>
    <row r="520" spans="3:6">
      <c r="C520"/>
      <c r="D520"/>
      <c r="E520"/>
      <c r="F520"/>
    </row>
    <row r="521" spans="3:6">
      <c r="C521"/>
      <c r="D521"/>
      <c r="E521"/>
      <c r="F521"/>
    </row>
    <row r="522" spans="3:6">
      <c r="C522"/>
      <c r="D522"/>
      <c r="E522"/>
      <c r="F522"/>
    </row>
    <row r="523" spans="3:6">
      <c r="C523"/>
      <c r="D523"/>
      <c r="E523"/>
      <c r="F523"/>
    </row>
    <row r="524" spans="3:6">
      <c r="C524"/>
      <c r="D524"/>
      <c r="E524"/>
      <c r="F524"/>
    </row>
    <row r="525" spans="3:6">
      <c r="C525"/>
      <c r="D525"/>
      <c r="E525"/>
      <c r="F525"/>
    </row>
    <row r="526" spans="3:6">
      <c r="C526"/>
      <c r="D526"/>
      <c r="E526"/>
      <c r="F526"/>
    </row>
    <row r="527" spans="3:6">
      <c r="C527"/>
      <c r="D527"/>
      <c r="E527"/>
      <c r="F527"/>
    </row>
    <row r="528" spans="3:6">
      <c r="C528"/>
      <c r="D528"/>
      <c r="E528"/>
      <c r="F528"/>
    </row>
    <row r="529" spans="3:6">
      <c r="C529"/>
      <c r="D529"/>
      <c r="E529"/>
      <c r="F529"/>
    </row>
    <row r="530" spans="3:6">
      <c r="C530"/>
      <c r="D530"/>
      <c r="E530"/>
      <c r="F530"/>
    </row>
    <row r="531" spans="3:6">
      <c r="C531"/>
      <c r="D531"/>
      <c r="E531"/>
      <c r="F531"/>
    </row>
    <row r="532" spans="3:6">
      <c r="C532"/>
      <c r="D532"/>
      <c r="E532"/>
      <c r="F532"/>
    </row>
    <row r="533" spans="3:6">
      <c r="C533"/>
      <c r="D533"/>
      <c r="E533"/>
      <c r="F533"/>
    </row>
    <row r="534" spans="3:6">
      <c r="C534"/>
      <c r="D534"/>
      <c r="E534"/>
      <c r="F534"/>
    </row>
    <row r="535" spans="3:6">
      <c r="C535"/>
      <c r="D535"/>
      <c r="E535"/>
      <c r="F535"/>
    </row>
    <row r="536" spans="3:6">
      <c r="C536"/>
      <c r="D536"/>
      <c r="E536"/>
      <c r="F536"/>
    </row>
    <row r="537" spans="3:6">
      <c r="C537"/>
      <c r="D537"/>
      <c r="E537"/>
      <c r="F537"/>
    </row>
    <row r="538" spans="3:6">
      <c r="C538"/>
      <c r="D538"/>
      <c r="E538"/>
      <c r="F538"/>
    </row>
    <row r="539" spans="3:6">
      <c r="C539"/>
      <c r="D539"/>
      <c r="E539"/>
      <c r="F539"/>
    </row>
    <row r="540" spans="3:6">
      <c r="C540"/>
      <c r="D540"/>
      <c r="E540"/>
      <c r="F540"/>
    </row>
    <row r="541" spans="3:6">
      <c r="C541"/>
      <c r="D541"/>
      <c r="E541"/>
      <c r="F541"/>
    </row>
    <row r="542" spans="3:6">
      <c r="C542"/>
      <c r="D542"/>
      <c r="E542"/>
      <c r="F542"/>
    </row>
    <row r="543" spans="3:6">
      <c r="C543"/>
      <c r="D543"/>
      <c r="E543"/>
      <c r="F543"/>
    </row>
    <row r="544" spans="3:6">
      <c r="C544"/>
      <c r="D544"/>
      <c r="E544"/>
      <c r="F544"/>
    </row>
    <row r="545" spans="3:6">
      <c r="C545"/>
      <c r="D545"/>
      <c r="E545"/>
      <c r="F545"/>
    </row>
    <row r="546" spans="3:6">
      <c r="C546"/>
      <c r="D546"/>
      <c r="E546"/>
      <c r="F546"/>
    </row>
    <row r="547" spans="3:6">
      <c r="C547"/>
      <c r="D547"/>
      <c r="E547"/>
      <c r="F547"/>
    </row>
    <row r="548" spans="3:6">
      <c r="C548"/>
      <c r="D548"/>
      <c r="E548"/>
      <c r="F548"/>
    </row>
    <row r="549" spans="3:6">
      <c r="C549"/>
      <c r="D549"/>
      <c r="E549"/>
      <c r="F549"/>
    </row>
    <row r="550" spans="3:6">
      <c r="C550"/>
      <c r="D550"/>
      <c r="E550"/>
      <c r="F550"/>
    </row>
    <row r="551" spans="3:6">
      <c r="C551"/>
      <c r="D551"/>
      <c r="E551"/>
      <c r="F551"/>
    </row>
    <row r="552" spans="3:6">
      <c r="C552"/>
      <c r="D552"/>
      <c r="E552"/>
      <c r="F552"/>
    </row>
    <row r="553" spans="3:6">
      <c r="C553"/>
      <c r="D553"/>
      <c r="E553"/>
      <c r="F553"/>
    </row>
    <row r="554" spans="3:6">
      <c r="C554"/>
      <c r="D554"/>
      <c r="E554"/>
      <c r="F554"/>
    </row>
    <row r="555" spans="3:6">
      <c r="C555"/>
      <c r="D555"/>
      <c r="E555"/>
      <c r="F555"/>
    </row>
    <row r="556" spans="3:6">
      <c r="C556"/>
      <c r="D556"/>
      <c r="E556"/>
      <c r="F556"/>
    </row>
    <row r="557" spans="3:6">
      <c r="C557"/>
      <c r="D557"/>
      <c r="E557"/>
      <c r="F557"/>
    </row>
    <row r="558" spans="3:6">
      <c r="C558"/>
      <c r="D558"/>
      <c r="E558"/>
      <c r="F558"/>
    </row>
    <row r="559" spans="3:6">
      <c r="C559"/>
      <c r="D559"/>
      <c r="E559"/>
      <c r="F559"/>
    </row>
    <row r="560" spans="3:6">
      <c r="C560"/>
      <c r="D560"/>
      <c r="E560"/>
      <c r="F560"/>
    </row>
    <row r="561" spans="3:6">
      <c r="C561"/>
      <c r="D561"/>
      <c r="E561"/>
      <c r="F561"/>
    </row>
    <row r="562" spans="3:6">
      <c r="C562"/>
      <c r="D562"/>
      <c r="E562"/>
      <c r="F562"/>
    </row>
    <row r="563" spans="3:6">
      <c r="C563"/>
      <c r="D563"/>
      <c r="E563"/>
      <c r="F563"/>
    </row>
    <row r="564" spans="3:6">
      <c r="C564"/>
      <c r="D564"/>
      <c r="E564"/>
      <c r="F564"/>
    </row>
    <row r="565" spans="3:6">
      <c r="C565"/>
      <c r="D565"/>
      <c r="E565"/>
      <c r="F565"/>
    </row>
    <row r="566" spans="3:6">
      <c r="C566"/>
      <c r="D566"/>
      <c r="E566"/>
      <c r="F566"/>
    </row>
    <row r="567" spans="3:6">
      <c r="C567"/>
      <c r="D567"/>
      <c r="E567"/>
      <c r="F567"/>
    </row>
    <row r="568" spans="3:6">
      <c r="C568"/>
      <c r="D568"/>
      <c r="E568"/>
      <c r="F568"/>
    </row>
    <row r="569" spans="3:6">
      <c r="C569"/>
      <c r="D569"/>
      <c r="E569"/>
      <c r="F569"/>
    </row>
    <row r="570" spans="3:6">
      <c r="C570"/>
      <c r="D570"/>
      <c r="E570"/>
      <c r="F570"/>
    </row>
    <row r="571" spans="3:6">
      <c r="C571"/>
      <c r="D571"/>
      <c r="E571"/>
      <c r="F571"/>
    </row>
    <row r="572" spans="3:6">
      <c r="C572"/>
      <c r="D572"/>
      <c r="E572"/>
      <c r="F572"/>
    </row>
    <row r="573" spans="3:6">
      <c r="C573"/>
      <c r="D573"/>
      <c r="E573"/>
      <c r="F573"/>
    </row>
    <row r="574" spans="3:6">
      <c r="C574"/>
      <c r="D574"/>
      <c r="E574"/>
      <c r="F574"/>
    </row>
    <row r="575" spans="3:6">
      <c r="C575"/>
      <c r="D575"/>
      <c r="E575"/>
      <c r="F575"/>
    </row>
    <row r="576" spans="3:6">
      <c r="C576"/>
      <c r="D576"/>
      <c r="E576"/>
      <c r="F576"/>
    </row>
    <row r="577" spans="3:6">
      <c r="C577"/>
      <c r="D577"/>
      <c r="E577"/>
      <c r="F577"/>
    </row>
    <row r="578" spans="3:6">
      <c r="C578"/>
      <c r="D578"/>
      <c r="E578"/>
      <c r="F578"/>
    </row>
    <row r="579" spans="3:6">
      <c r="C579"/>
      <c r="D579"/>
      <c r="E579"/>
      <c r="F579"/>
    </row>
    <row r="580" spans="3:6">
      <c r="C580"/>
      <c r="D580"/>
      <c r="E580"/>
      <c r="F580"/>
    </row>
    <row r="581" spans="3:6">
      <c r="C581"/>
      <c r="D581"/>
      <c r="E581"/>
      <c r="F581"/>
    </row>
    <row r="582" spans="3:6">
      <c r="C582"/>
      <c r="D582"/>
      <c r="E582"/>
      <c r="F582"/>
    </row>
    <row r="583" spans="3:6">
      <c r="C583"/>
      <c r="D583"/>
      <c r="E583"/>
      <c r="F583"/>
    </row>
    <row r="584" spans="3:6">
      <c r="C584"/>
      <c r="D584"/>
      <c r="E584"/>
      <c r="F584"/>
    </row>
    <row r="585" spans="3:6">
      <c r="C585"/>
      <c r="D585"/>
      <c r="E585"/>
      <c r="F585"/>
    </row>
    <row r="586" spans="3:6">
      <c r="C586"/>
      <c r="D586"/>
      <c r="E586"/>
      <c r="F586"/>
    </row>
    <row r="587" spans="3:6">
      <c r="C587"/>
      <c r="D587"/>
      <c r="E587"/>
      <c r="F587"/>
    </row>
    <row r="588" spans="3:6">
      <c r="C588"/>
      <c r="D588"/>
      <c r="E588"/>
      <c r="F588"/>
    </row>
    <row r="589" spans="3:6">
      <c r="C589"/>
      <c r="D589"/>
      <c r="E589"/>
      <c r="F589"/>
    </row>
    <row r="590" spans="3:6">
      <c r="C590"/>
      <c r="D590"/>
      <c r="E590"/>
      <c r="F590"/>
    </row>
    <row r="591" spans="3:6">
      <c r="C591"/>
      <c r="D591"/>
      <c r="E591"/>
      <c r="F591"/>
    </row>
    <row r="592" spans="3:6">
      <c r="C592"/>
      <c r="D592"/>
      <c r="E592"/>
      <c r="F592"/>
    </row>
    <row r="593" spans="3:6">
      <c r="C593"/>
      <c r="D593"/>
      <c r="E593"/>
      <c r="F593"/>
    </row>
    <row r="594" spans="3:6">
      <c r="C594"/>
      <c r="D594"/>
      <c r="E594"/>
      <c r="F594"/>
    </row>
    <row r="595" spans="3:6">
      <c r="C595"/>
      <c r="D595"/>
      <c r="E595"/>
      <c r="F595"/>
    </row>
    <row r="596" spans="3:6">
      <c r="C596"/>
      <c r="D596"/>
      <c r="E596"/>
      <c r="F596"/>
    </row>
    <row r="597" spans="3:6">
      <c r="C597"/>
      <c r="D597"/>
      <c r="E597"/>
      <c r="F597"/>
    </row>
    <row r="598" spans="3:6">
      <c r="C598"/>
      <c r="D598"/>
      <c r="E598"/>
      <c r="F598"/>
    </row>
    <row r="599" spans="3:6">
      <c r="C599"/>
      <c r="D599"/>
      <c r="E599"/>
      <c r="F599"/>
    </row>
    <row r="600" spans="3:6">
      <c r="C600"/>
      <c r="D600"/>
      <c r="E600"/>
      <c r="F600"/>
    </row>
    <row r="601" spans="3:6">
      <c r="C601"/>
      <c r="D601"/>
      <c r="E601"/>
      <c r="F601"/>
    </row>
    <row r="602" spans="3:6">
      <c r="C602"/>
      <c r="D602"/>
      <c r="E602"/>
      <c r="F602"/>
    </row>
    <row r="603" spans="3:6">
      <c r="C603"/>
      <c r="D603"/>
      <c r="E603"/>
      <c r="F603"/>
    </row>
    <row r="604" spans="3:6">
      <c r="C604"/>
      <c r="D604"/>
      <c r="E604"/>
      <c r="F604"/>
    </row>
    <row r="605" spans="3:6">
      <c r="C605"/>
      <c r="D605"/>
      <c r="E605"/>
      <c r="F605"/>
    </row>
    <row r="606" spans="3:6">
      <c r="C606"/>
      <c r="D606"/>
      <c r="E606"/>
      <c r="F606"/>
    </row>
    <row r="607" spans="3:6">
      <c r="C607"/>
      <c r="D607"/>
      <c r="E607"/>
      <c r="F607"/>
    </row>
    <row r="608" spans="3:6">
      <c r="C608"/>
      <c r="D608"/>
      <c r="E608"/>
      <c r="F608"/>
    </row>
    <row r="609" spans="3:6">
      <c r="C609"/>
      <c r="D609"/>
      <c r="E609"/>
      <c r="F609"/>
    </row>
    <row r="610" spans="3:6">
      <c r="C610"/>
      <c r="D610"/>
      <c r="E610"/>
      <c r="F610"/>
    </row>
    <row r="611" spans="3:6">
      <c r="C611"/>
      <c r="D611"/>
      <c r="E611"/>
      <c r="F611"/>
    </row>
    <row r="612" spans="3:6">
      <c r="C612"/>
      <c r="D612"/>
      <c r="E612"/>
      <c r="F612"/>
    </row>
    <row r="613" spans="3:6">
      <c r="C613"/>
      <c r="D613"/>
      <c r="E613"/>
      <c r="F613"/>
    </row>
    <row r="614" spans="3:6">
      <c r="C614"/>
      <c r="D614"/>
      <c r="E614"/>
      <c r="F614"/>
    </row>
    <row r="615" spans="3:6">
      <c r="C615"/>
      <c r="D615"/>
      <c r="E615"/>
      <c r="F615"/>
    </row>
    <row r="616" spans="3:6">
      <c r="C616"/>
      <c r="D616"/>
      <c r="E616"/>
      <c r="F616"/>
    </row>
    <row r="617" spans="3:6">
      <c r="C617"/>
      <c r="D617"/>
      <c r="E617"/>
      <c r="F617"/>
    </row>
    <row r="618" spans="3:6">
      <c r="C618"/>
      <c r="D618"/>
      <c r="E618"/>
      <c r="F618"/>
    </row>
    <row r="619" spans="3:6">
      <c r="C619"/>
      <c r="D619"/>
      <c r="E619"/>
      <c r="F619"/>
    </row>
    <row r="620" spans="3:6">
      <c r="C620"/>
      <c r="D620"/>
      <c r="E620"/>
      <c r="F620"/>
    </row>
    <row r="621" spans="3:6">
      <c r="C621"/>
      <c r="D621"/>
      <c r="E621"/>
      <c r="F621"/>
    </row>
    <row r="622" spans="3:6">
      <c r="C622"/>
      <c r="D622"/>
      <c r="E622"/>
      <c r="F622"/>
    </row>
    <row r="623" spans="3:6">
      <c r="C623"/>
      <c r="D623"/>
      <c r="E623"/>
      <c r="F623"/>
    </row>
    <row r="624" spans="3:6">
      <c r="C624"/>
      <c r="D624"/>
      <c r="E624"/>
      <c r="F624"/>
    </row>
    <row r="625" spans="3:6">
      <c r="C625"/>
      <c r="D625"/>
      <c r="E625"/>
      <c r="F625"/>
    </row>
    <row r="626" spans="3:6">
      <c r="C626"/>
      <c r="D626"/>
      <c r="E626"/>
      <c r="F626"/>
    </row>
    <row r="627" spans="3:6">
      <c r="C627"/>
      <c r="D627"/>
      <c r="E627"/>
      <c r="F627"/>
    </row>
    <row r="628" spans="3:6">
      <c r="C628"/>
      <c r="D628"/>
      <c r="E628"/>
      <c r="F628"/>
    </row>
    <row r="629" spans="3:6">
      <c r="C629"/>
      <c r="D629"/>
      <c r="E629"/>
      <c r="F629"/>
    </row>
    <row r="630" spans="3:6">
      <c r="C630"/>
      <c r="D630"/>
      <c r="E630"/>
      <c r="F630"/>
    </row>
    <row r="631" spans="3:6">
      <c r="C631"/>
      <c r="D631"/>
      <c r="E631"/>
      <c r="F631"/>
    </row>
    <row r="632" spans="3:6">
      <c r="C632"/>
      <c r="D632"/>
      <c r="E632"/>
      <c r="F632"/>
    </row>
    <row r="633" spans="3:6">
      <c r="C633"/>
      <c r="D633"/>
      <c r="E633"/>
      <c r="F633"/>
    </row>
    <row r="634" spans="3:6">
      <c r="C634"/>
      <c r="D634"/>
      <c r="E634"/>
      <c r="F634"/>
    </row>
    <row r="635" spans="3:6">
      <c r="C635"/>
      <c r="D635"/>
      <c r="E635"/>
      <c r="F635"/>
    </row>
    <row r="636" spans="3:6">
      <c r="C636"/>
      <c r="D636"/>
      <c r="E636"/>
      <c r="F636"/>
    </row>
    <row r="637" spans="3:6">
      <c r="C637"/>
      <c r="D637"/>
      <c r="E637"/>
      <c r="F637"/>
    </row>
    <row r="638" spans="3:6">
      <c r="C638"/>
      <c r="D638"/>
      <c r="E638"/>
      <c r="F638"/>
    </row>
    <row r="639" spans="3:6">
      <c r="C639"/>
      <c r="D639"/>
      <c r="E639"/>
      <c r="F639"/>
    </row>
    <row r="640" spans="3:6">
      <c r="C640"/>
      <c r="D640"/>
      <c r="E640"/>
      <c r="F640"/>
    </row>
    <row r="641" spans="3:6">
      <c r="C641"/>
      <c r="D641"/>
      <c r="E641"/>
      <c r="F641"/>
    </row>
    <row r="642" spans="3:6">
      <c r="C642"/>
      <c r="D642"/>
      <c r="E642"/>
      <c r="F642"/>
    </row>
    <row r="643" spans="3:6">
      <c r="C643"/>
      <c r="D643"/>
      <c r="E643"/>
      <c r="F643"/>
    </row>
    <row r="644" spans="3:6">
      <c r="C644"/>
      <c r="D644"/>
      <c r="E644"/>
      <c r="F644"/>
    </row>
    <row r="645" spans="3:6">
      <c r="C645"/>
      <c r="D645"/>
      <c r="E645"/>
      <c r="F645"/>
    </row>
    <row r="646" spans="3:6">
      <c r="C646"/>
      <c r="D646"/>
      <c r="E646"/>
      <c r="F646"/>
    </row>
    <row r="647" spans="3:6">
      <c r="C647"/>
      <c r="D647"/>
      <c r="E647"/>
      <c r="F647"/>
    </row>
    <row r="648" spans="3:6">
      <c r="C648"/>
      <c r="D648"/>
      <c r="E648"/>
      <c r="F648"/>
    </row>
    <row r="649" spans="3:6">
      <c r="C649"/>
      <c r="D649"/>
      <c r="E649"/>
      <c r="F649"/>
    </row>
    <row r="650" spans="3:6">
      <c r="C650"/>
      <c r="D650"/>
      <c r="E650"/>
      <c r="F650"/>
    </row>
    <row r="651" spans="3:6">
      <c r="C651"/>
      <c r="D651"/>
      <c r="E651"/>
      <c r="F651"/>
    </row>
    <row r="652" spans="3:6">
      <c r="C652"/>
      <c r="D652"/>
      <c r="E652"/>
      <c r="F652"/>
    </row>
    <row r="653" spans="3:6">
      <c r="C653"/>
      <c r="D653"/>
      <c r="E653"/>
      <c r="F653"/>
    </row>
    <row r="654" spans="3:6">
      <c r="C654"/>
      <c r="D654"/>
      <c r="E654"/>
      <c r="F654"/>
    </row>
    <row r="655" spans="3:6">
      <c r="C655"/>
      <c r="D655"/>
      <c r="E655"/>
      <c r="F655"/>
    </row>
    <row r="656" spans="3:6">
      <c r="C656"/>
      <c r="D656"/>
      <c r="E656"/>
      <c r="F656"/>
    </row>
    <row r="657" spans="3:6">
      <c r="C657"/>
      <c r="D657"/>
      <c r="E657"/>
      <c r="F657"/>
    </row>
    <row r="658" spans="3:6">
      <c r="C658"/>
      <c r="D658"/>
      <c r="E658"/>
      <c r="F658"/>
    </row>
    <row r="659" spans="3:6">
      <c r="C659"/>
      <c r="D659"/>
      <c r="E659"/>
      <c r="F659"/>
    </row>
    <row r="660" spans="3:6">
      <c r="C660"/>
      <c r="D660"/>
      <c r="E660"/>
      <c r="F660"/>
    </row>
    <row r="661" spans="3:6">
      <c r="C661"/>
      <c r="D661"/>
      <c r="E661"/>
      <c r="F661"/>
    </row>
    <row r="662" spans="3:6">
      <c r="C662"/>
      <c r="D662"/>
      <c r="E662"/>
      <c r="F662"/>
    </row>
    <row r="663" spans="3:6">
      <c r="C663"/>
      <c r="D663"/>
      <c r="E663"/>
      <c r="F663"/>
    </row>
    <row r="664" spans="3:6">
      <c r="C664"/>
      <c r="D664"/>
      <c r="E664"/>
      <c r="F664"/>
    </row>
    <row r="665" spans="3:6">
      <c r="C665"/>
      <c r="D665"/>
      <c r="E665"/>
      <c r="F665"/>
    </row>
    <row r="666" spans="3:6">
      <c r="C666"/>
      <c r="D666"/>
      <c r="E666"/>
      <c r="F666"/>
    </row>
    <row r="667" spans="3:6">
      <c r="C667"/>
      <c r="D667"/>
      <c r="E667"/>
      <c r="F667"/>
    </row>
    <row r="668" spans="3:6">
      <c r="C668"/>
      <c r="D668"/>
      <c r="E668"/>
      <c r="F668"/>
    </row>
    <row r="669" spans="3:6">
      <c r="C669"/>
      <c r="D669"/>
      <c r="E669"/>
      <c r="F669"/>
    </row>
    <row r="670" spans="3:6">
      <c r="C670"/>
      <c r="D670"/>
      <c r="E670"/>
      <c r="F670"/>
    </row>
    <row r="671" spans="3:6">
      <c r="C671"/>
      <c r="D671"/>
      <c r="E671"/>
      <c r="F671"/>
    </row>
    <row r="672" spans="3:6">
      <c r="C672"/>
      <c r="D672"/>
      <c r="E672"/>
      <c r="F672"/>
    </row>
    <row r="673" spans="3:6">
      <c r="C673"/>
      <c r="D673"/>
      <c r="E673"/>
      <c r="F673"/>
    </row>
    <row r="674" spans="3:6">
      <c r="C674"/>
      <c r="D674"/>
      <c r="E674"/>
      <c r="F674"/>
    </row>
    <row r="675" spans="3:6">
      <c r="C675"/>
      <c r="D675"/>
      <c r="E675"/>
      <c r="F675"/>
    </row>
    <row r="676" spans="3:6">
      <c r="C676"/>
      <c r="D676"/>
      <c r="E676"/>
      <c r="F676"/>
    </row>
    <row r="677" spans="3:6">
      <c r="C677"/>
      <c r="D677"/>
      <c r="E677"/>
      <c r="F677"/>
    </row>
    <row r="678" spans="3:6">
      <c r="C678"/>
      <c r="D678"/>
      <c r="E678"/>
      <c r="F678"/>
    </row>
    <row r="679" spans="3:6">
      <c r="C679"/>
      <c r="D679"/>
      <c r="E679"/>
      <c r="F679"/>
    </row>
    <row r="680" spans="3:6">
      <c r="C680"/>
      <c r="D680"/>
      <c r="E680"/>
      <c r="F680"/>
    </row>
    <row r="681" spans="3:6">
      <c r="C681"/>
      <c r="D681"/>
      <c r="E681"/>
      <c r="F681"/>
    </row>
    <row r="682" spans="3:6">
      <c r="C682"/>
      <c r="D682"/>
      <c r="E682"/>
      <c r="F682"/>
    </row>
    <row r="683" spans="3:6">
      <c r="C683"/>
      <c r="D683"/>
      <c r="E683"/>
      <c r="F683"/>
    </row>
    <row r="684" spans="3:6">
      <c r="C684"/>
      <c r="D684"/>
      <c r="E684"/>
      <c r="F684"/>
    </row>
    <row r="685" spans="3:6">
      <c r="C685"/>
      <c r="D685"/>
      <c r="E685"/>
      <c r="F685"/>
    </row>
    <row r="686" spans="3:6">
      <c r="C686"/>
      <c r="D686"/>
      <c r="E686"/>
      <c r="F686"/>
    </row>
    <row r="687" spans="3:6">
      <c r="C687"/>
      <c r="D687"/>
      <c r="E687"/>
      <c r="F687"/>
    </row>
    <row r="688" spans="3:6">
      <c r="C688"/>
      <c r="D688"/>
      <c r="E688"/>
      <c r="F688"/>
    </row>
    <row r="689" spans="3:6">
      <c r="C689"/>
      <c r="D689"/>
      <c r="E689"/>
      <c r="F689"/>
    </row>
    <row r="690" spans="3:6">
      <c r="C690"/>
      <c r="D690"/>
      <c r="E690"/>
      <c r="F690"/>
    </row>
    <row r="691" spans="3:6">
      <c r="C691"/>
      <c r="D691"/>
      <c r="E691"/>
      <c r="F691"/>
    </row>
    <row r="692" spans="3:6">
      <c r="C692"/>
      <c r="D692"/>
      <c r="E692"/>
      <c r="F692"/>
    </row>
    <row r="693" spans="3:6">
      <c r="C693"/>
      <c r="D693"/>
      <c r="E693"/>
      <c r="F693"/>
    </row>
    <row r="694" spans="3:6">
      <c r="C694"/>
      <c r="D694"/>
      <c r="E694"/>
      <c r="F694"/>
    </row>
    <row r="695" spans="3:6">
      <c r="C695"/>
      <c r="D695"/>
      <c r="E695"/>
      <c r="F695"/>
    </row>
    <row r="696" spans="3:6">
      <c r="C696"/>
      <c r="D696"/>
      <c r="E696"/>
      <c r="F696"/>
    </row>
    <row r="697" spans="3:6">
      <c r="C697"/>
      <c r="D697"/>
      <c r="E697"/>
      <c r="F697"/>
    </row>
    <row r="698" spans="3:6">
      <c r="C698"/>
      <c r="D698"/>
      <c r="E698"/>
      <c r="F698"/>
    </row>
    <row r="699" spans="3:6">
      <c r="C699"/>
      <c r="D699"/>
      <c r="E699"/>
      <c r="F699"/>
    </row>
    <row r="700" spans="3:6">
      <c r="C700"/>
      <c r="D700"/>
      <c r="E700"/>
      <c r="F700"/>
    </row>
    <row r="701" spans="3:6">
      <c r="C701"/>
      <c r="D701"/>
      <c r="E701"/>
      <c r="F701"/>
    </row>
    <row r="702" spans="3:6">
      <c r="C702"/>
      <c r="D702"/>
      <c r="E702"/>
      <c r="F702"/>
    </row>
    <row r="703" spans="3:6">
      <c r="C703"/>
      <c r="D703"/>
      <c r="E703"/>
      <c r="F703"/>
    </row>
    <row r="704" spans="3:6">
      <c r="C704"/>
      <c r="D704"/>
      <c r="E704"/>
      <c r="F704"/>
    </row>
    <row r="705" spans="3:6">
      <c r="C705"/>
      <c r="D705"/>
      <c r="E705"/>
      <c r="F705"/>
    </row>
    <row r="706" spans="3:6">
      <c r="C706"/>
      <c r="D706"/>
      <c r="E706"/>
      <c r="F706"/>
    </row>
    <row r="707" spans="3:6">
      <c r="C707"/>
      <c r="D707"/>
      <c r="E707"/>
      <c r="F707"/>
    </row>
    <row r="708" spans="3:6">
      <c r="C708"/>
      <c r="D708"/>
      <c r="E708"/>
      <c r="F708"/>
    </row>
    <row r="709" spans="3:6">
      <c r="C709"/>
      <c r="D709"/>
      <c r="E709"/>
      <c r="F709"/>
    </row>
    <row r="710" spans="3:6">
      <c r="C710"/>
      <c r="D710"/>
      <c r="E710"/>
      <c r="F710"/>
    </row>
    <row r="711" spans="3:6">
      <c r="C711"/>
      <c r="D711"/>
      <c r="E711"/>
      <c r="F711"/>
    </row>
    <row r="712" spans="3:6">
      <c r="C712"/>
      <c r="D712"/>
      <c r="E712"/>
      <c r="F712"/>
    </row>
    <row r="713" spans="3:6">
      <c r="C713"/>
      <c r="D713"/>
      <c r="E713"/>
      <c r="F713"/>
    </row>
    <row r="714" spans="3:6">
      <c r="C714"/>
      <c r="D714"/>
      <c r="E714"/>
      <c r="F714"/>
    </row>
    <row r="715" spans="3:6">
      <c r="C715"/>
      <c r="D715"/>
      <c r="E715"/>
      <c r="F715"/>
    </row>
    <row r="716" spans="3:6">
      <c r="C716"/>
      <c r="D716"/>
      <c r="E716"/>
      <c r="F716"/>
    </row>
    <row r="717" spans="3:6">
      <c r="C717"/>
      <c r="D717"/>
      <c r="E717"/>
      <c r="F717"/>
    </row>
    <row r="718" spans="3:6">
      <c r="C718"/>
      <c r="D718"/>
      <c r="E718"/>
      <c r="F718"/>
    </row>
    <row r="719" spans="3:6">
      <c r="C719"/>
      <c r="D719"/>
      <c r="E719"/>
      <c r="F719"/>
    </row>
    <row r="720" spans="3:6">
      <c r="C720"/>
      <c r="D720"/>
      <c r="E720"/>
      <c r="F720"/>
    </row>
    <row r="721" spans="3:6">
      <c r="C721"/>
      <c r="D721"/>
      <c r="E721"/>
      <c r="F721"/>
    </row>
    <row r="722" spans="3:6">
      <c r="C722"/>
      <c r="D722"/>
      <c r="E722"/>
      <c r="F722"/>
    </row>
    <row r="723" spans="3:6">
      <c r="C723"/>
      <c r="D723"/>
      <c r="E723"/>
      <c r="F723"/>
    </row>
    <row r="724" spans="3:6">
      <c r="C724"/>
      <c r="D724"/>
      <c r="E724"/>
      <c r="F724"/>
    </row>
    <row r="725" spans="3:6">
      <c r="C725"/>
      <c r="D725"/>
      <c r="E725"/>
      <c r="F725"/>
    </row>
    <row r="726" spans="3:6">
      <c r="C726"/>
      <c r="D726"/>
      <c r="E726"/>
      <c r="F726"/>
    </row>
    <row r="727" spans="3:6">
      <c r="C727"/>
      <c r="D727"/>
      <c r="E727"/>
      <c r="F727"/>
    </row>
    <row r="728" spans="3:6">
      <c r="C728"/>
      <c r="D728"/>
      <c r="E728"/>
      <c r="F728"/>
    </row>
    <row r="729" spans="3:6">
      <c r="C729"/>
      <c r="D729"/>
      <c r="E729"/>
      <c r="F729"/>
    </row>
    <row r="730" spans="3:6">
      <c r="C730"/>
      <c r="D730"/>
      <c r="E730"/>
      <c r="F730"/>
    </row>
    <row r="731" spans="3:6">
      <c r="C731"/>
      <c r="D731"/>
      <c r="E731"/>
      <c r="F731"/>
    </row>
    <row r="732" spans="3:6">
      <c r="C732"/>
      <c r="D732"/>
      <c r="E732"/>
      <c r="F732"/>
    </row>
    <row r="733" spans="3:6">
      <c r="C733"/>
      <c r="D733"/>
      <c r="E733"/>
      <c r="F733"/>
    </row>
    <row r="734" spans="3:6">
      <c r="C734"/>
      <c r="D734"/>
      <c r="E734"/>
      <c r="F734"/>
    </row>
    <row r="735" spans="3:6">
      <c r="C735"/>
      <c r="D735"/>
      <c r="E735"/>
      <c r="F735"/>
    </row>
    <row r="736" spans="3:6">
      <c r="C736"/>
      <c r="D736"/>
      <c r="E736"/>
      <c r="F736"/>
    </row>
    <row r="737" spans="3:6">
      <c r="C737"/>
      <c r="D737"/>
      <c r="E737"/>
      <c r="F737"/>
    </row>
    <row r="738" spans="3:6">
      <c r="C738"/>
      <c r="D738"/>
      <c r="E738"/>
      <c r="F738"/>
    </row>
    <row r="739" spans="3:6">
      <c r="C739"/>
      <c r="D739"/>
      <c r="E739"/>
      <c r="F739"/>
    </row>
    <row r="740" spans="3:6">
      <c r="C740"/>
      <c r="D740"/>
      <c r="E740"/>
      <c r="F740"/>
    </row>
    <row r="741" spans="3:6">
      <c r="C741"/>
      <c r="D741"/>
      <c r="E741"/>
      <c r="F741"/>
    </row>
    <row r="742" spans="3:6">
      <c r="C742"/>
      <c r="D742"/>
      <c r="E742"/>
      <c r="F742"/>
    </row>
    <row r="743" spans="3:6">
      <c r="C743"/>
      <c r="D743"/>
      <c r="E743"/>
      <c r="F743"/>
    </row>
    <row r="744" spans="3:6">
      <c r="C744"/>
      <c r="D744"/>
      <c r="E744"/>
      <c r="F744"/>
    </row>
    <row r="745" spans="3:6">
      <c r="C745"/>
      <c r="D745"/>
      <c r="E745"/>
      <c r="F745"/>
    </row>
    <row r="746" spans="3:6">
      <c r="C746"/>
      <c r="D746"/>
      <c r="E746"/>
      <c r="F746"/>
    </row>
    <row r="747" spans="3:6">
      <c r="C747"/>
      <c r="D747"/>
      <c r="E747"/>
      <c r="F747"/>
    </row>
    <row r="748" spans="3:6">
      <c r="C748"/>
      <c r="D748"/>
      <c r="E748"/>
      <c r="F748"/>
    </row>
    <row r="749" spans="3:6">
      <c r="C749"/>
      <c r="D749"/>
      <c r="E749"/>
      <c r="F749"/>
    </row>
    <row r="750" spans="3:6">
      <c r="C750"/>
      <c r="D750"/>
      <c r="E750"/>
      <c r="F750"/>
    </row>
    <row r="751" spans="3:6">
      <c r="C751"/>
      <c r="D751"/>
      <c r="E751"/>
      <c r="F751"/>
    </row>
    <row r="752" spans="3:6">
      <c r="C752"/>
      <c r="D752"/>
      <c r="E752"/>
      <c r="F752"/>
    </row>
    <row r="753" spans="3:6">
      <c r="C753"/>
      <c r="D753"/>
      <c r="E753"/>
      <c r="F753"/>
    </row>
    <row r="754" spans="3:6">
      <c r="C754"/>
      <c r="D754"/>
      <c r="E754"/>
      <c r="F754"/>
    </row>
    <row r="755" spans="3:6">
      <c r="C755"/>
      <c r="D755"/>
      <c r="E755"/>
      <c r="F755"/>
    </row>
    <row r="756" spans="3:6">
      <c r="C756"/>
      <c r="D756"/>
      <c r="E756"/>
      <c r="F756"/>
    </row>
    <row r="757" spans="3:6">
      <c r="C757"/>
      <c r="D757"/>
      <c r="E757"/>
      <c r="F757"/>
    </row>
    <row r="758" spans="3:6">
      <c r="C758"/>
      <c r="D758"/>
      <c r="E758"/>
      <c r="F758"/>
    </row>
    <row r="759" spans="3:6">
      <c r="C759"/>
      <c r="D759"/>
      <c r="E759"/>
      <c r="F759"/>
    </row>
    <row r="760" spans="3:6">
      <c r="C760"/>
      <c r="D760"/>
      <c r="E760"/>
      <c r="F760"/>
    </row>
    <row r="761" spans="3:6">
      <c r="C761"/>
      <c r="D761"/>
      <c r="E761"/>
      <c r="F761"/>
    </row>
    <row r="762" spans="3:6">
      <c r="C762"/>
      <c r="D762"/>
      <c r="E762"/>
      <c r="F762"/>
    </row>
    <row r="763" spans="3:6">
      <c r="C763"/>
      <c r="D763"/>
      <c r="E763"/>
      <c r="F763"/>
    </row>
    <row r="764" spans="3:6">
      <c r="C764"/>
      <c r="D764"/>
      <c r="E764"/>
      <c r="F764"/>
    </row>
    <row r="765" spans="3:6">
      <c r="C765"/>
      <c r="D765"/>
      <c r="E765"/>
      <c r="F765"/>
    </row>
    <row r="766" spans="3:6">
      <c r="C766"/>
      <c r="D766"/>
      <c r="E766"/>
      <c r="F766"/>
    </row>
    <row r="767" spans="3:6">
      <c r="C767"/>
      <c r="D767"/>
      <c r="E767"/>
      <c r="F767"/>
    </row>
    <row r="768" spans="3:6">
      <c r="C768"/>
      <c r="D768"/>
      <c r="E768"/>
      <c r="F768"/>
    </row>
    <row r="769" spans="3:6">
      <c r="C769"/>
      <c r="D769"/>
      <c r="E769"/>
      <c r="F769"/>
    </row>
    <row r="770" spans="3:6">
      <c r="C770"/>
      <c r="D770"/>
      <c r="E770"/>
      <c r="F770"/>
    </row>
    <row r="771" spans="3:6">
      <c r="C771"/>
      <c r="D771"/>
      <c r="E771"/>
      <c r="F771"/>
    </row>
    <row r="772" spans="3:6">
      <c r="C772"/>
      <c r="D772"/>
      <c r="E772"/>
      <c r="F772"/>
    </row>
    <row r="773" spans="3:6">
      <c r="C773"/>
      <c r="D773"/>
      <c r="E773"/>
      <c r="F773"/>
    </row>
    <row r="774" spans="3:6">
      <c r="C774"/>
      <c r="D774"/>
      <c r="E774"/>
      <c r="F774"/>
    </row>
    <row r="775" spans="3:6">
      <c r="C775"/>
      <c r="D775"/>
      <c r="E775"/>
      <c r="F775"/>
    </row>
    <row r="776" spans="3:6">
      <c r="C776"/>
      <c r="D776"/>
      <c r="E776"/>
      <c r="F776"/>
    </row>
    <row r="777" spans="3:6">
      <c r="C777"/>
      <c r="D777"/>
      <c r="E777"/>
      <c r="F777"/>
    </row>
    <row r="778" spans="3:6">
      <c r="C778"/>
      <c r="D778"/>
      <c r="E778"/>
      <c r="F778"/>
    </row>
    <row r="779" spans="3:6">
      <c r="C779"/>
      <c r="D779"/>
      <c r="E779"/>
      <c r="F779"/>
    </row>
    <row r="780" spans="3:6">
      <c r="C780"/>
      <c r="D780"/>
      <c r="E780"/>
      <c r="F780"/>
    </row>
    <row r="781" spans="3:6">
      <c r="C781"/>
      <c r="D781"/>
      <c r="E781"/>
      <c r="F781"/>
    </row>
    <row r="782" spans="3:6">
      <c r="C782"/>
      <c r="D782"/>
      <c r="E782"/>
      <c r="F782"/>
    </row>
    <row r="783" spans="3:6">
      <c r="C783"/>
      <c r="D783"/>
      <c r="E783"/>
      <c r="F783"/>
    </row>
    <row r="784" spans="3:6">
      <c r="C784"/>
      <c r="D784"/>
      <c r="E784"/>
      <c r="F784"/>
    </row>
    <row r="785" spans="3:6">
      <c r="C785"/>
      <c r="D785"/>
      <c r="E785"/>
      <c r="F785"/>
    </row>
    <row r="786" spans="3:6">
      <c r="C786"/>
      <c r="D786"/>
      <c r="E786"/>
      <c r="F786"/>
    </row>
    <row r="787" spans="3:6">
      <c r="C787"/>
      <c r="D787"/>
      <c r="E787"/>
      <c r="F787"/>
    </row>
    <row r="788" spans="3:6">
      <c r="C788"/>
      <c r="D788"/>
      <c r="E788"/>
      <c r="F788"/>
    </row>
    <row r="789" spans="3:6">
      <c r="C789"/>
      <c r="D789"/>
      <c r="E789"/>
      <c r="F789"/>
    </row>
    <row r="790" spans="3:6">
      <c r="C790"/>
      <c r="D790"/>
      <c r="E790"/>
      <c r="F790"/>
    </row>
    <row r="791" spans="3:6">
      <c r="C791"/>
      <c r="D791"/>
      <c r="E791"/>
      <c r="F791"/>
    </row>
    <row r="792" spans="3:6">
      <c r="C792"/>
      <c r="D792"/>
      <c r="E792"/>
      <c r="F792"/>
    </row>
    <row r="793" spans="3:6">
      <c r="C793"/>
      <c r="D793"/>
      <c r="E793"/>
      <c r="F793"/>
    </row>
    <row r="794" spans="3:6">
      <c r="C794"/>
      <c r="D794"/>
      <c r="E794"/>
      <c r="F794"/>
    </row>
    <row r="795" spans="3:6">
      <c r="C795"/>
      <c r="D795"/>
      <c r="E795"/>
      <c r="F795"/>
    </row>
    <row r="796" spans="3:6">
      <c r="C796"/>
      <c r="D796"/>
      <c r="E796"/>
      <c r="F796"/>
    </row>
    <row r="797" spans="3:6">
      <c r="C797"/>
      <c r="D797"/>
      <c r="E797"/>
      <c r="F797"/>
    </row>
    <row r="798" spans="3:6">
      <c r="C798"/>
      <c r="D798"/>
      <c r="E798"/>
      <c r="F798"/>
    </row>
    <row r="799" spans="3:6">
      <c r="C799"/>
      <c r="D799"/>
      <c r="E799"/>
      <c r="F799"/>
    </row>
    <row r="800" spans="3:6">
      <c r="C800"/>
      <c r="D800"/>
      <c r="E800"/>
      <c r="F800"/>
    </row>
    <row r="801" spans="3:6">
      <c r="C801"/>
      <c r="D801"/>
      <c r="E801"/>
      <c r="F801"/>
    </row>
    <row r="802" spans="3:6">
      <c r="C802"/>
      <c r="D802"/>
      <c r="E802"/>
      <c r="F802"/>
    </row>
    <row r="803" spans="3:6">
      <c r="C803"/>
      <c r="D803"/>
      <c r="E803"/>
      <c r="F803"/>
    </row>
    <row r="804" spans="3:6">
      <c r="C804"/>
      <c r="D804"/>
      <c r="E804"/>
      <c r="F804"/>
    </row>
    <row r="805" spans="3:6">
      <c r="C805"/>
      <c r="D805"/>
      <c r="E805"/>
      <c r="F805"/>
    </row>
    <row r="806" spans="3:6">
      <c r="C806"/>
      <c r="D806"/>
      <c r="E806"/>
      <c r="F806"/>
    </row>
    <row r="807" spans="3:6">
      <c r="C807"/>
      <c r="D807"/>
      <c r="E807"/>
      <c r="F807"/>
    </row>
    <row r="808" spans="3:6">
      <c r="C808"/>
      <c r="D808"/>
      <c r="E808"/>
      <c r="F808"/>
    </row>
    <row r="809" spans="3:6">
      <c r="C809"/>
      <c r="D809"/>
      <c r="E809"/>
      <c r="F809"/>
    </row>
    <row r="810" spans="3:6">
      <c r="C810"/>
      <c r="D810"/>
      <c r="E810"/>
      <c r="F810"/>
    </row>
    <row r="811" spans="3:6">
      <c r="C811"/>
      <c r="D811"/>
      <c r="E811"/>
      <c r="F811"/>
    </row>
    <row r="812" spans="3:6">
      <c r="C812"/>
      <c r="D812"/>
      <c r="E812"/>
      <c r="F812"/>
    </row>
    <row r="813" spans="3:6">
      <c r="C813"/>
      <c r="D813"/>
      <c r="E813"/>
      <c r="F813"/>
    </row>
    <row r="814" spans="3:6">
      <c r="C814"/>
      <c r="D814"/>
      <c r="E814"/>
      <c r="F814"/>
    </row>
    <row r="815" spans="3:6">
      <c r="C815"/>
      <c r="D815"/>
      <c r="E815"/>
      <c r="F815"/>
    </row>
    <row r="816" spans="3:6">
      <c r="C816"/>
      <c r="D816"/>
      <c r="E816"/>
      <c r="F816"/>
    </row>
    <row r="817" spans="3:6">
      <c r="C817"/>
      <c r="D817"/>
      <c r="E817"/>
      <c r="F817"/>
    </row>
    <row r="818" spans="3:6">
      <c r="C818"/>
      <c r="D818"/>
      <c r="E818"/>
      <c r="F818"/>
    </row>
    <row r="819" spans="3:6">
      <c r="C819"/>
      <c r="D819"/>
      <c r="E819"/>
      <c r="F819"/>
    </row>
    <row r="820" spans="3:6">
      <c r="C820"/>
      <c r="D820"/>
      <c r="E820"/>
      <c r="F820"/>
    </row>
    <row r="821" spans="3:6">
      <c r="C821"/>
      <c r="D821"/>
      <c r="E821"/>
      <c r="F821"/>
    </row>
    <row r="822" spans="3:6">
      <c r="C822"/>
      <c r="D822"/>
      <c r="E822"/>
      <c r="F822"/>
    </row>
    <row r="823" spans="3:6">
      <c r="C823"/>
      <c r="D823"/>
      <c r="E823"/>
      <c r="F823"/>
    </row>
    <row r="824" spans="3:6">
      <c r="C824"/>
      <c r="D824"/>
      <c r="E824"/>
      <c r="F824"/>
    </row>
    <row r="825" spans="3:6">
      <c r="C825"/>
      <c r="D825"/>
      <c r="E825"/>
      <c r="F825"/>
    </row>
    <row r="826" spans="3:6">
      <c r="C826"/>
      <c r="D826"/>
      <c r="E826"/>
      <c r="F826"/>
    </row>
    <row r="827" spans="3:6">
      <c r="C827"/>
      <c r="D827"/>
      <c r="E827"/>
      <c r="F827"/>
    </row>
    <row r="828" spans="3:6">
      <c r="C828"/>
      <c r="D828"/>
      <c r="E828"/>
      <c r="F828"/>
    </row>
    <row r="829" spans="3:6">
      <c r="C829"/>
      <c r="D829"/>
      <c r="E829"/>
      <c r="F829"/>
    </row>
    <row r="830" spans="3:6">
      <c r="C830"/>
      <c r="D830"/>
      <c r="E830"/>
      <c r="F830"/>
    </row>
    <row r="831" spans="3:6">
      <c r="C831"/>
      <c r="D831"/>
      <c r="E831"/>
      <c r="F831"/>
    </row>
    <row r="832" spans="3:6">
      <c r="C832"/>
      <c r="D832"/>
      <c r="E832"/>
      <c r="F832"/>
    </row>
    <row r="833" spans="3:6">
      <c r="C833"/>
      <c r="D833"/>
      <c r="E833"/>
      <c r="F833"/>
    </row>
    <row r="834" spans="3:6">
      <c r="C834"/>
      <c r="D834"/>
      <c r="E834"/>
      <c r="F834"/>
    </row>
    <row r="835" spans="3:6">
      <c r="C835"/>
      <c r="D835"/>
      <c r="E835"/>
      <c r="F835"/>
    </row>
    <row r="836" spans="3:6">
      <c r="C836"/>
      <c r="D836"/>
      <c r="E836"/>
      <c r="F836"/>
    </row>
    <row r="837" spans="3:6">
      <c r="C837"/>
      <c r="D837"/>
      <c r="E837"/>
      <c r="F837"/>
    </row>
    <row r="838" spans="3:6">
      <c r="C838"/>
      <c r="D838"/>
      <c r="E838"/>
      <c r="F838"/>
    </row>
    <row r="839" spans="3:6">
      <c r="C839"/>
      <c r="D839"/>
      <c r="E839"/>
      <c r="F839"/>
    </row>
    <row r="840" spans="3:6">
      <c r="C840"/>
      <c r="D840"/>
      <c r="E840"/>
      <c r="F840"/>
    </row>
    <row r="841" spans="3:6">
      <c r="C841"/>
      <c r="D841"/>
      <c r="E841"/>
      <c r="F841"/>
    </row>
    <row r="842" spans="3:6">
      <c r="C842"/>
      <c r="D842"/>
      <c r="E842"/>
      <c r="F842"/>
    </row>
    <row r="843" spans="3:6">
      <c r="C843"/>
      <c r="D843"/>
      <c r="E843"/>
      <c r="F843"/>
    </row>
    <row r="844" spans="3:6">
      <c r="C844"/>
      <c r="D844"/>
      <c r="E844"/>
      <c r="F844"/>
    </row>
    <row r="845" spans="3:6">
      <c r="C845"/>
      <c r="D845"/>
      <c r="E845"/>
      <c r="F845"/>
    </row>
    <row r="846" spans="3:6">
      <c r="C846"/>
      <c r="D846"/>
      <c r="E846"/>
      <c r="F846"/>
    </row>
    <row r="847" spans="3:6">
      <c r="C847"/>
      <c r="D847"/>
      <c r="E847"/>
      <c r="F847"/>
    </row>
    <row r="848" spans="3:6">
      <c r="C848"/>
      <c r="D848"/>
      <c r="E848"/>
      <c r="F848"/>
    </row>
    <row r="849" spans="3:6">
      <c r="C849"/>
      <c r="D849"/>
      <c r="E849"/>
      <c r="F849"/>
    </row>
    <row r="850" spans="3:6">
      <c r="C850"/>
      <c r="D850"/>
      <c r="E850"/>
      <c r="F850"/>
    </row>
    <row r="851" spans="3:6">
      <c r="C851"/>
      <c r="D851"/>
      <c r="E851"/>
      <c r="F851"/>
    </row>
    <row r="852" spans="3:6">
      <c r="C852"/>
      <c r="D852"/>
      <c r="E852"/>
      <c r="F852"/>
    </row>
    <row r="853" spans="3:6">
      <c r="C853"/>
      <c r="D853"/>
      <c r="E853"/>
      <c r="F853"/>
    </row>
    <row r="854" spans="3:6">
      <c r="C854"/>
      <c r="D854"/>
      <c r="E854"/>
      <c r="F854"/>
    </row>
    <row r="855" spans="3:6">
      <c r="C855"/>
      <c r="D855"/>
      <c r="E855"/>
      <c r="F855"/>
    </row>
    <row r="856" spans="3:6">
      <c r="C856"/>
      <c r="D856"/>
      <c r="E856"/>
      <c r="F856"/>
    </row>
    <row r="857" spans="3:6">
      <c r="C857"/>
      <c r="D857"/>
      <c r="E857"/>
      <c r="F857"/>
    </row>
    <row r="858" spans="3:6">
      <c r="C858"/>
      <c r="D858"/>
      <c r="E858"/>
      <c r="F858"/>
    </row>
    <row r="859" spans="3:6">
      <c r="C859"/>
      <c r="D859"/>
      <c r="E859"/>
      <c r="F859"/>
    </row>
    <row r="860" spans="3:6">
      <c r="C860"/>
      <c r="D860"/>
      <c r="E860"/>
      <c r="F860"/>
    </row>
    <row r="861" spans="3:6">
      <c r="C861"/>
      <c r="D861"/>
      <c r="E861"/>
      <c r="F861"/>
    </row>
    <row r="862" spans="3:6">
      <c r="C862"/>
      <c r="D862"/>
      <c r="E862"/>
      <c r="F862"/>
    </row>
    <row r="863" spans="3:6">
      <c r="C863"/>
      <c r="D863"/>
      <c r="E863"/>
      <c r="F863"/>
    </row>
    <row r="864" spans="3:6">
      <c r="C864"/>
      <c r="D864"/>
      <c r="E864"/>
      <c r="F864"/>
    </row>
    <row r="865" spans="3:6">
      <c r="C865"/>
      <c r="D865"/>
      <c r="E865"/>
      <c r="F865"/>
    </row>
    <row r="866" spans="3:6">
      <c r="C866"/>
      <c r="D866"/>
      <c r="E866"/>
      <c r="F866"/>
    </row>
    <row r="867" spans="3:6">
      <c r="C867"/>
      <c r="D867"/>
      <c r="E867"/>
      <c r="F867"/>
    </row>
    <row r="868" spans="3:6">
      <c r="C868"/>
      <c r="D868"/>
      <c r="E868"/>
      <c r="F868"/>
    </row>
    <row r="869" spans="3:6">
      <c r="C869"/>
      <c r="D869"/>
      <c r="E869"/>
      <c r="F869"/>
    </row>
    <row r="870" spans="3:6">
      <c r="C870"/>
      <c r="D870"/>
      <c r="E870"/>
      <c r="F870"/>
    </row>
    <row r="871" spans="3:6">
      <c r="C871"/>
      <c r="D871"/>
      <c r="E871"/>
      <c r="F871"/>
    </row>
    <row r="872" spans="3:6">
      <c r="C872"/>
      <c r="D872"/>
      <c r="E872"/>
      <c r="F872"/>
    </row>
    <row r="873" spans="3:6">
      <c r="C873"/>
      <c r="D873"/>
      <c r="E873"/>
      <c r="F873"/>
    </row>
    <row r="874" spans="3:6">
      <c r="C874"/>
      <c r="D874"/>
      <c r="E874"/>
      <c r="F874"/>
    </row>
    <row r="875" spans="3:6">
      <c r="C875"/>
      <c r="D875"/>
      <c r="E875"/>
      <c r="F875"/>
    </row>
    <row r="876" spans="3:6">
      <c r="C876"/>
      <c r="D876"/>
      <c r="E876"/>
      <c r="F876"/>
    </row>
    <row r="877" spans="3:6">
      <c r="C877"/>
      <c r="D877"/>
      <c r="E877"/>
      <c r="F877"/>
    </row>
    <row r="878" spans="3:6">
      <c r="C878"/>
      <c r="D878"/>
      <c r="E878"/>
      <c r="F878"/>
    </row>
    <row r="879" spans="3:6">
      <c r="C879"/>
      <c r="D879"/>
      <c r="E879"/>
      <c r="F879"/>
    </row>
    <row r="880" spans="3:6">
      <c r="C880"/>
      <c r="D880"/>
      <c r="E880"/>
      <c r="F880"/>
    </row>
    <row r="881" spans="3:6">
      <c r="C881"/>
      <c r="D881"/>
      <c r="E881"/>
      <c r="F881"/>
    </row>
    <row r="882" spans="3:6">
      <c r="C882"/>
      <c r="D882"/>
      <c r="E882"/>
      <c r="F882"/>
    </row>
    <row r="883" spans="3:6">
      <c r="C883"/>
      <c r="D883"/>
      <c r="E883"/>
      <c r="F883"/>
    </row>
    <row r="884" spans="3:6">
      <c r="C884"/>
      <c r="D884"/>
      <c r="E884"/>
      <c r="F884"/>
    </row>
    <row r="885" spans="3:6">
      <c r="C885"/>
      <c r="D885"/>
      <c r="E885"/>
      <c r="F885"/>
    </row>
    <row r="886" spans="3:6">
      <c r="C886"/>
      <c r="D886"/>
      <c r="E886"/>
      <c r="F886"/>
    </row>
    <row r="887" spans="3:6">
      <c r="C887"/>
      <c r="D887"/>
      <c r="E887"/>
      <c r="F887"/>
    </row>
    <row r="888" spans="3:6">
      <c r="C888"/>
      <c r="D888"/>
      <c r="E888"/>
      <c r="F888"/>
    </row>
    <row r="889" spans="3:6">
      <c r="C889"/>
      <c r="D889"/>
      <c r="E889"/>
      <c r="F889"/>
    </row>
    <row r="890" spans="3:6">
      <c r="C890"/>
      <c r="D890"/>
      <c r="E890"/>
      <c r="F890"/>
    </row>
    <row r="891" spans="3:6">
      <c r="C891"/>
      <c r="D891"/>
      <c r="E891"/>
      <c r="F891"/>
    </row>
    <row r="892" spans="3:6">
      <c r="C892"/>
      <c r="D892"/>
      <c r="E892"/>
      <c r="F892"/>
    </row>
    <row r="893" spans="3:6">
      <c r="C893"/>
      <c r="D893"/>
      <c r="E893"/>
      <c r="F893"/>
    </row>
    <row r="894" spans="3:6">
      <c r="C894"/>
      <c r="D894"/>
      <c r="E894"/>
      <c r="F894"/>
    </row>
    <row r="895" spans="3:6">
      <c r="C895"/>
      <c r="D895"/>
      <c r="E895"/>
      <c r="F895"/>
    </row>
    <row r="896" spans="3:6">
      <c r="C896"/>
      <c r="D896"/>
      <c r="E896"/>
      <c r="F896"/>
    </row>
    <row r="897" spans="3:6">
      <c r="C897"/>
      <c r="D897"/>
      <c r="E897"/>
      <c r="F897"/>
    </row>
    <row r="898" spans="3:6">
      <c r="C898"/>
      <c r="D898"/>
      <c r="E898"/>
      <c r="F898"/>
    </row>
    <row r="899" spans="3:6">
      <c r="C899"/>
      <c r="D899"/>
      <c r="E899"/>
      <c r="F899"/>
    </row>
    <row r="900" spans="3:6">
      <c r="C900"/>
      <c r="D900"/>
      <c r="E900"/>
      <c r="F900"/>
    </row>
    <row r="901" spans="3:6">
      <c r="C901"/>
      <c r="D901"/>
      <c r="E901"/>
      <c r="F901"/>
    </row>
    <row r="902" spans="3:6">
      <c r="C902"/>
      <c r="D902"/>
      <c r="E902"/>
      <c r="F902"/>
    </row>
    <row r="903" spans="3:6">
      <c r="C903"/>
      <c r="D903"/>
      <c r="E903"/>
      <c r="F903"/>
    </row>
    <row r="904" spans="3:6">
      <c r="C904"/>
      <c r="D904"/>
      <c r="E904"/>
      <c r="F904"/>
    </row>
    <row r="905" spans="3:6">
      <c r="C905"/>
      <c r="D905"/>
      <c r="E905"/>
      <c r="F905"/>
    </row>
    <row r="906" spans="3:6">
      <c r="C906"/>
      <c r="D906"/>
      <c r="E906"/>
      <c r="F906"/>
    </row>
    <row r="907" spans="3:6">
      <c r="C907"/>
      <c r="D907"/>
      <c r="E907"/>
      <c r="F907"/>
    </row>
    <row r="908" spans="3:6">
      <c r="C908"/>
      <c r="D908"/>
      <c r="E908"/>
      <c r="F908"/>
    </row>
    <row r="909" spans="3:6">
      <c r="C909"/>
      <c r="D909"/>
      <c r="E909"/>
      <c r="F909"/>
    </row>
    <row r="910" spans="3:6">
      <c r="C910"/>
      <c r="D910"/>
      <c r="E910"/>
      <c r="F910"/>
    </row>
    <row r="911" spans="3:6">
      <c r="C911"/>
      <c r="D911"/>
      <c r="E911"/>
      <c r="F911"/>
    </row>
    <row r="912" spans="3:6">
      <c r="C912"/>
      <c r="D912"/>
      <c r="E912"/>
      <c r="F912"/>
    </row>
    <row r="913" spans="3:6">
      <c r="C913"/>
      <c r="D913"/>
      <c r="E913"/>
      <c r="F913"/>
    </row>
    <row r="914" spans="3:6">
      <c r="C914"/>
      <c r="D914"/>
      <c r="E914"/>
      <c r="F914"/>
    </row>
    <row r="915" spans="3:6">
      <c r="C915"/>
      <c r="D915"/>
      <c r="E915"/>
      <c r="F915"/>
    </row>
    <row r="916" spans="3:6">
      <c r="C916"/>
      <c r="D916"/>
      <c r="E916"/>
      <c r="F916"/>
    </row>
    <row r="917" spans="3:6">
      <c r="C917"/>
      <c r="D917"/>
      <c r="E917"/>
      <c r="F917"/>
    </row>
    <row r="918" spans="3:6">
      <c r="C918"/>
      <c r="D918"/>
      <c r="E918"/>
      <c r="F918"/>
    </row>
    <row r="919" spans="3:6">
      <c r="C919"/>
      <c r="D919"/>
      <c r="E919"/>
      <c r="F919"/>
    </row>
    <row r="920" spans="3:6">
      <c r="C920"/>
      <c r="D920"/>
      <c r="E920"/>
      <c r="F920"/>
    </row>
    <row r="921" spans="3:6">
      <c r="C921"/>
      <c r="D921"/>
      <c r="E921"/>
      <c r="F921"/>
    </row>
    <row r="922" spans="3:6">
      <c r="C922"/>
      <c r="D922"/>
      <c r="E922"/>
      <c r="F922"/>
    </row>
    <row r="923" spans="3:6">
      <c r="C923"/>
      <c r="D923"/>
      <c r="E923"/>
      <c r="F923"/>
    </row>
    <row r="924" spans="3:6">
      <c r="C924"/>
      <c r="D924"/>
      <c r="E924"/>
      <c r="F924"/>
    </row>
    <row r="925" spans="3:6">
      <c r="C925"/>
      <c r="D925"/>
      <c r="E925"/>
      <c r="F925"/>
    </row>
    <row r="926" spans="3:6">
      <c r="C926"/>
      <c r="D926"/>
      <c r="E926"/>
      <c r="F926"/>
    </row>
    <row r="927" spans="3:6">
      <c r="C927"/>
      <c r="D927"/>
      <c r="E927"/>
      <c r="F927"/>
    </row>
    <row r="928" spans="3:6">
      <c r="C928"/>
      <c r="D928"/>
      <c r="E928"/>
      <c r="F928"/>
    </row>
    <row r="929" spans="3:6">
      <c r="C929"/>
      <c r="D929"/>
      <c r="E929"/>
      <c r="F929"/>
    </row>
    <row r="930" spans="3:6">
      <c r="C930"/>
      <c r="D930"/>
      <c r="E930"/>
      <c r="F930"/>
    </row>
    <row r="931" spans="3:6">
      <c r="C931"/>
      <c r="D931"/>
      <c r="E931"/>
      <c r="F931"/>
    </row>
    <row r="932" spans="3:6">
      <c r="C932"/>
      <c r="D932"/>
      <c r="E932"/>
      <c r="F932"/>
    </row>
    <row r="933" spans="3:6">
      <c r="C933"/>
      <c r="D933"/>
      <c r="E933"/>
      <c r="F933"/>
    </row>
    <row r="934" spans="3:6">
      <c r="C934"/>
      <c r="D934"/>
      <c r="E934"/>
      <c r="F934"/>
    </row>
    <row r="935" spans="3:6">
      <c r="C935"/>
      <c r="D935"/>
      <c r="E935"/>
      <c r="F935"/>
    </row>
    <row r="936" spans="3:6">
      <c r="C936"/>
      <c r="D936"/>
      <c r="E936"/>
      <c r="F936"/>
    </row>
    <row r="937" spans="3:6">
      <c r="C937"/>
      <c r="D937"/>
      <c r="E937"/>
      <c r="F937"/>
    </row>
    <row r="938" spans="3:6">
      <c r="C938"/>
      <c r="D938"/>
      <c r="E938"/>
      <c r="F938"/>
    </row>
    <row r="939" spans="3:6">
      <c r="C939"/>
      <c r="D939"/>
      <c r="E939"/>
      <c r="F939"/>
    </row>
    <row r="940" spans="3:6">
      <c r="C940"/>
      <c r="D940"/>
      <c r="E940"/>
      <c r="F940"/>
    </row>
    <row r="941" spans="3:6">
      <c r="C941"/>
      <c r="D941"/>
      <c r="E941"/>
      <c r="F941"/>
    </row>
    <row r="942" spans="3:6">
      <c r="C942"/>
      <c r="D942"/>
      <c r="E942"/>
      <c r="F942"/>
    </row>
    <row r="943" spans="3:6">
      <c r="C943"/>
      <c r="D943"/>
      <c r="E943"/>
      <c r="F943"/>
    </row>
    <row r="944" spans="3:6">
      <c r="C944"/>
      <c r="D944"/>
      <c r="E944"/>
      <c r="F944"/>
    </row>
    <row r="945" spans="3:6">
      <c r="C945"/>
      <c r="D945"/>
      <c r="E945"/>
      <c r="F945"/>
    </row>
    <row r="946" spans="3:6">
      <c r="C946"/>
      <c r="D946"/>
      <c r="E946"/>
      <c r="F946"/>
    </row>
    <row r="947" spans="3:6">
      <c r="C947"/>
      <c r="D947"/>
      <c r="E947"/>
      <c r="F947"/>
    </row>
    <row r="948" spans="3:6">
      <c r="C948"/>
      <c r="D948"/>
      <c r="E948"/>
      <c r="F948"/>
    </row>
    <row r="949" spans="3:6">
      <c r="C949"/>
      <c r="D949"/>
      <c r="E949"/>
      <c r="F949"/>
    </row>
    <row r="950" spans="3:6">
      <c r="C950"/>
      <c r="D950"/>
      <c r="E950"/>
      <c r="F950"/>
    </row>
    <row r="951" spans="3:6">
      <c r="C951"/>
      <c r="D951"/>
      <c r="E951"/>
      <c r="F951"/>
    </row>
    <row r="952" spans="3:6">
      <c r="C952"/>
      <c r="D952"/>
      <c r="E952"/>
      <c r="F952"/>
    </row>
    <row r="953" spans="3:6">
      <c r="C953"/>
      <c r="D953"/>
      <c r="E953"/>
      <c r="F953"/>
    </row>
    <row r="954" spans="3:6">
      <c r="C954"/>
      <c r="D954"/>
      <c r="E954"/>
      <c r="F954"/>
    </row>
    <row r="955" spans="3:6">
      <c r="C955"/>
      <c r="D955"/>
      <c r="E955"/>
      <c r="F955"/>
    </row>
    <row r="956" spans="3:6">
      <c r="C956"/>
      <c r="D956"/>
      <c r="E956"/>
      <c r="F956"/>
    </row>
    <row r="957" spans="3:6">
      <c r="C957"/>
      <c r="D957"/>
      <c r="E957"/>
      <c r="F957"/>
    </row>
    <row r="958" spans="3:6">
      <c r="C958"/>
      <c r="D958"/>
      <c r="E958"/>
      <c r="F958"/>
    </row>
    <row r="959" spans="3:6">
      <c r="C959"/>
      <c r="D959"/>
      <c r="E959"/>
      <c r="F959"/>
    </row>
    <row r="960" spans="3:6">
      <c r="C960"/>
      <c r="D960"/>
      <c r="E960"/>
      <c r="F960"/>
    </row>
    <row r="961" spans="3:6">
      <c r="C961"/>
      <c r="D961"/>
      <c r="E961"/>
      <c r="F961"/>
    </row>
    <row r="962" spans="3:6">
      <c r="C962"/>
      <c r="D962"/>
      <c r="E962"/>
      <c r="F962"/>
    </row>
    <row r="963" spans="3:6">
      <c r="C963"/>
      <c r="D963"/>
      <c r="E963"/>
      <c r="F963"/>
    </row>
    <row r="964" spans="3:6">
      <c r="C964"/>
      <c r="D964"/>
      <c r="E964"/>
      <c r="F964"/>
    </row>
    <row r="965" spans="3:6">
      <c r="C965"/>
      <c r="D965"/>
      <c r="E965"/>
      <c r="F965"/>
    </row>
    <row r="966" spans="3:6">
      <c r="C966"/>
      <c r="D966"/>
      <c r="E966"/>
      <c r="F966"/>
    </row>
    <row r="967" spans="3:6">
      <c r="C967"/>
      <c r="D967"/>
      <c r="E967"/>
      <c r="F967"/>
    </row>
    <row r="968" spans="3:6">
      <c r="C968"/>
      <c r="D968"/>
      <c r="E968"/>
      <c r="F968"/>
    </row>
    <row r="969" spans="3:6">
      <c r="C969"/>
      <c r="D969"/>
      <c r="E969"/>
      <c r="F969"/>
    </row>
    <row r="970" spans="3:6">
      <c r="C970"/>
      <c r="D970"/>
      <c r="E970"/>
      <c r="F970"/>
    </row>
    <row r="971" spans="3:6">
      <c r="C971"/>
      <c r="D971"/>
      <c r="E971"/>
      <c r="F971"/>
    </row>
    <row r="972" spans="3:6">
      <c r="C972"/>
      <c r="D972"/>
      <c r="E972"/>
      <c r="F972"/>
    </row>
    <row r="973" spans="3:6">
      <c r="C973"/>
      <c r="D973"/>
      <c r="E973"/>
      <c r="F973"/>
    </row>
    <row r="974" spans="3:6">
      <c r="C974"/>
      <c r="D974"/>
      <c r="E974"/>
      <c r="F974"/>
    </row>
    <row r="975" spans="3:6">
      <c r="C975"/>
      <c r="D975"/>
      <c r="E975"/>
      <c r="F975"/>
    </row>
    <row r="976" spans="3:6">
      <c r="C976"/>
      <c r="D976"/>
      <c r="E976"/>
      <c r="F976"/>
    </row>
    <row r="977" spans="3:6">
      <c r="C977"/>
      <c r="D977"/>
      <c r="E977"/>
      <c r="F977"/>
    </row>
    <row r="978" spans="3:6">
      <c r="C978"/>
      <c r="D978"/>
      <c r="E978"/>
      <c r="F978"/>
    </row>
    <row r="979" spans="3:6">
      <c r="C979"/>
      <c r="D979"/>
      <c r="E979"/>
      <c r="F979"/>
    </row>
    <row r="980" spans="3:6">
      <c r="C980"/>
      <c r="D980"/>
      <c r="E980"/>
      <c r="F980"/>
    </row>
    <row r="981" spans="3:6">
      <c r="C981"/>
      <c r="D981"/>
      <c r="E981"/>
      <c r="F981"/>
    </row>
    <row r="982" spans="3:6">
      <c r="C982"/>
      <c r="D982"/>
      <c r="E982"/>
      <c r="F982"/>
    </row>
    <row r="983" spans="3:6">
      <c r="C983"/>
      <c r="D983"/>
      <c r="E983"/>
      <c r="F983"/>
    </row>
    <row r="984" spans="3:6">
      <c r="C984"/>
      <c r="D984"/>
      <c r="E984"/>
      <c r="F984"/>
    </row>
    <row r="985" spans="3:6">
      <c r="C985"/>
      <c r="D985"/>
      <c r="E985"/>
      <c r="F985"/>
    </row>
    <row r="986" spans="3:6">
      <c r="C986"/>
      <c r="D986"/>
      <c r="E986"/>
      <c r="F986"/>
    </row>
    <row r="987" spans="3:6">
      <c r="C987"/>
      <c r="D987"/>
      <c r="E987"/>
      <c r="F987"/>
    </row>
    <row r="988" spans="3:6">
      <c r="C988"/>
      <c r="D988"/>
      <c r="E988"/>
      <c r="F988"/>
    </row>
    <row r="989" spans="3:6">
      <c r="C989"/>
      <c r="D989"/>
      <c r="E989"/>
      <c r="F989"/>
    </row>
    <row r="990" spans="3:6">
      <c r="C990"/>
      <c r="D990"/>
      <c r="E990"/>
      <c r="F990"/>
    </row>
    <row r="991" spans="3:6">
      <c r="C991"/>
      <c r="D991"/>
      <c r="E991"/>
      <c r="F991"/>
    </row>
    <row r="992" spans="3:6">
      <c r="C992"/>
      <c r="D992"/>
      <c r="E992"/>
      <c r="F992"/>
    </row>
    <row r="993" spans="3:6">
      <c r="C993"/>
      <c r="D993"/>
      <c r="E993"/>
      <c r="F993"/>
    </row>
    <row r="994" spans="3:6">
      <c r="C994"/>
      <c r="D994"/>
      <c r="E994"/>
      <c r="F994"/>
    </row>
    <row r="995" spans="3:6">
      <c r="C995"/>
      <c r="D995"/>
      <c r="E995"/>
      <c r="F995"/>
    </row>
    <row r="996" spans="3:6">
      <c r="C996"/>
      <c r="D996"/>
      <c r="E996"/>
      <c r="F996"/>
    </row>
    <row r="997" spans="3:6">
      <c r="C997"/>
      <c r="D997"/>
      <c r="E997"/>
      <c r="F997"/>
    </row>
    <row r="998" spans="3:6">
      <c r="C998"/>
      <c r="D998"/>
      <c r="E998"/>
      <c r="F998"/>
    </row>
    <row r="999" spans="3:6">
      <c r="C999"/>
      <c r="D999"/>
      <c r="E999"/>
      <c r="F999"/>
    </row>
    <row r="1000" spans="3:6">
      <c r="C1000"/>
      <c r="D1000"/>
      <c r="E1000"/>
      <c r="F1000"/>
    </row>
    <row r="1001" spans="3:6">
      <c r="C1001"/>
      <c r="D1001"/>
      <c r="E1001"/>
      <c r="F1001"/>
    </row>
    <row r="1002" spans="3:6">
      <c r="C1002"/>
      <c r="D1002"/>
      <c r="E1002"/>
      <c r="F1002"/>
    </row>
    <row r="1003" spans="3:6">
      <c r="C1003"/>
      <c r="D1003"/>
      <c r="E1003"/>
      <c r="F1003"/>
    </row>
    <row r="1004" spans="3:6">
      <c r="C1004"/>
      <c r="D1004"/>
      <c r="E1004"/>
      <c r="F1004"/>
    </row>
    <row r="1005" spans="3:6">
      <c r="C1005"/>
      <c r="D1005"/>
      <c r="E1005"/>
      <c r="F1005"/>
    </row>
    <row r="1006" spans="3:6">
      <c r="C1006"/>
      <c r="D1006"/>
      <c r="E1006"/>
      <c r="F1006"/>
    </row>
    <row r="1007" spans="3:6">
      <c r="C1007"/>
      <c r="D1007"/>
      <c r="E1007"/>
      <c r="F1007"/>
    </row>
    <row r="1008" spans="3:6">
      <c r="C1008"/>
      <c r="D1008"/>
      <c r="E1008"/>
      <c r="F1008"/>
    </row>
    <row r="1009" spans="3:6">
      <c r="C1009"/>
      <c r="D1009"/>
      <c r="E1009"/>
      <c r="F1009"/>
    </row>
    <row r="1010" spans="3:6">
      <c r="C1010"/>
      <c r="D1010"/>
      <c r="E1010"/>
      <c r="F1010"/>
    </row>
    <row r="1011" spans="3:6">
      <c r="C1011"/>
      <c r="D1011"/>
      <c r="E1011"/>
      <c r="F1011"/>
    </row>
    <row r="1012" spans="3:6">
      <c r="C1012"/>
      <c r="D1012"/>
      <c r="E1012"/>
      <c r="F1012"/>
    </row>
    <row r="1013" spans="3:6">
      <c r="C1013"/>
      <c r="D1013"/>
      <c r="E1013"/>
      <c r="F1013"/>
    </row>
    <row r="1014" spans="3:6">
      <c r="C1014"/>
      <c r="D1014"/>
      <c r="E1014"/>
      <c r="F1014"/>
    </row>
    <row r="1015" spans="3:6">
      <c r="C1015"/>
      <c r="D1015"/>
      <c r="E1015"/>
      <c r="F1015"/>
    </row>
    <row r="1016" spans="3:6">
      <c r="C1016"/>
      <c r="D1016"/>
      <c r="E1016"/>
      <c r="F1016"/>
    </row>
    <row r="1017" spans="3:6">
      <c r="C1017"/>
      <c r="D1017"/>
      <c r="E1017"/>
      <c r="F1017"/>
    </row>
    <row r="1018" spans="3:6">
      <c r="C1018"/>
      <c r="D1018"/>
      <c r="E1018"/>
      <c r="F1018"/>
    </row>
    <row r="1019" spans="3:6">
      <c r="C1019"/>
      <c r="D1019"/>
      <c r="E1019"/>
      <c r="F1019"/>
    </row>
    <row r="1020" spans="3:6">
      <c r="C1020"/>
      <c r="D1020"/>
      <c r="E1020"/>
      <c r="F1020"/>
    </row>
    <row r="1021" spans="3:6">
      <c r="C1021"/>
      <c r="D1021"/>
      <c r="E1021"/>
      <c r="F1021"/>
    </row>
    <row r="1022" spans="3:6">
      <c r="C1022"/>
      <c r="D1022"/>
      <c r="E1022"/>
      <c r="F1022"/>
    </row>
    <row r="1023" spans="3:6">
      <c r="C1023"/>
      <c r="D1023"/>
      <c r="E1023"/>
      <c r="F1023"/>
    </row>
    <row r="1024" spans="3:6">
      <c r="C1024"/>
      <c r="D1024"/>
      <c r="E1024"/>
      <c r="F1024"/>
    </row>
    <row r="1025" spans="3:6">
      <c r="C1025"/>
      <c r="D1025"/>
      <c r="E1025"/>
      <c r="F1025"/>
    </row>
    <row r="1026" spans="3:6">
      <c r="C1026"/>
      <c r="D1026"/>
      <c r="E1026"/>
      <c r="F1026"/>
    </row>
    <row r="1027" spans="3:6">
      <c r="C1027"/>
      <c r="D1027"/>
      <c r="E1027"/>
      <c r="F1027"/>
    </row>
    <row r="1028" spans="3:6">
      <c r="C1028"/>
      <c r="D1028"/>
      <c r="E1028"/>
      <c r="F1028"/>
    </row>
    <row r="1029" spans="3:6">
      <c r="C1029"/>
      <c r="D1029"/>
      <c r="E1029"/>
      <c r="F1029"/>
    </row>
    <row r="1030" spans="3:6">
      <c r="C1030"/>
      <c r="D1030"/>
      <c r="E1030"/>
      <c r="F1030"/>
    </row>
    <row r="1031" spans="3:6">
      <c r="C1031"/>
      <c r="D1031"/>
      <c r="E1031"/>
      <c r="F1031"/>
    </row>
    <row r="1032" spans="3:6">
      <c r="C1032"/>
      <c r="D1032"/>
      <c r="E1032"/>
      <c r="F1032"/>
    </row>
    <row r="1033" spans="3:6">
      <c r="C1033"/>
      <c r="D1033"/>
      <c r="E1033"/>
      <c r="F1033"/>
    </row>
    <row r="1034" spans="3:6">
      <c r="C1034"/>
      <c r="D1034"/>
      <c r="E1034"/>
      <c r="F1034"/>
    </row>
    <row r="1035" spans="3:6">
      <c r="C1035"/>
      <c r="D1035"/>
      <c r="E1035"/>
      <c r="F1035"/>
    </row>
    <row r="1036" spans="3:6">
      <c r="C1036"/>
      <c r="D1036"/>
      <c r="E1036"/>
      <c r="F1036"/>
    </row>
    <row r="1037" spans="3:6">
      <c r="C1037"/>
      <c r="D1037"/>
      <c r="E1037"/>
      <c r="F1037"/>
    </row>
    <row r="1038" spans="3:6">
      <c r="C1038"/>
      <c r="D1038"/>
      <c r="E1038"/>
      <c r="F1038"/>
    </row>
    <row r="1039" spans="3:6">
      <c r="C1039"/>
      <c r="D1039"/>
      <c r="E1039"/>
      <c r="F1039"/>
    </row>
    <row r="1040" spans="3:6">
      <c r="C1040"/>
      <c r="D1040"/>
      <c r="E1040"/>
      <c r="F1040"/>
    </row>
    <row r="1041" spans="3:6">
      <c r="C1041"/>
      <c r="D1041"/>
      <c r="E1041"/>
      <c r="F1041"/>
    </row>
    <row r="1042" spans="3:6">
      <c r="C1042"/>
      <c r="D1042"/>
      <c r="E1042"/>
      <c r="F1042"/>
    </row>
    <row r="1043" spans="3:6">
      <c r="C1043"/>
      <c r="D1043"/>
      <c r="E1043"/>
      <c r="F1043"/>
    </row>
    <row r="1044" spans="3:6">
      <c r="C1044"/>
      <c r="D1044"/>
      <c r="E1044"/>
      <c r="F1044"/>
    </row>
    <row r="1045" spans="3:6">
      <c r="C1045"/>
      <c r="D1045"/>
      <c r="E1045"/>
      <c r="F1045"/>
    </row>
    <row r="1046" spans="3:6">
      <c r="C1046"/>
      <c r="D1046"/>
      <c r="E1046"/>
      <c r="F1046"/>
    </row>
    <row r="1047" spans="3:6">
      <c r="C1047"/>
      <c r="D1047"/>
      <c r="E1047"/>
      <c r="F1047"/>
    </row>
    <row r="1048" spans="3:6">
      <c r="C1048"/>
      <c r="D1048"/>
      <c r="E1048"/>
      <c r="F1048"/>
    </row>
    <row r="1049" spans="3:6">
      <c r="C1049"/>
      <c r="D1049"/>
      <c r="E1049"/>
      <c r="F1049"/>
    </row>
    <row r="1050" spans="3:6">
      <c r="C1050"/>
      <c r="D1050"/>
      <c r="E1050"/>
      <c r="F1050"/>
    </row>
    <row r="1051" spans="3:6">
      <c r="C1051"/>
      <c r="D1051"/>
      <c r="E1051"/>
      <c r="F1051"/>
    </row>
    <row r="1052" spans="3:6">
      <c r="C1052"/>
      <c r="D1052"/>
      <c r="E1052"/>
      <c r="F1052"/>
    </row>
    <row r="1053" spans="3:6">
      <c r="C1053"/>
      <c r="D1053"/>
      <c r="E1053"/>
      <c r="F1053"/>
    </row>
    <row r="1054" spans="3:6">
      <c r="C1054"/>
      <c r="D1054"/>
      <c r="E1054"/>
      <c r="F1054"/>
    </row>
    <row r="1055" spans="3:6">
      <c r="C1055"/>
      <c r="D1055"/>
      <c r="E1055"/>
      <c r="F1055"/>
    </row>
    <row r="1056" spans="3:6">
      <c r="C1056"/>
      <c r="D1056"/>
      <c r="E1056"/>
      <c r="F1056"/>
    </row>
    <row r="1057" spans="3:6">
      <c r="C1057"/>
      <c r="D1057"/>
      <c r="E1057"/>
      <c r="F1057"/>
    </row>
    <row r="1058" spans="3:6">
      <c r="C1058"/>
      <c r="D1058"/>
      <c r="E1058"/>
      <c r="F1058"/>
    </row>
    <row r="1059" spans="3:6">
      <c r="C1059"/>
      <c r="D1059"/>
      <c r="E1059"/>
      <c r="F1059"/>
    </row>
    <row r="1060" spans="3:6">
      <c r="C1060"/>
      <c r="D1060"/>
      <c r="E1060"/>
      <c r="F1060"/>
    </row>
    <row r="1061" spans="3:6">
      <c r="C1061"/>
      <c r="D1061"/>
      <c r="E1061"/>
      <c r="F1061"/>
    </row>
    <row r="1062" spans="3:6">
      <c r="C1062"/>
      <c r="D1062"/>
      <c r="E1062"/>
      <c r="F1062"/>
    </row>
    <row r="1063" spans="3:6">
      <c r="C1063"/>
      <c r="D1063"/>
      <c r="E1063"/>
      <c r="F1063"/>
    </row>
    <row r="1064" spans="3:6">
      <c r="C1064"/>
      <c r="D1064"/>
      <c r="E1064"/>
      <c r="F1064"/>
    </row>
    <row r="1065" spans="3:6">
      <c r="C1065"/>
      <c r="D1065"/>
      <c r="E1065"/>
      <c r="F1065"/>
    </row>
    <row r="1066" spans="3:6">
      <c r="C1066"/>
      <c r="D1066"/>
      <c r="E1066"/>
      <c r="F1066"/>
    </row>
    <row r="1067" spans="3:6">
      <c r="C1067"/>
      <c r="D1067"/>
      <c r="E1067"/>
      <c r="F1067"/>
    </row>
    <row r="1068" spans="3:6">
      <c r="C1068"/>
      <c r="D1068"/>
      <c r="E1068"/>
      <c r="F1068"/>
    </row>
    <row r="1069" spans="3:6">
      <c r="C1069"/>
      <c r="D1069"/>
      <c r="E1069"/>
      <c r="F1069"/>
    </row>
    <row r="1070" spans="3:6">
      <c r="C1070"/>
      <c r="D1070"/>
      <c r="E1070"/>
      <c r="F1070"/>
    </row>
    <row r="1071" spans="3:6">
      <c r="C1071"/>
      <c r="D1071"/>
      <c r="E1071"/>
      <c r="F1071"/>
    </row>
    <row r="1072" spans="3:6">
      <c r="C1072"/>
      <c r="D1072"/>
      <c r="E1072"/>
      <c r="F1072"/>
    </row>
    <row r="1073" spans="3:6">
      <c r="C1073"/>
      <c r="D1073"/>
      <c r="E1073"/>
      <c r="F1073"/>
    </row>
    <row r="1074" spans="3:6">
      <c r="C1074"/>
      <c r="D1074"/>
      <c r="E1074"/>
      <c r="F1074"/>
    </row>
    <row r="1075" spans="3:6">
      <c r="C1075"/>
      <c r="D1075"/>
      <c r="E1075"/>
      <c r="F1075"/>
    </row>
    <row r="1076" spans="3:6">
      <c r="C1076"/>
      <c r="D1076"/>
      <c r="E1076"/>
      <c r="F1076"/>
    </row>
    <row r="1077" spans="3:6">
      <c r="C1077"/>
      <c r="D1077"/>
      <c r="E1077"/>
      <c r="F1077"/>
    </row>
    <row r="1078" spans="3:6">
      <c r="C1078"/>
      <c r="D1078"/>
      <c r="E1078"/>
      <c r="F1078"/>
    </row>
    <row r="1079" spans="3:6">
      <c r="C1079"/>
      <c r="D1079"/>
      <c r="E1079"/>
      <c r="F1079"/>
    </row>
    <row r="1080" spans="3:6">
      <c r="C1080"/>
      <c r="D1080"/>
      <c r="E1080"/>
      <c r="F1080"/>
    </row>
    <row r="1081" spans="3:6">
      <c r="C1081"/>
      <c r="D1081"/>
      <c r="E1081"/>
      <c r="F1081"/>
    </row>
    <row r="1082" spans="3:6">
      <c r="C1082"/>
      <c r="D1082"/>
      <c r="E1082"/>
      <c r="F1082"/>
    </row>
    <row r="1083" spans="3:6">
      <c r="C1083"/>
      <c r="D1083"/>
      <c r="E1083"/>
      <c r="F1083"/>
    </row>
    <row r="1084" spans="3:6">
      <c r="C1084"/>
      <c r="D1084"/>
      <c r="E1084"/>
      <c r="F1084"/>
    </row>
    <row r="1085" spans="3:6">
      <c r="C1085"/>
      <c r="D1085"/>
      <c r="E1085"/>
      <c r="F1085"/>
    </row>
    <row r="1086" spans="3:6">
      <c r="C1086"/>
      <c r="D1086"/>
      <c r="E1086"/>
      <c r="F1086"/>
    </row>
    <row r="1087" spans="3:6">
      <c r="C1087"/>
      <c r="D1087"/>
      <c r="E1087"/>
      <c r="F1087"/>
    </row>
    <row r="1088" spans="3:6">
      <c r="C1088"/>
      <c r="D1088"/>
      <c r="E1088"/>
      <c r="F1088"/>
    </row>
    <row r="1089" spans="3:6">
      <c r="C1089"/>
      <c r="D1089"/>
      <c r="E1089"/>
      <c r="F1089"/>
    </row>
    <row r="1090" spans="3:6">
      <c r="C1090"/>
      <c r="D1090"/>
      <c r="E1090"/>
      <c r="F1090"/>
    </row>
    <row r="1091" spans="3:6">
      <c r="C1091"/>
      <c r="D1091"/>
      <c r="E1091"/>
      <c r="F1091"/>
    </row>
    <row r="1092" spans="3:6">
      <c r="C1092"/>
      <c r="D1092"/>
      <c r="E1092"/>
      <c r="F1092"/>
    </row>
    <row r="1093" spans="3:6">
      <c r="C1093"/>
      <c r="D1093"/>
      <c r="E1093"/>
      <c r="F1093"/>
    </row>
    <row r="1094" spans="3:6">
      <c r="C1094"/>
      <c r="D1094"/>
      <c r="E1094"/>
      <c r="F1094"/>
    </row>
    <row r="1095" spans="3:6">
      <c r="C1095"/>
      <c r="D1095"/>
      <c r="E1095"/>
      <c r="F1095"/>
    </row>
    <row r="1096" spans="3:6">
      <c r="C1096"/>
      <c r="D1096"/>
      <c r="E1096"/>
      <c r="F1096"/>
    </row>
    <row r="1097" spans="3:6">
      <c r="C1097"/>
      <c r="D1097"/>
      <c r="E1097"/>
      <c r="F1097"/>
    </row>
    <row r="1098" spans="3:6">
      <c r="C1098"/>
      <c r="D1098"/>
      <c r="E1098"/>
      <c r="F1098"/>
    </row>
    <row r="1099" spans="3:6">
      <c r="C1099"/>
      <c r="D1099"/>
      <c r="E1099"/>
      <c r="F1099"/>
    </row>
    <row r="1100" spans="3:6">
      <c r="C1100"/>
      <c r="D1100"/>
      <c r="E1100"/>
      <c r="F1100"/>
    </row>
    <row r="1101" spans="3:6">
      <c r="C1101"/>
      <c r="D1101"/>
      <c r="E1101"/>
      <c r="F1101"/>
    </row>
    <row r="1102" spans="3:6">
      <c r="C1102"/>
      <c r="D1102"/>
      <c r="E1102"/>
      <c r="F1102"/>
    </row>
    <row r="1103" spans="3:6">
      <c r="C1103"/>
      <c r="D1103"/>
      <c r="E1103"/>
      <c r="F1103"/>
    </row>
    <row r="1104" spans="3:6">
      <c r="C1104"/>
      <c r="D1104"/>
      <c r="E1104"/>
      <c r="F1104"/>
    </row>
    <row r="1105" spans="3:6">
      <c r="C1105"/>
      <c r="D1105"/>
      <c r="E1105"/>
      <c r="F1105"/>
    </row>
    <row r="1106" spans="3:6">
      <c r="C1106"/>
      <c r="D1106"/>
      <c r="E1106"/>
      <c r="F1106"/>
    </row>
    <row r="1107" spans="3:6">
      <c r="C1107"/>
      <c r="D1107"/>
      <c r="E1107"/>
      <c r="F1107"/>
    </row>
    <row r="1108" spans="3:6">
      <c r="C1108"/>
      <c r="D1108"/>
      <c r="E1108"/>
      <c r="F1108"/>
    </row>
    <row r="1109" spans="3:6">
      <c r="C1109"/>
      <c r="D1109"/>
      <c r="E1109"/>
      <c r="F1109"/>
    </row>
    <row r="1110" spans="3:6">
      <c r="C1110"/>
      <c r="D1110"/>
      <c r="E1110"/>
      <c r="F1110"/>
    </row>
    <row r="1111" spans="3:6">
      <c r="C1111"/>
      <c r="D1111"/>
      <c r="E1111"/>
      <c r="F1111"/>
    </row>
    <row r="1112" spans="3:6">
      <c r="C1112"/>
      <c r="D1112"/>
      <c r="E1112"/>
      <c r="F1112"/>
    </row>
    <row r="1113" spans="3:6">
      <c r="C1113"/>
      <c r="D1113"/>
      <c r="E1113"/>
      <c r="F1113"/>
    </row>
    <row r="1114" spans="3:6">
      <c r="C1114"/>
      <c r="D1114"/>
      <c r="E1114"/>
      <c r="F1114"/>
    </row>
    <row r="1115" spans="3:6">
      <c r="C1115"/>
      <c r="D1115"/>
      <c r="E1115"/>
      <c r="F1115"/>
    </row>
    <row r="1116" spans="3:6">
      <c r="C1116"/>
      <c r="D1116"/>
      <c r="E1116"/>
      <c r="F1116"/>
    </row>
    <row r="1117" spans="3:6">
      <c r="C1117"/>
      <c r="D1117"/>
      <c r="E1117"/>
      <c r="F1117"/>
    </row>
    <row r="1118" spans="3:6">
      <c r="C1118"/>
      <c r="D1118"/>
      <c r="E1118"/>
      <c r="F1118"/>
    </row>
    <row r="1119" spans="3:6">
      <c r="C1119"/>
      <c r="D1119"/>
      <c r="E1119"/>
      <c r="F1119"/>
    </row>
    <row r="1120" spans="3:6">
      <c r="C1120"/>
      <c r="D1120"/>
      <c r="E1120"/>
      <c r="F1120"/>
    </row>
    <row r="1121" spans="3:6">
      <c r="C1121"/>
      <c r="D1121"/>
      <c r="E1121"/>
      <c r="F1121"/>
    </row>
    <row r="1122" spans="3:6">
      <c r="C1122"/>
      <c r="D1122"/>
      <c r="E1122"/>
      <c r="F1122"/>
    </row>
    <row r="1123" spans="3:6">
      <c r="C1123"/>
      <c r="D1123"/>
      <c r="E1123"/>
      <c r="F1123"/>
    </row>
    <row r="1124" spans="3:6">
      <c r="C1124"/>
      <c r="D1124"/>
      <c r="E1124"/>
      <c r="F1124"/>
    </row>
    <row r="1125" spans="3:6">
      <c r="C1125"/>
      <c r="D1125"/>
      <c r="E1125"/>
      <c r="F1125"/>
    </row>
    <row r="1126" spans="3:6">
      <c r="C1126"/>
      <c r="D1126"/>
      <c r="E1126"/>
      <c r="F1126"/>
    </row>
    <row r="1127" spans="3:6">
      <c r="C1127"/>
      <c r="D1127"/>
      <c r="E1127"/>
      <c r="F1127"/>
    </row>
    <row r="1128" spans="3:6">
      <c r="C1128"/>
      <c r="D1128"/>
      <c r="E1128"/>
      <c r="F1128"/>
    </row>
    <row r="1129" spans="3:6">
      <c r="C1129"/>
      <c r="D1129"/>
      <c r="E1129"/>
      <c r="F1129"/>
    </row>
    <row r="1130" spans="3:6">
      <c r="C1130"/>
      <c r="D1130"/>
      <c r="E1130"/>
      <c r="F1130"/>
    </row>
    <row r="1131" spans="3:6">
      <c r="C1131"/>
      <c r="D1131"/>
      <c r="E1131"/>
      <c r="F1131"/>
    </row>
    <row r="1132" spans="3:6">
      <c r="C1132"/>
      <c r="D1132"/>
      <c r="E1132"/>
      <c r="F1132"/>
    </row>
    <row r="1133" spans="3:6">
      <c r="C1133"/>
      <c r="D1133"/>
      <c r="E1133"/>
      <c r="F1133"/>
    </row>
    <row r="1134" spans="3:6">
      <c r="C1134"/>
      <c r="D1134"/>
      <c r="E1134"/>
      <c r="F1134"/>
    </row>
    <row r="1135" spans="3:6">
      <c r="C1135"/>
      <c r="D1135"/>
      <c r="E1135"/>
      <c r="F1135"/>
    </row>
    <row r="1136" spans="3:6">
      <c r="C1136"/>
      <c r="D1136"/>
      <c r="E1136"/>
      <c r="F1136"/>
    </row>
    <row r="1137" spans="3:6">
      <c r="C1137"/>
      <c r="D1137"/>
      <c r="E1137"/>
      <c r="F1137"/>
    </row>
    <row r="1138" spans="3:6">
      <c r="C1138"/>
      <c r="D1138"/>
      <c r="E1138"/>
      <c r="F1138"/>
    </row>
    <row r="1139" spans="3:6">
      <c r="C1139"/>
      <c r="D1139"/>
      <c r="E1139"/>
      <c r="F1139"/>
    </row>
    <row r="1140" spans="3:6">
      <c r="C1140"/>
      <c r="D1140"/>
      <c r="E1140"/>
      <c r="F1140"/>
    </row>
    <row r="1141" spans="3:6">
      <c r="C1141"/>
      <c r="D1141"/>
      <c r="E1141"/>
      <c r="F1141"/>
    </row>
    <row r="1142" spans="3:6">
      <c r="C1142"/>
      <c r="D1142"/>
      <c r="E1142"/>
      <c r="F1142"/>
    </row>
    <row r="1143" spans="3:6">
      <c r="C1143"/>
      <c r="D1143"/>
      <c r="E1143"/>
      <c r="F1143"/>
    </row>
    <row r="1144" spans="3:6">
      <c r="C1144"/>
      <c r="D1144"/>
      <c r="E1144"/>
      <c r="F1144"/>
    </row>
    <row r="1145" spans="3:6">
      <c r="C1145"/>
      <c r="D1145"/>
      <c r="E1145"/>
      <c r="F1145"/>
    </row>
    <row r="1146" spans="3:6">
      <c r="C1146"/>
      <c r="D1146"/>
      <c r="E1146"/>
      <c r="F1146"/>
    </row>
    <row r="1147" spans="3:6">
      <c r="C1147"/>
      <c r="D1147"/>
      <c r="E1147"/>
      <c r="F1147"/>
    </row>
    <row r="1148" spans="3:6">
      <c r="C1148"/>
      <c r="D1148"/>
      <c r="E1148"/>
      <c r="F1148"/>
    </row>
    <row r="1149" spans="3:6">
      <c r="C1149"/>
      <c r="D1149"/>
      <c r="E1149"/>
      <c r="F1149"/>
    </row>
    <row r="1150" spans="3:6">
      <c r="C1150"/>
      <c r="D1150"/>
      <c r="E1150"/>
      <c r="F1150"/>
    </row>
    <row r="1151" spans="3:6">
      <c r="C1151"/>
      <c r="D1151"/>
      <c r="E1151"/>
      <c r="F1151"/>
    </row>
    <row r="1152" spans="3:6">
      <c r="C1152"/>
      <c r="D1152"/>
      <c r="E1152"/>
      <c r="F1152"/>
    </row>
    <row r="1153" spans="3:6">
      <c r="C1153"/>
      <c r="D1153"/>
      <c r="E1153"/>
      <c r="F1153"/>
    </row>
    <row r="1154" spans="3:6">
      <c r="C1154"/>
      <c r="D1154"/>
      <c r="E1154"/>
      <c r="F1154"/>
    </row>
    <row r="1155" spans="3:6">
      <c r="C1155"/>
      <c r="D1155"/>
      <c r="E1155"/>
      <c r="F1155"/>
    </row>
    <row r="1156" spans="3:6">
      <c r="C1156"/>
      <c r="D1156"/>
      <c r="E1156"/>
      <c r="F1156"/>
    </row>
    <row r="1157" spans="3:6">
      <c r="C1157"/>
      <c r="D1157"/>
      <c r="E1157"/>
      <c r="F1157"/>
    </row>
    <row r="1158" spans="3:6">
      <c r="C1158"/>
      <c r="D1158"/>
      <c r="E1158"/>
      <c r="F1158"/>
    </row>
    <row r="1159" spans="3:6">
      <c r="C1159"/>
      <c r="D1159"/>
      <c r="E1159"/>
      <c r="F1159"/>
    </row>
    <row r="1160" spans="3:6">
      <c r="C1160"/>
      <c r="D1160"/>
      <c r="E1160"/>
      <c r="F1160"/>
    </row>
    <row r="1161" spans="3:6">
      <c r="C1161"/>
      <c r="D1161"/>
      <c r="E1161"/>
      <c r="F1161"/>
    </row>
    <row r="1162" spans="3:6">
      <c r="C1162"/>
      <c r="D1162"/>
      <c r="E1162"/>
      <c r="F1162"/>
    </row>
    <row r="1163" spans="3:6">
      <c r="C1163"/>
      <c r="D1163"/>
      <c r="E1163"/>
      <c r="F1163"/>
    </row>
    <row r="1164" spans="3:6">
      <c r="C1164"/>
      <c r="D1164"/>
      <c r="E1164"/>
      <c r="F1164"/>
    </row>
    <row r="1165" spans="3:6">
      <c r="C1165"/>
      <c r="D1165"/>
      <c r="E1165"/>
      <c r="F1165"/>
    </row>
    <row r="1166" spans="3:6">
      <c r="C1166"/>
      <c r="D1166"/>
      <c r="E1166"/>
      <c r="F1166"/>
    </row>
    <row r="1167" spans="3:6">
      <c r="C1167"/>
      <c r="D1167"/>
      <c r="E1167"/>
      <c r="F1167"/>
    </row>
    <row r="1168" spans="3:6">
      <c r="C1168"/>
      <c r="D1168"/>
      <c r="E1168"/>
      <c r="F1168"/>
    </row>
    <row r="1169" spans="3:6">
      <c r="C1169"/>
      <c r="D1169"/>
      <c r="E1169"/>
      <c r="F1169"/>
    </row>
    <row r="1170" spans="3:6">
      <c r="C1170"/>
      <c r="D1170"/>
      <c r="E1170"/>
      <c r="F1170"/>
    </row>
    <row r="1171" spans="3:6">
      <c r="C1171"/>
      <c r="D1171"/>
      <c r="E1171"/>
      <c r="F1171"/>
    </row>
    <row r="1172" spans="3:6">
      <c r="C1172"/>
      <c r="D1172"/>
      <c r="E1172"/>
      <c r="F1172"/>
    </row>
    <row r="1173" spans="3:6">
      <c r="C1173"/>
      <c r="D1173"/>
      <c r="E1173"/>
      <c r="F1173"/>
    </row>
    <row r="1174" spans="3:6">
      <c r="C1174"/>
      <c r="D1174"/>
      <c r="E1174"/>
      <c r="F1174"/>
    </row>
    <row r="1175" spans="3:6">
      <c r="C1175"/>
      <c r="D1175"/>
      <c r="E1175"/>
      <c r="F1175"/>
    </row>
    <row r="1176" spans="3:6">
      <c r="C1176"/>
      <c r="D1176"/>
      <c r="E1176"/>
      <c r="F1176"/>
    </row>
    <row r="1177" spans="3:6">
      <c r="C1177"/>
      <c r="D1177"/>
      <c r="E1177"/>
      <c r="F1177"/>
    </row>
    <row r="1178" spans="3:6">
      <c r="C1178"/>
      <c r="D1178"/>
      <c r="E1178"/>
      <c r="F1178"/>
    </row>
    <row r="1179" spans="3:6">
      <c r="C1179"/>
      <c r="D1179"/>
      <c r="E1179"/>
      <c r="F1179"/>
    </row>
    <row r="1180" spans="3:6">
      <c r="C1180"/>
      <c r="D1180"/>
      <c r="E1180"/>
      <c r="F1180"/>
    </row>
    <row r="1181" spans="3:6">
      <c r="C1181"/>
      <c r="D1181"/>
      <c r="E1181"/>
      <c r="F1181"/>
    </row>
    <row r="1182" spans="3:6">
      <c r="C1182"/>
      <c r="D1182"/>
      <c r="E1182"/>
      <c r="F1182"/>
    </row>
    <row r="1183" spans="3:6">
      <c r="C1183"/>
      <c r="D1183"/>
      <c r="E1183"/>
      <c r="F1183"/>
    </row>
    <row r="1184" spans="3:6">
      <c r="C1184"/>
      <c r="D1184"/>
      <c r="E1184"/>
      <c r="F1184"/>
    </row>
    <row r="1185" spans="3:6">
      <c r="C1185"/>
      <c r="D1185"/>
      <c r="E1185"/>
      <c r="F1185"/>
    </row>
    <row r="1186" spans="3:6">
      <c r="C1186"/>
      <c r="D1186"/>
      <c r="E1186"/>
      <c r="F1186"/>
    </row>
    <row r="1187" spans="3:6">
      <c r="C1187"/>
      <c r="D1187"/>
      <c r="E1187"/>
      <c r="F1187"/>
    </row>
    <row r="1188" spans="3:6">
      <c r="C1188"/>
      <c r="D1188"/>
      <c r="E1188"/>
      <c r="F1188"/>
    </row>
    <row r="1189" spans="3:6">
      <c r="C1189"/>
      <c r="D1189"/>
      <c r="E1189"/>
      <c r="F1189"/>
    </row>
    <row r="1190" spans="3:6">
      <c r="C1190"/>
      <c r="D1190"/>
      <c r="E1190"/>
      <c r="F1190"/>
    </row>
    <row r="1191" spans="3:6">
      <c r="C1191"/>
      <c r="D1191"/>
      <c r="E1191"/>
      <c r="F1191"/>
    </row>
    <row r="1192" spans="3:6">
      <c r="C1192"/>
      <c r="D1192"/>
      <c r="E1192"/>
      <c r="F1192"/>
    </row>
    <row r="1193" spans="3:6">
      <c r="C1193"/>
      <c r="D1193"/>
      <c r="E1193"/>
      <c r="F1193"/>
    </row>
    <row r="1194" spans="3:6">
      <c r="C1194"/>
      <c r="D1194"/>
      <c r="E1194"/>
      <c r="F1194"/>
    </row>
    <row r="1195" spans="3:6">
      <c r="C1195"/>
      <c r="D1195"/>
      <c r="E1195"/>
      <c r="F1195"/>
    </row>
    <row r="1196" spans="3:6">
      <c r="C1196"/>
      <c r="D1196"/>
      <c r="E1196"/>
      <c r="F1196"/>
    </row>
    <row r="1197" spans="3:6">
      <c r="C1197"/>
      <c r="D1197"/>
      <c r="E1197"/>
      <c r="F1197"/>
    </row>
    <row r="1198" spans="3:6">
      <c r="C1198"/>
      <c r="D1198"/>
      <c r="E1198"/>
      <c r="F1198"/>
    </row>
    <row r="1199" spans="3:6">
      <c r="C1199"/>
      <c r="D1199"/>
      <c r="E1199"/>
      <c r="F1199"/>
    </row>
    <row r="1200" spans="3:6">
      <c r="C1200"/>
      <c r="D1200"/>
      <c r="E1200"/>
      <c r="F1200"/>
    </row>
    <row r="1201" spans="3:6">
      <c r="C1201"/>
      <c r="D1201"/>
      <c r="E1201"/>
      <c r="F1201"/>
    </row>
    <row r="1202" spans="3:6">
      <c r="C1202"/>
      <c r="D1202"/>
      <c r="E1202"/>
      <c r="F1202"/>
    </row>
    <row r="1203" spans="3:6">
      <c r="C1203"/>
      <c r="D1203"/>
      <c r="E1203"/>
      <c r="F1203"/>
    </row>
    <row r="1204" spans="3:6">
      <c r="C1204"/>
      <c r="D1204"/>
      <c r="E1204"/>
      <c r="F1204"/>
    </row>
    <row r="1205" spans="3:6">
      <c r="C1205"/>
      <c r="D1205"/>
      <c r="E1205"/>
      <c r="F1205"/>
    </row>
    <row r="1206" spans="3:6">
      <c r="C1206"/>
      <c r="D1206"/>
      <c r="E1206"/>
      <c r="F1206"/>
    </row>
    <row r="1207" spans="3:6">
      <c r="C1207"/>
      <c r="D1207"/>
      <c r="E1207"/>
      <c r="F1207"/>
    </row>
    <row r="1208" spans="3:6">
      <c r="C1208"/>
      <c r="D1208"/>
      <c r="E1208"/>
      <c r="F1208"/>
    </row>
    <row r="1209" spans="3:6">
      <c r="C1209"/>
      <c r="D1209"/>
      <c r="E1209"/>
      <c r="F1209"/>
    </row>
    <row r="1210" spans="3:6">
      <c r="C1210"/>
      <c r="D1210"/>
      <c r="E1210"/>
      <c r="F1210"/>
    </row>
    <row r="1211" spans="3:6">
      <c r="C1211"/>
      <c r="D1211"/>
      <c r="E1211"/>
      <c r="F1211"/>
    </row>
    <row r="1212" spans="3:6">
      <c r="C1212"/>
      <c r="D1212"/>
      <c r="E1212"/>
      <c r="F1212"/>
    </row>
    <row r="1213" spans="3:6">
      <c r="C1213"/>
      <c r="D1213"/>
      <c r="E1213"/>
      <c r="F1213"/>
    </row>
    <row r="1214" spans="3:6">
      <c r="C1214"/>
      <c r="D1214"/>
      <c r="E1214"/>
      <c r="F1214"/>
    </row>
    <row r="1215" spans="3:6">
      <c r="C1215"/>
      <c r="D1215"/>
      <c r="E1215"/>
      <c r="F1215"/>
    </row>
    <row r="1216" spans="3:6">
      <c r="C1216"/>
      <c r="D1216"/>
      <c r="E1216"/>
      <c r="F1216"/>
    </row>
    <row r="1217" spans="3:6">
      <c r="C1217"/>
      <c r="D1217"/>
      <c r="E1217"/>
      <c r="F1217"/>
    </row>
    <row r="1218" spans="3:6">
      <c r="C1218"/>
      <c r="D1218"/>
      <c r="E1218"/>
      <c r="F1218"/>
    </row>
    <row r="1219" spans="3:6">
      <c r="C1219"/>
      <c r="D1219"/>
      <c r="E1219"/>
      <c r="F1219"/>
    </row>
    <row r="1220" spans="3:6">
      <c r="C1220"/>
      <c r="D1220"/>
      <c r="E1220"/>
      <c r="F1220"/>
    </row>
    <row r="1221" spans="3:6">
      <c r="C1221"/>
      <c r="D1221"/>
      <c r="E1221"/>
      <c r="F1221"/>
    </row>
    <row r="1222" spans="3:6">
      <c r="C1222"/>
      <c r="D1222"/>
      <c r="E1222"/>
      <c r="F1222"/>
    </row>
    <row r="1223" spans="3:6">
      <c r="C1223"/>
      <c r="D1223"/>
      <c r="E1223"/>
      <c r="F1223"/>
    </row>
    <row r="1224" spans="3:6">
      <c r="C1224"/>
      <c r="D1224"/>
      <c r="E1224"/>
      <c r="F1224"/>
    </row>
    <row r="1225" spans="3:6">
      <c r="C1225"/>
      <c r="D1225"/>
      <c r="E1225"/>
      <c r="F1225"/>
    </row>
    <row r="1226" spans="3:6">
      <c r="C1226"/>
      <c r="D1226"/>
      <c r="E1226"/>
      <c r="F1226"/>
    </row>
    <row r="1227" spans="3:6">
      <c r="C1227"/>
      <c r="D1227"/>
      <c r="E1227"/>
      <c r="F1227"/>
    </row>
    <row r="1228" spans="3:6">
      <c r="C1228"/>
      <c r="D1228"/>
      <c r="E1228"/>
      <c r="F1228"/>
    </row>
    <row r="1229" spans="3:6">
      <c r="C1229"/>
      <c r="D1229"/>
      <c r="E1229"/>
      <c r="F1229"/>
    </row>
    <row r="1230" spans="3:6">
      <c r="C1230"/>
      <c r="D1230"/>
      <c r="E1230"/>
      <c r="F1230"/>
    </row>
    <row r="1231" spans="3:6">
      <c r="C1231"/>
      <c r="D1231"/>
      <c r="E1231"/>
      <c r="F1231"/>
    </row>
    <row r="1232" spans="3:6">
      <c r="C1232"/>
      <c r="D1232"/>
      <c r="E1232"/>
      <c r="F1232"/>
    </row>
    <row r="1233" spans="3:6">
      <c r="C1233"/>
      <c r="D1233"/>
      <c r="E1233"/>
      <c r="F1233"/>
    </row>
    <row r="1234" spans="3:6">
      <c r="C1234"/>
      <c r="D1234"/>
      <c r="E1234"/>
      <c r="F1234"/>
    </row>
    <row r="1235" spans="3:6">
      <c r="C1235"/>
      <c r="D1235"/>
      <c r="E1235"/>
      <c r="F1235"/>
    </row>
    <row r="1236" spans="3:6">
      <c r="C1236"/>
      <c r="D1236"/>
      <c r="E1236"/>
      <c r="F1236"/>
    </row>
    <row r="1237" spans="3:6">
      <c r="C1237"/>
      <c r="D1237"/>
      <c r="E1237"/>
      <c r="F1237"/>
    </row>
    <row r="1238" spans="3:6">
      <c r="C1238"/>
      <c r="D1238"/>
      <c r="E1238"/>
      <c r="F1238"/>
    </row>
    <row r="1239" spans="3:6">
      <c r="C1239"/>
      <c r="D1239"/>
      <c r="E1239"/>
      <c r="F1239"/>
    </row>
    <row r="1240" spans="3:6">
      <c r="C1240"/>
      <c r="D1240"/>
      <c r="E1240"/>
      <c r="F1240"/>
    </row>
    <row r="1241" spans="3:6">
      <c r="C1241"/>
      <c r="D1241"/>
      <c r="E1241"/>
      <c r="F1241"/>
    </row>
    <row r="1242" spans="3:6">
      <c r="C1242"/>
      <c r="D1242"/>
      <c r="E1242"/>
      <c r="F1242"/>
    </row>
    <row r="1243" spans="3:6">
      <c r="C1243"/>
      <c r="D1243"/>
      <c r="E1243"/>
      <c r="F1243"/>
    </row>
    <row r="1244" spans="3:6">
      <c r="C1244"/>
      <c r="D1244"/>
      <c r="E1244"/>
      <c r="F1244"/>
    </row>
    <row r="1245" spans="3:6">
      <c r="C1245"/>
      <c r="D1245"/>
      <c r="E1245"/>
      <c r="F1245"/>
    </row>
    <row r="1246" spans="3:6">
      <c r="C1246"/>
      <c r="D1246"/>
      <c r="E1246"/>
      <c r="F1246"/>
    </row>
    <row r="1247" spans="3:6">
      <c r="C1247"/>
      <c r="D1247"/>
      <c r="E1247"/>
      <c r="F1247"/>
    </row>
    <row r="1248" spans="3:6">
      <c r="C1248"/>
      <c r="D1248"/>
      <c r="E1248"/>
      <c r="F1248"/>
    </row>
    <row r="1249" spans="3:6">
      <c r="C1249"/>
      <c r="D1249"/>
      <c r="E1249"/>
      <c r="F1249"/>
    </row>
    <row r="1250" spans="3:6">
      <c r="C1250"/>
      <c r="D1250"/>
      <c r="E1250"/>
      <c r="F1250"/>
    </row>
    <row r="1251" spans="3:6">
      <c r="C1251"/>
      <c r="D1251"/>
      <c r="E1251"/>
      <c r="F1251"/>
    </row>
    <row r="1252" spans="3:6">
      <c r="C1252"/>
      <c r="D1252"/>
      <c r="E1252"/>
      <c r="F1252"/>
    </row>
    <row r="1253" spans="3:6">
      <c r="C1253"/>
      <c r="D1253"/>
      <c r="E1253"/>
      <c r="F1253"/>
    </row>
    <row r="1254" spans="3:6">
      <c r="C1254"/>
      <c r="D1254"/>
      <c r="E1254"/>
      <c r="F1254"/>
    </row>
    <row r="1255" spans="3:6">
      <c r="C1255"/>
      <c r="D1255"/>
      <c r="E1255"/>
      <c r="F1255"/>
    </row>
    <row r="1256" spans="3:6">
      <c r="C1256"/>
      <c r="D1256"/>
      <c r="E1256"/>
      <c r="F1256"/>
    </row>
    <row r="1257" spans="3:6">
      <c r="C1257"/>
      <c r="D1257"/>
      <c r="E1257"/>
      <c r="F1257"/>
    </row>
    <row r="1258" spans="3:6">
      <c r="C1258"/>
      <c r="D1258"/>
      <c r="E1258"/>
      <c r="F1258"/>
    </row>
    <row r="1259" spans="3:6">
      <c r="C1259"/>
      <c r="D1259"/>
      <c r="E1259"/>
      <c r="F1259"/>
    </row>
    <row r="1260" spans="3:6">
      <c r="C1260"/>
      <c r="D1260"/>
      <c r="E1260"/>
      <c r="F1260"/>
    </row>
    <row r="1261" spans="3:6">
      <c r="C1261"/>
      <c r="D1261"/>
      <c r="E1261"/>
      <c r="F1261"/>
    </row>
    <row r="1262" spans="3:6">
      <c r="C1262"/>
      <c r="D1262"/>
      <c r="E1262"/>
      <c r="F1262"/>
    </row>
    <row r="1263" spans="3:6">
      <c r="C1263"/>
      <c r="D1263"/>
      <c r="E1263"/>
      <c r="F1263"/>
    </row>
    <row r="1264" spans="3:6">
      <c r="C1264"/>
      <c r="D1264"/>
      <c r="E1264"/>
      <c r="F1264"/>
    </row>
    <row r="1265" spans="3:6">
      <c r="C1265"/>
      <c r="D1265"/>
      <c r="E1265"/>
      <c r="F1265"/>
    </row>
    <row r="1266" spans="3:6">
      <c r="C1266"/>
      <c r="D1266"/>
      <c r="E1266"/>
      <c r="F1266"/>
    </row>
    <row r="1267" spans="3:6">
      <c r="C1267"/>
      <c r="D1267"/>
      <c r="E1267"/>
      <c r="F1267"/>
    </row>
    <row r="1268" spans="3:6">
      <c r="C1268"/>
      <c r="D1268"/>
      <c r="E1268"/>
      <c r="F1268"/>
    </row>
    <row r="1269" spans="3:6">
      <c r="C1269"/>
      <c r="D1269"/>
      <c r="E1269"/>
      <c r="F1269"/>
    </row>
    <row r="1270" spans="3:6">
      <c r="C1270"/>
      <c r="D1270"/>
      <c r="E1270"/>
      <c r="F1270"/>
    </row>
    <row r="1271" spans="3:6">
      <c r="C1271"/>
      <c r="D1271"/>
      <c r="E1271"/>
      <c r="F1271"/>
    </row>
    <row r="1272" spans="3:6">
      <c r="C1272"/>
      <c r="D1272"/>
      <c r="E1272"/>
      <c r="F1272"/>
    </row>
    <row r="1273" spans="3:6">
      <c r="C1273"/>
      <c r="D1273"/>
      <c r="E1273"/>
      <c r="F1273"/>
    </row>
    <row r="1274" spans="3:6">
      <c r="C1274"/>
      <c r="D1274"/>
      <c r="E1274"/>
      <c r="F1274"/>
    </row>
    <row r="1275" spans="3:6">
      <c r="C1275"/>
      <c r="D1275"/>
      <c r="E1275"/>
      <c r="F1275"/>
    </row>
    <row r="1276" spans="3:6">
      <c r="C1276"/>
      <c r="D1276"/>
      <c r="E1276"/>
      <c r="F1276"/>
    </row>
    <row r="1277" spans="3:6">
      <c r="C1277"/>
      <c r="D1277"/>
      <c r="E1277"/>
      <c r="F1277"/>
    </row>
    <row r="1278" spans="3:6">
      <c r="C1278"/>
      <c r="D1278"/>
      <c r="E1278"/>
      <c r="F1278"/>
    </row>
    <row r="1279" spans="3:6">
      <c r="C1279"/>
      <c r="D1279"/>
      <c r="E1279"/>
      <c r="F1279"/>
    </row>
    <row r="1280" spans="3:6">
      <c r="C1280"/>
      <c r="D1280"/>
      <c r="E1280"/>
      <c r="F1280"/>
    </row>
    <row r="1281" spans="3:6">
      <c r="C1281"/>
      <c r="D1281"/>
      <c r="E1281"/>
      <c r="F1281"/>
    </row>
    <row r="1282" spans="3:6">
      <c r="C1282"/>
      <c r="D1282"/>
      <c r="E1282"/>
      <c r="F1282"/>
    </row>
    <row r="1283" spans="3:6">
      <c r="C1283"/>
      <c r="D1283"/>
      <c r="E1283"/>
      <c r="F1283"/>
    </row>
    <row r="1284" spans="3:6">
      <c r="C1284"/>
      <c r="D1284"/>
      <c r="E1284"/>
      <c r="F1284"/>
    </row>
    <row r="1285" spans="3:6">
      <c r="C1285"/>
      <c r="D1285"/>
      <c r="E1285"/>
      <c r="F1285"/>
    </row>
    <row r="1286" spans="3:6">
      <c r="C1286"/>
      <c r="D1286"/>
      <c r="E1286"/>
      <c r="F1286"/>
    </row>
    <row r="1287" spans="3:6">
      <c r="C1287"/>
      <c r="D1287"/>
      <c r="E1287"/>
      <c r="F1287"/>
    </row>
    <row r="1288" spans="3:6">
      <c r="C1288"/>
      <c r="D1288"/>
      <c r="E1288"/>
      <c r="F1288"/>
    </row>
    <row r="1289" spans="3:6">
      <c r="C1289"/>
      <c r="D1289"/>
      <c r="E1289"/>
      <c r="F1289"/>
    </row>
    <row r="1290" spans="3:6">
      <c r="C1290"/>
      <c r="D1290"/>
      <c r="E1290"/>
      <c r="F1290"/>
    </row>
    <row r="1291" spans="3:6">
      <c r="C1291"/>
      <c r="D1291"/>
      <c r="E1291"/>
      <c r="F1291"/>
    </row>
    <row r="1292" spans="3:6">
      <c r="C1292"/>
      <c r="D1292"/>
      <c r="E1292"/>
      <c r="F1292"/>
    </row>
    <row r="1293" spans="3:6">
      <c r="C1293"/>
      <c r="D1293"/>
      <c r="E1293"/>
      <c r="F1293"/>
    </row>
    <row r="1294" spans="3:6">
      <c r="C1294"/>
      <c r="D1294"/>
      <c r="E1294"/>
      <c r="F1294"/>
    </row>
    <row r="1295" spans="3:6">
      <c r="C1295"/>
      <c r="D1295"/>
      <c r="E1295"/>
      <c r="F1295"/>
    </row>
    <row r="1296" spans="3:6">
      <c r="C1296"/>
      <c r="D1296"/>
      <c r="E1296"/>
      <c r="F1296"/>
    </row>
    <row r="1297" spans="3:6">
      <c r="C1297"/>
      <c r="D1297"/>
      <c r="E1297"/>
      <c r="F1297"/>
    </row>
    <row r="1298" spans="3:6">
      <c r="C1298"/>
      <c r="D1298"/>
      <c r="E1298"/>
      <c r="F1298"/>
    </row>
    <row r="1299" spans="3:6">
      <c r="C1299"/>
      <c r="D1299"/>
      <c r="E1299"/>
      <c r="F1299"/>
    </row>
    <row r="1300" spans="3:6">
      <c r="C1300"/>
      <c r="D1300"/>
      <c r="E1300"/>
      <c r="F1300"/>
    </row>
    <row r="1301" spans="3:6">
      <c r="C1301"/>
      <c r="D1301"/>
      <c r="E1301"/>
      <c r="F1301"/>
    </row>
    <row r="1302" spans="3:6">
      <c r="C1302"/>
      <c r="D1302"/>
      <c r="E1302"/>
      <c r="F1302"/>
    </row>
    <row r="1303" spans="3:6">
      <c r="C1303"/>
      <c r="D1303"/>
      <c r="E1303"/>
      <c r="F1303"/>
    </row>
    <row r="1304" spans="3:6">
      <c r="C1304"/>
      <c r="D1304"/>
      <c r="E1304"/>
      <c r="F1304"/>
    </row>
    <row r="1305" spans="3:6">
      <c r="C1305"/>
      <c r="D1305"/>
      <c r="E1305"/>
      <c r="F1305"/>
    </row>
    <row r="1306" spans="3:6">
      <c r="C1306"/>
      <c r="D1306"/>
      <c r="E1306"/>
      <c r="F1306"/>
    </row>
    <row r="1307" spans="3:6">
      <c r="C1307"/>
      <c r="D1307"/>
      <c r="E1307"/>
      <c r="F1307"/>
    </row>
    <row r="1308" spans="3:6">
      <c r="C1308"/>
      <c r="D1308"/>
      <c r="E1308"/>
      <c r="F1308"/>
    </row>
    <row r="1309" spans="3:6">
      <c r="C1309"/>
      <c r="D1309"/>
      <c r="E1309"/>
      <c r="F1309"/>
    </row>
    <row r="1310" spans="3:6">
      <c r="C1310"/>
      <c r="D1310"/>
      <c r="E1310"/>
      <c r="F1310"/>
    </row>
    <row r="1311" spans="3:6">
      <c r="C1311"/>
      <c r="D1311"/>
      <c r="E1311"/>
      <c r="F1311"/>
    </row>
    <row r="1312" spans="3:6">
      <c r="C1312"/>
      <c r="D1312"/>
      <c r="E1312"/>
      <c r="F1312"/>
    </row>
    <row r="1313" spans="3:6">
      <c r="C1313"/>
      <c r="D1313"/>
      <c r="E1313"/>
      <c r="F1313"/>
    </row>
    <row r="1314" spans="3:6">
      <c r="C1314"/>
      <c r="D1314"/>
      <c r="E1314"/>
      <c r="F1314"/>
    </row>
    <row r="1315" spans="3:6">
      <c r="C1315"/>
      <c r="D1315"/>
      <c r="E1315"/>
      <c r="F1315"/>
    </row>
    <row r="1316" spans="3:6">
      <c r="C1316"/>
      <c r="D1316"/>
      <c r="E1316"/>
      <c r="F1316"/>
    </row>
    <row r="1317" spans="3:6">
      <c r="C1317"/>
      <c r="D1317"/>
      <c r="E1317"/>
      <c r="F1317"/>
    </row>
    <row r="1318" spans="3:6">
      <c r="C1318"/>
      <c r="D1318"/>
      <c r="E1318"/>
      <c r="F1318"/>
    </row>
    <row r="1319" spans="3:6">
      <c r="C1319"/>
      <c r="D1319"/>
      <c r="E1319"/>
      <c r="F1319"/>
    </row>
    <row r="1320" spans="3:6">
      <c r="C1320"/>
      <c r="D1320"/>
      <c r="E1320"/>
      <c r="F1320"/>
    </row>
    <row r="1321" spans="3:6">
      <c r="C1321"/>
      <c r="D1321"/>
      <c r="E1321"/>
      <c r="F1321"/>
    </row>
    <row r="1322" spans="3:6">
      <c r="C1322"/>
      <c r="D1322"/>
      <c r="E1322"/>
      <c r="F1322"/>
    </row>
    <row r="1323" spans="3:6">
      <c r="C1323"/>
      <c r="D1323"/>
      <c r="E1323"/>
      <c r="F1323"/>
    </row>
    <row r="1324" spans="3:6">
      <c r="C1324"/>
      <c r="D1324"/>
      <c r="E1324"/>
      <c r="F1324"/>
    </row>
    <row r="1325" spans="3:6">
      <c r="C1325"/>
      <c r="D1325"/>
      <c r="E1325"/>
      <c r="F1325"/>
    </row>
    <row r="1326" spans="3:6">
      <c r="C1326"/>
      <c r="D1326"/>
      <c r="E1326"/>
      <c r="F1326"/>
    </row>
    <row r="1327" spans="3:6">
      <c r="C1327"/>
      <c r="D1327"/>
      <c r="E1327"/>
      <c r="F1327"/>
    </row>
    <row r="1328" spans="3:6">
      <c r="C1328"/>
      <c r="D1328"/>
      <c r="E1328"/>
      <c r="F1328"/>
    </row>
    <row r="1329" spans="3:6">
      <c r="C1329"/>
      <c r="D1329"/>
      <c r="E1329"/>
      <c r="F1329"/>
    </row>
    <row r="1330" spans="3:6">
      <c r="C1330"/>
      <c r="D1330"/>
      <c r="E1330"/>
      <c r="F1330"/>
    </row>
    <row r="1331" spans="3:6">
      <c r="C1331"/>
      <c r="D1331"/>
      <c r="E1331"/>
      <c r="F1331"/>
    </row>
    <row r="1332" spans="3:6">
      <c r="C1332"/>
      <c r="D1332"/>
      <c r="E1332"/>
      <c r="F1332"/>
    </row>
    <row r="1333" spans="3:6">
      <c r="C1333"/>
      <c r="D1333"/>
      <c r="E1333"/>
      <c r="F1333"/>
    </row>
    <row r="1334" spans="3:6">
      <c r="C1334"/>
      <c r="D1334"/>
      <c r="E1334"/>
      <c r="F1334"/>
    </row>
    <row r="1335" spans="3:6">
      <c r="C1335"/>
      <c r="D1335"/>
      <c r="E1335"/>
      <c r="F1335"/>
    </row>
    <row r="1336" spans="3:6">
      <c r="C1336"/>
      <c r="D1336"/>
      <c r="E1336"/>
      <c r="F1336"/>
    </row>
    <row r="1337" spans="3:6">
      <c r="C1337"/>
      <c r="D1337"/>
      <c r="E1337"/>
      <c r="F1337"/>
    </row>
    <row r="1338" spans="3:6">
      <c r="C1338"/>
      <c r="D1338"/>
      <c r="E1338"/>
      <c r="F1338"/>
    </row>
    <row r="1339" spans="3:6">
      <c r="C1339"/>
      <c r="D1339"/>
      <c r="E1339"/>
      <c r="F1339"/>
    </row>
    <row r="1340" spans="3:6">
      <c r="C1340"/>
      <c r="D1340"/>
      <c r="E1340"/>
      <c r="F1340"/>
    </row>
    <row r="1341" spans="3:6">
      <c r="C1341"/>
      <c r="D1341"/>
      <c r="E1341"/>
      <c r="F1341"/>
    </row>
    <row r="1342" spans="3:6">
      <c r="C1342"/>
      <c r="D1342"/>
      <c r="E1342"/>
      <c r="F1342"/>
    </row>
    <row r="1343" spans="3:6">
      <c r="C1343"/>
      <c r="D1343"/>
      <c r="E1343"/>
      <c r="F1343"/>
    </row>
    <row r="1344" spans="3:6">
      <c r="C1344"/>
      <c r="D1344"/>
      <c r="E1344"/>
      <c r="F1344"/>
    </row>
    <row r="1345" spans="3:6">
      <c r="C1345"/>
      <c r="D1345"/>
      <c r="E1345"/>
      <c r="F1345"/>
    </row>
    <row r="1346" spans="3:6">
      <c r="C1346"/>
      <c r="D1346"/>
      <c r="E1346"/>
      <c r="F1346"/>
    </row>
    <row r="1347" spans="3:6">
      <c r="C1347"/>
      <c r="D1347"/>
      <c r="E1347"/>
      <c r="F1347"/>
    </row>
    <row r="1348" spans="3:6">
      <c r="C1348"/>
      <c r="D1348"/>
      <c r="E1348"/>
      <c r="F1348"/>
    </row>
    <row r="1349" spans="3:6">
      <c r="C1349"/>
      <c r="D1349"/>
      <c r="E1349"/>
      <c r="F1349"/>
    </row>
    <row r="1350" spans="3:6">
      <c r="C1350"/>
      <c r="D1350"/>
      <c r="E1350"/>
      <c r="F1350"/>
    </row>
    <row r="1351" spans="3:6">
      <c r="C1351"/>
      <c r="D1351"/>
      <c r="E1351"/>
      <c r="F1351"/>
    </row>
    <row r="1352" spans="3:6">
      <c r="C1352"/>
      <c r="D1352"/>
      <c r="E1352"/>
      <c r="F1352"/>
    </row>
    <row r="1353" spans="3:6">
      <c r="C1353"/>
      <c r="D1353"/>
      <c r="E1353"/>
      <c r="F1353"/>
    </row>
    <row r="1354" spans="3:6">
      <c r="C1354"/>
      <c r="D1354"/>
      <c r="E1354"/>
      <c r="F1354"/>
    </row>
    <row r="1355" spans="3:6">
      <c r="C1355"/>
      <c r="D1355"/>
      <c r="E1355"/>
      <c r="F1355"/>
    </row>
    <row r="1356" spans="3:6">
      <c r="C1356"/>
      <c r="D1356"/>
      <c r="E1356"/>
      <c r="F1356"/>
    </row>
    <row r="1357" spans="3:6">
      <c r="C1357"/>
      <c r="D1357"/>
      <c r="E1357"/>
      <c r="F1357"/>
    </row>
    <row r="1358" spans="3:6">
      <c r="C1358"/>
      <c r="D1358"/>
      <c r="E1358"/>
      <c r="F1358"/>
    </row>
    <row r="1359" spans="3:6">
      <c r="C1359"/>
      <c r="D1359"/>
      <c r="E1359"/>
      <c r="F1359"/>
    </row>
    <row r="1360" spans="3:6">
      <c r="C1360"/>
      <c r="D1360"/>
      <c r="E1360"/>
      <c r="F1360"/>
    </row>
    <row r="1361" spans="3:6">
      <c r="C1361"/>
      <c r="D1361"/>
      <c r="E1361"/>
      <c r="F1361"/>
    </row>
    <row r="1362" spans="3:6">
      <c r="C1362"/>
      <c r="D1362"/>
      <c r="E1362"/>
      <c r="F1362"/>
    </row>
    <row r="1363" spans="3:6">
      <c r="C1363"/>
      <c r="D1363"/>
      <c r="E1363"/>
      <c r="F1363"/>
    </row>
    <row r="1364" spans="3:6">
      <c r="C1364"/>
      <c r="D1364"/>
      <c r="E1364"/>
      <c r="F1364"/>
    </row>
    <row r="1365" spans="3:6">
      <c r="C1365"/>
      <c r="D1365"/>
      <c r="E1365"/>
      <c r="F1365"/>
    </row>
    <row r="1366" spans="3:6">
      <c r="C1366"/>
      <c r="D1366"/>
      <c r="E1366"/>
      <c r="F1366"/>
    </row>
    <row r="1367" spans="3:6">
      <c r="C1367"/>
      <c r="D1367"/>
      <c r="E1367"/>
      <c r="F1367"/>
    </row>
    <row r="1368" spans="3:6">
      <c r="C1368"/>
      <c r="D1368"/>
      <c r="E1368"/>
      <c r="F1368"/>
    </row>
    <row r="1369" spans="3:6">
      <c r="C1369"/>
      <c r="D1369"/>
      <c r="E1369"/>
      <c r="F1369"/>
    </row>
    <row r="1370" spans="3:6">
      <c r="C1370"/>
      <c r="D1370"/>
      <c r="E1370"/>
      <c r="F1370"/>
    </row>
    <row r="1371" spans="3:6">
      <c r="C1371"/>
      <c r="D1371"/>
      <c r="E1371"/>
      <c r="F1371"/>
    </row>
    <row r="1372" spans="3:6">
      <c r="C1372"/>
      <c r="D1372"/>
      <c r="E1372"/>
      <c r="F1372"/>
    </row>
    <row r="1373" spans="3:6">
      <c r="C1373"/>
      <c r="D1373"/>
      <c r="E1373"/>
      <c r="F1373"/>
    </row>
    <row r="1374" spans="3:6">
      <c r="C1374"/>
      <c r="D1374"/>
      <c r="E1374"/>
      <c r="F1374"/>
    </row>
    <row r="1375" spans="3:6">
      <c r="C1375"/>
      <c r="D1375"/>
      <c r="E1375"/>
      <c r="F1375"/>
    </row>
    <row r="1376" spans="3:6">
      <c r="C1376"/>
      <c r="D1376"/>
      <c r="E1376"/>
      <c r="F1376"/>
    </row>
    <row r="1377" spans="3:6">
      <c r="C1377"/>
      <c r="D1377"/>
      <c r="E1377"/>
      <c r="F1377"/>
    </row>
    <row r="1378" spans="3:6">
      <c r="C1378"/>
      <c r="D1378"/>
      <c r="E1378"/>
      <c r="F1378"/>
    </row>
    <row r="1379" spans="3:6">
      <c r="C1379"/>
      <c r="D1379"/>
      <c r="E1379"/>
      <c r="F1379"/>
    </row>
    <row r="1380" spans="3:6">
      <c r="C1380"/>
      <c r="D1380"/>
      <c r="E1380"/>
      <c r="F1380"/>
    </row>
    <row r="1381" spans="3:6">
      <c r="C1381"/>
      <c r="D1381"/>
      <c r="E1381"/>
      <c r="F1381"/>
    </row>
    <row r="1382" spans="3:6">
      <c r="C1382"/>
      <c r="D1382"/>
      <c r="E1382"/>
      <c r="F1382"/>
    </row>
    <row r="1383" spans="3:6">
      <c r="C1383"/>
      <c r="D1383"/>
      <c r="E1383"/>
      <c r="F1383"/>
    </row>
    <row r="1384" spans="3:6">
      <c r="C1384"/>
      <c r="D1384"/>
      <c r="E1384"/>
      <c r="F1384"/>
    </row>
    <row r="1385" spans="3:6">
      <c r="C1385"/>
      <c r="D1385"/>
      <c r="E1385"/>
      <c r="F1385"/>
    </row>
    <row r="1386" spans="3:6">
      <c r="C1386"/>
      <c r="D1386"/>
      <c r="E1386"/>
      <c r="F1386"/>
    </row>
    <row r="1387" spans="3:6">
      <c r="C1387"/>
      <c r="D1387"/>
      <c r="E1387"/>
      <c r="F1387"/>
    </row>
    <row r="1388" spans="3:6">
      <c r="C1388"/>
      <c r="D1388"/>
      <c r="E1388"/>
      <c r="F1388"/>
    </row>
    <row r="1389" spans="3:6">
      <c r="C1389"/>
      <c r="D1389"/>
      <c r="E1389"/>
      <c r="F1389"/>
    </row>
    <row r="1390" spans="3:6">
      <c r="C1390"/>
      <c r="D1390"/>
      <c r="E1390"/>
      <c r="F1390"/>
    </row>
    <row r="1391" spans="3:6">
      <c r="C1391"/>
      <c r="D1391"/>
      <c r="E1391"/>
      <c r="F1391"/>
    </row>
    <row r="1392" spans="3:6">
      <c r="C1392"/>
      <c r="D1392"/>
      <c r="E1392"/>
      <c r="F1392"/>
    </row>
    <row r="1393" spans="3:6">
      <c r="C1393"/>
      <c r="D1393"/>
      <c r="E1393"/>
      <c r="F1393"/>
    </row>
    <row r="1394" spans="3:6">
      <c r="C1394"/>
      <c r="D1394"/>
      <c r="E1394"/>
      <c r="F1394"/>
    </row>
    <row r="1395" spans="3:6">
      <c r="C1395"/>
      <c r="D1395"/>
      <c r="E1395"/>
      <c r="F1395"/>
    </row>
    <row r="1396" spans="3:6">
      <c r="C1396"/>
      <c r="D1396"/>
      <c r="E1396"/>
      <c r="F1396"/>
    </row>
    <row r="1397" spans="3:6">
      <c r="C1397"/>
      <c r="D1397"/>
      <c r="E1397"/>
      <c r="F1397"/>
    </row>
    <row r="1398" spans="3:6">
      <c r="C1398"/>
      <c r="D1398"/>
      <c r="E1398"/>
      <c r="F1398"/>
    </row>
    <row r="1399" spans="3:6">
      <c r="C1399"/>
      <c r="D1399"/>
      <c r="E1399"/>
      <c r="F1399"/>
    </row>
    <row r="1400" spans="3:6">
      <c r="C1400"/>
      <c r="D1400"/>
      <c r="E1400"/>
      <c r="F1400"/>
    </row>
    <row r="1401" spans="3:6">
      <c r="C1401"/>
      <c r="D1401"/>
      <c r="E1401"/>
      <c r="F1401"/>
    </row>
    <row r="1402" spans="3:6">
      <c r="C1402"/>
      <c r="D1402"/>
      <c r="E1402"/>
      <c r="F1402"/>
    </row>
    <row r="1403" spans="3:6">
      <c r="C1403"/>
      <c r="D1403"/>
      <c r="E1403"/>
      <c r="F1403"/>
    </row>
    <row r="1404" spans="3:6">
      <c r="C1404"/>
      <c r="D1404"/>
      <c r="E1404"/>
      <c r="F1404"/>
    </row>
    <row r="1405" spans="3:6">
      <c r="C1405"/>
      <c r="D1405"/>
      <c r="E1405"/>
      <c r="F1405"/>
    </row>
    <row r="1406" spans="3:6">
      <c r="C1406"/>
      <c r="D1406"/>
      <c r="E1406"/>
      <c r="F1406"/>
    </row>
    <row r="1407" spans="3:6">
      <c r="C1407"/>
      <c r="D1407"/>
      <c r="E1407"/>
      <c r="F1407"/>
    </row>
    <row r="1408" spans="3:6">
      <c r="C1408"/>
      <c r="D1408"/>
      <c r="E1408"/>
      <c r="F1408"/>
    </row>
    <row r="1409" spans="3:6">
      <c r="C1409"/>
      <c r="D1409"/>
      <c r="E1409"/>
      <c r="F1409"/>
    </row>
    <row r="1410" spans="3:6">
      <c r="C1410"/>
      <c r="D1410"/>
      <c r="E1410"/>
      <c r="F1410"/>
    </row>
    <row r="1411" spans="3:6">
      <c r="C1411"/>
      <c r="D1411"/>
      <c r="E1411"/>
      <c r="F1411"/>
    </row>
    <row r="1412" spans="3:6">
      <c r="C1412"/>
      <c r="D1412"/>
      <c r="E1412"/>
      <c r="F1412"/>
    </row>
    <row r="1413" spans="3:6">
      <c r="C1413"/>
      <c r="D1413"/>
      <c r="E1413"/>
      <c r="F1413"/>
    </row>
    <row r="1414" spans="3:6">
      <c r="C1414"/>
      <c r="D1414"/>
      <c r="E1414"/>
      <c r="F1414"/>
    </row>
    <row r="1415" spans="3:6">
      <c r="C1415"/>
      <c r="D1415"/>
      <c r="E1415"/>
      <c r="F1415"/>
    </row>
    <row r="1416" spans="3:6">
      <c r="C1416"/>
      <c r="D1416"/>
      <c r="E1416"/>
      <c r="F1416"/>
    </row>
    <row r="1417" spans="3:6">
      <c r="C1417"/>
      <c r="D1417"/>
      <c r="E1417"/>
      <c r="F1417"/>
    </row>
    <row r="1418" spans="3:6">
      <c r="C1418"/>
      <c r="D1418"/>
      <c r="E1418"/>
      <c r="F1418"/>
    </row>
    <row r="1419" spans="3:6">
      <c r="C1419"/>
      <c r="D1419"/>
      <c r="E1419"/>
      <c r="F1419"/>
    </row>
    <row r="1420" spans="3:6">
      <c r="C1420"/>
      <c r="D1420"/>
      <c r="E1420"/>
      <c r="F1420"/>
    </row>
    <row r="1421" spans="3:6">
      <c r="C1421"/>
      <c r="D1421"/>
      <c r="E1421"/>
      <c r="F1421"/>
    </row>
    <row r="1422" spans="3:6">
      <c r="C1422"/>
      <c r="D1422"/>
      <c r="E1422"/>
      <c r="F1422"/>
    </row>
    <row r="1423" spans="3:6">
      <c r="C1423"/>
      <c r="D1423"/>
      <c r="E1423"/>
      <c r="F1423"/>
    </row>
    <row r="1424" spans="3:6">
      <c r="C1424"/>
      <c r="D1424"/>
      <c r="E1424"/>
      <c r="F1424"/>
    </row>
    <row r="1425" spans="3:6">
      <c r="C1425"/>
      <c r="D1425"/>
      <c r="E1425"/>
      <c r="F1425"/>
    </row>
    <row r="1426" spans="3:6">
      <c r="C1426"/>
      <c r="D1426"/>
      <c r="E1426"/>
      <c r="F1426"/>
    </row>
    <row r="1427" spans="3:6">
      <c r="C1427"/>
      <c r="D1427"/>
      <c r="E1427"/>
      <c r="F1427"/>
    </row>
    <row r="1428" spans="3:6">
      <c r="C1428"/>
      <c r="D1428"/>
      <c r="E1428"/>
      <c r="F1428"/>
    </row>
    <row r="1429" spans="3:6">
      <c r="C1429"/>
      <c r="D1429"/>
      <c r="E1429"/>
      <c r="F1429"/>
    </row>
    <row r="1430" spans="3:6">
      <c r="C1430"/>
      <c r="D1430"/>
      <c r="E1430"/>
      <c r="F1430"/>
    </row>
    <row r="1431" spans="3:6">
      <c r="C1431"/>
      <c r="D1431"/>
      <c r="E1431"/>
      <c r="F1431"/>
    </row>
    <row r="1432" spans="3:6">
      <c r="C1432"/>
      <c r="D1432"/>
      <c r="E1432"/>
      <c r="F1432"/>
    </row>
    <row r="1433" spans="3:6">
      <c r="C1433"/>
      <c r="D1433"/>
      <c r="E1433"/>
      <c r="F1433"/>
    </row>
    <row r="1434" spans="3:6">
      <c r="C1434"/>
      <c r="D1434"/>
      <c r="E1434"/>
      <c r="F1434"/>
    </row>
    <row r="1435" spans="3:6">
      <c r="C1435"/>
      <c r="D1435"/>
      <c r="E1435"/>
      <c r="F1435"/>
    </row>
    <row r="1436" spans="3:6">
      <c r="C1436"/>
      <c r="D1436"/>
      <c r="E1436"/>
      <c r="F1436"/>
    </row>
    <row r="1437" spans="3:6">
      <c r="C1437"/>
      <c r="D1437"/>
      <c r="E1437"/>
      <c r="F1437"/>
    </row>
    <row r="1438" spans="3:6">
      <c r="C1438"/>
      <c r="D1438"/>
      <c r="E1438"/>
      <c r="F1438"/>
    </row>
    <row r="1439" spans="3:6">
      <c r="C1439"/>
      <c r="D1439"/>
      <c r="E1439"/>
      <c r="F1439"/>
    </row>
    <row r="1440" spans="3:6">
      <c r="C1440"/>
      <c r="D1440"/>
      <c r="E1440"/>
      <c r="F1440"/>
    </row>
    <row r="1441" spans="3:6">
      <c r="C1441"/>
      <c r="D1441"/>
      <c r="E1441"/>
      <c r="F1441"/>
    </row>
    <row r="1442" spans="3:6">
      <c r="C1442"/>
      <c r="D1442"/>
      <c r="E1442"/>
      <c r="F1442"/>
    </row>
    <row r="1443" spans="3:6">
      <c r="C1443"/>
      <c r="D1443"/>
      <c r="E1443"/>
      <c r="F1443"/>
    </row>
    <row r="1444" spans="3:6">
      <c r="C1444"/>
      <c r="D1444"/>
      <c r="E1444"/>
      <c r="F1444"/>
    </row>
    <row r="1445" spans="3:6">
      <c r="C1445"/>
      <c r="D1445"/>
      <c r="E1445"/>
      <c r="F1445"/>
    </row>
    <row r="1446" spans="3:6">
      <c r="C1446"/>
      <c r="D1446"/>
      <c r="E1446"/>
      <c r="F1446"/>
    </row>
    <row r="1447" spans="3:6">
      <c r="C1447"/>
      <c r="D1447"/>
      <c r="E1447"/>
      <c r="F1447"/>
    </row>
    <row r="1448" spans="3:6">
      <c r="C1448"/>
      <c r="D1448"/>
      <c r="E1448"/>
      <c r="F1448"/>
    </row>
    <row r="1449" spans="3:6">
      <c r="C1449"/>
      <c r="D1449"/>
      <c r="E1449"/>
      <c r="F1449"/>
    </row>
    <row r="1450" spans="3:6">
      <c r="C1450"/>
      <c r="D1450"/>
      <c r="E1450"/>
      <c r="F1450"/>
    </row>
    <row r="1451" spans="3:6">
      <c r="C1451"/>
      <c r="D1451"/>
      <c r="E1451"/>
      <c r="F1451"/>
    </row>
    <row r="1452" spans="3:6">
      <c r="C1452"/>
      <c r="D1452"/>
      <c r="E1452"/>
      <c r="F1452"/>
    </row>
    <row r="1453" spans="3:6">
      <c r="C1453"/>
      <c r="D1453"/>
      <c r="E1453"/>
      <c r="F1453"/>
    </row>
    <row r="1454" spans="3:6">
      <c r="C1454"/>
      <c r="D1454"/>
      <c r="E1454"/>
      <c r="F1454"/>
    </row>
    <row r="1455" spans="3:6">
      <c r="C1455"/>
      <c r="D1455"/>
      <c r="E1455"/>
      <c r="F1455"/>
    </row>
    <row r="1456" spans="3:6">
      <c r="C1456"/>
      <c r="D1456"/>
      <c r="E1456"/>
      <c r="F1456"/>
    </row>
    <row r="1457" spans="3:6">
      <c r="C1457"/>
      <c r="D1457"/>
      <c r="E1457"/>
      <c r="F1457"/>
    </row>
    <row r="1458" spans="3:6">
      <c r="C1458"/>
      <c r="D1458"/>
      <c r="E1458"/>
      <c r="F1458"/>
    </row>
    <row r="1459" spans="3:6">
      <c r="C1459"/>
      <c r="D1459"/>
      <c r="E1459"/>
      <c r="F1459"/>
    </row>
    <row r="1460" spans="3:6">
      <c r="C1460"/>
      <c r="D1460"/>
      <c r="E1460"/>
      <c r="F1460"/>
    </row>
    <row r="1461" spans="3:6">
      <c r="C1461"/>
      <c r="D1461"/>
      <c r="E1461"/>
      <c r="F1461"/>
    </row>
    <row r="1462" spans="3:6">
      <c r="C1462"/>
      <c r="D1462"/>
      <c r="E1462"/>
      <c r="F1462"/>
    </row>
    <row r="1463" spans="3:6">
      <c r="C1463"/>
      <c r="D1463"/>
      <c r="E1463"/>
      <c r="F1463"/>
    </row>
    <row r="1464" spans="3:6">
      <c r="C1464"/>
      <c r="D1464"/>
      <c r="E1464"/>
      <c r="F1464"/>
    </row>
    <row r="1465" spans="3:6">
      <c r="C1465"/>
      <c r="D1465"/>
      <c r="E1465"/>
      <c r="F1465"/>
    </row>
    <row r="1466" spans="3:6">
      <c r="C1466"/>
      <c r="D1466"/>
      <c r="E1466"/>
      <c r="F1466"/>
    </row>
    <row r="1467" spans="3:6">
      <c r="C1467"/>
      <c r="D1467"/>
      <c r="E1467"/>
      <c r="F1467"/>
    </row>
    <row r="1468" spans="3:6">
      <c r="C1468"/>
      <c r="D1468"/>
      <c r="E1468"/>
      <c r="F1468"/>
    </row>
    <row r="1469" spans="3:6">
      <c r="C1469"/>
      <c r="D1469"/>
      <c r="E1469"/>
      <c r="F1469"/>
    </row>
    <row r="1470" spans="3:6">
      <c r="C1470"/>
      <c r="D1470"/>
      <c r="E1470"/>
      <c r="F1470"/>
    </row>
    <row r="1471" spans="3:6">
      <c r="C1471"/>
      <c r="D1471"/>
      <c r="E1471"/>
      <c r="F1471"/>
    </row>
    <row r="1472" spans="3:6">
      <c r="C1472"/>
      <c r="D1472"/>
      <c r="E1472"/>
      <c r="F1472"/>
    </row>
    <row r="1473" spans="3:6">
      <c r="C1473"/>
      <c r="D1473"/>
      <c r="E1473"/>
      <c r="F1473"/>
    </row>
    <row r="1474" spans="3:6">
      <c r="C1474"/>
      <c r="D1474"/>
      <c r="E1474"/>
      <c r="F1474"/>
    </row>
    <row r="1475" spans="3:6">
      <c r="C1475"/>
      <c r="D1475"/>
      <c r="E1475"/>
      <c r="F1475"/>
    </row>
    <row r="1476" spans="3:6">
      <c r="C1476"/>
      <c r="D1476"/>
      <c r="E1476"/>
      <c r="F1476"/>
    </row>
    <row r="1477" spans="3:6">
      <c r="C1477"/>
      <c r="D1477"/>
      <c r="E1477"/>
      <c r="F1477"/>
    </row>
    <row r="1478" spans="3:6">
      <c r="C1478"/>
      <c r="D1478"/>
      <c r="E1478"/>
      <c r="F1478"/>
    </row>
    <row r="1479" spans="3:6">
      <c r="C1479"/>
      <c r="D1479"/>
      <c r="E1479"/>
      <c r="F1479"/>
    </row>
    <row r="1480" spans="3:6">
      <c r="C1480"/>
      <c r="D1480"/>
      <c r="E1480"/>
      <c r="F1480"/>
    </row>
    <row r="1481" spans="3:6">
      <c r="C1481"/>
      <c r="D1481"/>
      <c r="E1481"/>
      <c r="F1481"/>
    </row>
    <row r="1482" spans="3:6">
      <c r="C1482"/>
      <c r="D1482"/>
      <c r="E1482"/>
      <c r="F1482"/>
    </row>
    <row r="1483" spans="3:6">
      <c r="C1483"/>
      <c r="D1483"/>
      <c r="E1483"/>
      <c r="F1483"/>
    </row>
    <row r="1484" spans="3:6">
      <c r="C1484"/>
      <c r="D1484"/>
      <c r="E1484"/>
      <c r="F1484"/>
    </row>
    <row r="1485" spans="3:6">
      <c r="C1485"/>
      <c r="D1485"/>
      <c r="E1485"/>
      <c r="F1485"/>
    </row>
    <row r="1486" spans="3:6">
      <c r="C1486"/>
      <c r="D1486"/>
      <c r="E1486"/>
      <c r="F1486"/>
    </row>
    <row r="1487" spans="3:6">
      <c r="C1487"/>
      <c r="D1487"/>
      <c r="E1487"/>
      <c r="F1487"/>
    </row>
    <row r="1488" spans="3:6">
      <c r="C1488"/>
      <c r="D1488"/>
      <c r="E1488"/>
      <c r="F1488"/>
    </row>
    <row r="1489" spans="3:6">
      <c r="C1489"/>
      <c r="D1489"/>
      <c r="E1489"/>
      <c r="F1489"/>
    </row>
    <row r="1490" spans="3:6">
      <c r="C1490"/>
      <c r="D1490"/>
      <c r="E1490"/>
      <c r="F1490"/>
    </row>
    <row r="1491" spans="3:6">
      <c r="C1491"/>
      <c r="D1491"/>
      <c r="E1491"/>
      <c r="F1491"/>
    </row>
    <row r="1492" spans="3:6">
      <c r="C1492"/>
      <c r="D1492"/>
      <c r="E1492"/>
      <c r="F1492"/>
    </row>
    <row r="1493" spans="3:6">
      <c r="C1493"/>
      <c r="D1493"/>
      <c r="E1493"/>
      <c r="F1493"/>
    </row>
    <row r="1494" spans="3:6">
      <c r="C1494"/>
      <c r="D1494"/>
      <c r="E1494"/>
      <c r="F1494"/>
    </row>
    <row r="1495" spans="3:6">
      <c r="C1495"/>
      <c r="D1495"/>
      <c r="E1495"/>
      <c r="F1495"/>
    </row>
    <row r="1496" spans="3:6">
      <c r="C1496"/>
      <c r="D1496"/>
      <c r="E1496"/>
      <c r="F1496"/>
    </row>
    <row r="1497" spans="3:6">
      <c r="C1497"/>
      <c r="D1497"/>
      <c r="E1497"/>
      <c r="F1497"/>
    </row>
    <row r="1498" spans="3:6">
      <c r="C1498"/>
      <c r="D1498"/>
      <c r="E1498"/>
      <c r="F1498"/>
    </row>
    <row r="1499" spans="3:6">
      <c r="C1499"/>
      <c r="D1499"/>
      <c r="E1499"/>
      <c r="F1499"/>
    </row>
    <row r="1500" spans="3:6">
      <c r="C1500"/>
      <c r="D1500"/>
      <c r="E1500"/>
      <c r="F1500"/>
    </row>
    <row r="1501" spans="3:6">
      <c r="C1501"/>
      <c r="D1501"/>
      <c r="E1501"/>
      <c r="F1501"/>
    </row>
    <row r="1502" spans="3:6">
      <c r="C1502"/>
      <c r="D1502"/>
      <c r="E1502"/>
      <c r="F1502"/>
    </row>
    <row r="1503" spans="3:6">
      <c r="C1503"/>
      <c r="D1503"/>
      <c r="E1503"/>
      <c r="F1503"/>
    </row>
    <row r="1504" spans="3:6">
      <c r="C1504"/>
      <c r="D1504"/>
      <c r="E1504"/>
      <c r="F1504"/>
    </row>
    <row r="1505" spans="3:6">
      <c r="C1505"/>
      <c r="D1505"/>
      <c r="E1505"/>
      <c r="F1505"/>
    </row>
    <row r="1506" spans="3:6">
      <c r="C1506"/>
      <c r="D1506"/>
      <c r="E1506"/>
      <c r="F1506"/>
    </row>
    <row r="1507" spans="3:6">
      <c r="C1507"/>
      <c r="D1507"/>
      <c r="E1507"/>
      <c r="F1507"/>
    </row>
    <row r="1508" spans="3:6">
      <c r="C1508"/>
      <c r="D1508"/>
      <c r="E1508"/>
      <c r="F1508"/>
    </row>
    <row r="1509" spans="3:6">
      <c r="C1509"/>
      <c r="D1509"/>
      <c r="E1509"/>
      <c r="F1509"/>
    </row>
    <row r="1510" spans="3:6">
      <c r="C1510"/>
      <c r="D1510"/>
      <c r="E1510"/>
      <c r="F1510"/>
    </row>
    <row r="1511" spans="3:6">
      <c r="C1511"/>
      <c r="D1511"/>
      <c r="E1511"/>
      <c r="F1511"/>
    </row>
    <row r="1512" spans="3:6">
      <c r="C1512"/>
      <c r="D1512"/>
      <c r="E1512"/>
      <c r="F1512"/>
    </row>
    <row r="1513" spans="3:6">
      <c r="C1513"/>
      <c r="D1513"/>
      <c r="E1513"/>
      <c r="F1513"/>
    </row>
    <row r="1514" spans="3:6">
      <c r="C1514"/>
      <c r="D1514"/>
      <c r="E1514"/>
      <c r="F1514"/>
    </row>
    <row r="1515" spans="3:6">
      <c r="C1515"/>
      <c r="D1515"/>
      <c r="E1515"/>
      <c r="F1515"/>
    </row>
    <row r="1516" spans="3:6">
      <c r="C1516"/>
      <c r="D1516"/>
      <c r="E1516"/>
      <c r="F1516"/>
    </row>
    <row r="1517" spans="3:6">
      <c r="C1517"/>
      <c r="D1517"/>
      <c r="E1517"/>
      <c r="F1517"/>
    </row>
    <row r="1518" spans="3:6">
      <c r="C1518"/>
      <c r="D1518"/>
      <c r="E1518"/>
      <c r="F1518"/>
    </row>
    <row r="1519" spans="3:6">
      <c r="C1519"/>
      <c r="D1519"/>
      <c r="E1519"/>
      <c r="F1519"/>
    </row>
    <row r="1520" spans="3:6">
      <c r="C1520"/>
      <c r="D1520"/>
      <c r="E1520"/>
      <c r="F1520"/>
    </row>
    <row r="1521" spans="3:6">
      <c r="C1521"/>
      <c r="D1521"/>
      <c r="E1521"/>
      <c r="F1521"/>
    </row>
    <row r="1522" spans="3:6">
      <c r="C1522"/>
      <c r="D1522"/>
      <c r="E1522"/>
      <c r="F1522"/>
    </row>
    <row r="1523" spans="3:6">
      <c r="C1523"/>
      <c r="D1523"/>
      <c r="E1523"/>
      <c r="F1523"/>
    </row>
    <row r="1524" spans="3:6">
      <c r="C1524"/>
      <c r="D1524"/>
      <c r="E1524"/>
      <c r="F1524"/>
    </row>
    <row r="1525" spans="3:6">
      <c r="C1525"/>
      <c r="D1525"/>
      <c r="E1525"/>
      <c r="F1525"/>
    </row>
    <row r="1526" spans="3:6">
      <c r="C1526"/>
      <c r="D1526"/>
      <c r="E1526"/>
      <c r="F1526"/>
    </row>
    <row r="1527" spans="3:6">
      <c r="C1527"/>
      <c r="D1527"/>
      <c r="E1527"/>
      <c r="F1527"/>
    </row>
    <row r="1528" spans="3:6">
      <c r="C1528"/>
      <c r="D1528"/>
      <c r="E1528"/>
      <c r="F1528"/>
    </row>
    <row r="1529" spans="3:6">
      <c r="C1529"/>
      <c r="D1529"/>
      <c r="E1529"/>
      <c r="F1529"/>
    </row>
    <row r="1530" spans="3:6">
      <c r="C1530"/>
      <c r="D1530"/>
      <c r="E1530"/>
      <c r="F1530"/>
    </row>
    <row r="1531" spans="3:6">
      <c r="C1531"/>
      <c r="D1531"/>
      <c r="E1531"/>
      <c r="F1531"/>
    </row>
    <row r="1532" spans="3:6">
      <c r="C1532"/>
      <c r="D1532"/>
      <c r="E1532"/>
      <c r="F1532"/>
    </row>
    <row r="1533" spans="3:6">
      <c r="C1533"/>
      <c r="D1533"/>
      <c r="E1533"/>
      <c r="F1533"/>
    </row>
    <row r="1534" spans="3:6">
      <c r="C1534"/>
      <c r="D1534"/>
      <c r="E1534"/>
      <c r="F1534"/>
    </row>
    <row r="1535" spans="3:6">
      <c r="C1535"/>
      <c r="D1535"/>
      <c r="E1535"/>
      <c r="F1535"/>
    </row>
    <row r="1536" spans="3:6">
      <c r="C1536"/>
      <c r="D1536"/>
      <c r="E1536"/>
      <c r="F1536"/>
    </row>
    <row r="1537" spans="3:6">
      <c r="C1537"/>
      <c r="D1537"/>
      <c r="E1537"/>
      <c r="F1537"/>
    </row>
    <row r="1538" spans="3:6">
      <c r="C1538"/>
      <c r="D1538"/>
      <c r="E1538"/>
      <c r="F1538"/>
    </row>
    <row r="1539" spans="3:6">
      <c r="C1539"/>
      <c r="D1539"/>
      <c r="E1539"/>
      <c r="F1539"/>
    </row>
    <row r="1540" spans="3:6">
      <c r="C1540"/>
      <c r="D1540"/>
      <c r="E1540"/>
      <c r="F1540"/>
    </row>
    <row r="1541" spans="3:6">
      <c r="C1541"/>
      <c r="D1541"/>
      <c r="E1541"/>
      <c r="F1541"/>
    </row>
    <row r="1542" spans="3:6">
      <c r="C1542"/>
      <c r="D1542"/>
      <c r="E1542"/>
      <c r="F1542"/>
    </row>
    <row r="1543" spans="3:6">
      <c r="C1543"/>
      <c r="D1543"/>
      <c r="E1543"/>
      <c r="F1543"/>
    </row>
    <row r="1544" spans="3:6">
      <c r="C1544"/>
      <c r="D1544"/>
      <c r="E1544"/>
      <c r="F1544"/>
    </row>
    <row r="1545" spans="3:6">
      <c r="C1545"/>
      <c r="D1545"/>
      <c r="E1545"/>
      <c r="F1545"/>
    </row>
    <row r="1546" spans="3:6">
      <c r="C1546"/>
      <c r="D1546"/>
      <c r="E1546"/>
      <c r="F1546"/>
    </row>
    <row r="1547" spans="3:6">
      <c r="C1547"/>
      <c r="D1547"/>
      <c r="E1547"/>
      <c r="F1547"/>
    </row>
    <row r="1548" spans="3:6">
      <c r="C1548"/>
      <c r="D1548"/>
      <c r="E1548"/>
      <c r="F1548"/>
    </row>
    <row r="1549" spans="3:6">
      <c r="C1549"/>
      <c r="D1549"/>
      <c r="E1549"/>
      <c r="F1549"/>
    </row>
    <row r="1550" spans="3:6">
      <c r="C1550"/>
      <c r="D1550"/>
      <c r="E1550"/>
      <c r="F1550"/>
    </row>
    <row r="1551" spans="3:6">
      <c r="C1551"/>
      <c r="D1551"/>
      <c r="E1551"/>
      <c r="F1551"/>
    </row>
    <row r="1552" spans="3:6">
      <c r="C1552"/>
      <c r="D1552"/>
      <c r="E1552"/>
      <c r="F1552"/>
    </row>
    <row r="1553" spans="3:6">
      <c r="C1553"/>
      <c r="D1553"/>
      <c r="E1553"/>
      <c r="F1553"/>
    </row>
    <row r="1554" spans="3:6">
      <c r="C1554"/>
      <c r="D1554"/>
      <c r="E1554"/>
      <c r="F1554"/>
    </row>
    <row r="1555" spans="3:6">
      <c r="C1555"/>
      <c r="D1555"/>
      <c r="E1555"/>
      <c r="F1555"/>
    </row>
    <row r="1556" spans="3:6">
      <c r="C1556"/>
      <c r="D1556"/>
      <c r="E1556"/>
      <c r="F1556"/>
    </row>
    <row r="1557" spans="3:6">
      <c r="C1557"/>
      <c r="D1557"/>
      <c r="E1557"/>
      <c r="F1557"/>
    </row>
    <row r="1558" spans="3:6">
      <c r="C1558"/>
      <c r="D1558"/>
      <c r="E1558"/>
      <c r="F1558"/>
    </row>
    <row r="1559" spans="3:6">
      <c r="C1559"/>
      <c r="D1559"/>
      <c r="E1559"/>
      <c r="F1559"/>
    </row>
    <row r="1560" spans="3:6">
      <c r="C1560"/>
      <c r="D1560"/>
      <c r="E1560"/>
      <c r="F1560"/>
    </row>
    <row r="1561" spans="3:6">
      <c r="C1561"/>
      <c r="D1561"/>
      <c r="E1561"/>
      <c r="F1561"/>
    </row>
    <row r="1562" spans="3:6">
      <c r="C1562"/>
      <c r="D1562"/>
      <c r="E1562"/>
      <c r="F1562"/>
    </row>
    <row r="1563" spans="3:6">
      <c r="C1563"/>
      <c r="D1563"/>
      <c r="E1563"/>
      <c r="F1563"/>
    </row>
    <row r="1564" spans="3:6">
      <c r="C1564"/>
      <c r="D1564"/>
      <c r="E1564"/>
      <c r="F1564"/>
    </row>
    <row r="1565" spans="3:6">
      <c r="C1565"/>
      <c r="D1565"/>
      <c r="E1565"/>
      <c r="F1565"/>
    </row>
    <row r="1566" spans="3:6">
      <c r="C1566"/>
      <c r="D1566"/>
      <c r="E1566"/>
      <c r="F1566"/>
    </row>
    <row r="1567" spans="3:6">
      <c r="C1567"/>
      <c r="D1567"/>
      <c r="E1567"/>
      <c r="F1567"/>
    </row>
    <row r="1568" spans="3:6">
      <c r="C1568"/>
      <c r="D1568"/>
      <c r="E1568"/>
      <c r="F1568"/>
    </row>
    <row r="1569" spans="3:6">
      <c r="C1569"/>
      <c r="D1569"/>
      <c r="E1569"/>
      <c r="F1569"/>
    </row>
    <row r="1570" spans="3:6">
      <c r="C1570"/>
      <c r="D1570"/>
      <c r="E1570"/>
      <c r="F1570"/>
    </row>
    <row r="1571" spans="3:6">
      <c r="C1571"/>
      <c r="D1571"/>
      <c r="E1571"/>
      <c r="F1571"/>
    </row>
    <row r="1572" spans="3:6">
      <c r="C1572"/>
      <c r="D1572"/>
      <c r="E1572"/>
      <c r="F1572"/>
    </row>
    <row r="1573" spans="3:6">
      <c r="C1573"/>
      <c r="D1573"/>
      <c r="E1573"/>
      <c r="F1573"/>
    </row>
    <row r="1574" spans="3:6">
      <c r="C1574"/>
      <c r="D1574"/>
      <c r="E1574"/>
      <c r="F1574"/>
    </row>
    <row r="1575" spans="3:6">
      <c r="C1575"/>
      <c r="D1575"/>
      <c r="E1575"/>
      <c r="F1575"/>
    </row>
    <row r="1576" spans="3:6">
      <c r="C1576"/>
      <c r="D1576"/>
      <c r="E1576"/>
      <c r="F1576"/>
    </row>
    <row r="1577" spans="3:6">
      <c r="C1577"/>
      <c r="D1577"/>
      <c r="E1577"/>
      <c r="F1577"/>
    </row>
    <row r="1578" spans="3:6">
      <c r="C1578"/>
      <c r="D1578"/>
      <c r="E1578"/>
      <c r="F1578"/>
    </row>
    <row r="1579" spans="3:6">
      <c r="C1579"/>
      <c r="D1579"/>
      <c r="E1579"/>
      <c r="F1579"/>
    </row>
    <row r="1580" spans="3:6">
      <c r="C1580"/>
      <c r="D1580"/>
      <c r="E1580"/>
      <c r="F1580"/>
    </row>
    <row r="1581" spans="3:6">
      <c r="C1581"/>
      <c r="D1581"/>
      <c r="E1581"/>
      <c r="F1581"/>
    </row>
    <row r="1582" spans="3:6">
      <c r="C1582"/>
      <c r="D1582"/>
      <c r="E1582"/>
      <c r="F1582"/>
    </row>
    <row r="1583" spans="3:6">
      <c r="C1583"/>
      <c r="D1583"/>
      <c r="E1583"/>
      <c r="F1583"/>
    </row>
    <row r="1584" spans="3:6">
      <c r="C1584"/>
      <c r="D1584"/>
      <c r="E1584"/>
      <c r="F1584"/>
    </row>
    <row r="1585" spans="3:6">
      <c r="C1585"/>
      <c r="D1585"/>
      <c r="E1585"/>
      <c r="F1585"/>
    </row>
    <row r="1586" spans="3:6">
      <c r="C1586"/>
      <c r="D1586"/>
      <c r="E1586"/>
      <c r="F1586"/>
    </row>
    <row r="1587" spans="3:6">
      <c r="C1587"/>
      <c r="D1587"/>
      <c r="E1587"/>
      <c r="F1587"/>
    </row>
    <row r="1588" spans="3:6">
      <c r="C1588"/>
      <c r="D1588"/>
      <c r="E1588"/>
      <c r="F1588"/>
    </row>
    <row r="1589" spans="3:6">
      <c r="C1589"/>
      <c r="D1589"/>
      <c r="E1589"/>
      <c r="F1589"/>
    </row>
    <row r="1590" spans="3:6">
      <c r="C1590"/>
      <c r="D1590"/>
      <c r="E1590"/>
      <c r="F1590"/>
    </row>
    <row r="1591" spans="3:6">
      <c r="C1591"/>
      <c r="D1591"/>
      <c r="E1591"/>
      <c r="F1591"/>
    </row>
    <row r="1592" spans="3:6">
      <c r="C1592"/>
      <c r="D1592"/>
      <c r="E1592"/>
      <c r="F1592"/>
    </row>
    <row r="1593" spans="3:6">
      <c r="C1593"/>
      <c r="D1593"/>
      <c r="E1593"/>
      <c r="F1593"/>
    </row>
    <row r="1594" spans="3:6">
      <c r="C1594"/>
      <c r="D1594"/>
      <c r="E1594"/>
      <c r="F1594"/>
    </row>
    <row r="1595" spans="3:6">
      <c r="C1595"/>
      <c r="D1595"/>
      <c r="E1595"/>
      <c r="F1595"/>
    </row>
    <row r="1596" spans="3:6">
      <c r="C1596"/>
      <c r="D1596"/>
      <c r="E1596"/>
      <c r="F1596"/>
    </row>
    <row r="1597" spans="3:6">
      <c r="C1597"/>
      <c r="D1597"/>
      <c r="E1597"/>
      <c r="F1597"/>
    </row>
    <row r="1598" spans="3:6">
      <c r="C1598"/>
      <c r="D1598"/>
      <c r="E1598"/>
      <c r="F1598"/>
    </row>
    <row r="1599" spans="3:6">
      <c r="C1599"/>
      <c r="D1599"/>
      <c r="E1599"/>
      <c r="F1599"/>
    </row>
    <row r="1600" spans="3:6">
      <c r="C1600"/>
      <c r="D1600"/>
      <c r="E1600"/>
      <c r="F1600"/>
    </row>
    <row r="1601" spans="3:6">
      <c r="C1601"/>
      <c r="D1601"/>
      <c r="E1601"/>
      <c r="F1601"/>
    </row>
    <row r="1602" spans="3:6">
      <c r="C1602"/>
      <c r="D1602"/>
      <c r="E1602"/>
      <c r="F1602"/>
    </row>
    <row r="1603" spans="3:6">
      <c r="C1603"/>
      <c r="D1603"/>
      <c r="E1603"/>
      <c r="F1603"/>
    </row>
    <row r="1604" spans="3:6">
      <c r="C1604"/>
      <c r="D1604"/>
      <c r="E1604"/>
      <c r="F1604"/>
    </row>
    <row r="1605" spans="3:6">
      <c r="C1605"/>
      <c r="D1605"/>
      <c r="E1605"/>
      <c r="F1605"/>
    </row>
    <row r="1606" spans="3:6">
      <c r="C1606"/>
      <c r="D1606"/>
      <c r="E1606"/>
      <c r="F1606"/>
    </row>
    <row r="1607" spans="3:6">
      <c r="C1607"/>
      <c r="D1607"/>
      <c r="E1607"/>
      <c r="F1607"/>
    </row>
    <row r="1608" spans="3:6">
      <c r="C1608"/>
      <c r="D1608"/>
      <c r="E1608"/>
      <c r="F1608"/>
    </row>
    <row r="1609" spans="3:6">
      <c r="C1609"/>
      <c r="D1609"/>
      <c r="E1609"/>
      <c r="F1609"/>
    </row>
    <row r="1610" spans="3:6">
      <c r="C1610"/>
      <c r="D1610"/>
      <c r="E1610"/>
      <c r="F1610"/>
    </row>
    <row r="1611" spans="3:6">
      <c r="C1611"/>
      <c r="D1611"/>
      <c r="E1611"/>
      <c r="F1611"/>
    </row>
    <row r="1612" spans="3:6">
      <c r="C1612"/>
      <c r="D1612"/>
      <c r="E1612"/>
      <c r="F1612"/>
    </row>
    <row r="1613" spans="3:6">
      <c r="C1613"/>
      <c r="D1613"/>
      <c r="E1613"/>
      <c r="F1613"/>
    </row>
    <row r="1614" spans="3:6">
      <c r="C1614"/>
      <c r="D1614"/>
      <c r="E1614"/>
      <c r="F1614"/>
    </row>
    <row r="1615" spans="3:6">
      <c r="C1615"/>
      <c r="D1615"/>
      <c r="E1615"/>
      <c r="F1615"/>
    </row>
    <row r="1616" spans="3:6">
      <c r="C1616"/>
      <c r="D1616"/>
      <c r="E1616"/>
      <c r="F1616"/>
    </row>
    <row r="1617" spans="3:6">
      <c r="C1617"/>
      <c r="D1617"/>
      <c r="E1617"/>
      <c r="F1617"/>
    </row>
    <row r="1618" spans="3:6">
      <c r="C1618"/>
      <c r="D1618"/>
      <c r="E1618"/>
      <c r="F1618"/>
    </row>
    <row r="1619" spans="3:6">
      <c r="C1619"/>
      <c r="D1619"/>
      <c r="E1619"/>
      <c r="F1619"/>
    </row>
    <row r="1620" spans="3:6">
      <c r="C1620"/>
      <c r="D1620"/>
      <c r="E1620"/>
      <c r="F1620"/>
    </row>
    <row r="1621" spans="3:6">
      <c r="C1621"/>
      <c r="D1621"/>
      <c r="E1621"/>
      <c r="F1621"/>
    </row>
    <row r="1622" spans="3:6">
      <c r="C1622"/>
      <c r="D1622"/>
      <c r="E1622"/>
      <c r="F1622"/>
    </row>
    <row r="1623" spans="3:6">
      <c r="C1623"/>
      <c r="D1623"/>
      <c r="E1623"/>
      <c r="F1623"/>
    </row>
    <row r="1624" spans="3:6">
      <c r="C1624"/>
      <c r="D1624"/>
      <c r="E1624"/>
      <c r="F1624"/>
    </row>
    <row r="1625" spans="3:6">
      <c r="C1625"/>
      <c r="D1625"/>
      <c r="E1625"/>
      <c r="F1625"/>
    </row>
    <row r="1626" spans="3:6">
      <c r="C1626"/>
      <c r="D1626"/>
      <c r="E1626"/>
      <c r="F1626"/>
    </row>
    <row r="1627" spans="3:6">
      <c r="C1627"/>
      <c r="D1627"/>
      <c r="E1627"/>
      <c r="F1627"/>
    </row>
    <row r="1628" spans="3:6">
      <c r="C1628"/>
      <c r="D1628"/>
      <c r="E1628"/>
      <c r="F1628"/>
    </row>
    <row r="1629" spans="3:6">
      <c r="C1629"/>
      <c r="D1629"/>
      <c r="E1629"/>
      <c r="F1629"/>
    </row>
    <row r="1630" spans="3:6">
      <c r="C1630"/>
      <c r="D1630"/>
      <c r="E1630"/>
      <c r="F1630"/>
    </row>
    <row r="1631" spans="3:6">
      <c r="C1631"/>
      <c r="D1631"/>
      <c r="E1631"/>
      <c r="F1631"/>
    </row>
    <row r="1632" spans="3:6">
      <c r="C1632"/>
      <c r="D1632"/>
      <c r="E1632"/>
      <c r="F1632"/>
    </row>
    <row r="1633" spans="3:6">
      <c r="C1633"/>
      <c r="D1633"/>
      <c r="E1633"/>
      <c r="F1633"/>
    </row>
    <row r="1634" spans="3:6">
      <c r="C1634"/>
      <c r="D1634"/>
      <c r="E1634"/>
      <c r="F1634"/>
    </row>
    <row r="1635" spans="3:6">
      <c r="C1635"/>
      <c r="D1635"/>
      <c r="E1635"/>
      <c r="F1635"/>
    </row>
    <row r="1636" spans="3:6">
      <c r="C1636"/>
      <c r="D1636"/>
      <c r="E1636"/>
      <c r="F1636"/>
    </row>
    <row r="1637" spans="3:6">
      <c r="C1637"/>
      <c r="D1637"/>
      <c r="E1637"/>
      <c r="F1637"/>
    </row>
    <row r="1638" spans="3:6">
      <c r="C1638"/>
      <c r="D1638"/>
      <c r="E1638"/>
      <c r="F1638"/>
    </row>
    <row r="1639" spans="3:6">
      <c r="C1639"/>
      <c r="D1639"/>
      <c r="E1639"/>
      <c r="F1639"/>
    </row>
    <row r="1640" spans="3:6">
      <c r="C1640"/>
      <c r="D1640"/>
      <c r="E1640"/>
      <c r="F1640"/>
    </row>
    <row r="1641" spans="3:6">
      <c r="C1641"/>
      <c r="D1641"/>
      <c r="E1641"/>
      <c r="F1641"/>
    </row>
    <row r="1642" spans="3:6">
      <c r="C1642"/>
      <c r="D1642"/>
      <c r="E1642"/>
      <c r="F1642"/>
    </row>
    <row r="1643" spans="3:6">
      <c r="C1643"/>
      <c r="D1643"/>
      <c r="E1643"/>
      <c r="F1643"/>
    </row>
    <row r="1644" spans="3:6">
      <c r="C1644"/>
      <c r="D1644"/>
      <c r="E1644"/>
      <c r="F1644"/>
    </row>
    <row r="1645" spans="3:6">
      <c r="C1645"/>
      <c r="D1645"/>
      <c r="E1645"/>
      <c r="F1645"/>
    </row>
    <row r="1646" spans="3:6">
      <c r="C1646"/>
      <c r="D1646"/>
      <c r="E1646"/>
      <c r="F1646"/>
    </row>
    <row r="1647" spans="3:6">
      <c r="C1647"/>
      <c r="D1647"/>
      <c r="E1647"/>
      <c r="F1647"/>
    </row>
    <row r="1648" spans="3:6">
      <c r="C1648"/>
      <c r="D1648"/>
      <c r="E1648"/>
      <c r="F1648"/>
    </row>
    <row r="1649" spans="3:6">
      <c r="C1649"/>
      <c r="D1649"/>
      <c r="E1649"/>
      <c r="F1649"/>
    </row>
    <row r="1650" spans="3:6">
      <c r="C1650"/>
      <c r="D1650"/>
      <c r="E1650"/>
      <c r="F1650"/>
    </row>
    <row r="1651" spans="3:6">
      <c r="C1651"/>
      <c r="D1651"/>
      <c r="E1651"/>
      <c r="F1651"/>
    </row>
    <row r="1652" spans="3:6">
      <c r="C1652"/>
      <c r="D1652"/>
      <c r="E1652"/>
      <c r="F1652"/>
    </row>
    <row r="1653" spans="3:6">
      <c r="C1653"/>
      <c r="D1653"/>
      <c r="E1653"/>
      <c r="F1653"/>
    </row>
    <row r="1654" spans="3:6">
      <c r="C1654"/>
      <c r="D1654"/>
      <c r="E1654"/>
      <c r="F1654"/>
    </row>
    <row r="1655" spans="3:6">
      <c r="C1655"/>
      <c r="D1655"/>
      <c r="E1655"/>
      <c r="F1655"/>
    </row>
    <row r="1656" spans="3:6">
      <c r="C1656"/>
      <c r="D1656"/>
      <c r="E1656"/>
      <c r="F1656"/>
    </row>
    <row r="1657" spans="3:6">
      <c r="C1657"/>
      <c r="D1657"/>
      <c r="E1657"/>
      <c r="F1657"/>
    </row>
    <row r="1658" spans="3:6">
      <c r="C1658"/>
      <c r="D1658"/>
      <c r="E1658"/>
      <c r="F1658"/>
    </row>
    <row r="1659" spans="3:6">
      <c r="C1659"/>
      <c r="D1659"/>
      <c r="E1659"/>
      <c r="F1659"/>
    </row>
    <row r="1660" spans="3:6">
      <c r="C1660"/>
      <c r="D1660"/>
      <c r="E1660"/>
      <c r="F1660"/>
    </row>
    <row r="1661" spans="3:6">
      <c r="C1661"/>
      <c r="D1661"/>
      <c r="E1661"/>
      <c r="F1661"/>
    </row>
    <row r="1662" spans="3:6">
      <c r="C1662"/>
      <c r="D1662"/>
      <c r="E1662"/>
      <c r="F1662"/>
    </row>
    <row r="1663" spans="3:6">
      <c r="C1663"/>
      <c r="D1663"/>
      <c r="E1663"/>
      <c r="F1663"/>
    </row>
    <row r="1664" spans="3:6">
      <c r="C1664"/>
      <c r="D1664"/>
      <c r="E1664"/>
      <c r="F1664"/>
    </row>
    <row r="1665" spans="3:6">
      <c r="C1665"/>
      <c r="D1665"/>
      <c r="E1665"/>
      <c r="F1665"/>
    </row>
    <row r="1666" spans="3:6">
      <c r="C1666"/>
      <c r="D1666"/>
      <c r="E1666"/>
      <c r="F1666"/>
    </row>
    <row r="1667" spans="3:6">
      <c r="C1667"/>
      <c r="D1667"/>
      <c r="E1667"/>
      <c r="F1667"/>
    </row>
    <row r="1668" spans="3:6">
      <c r="C1668"/>
      <c r="D1668"/>
      <c r="E1668"/>
      <c r="F1668"/>
    </row>
    <row r="1669" spans="3:6">
      <c r="C1669"/>
      <c r="D1669"/>
      <c r="E1669"/>
      <c r="F1669"/>
    </row>
    <row r="1670" spans="3:6">
      <c r="C1670"/>
      <c r="D1670"/>
      <c r="E1670"/>
      <c r="F1670"/>
    </row>
    <row r="1671" spans="3:6">
      <c r="C1671"/>
      <c r="D1671"/>
      <c r="E1671"/>
      <c r="F1671"/>
    </row>
    <row r="1672" spans="3:6">
      <c r="C1672"/>
      <c r="D1672"/>
      <c r="E1672"/>
      <c r="F1672"/>
    </row>
    <row r="1673" spans="3:6">
      <c r="C1673"/>
      <c r="D1673"/>
      <c r="E1673"/>
      <c r="F1673"/>
    </row>
    <row r="1674" spans="3:6">
      <c r="C1674"/>
      <c r="D1674"/>
      <c r="E1674"/>
      <c r="F1674"/>
    </row>
    <row r="1675" spans="3:6">
      <c r="C1675"/>
      <c r="D1675"/>
      <c r="E1675"/>
      <c r="F1675"/>
    </row>
    <row r="1676" spans="3:6">
      <c r="C1676"/>
      <c r="D1676"/>
      <c r="E1676"/>
      <c r="F1676"/>
    </row>
    <row r="1677" spans="3:6">
      <c r="C1677"/>
      <c r="D1677"/>
      <c r="E1677"/>
      <c r="F1677"/>
    </row>
    <row r="1678" spans="3:6">
      <c r="C1678"/>
      <c r="D1678"/>
      <c r="E1678"/>
      <c r="F1678"/>
    </row>
    <row r="1679" spans="3:6">
      <c r="C1679"/>
      <c r="D1679"/>
      <c r="E1679"/>
      <c r="F1679"/>
    </row>
    <row r="1680" spans="3:6">
      <c r="C1680"/>
      <c r="D1680"/>
      <c r="E1680"/>
      <c r="F1680"/>
    </row>
    <row r="1681" spans="3:6">
      <c r="C1681"/>
      <c r="D1681"/>
      <c r="E1681"/>
      <c r="F1681"/>
    </row>
    <row r="1682" spans="3:6">
      <c r="C1682"/>
      <c r="D1682"/>
      <c r="E1682"/>
      <c r="F1682"/>
    </row>
    <row r="1683" spans="3:6">
      <c r="C1683"/>
      <c r="D1683"/>
      <c r="E1683"/>
      <c r="F1683"/>
    </row>
    <row r="1684" spans="3:6">
      <c r="C1684"/>
      <c r="D1684"/>
      <c r="E1684"/>
      <c r="F1684"/>
    </row>
    <row r="1685" spans="3:6">
      <c r="C1685"/>
      <c r="D1685"/>
      <c r="E1685"/>
      <c r="F1685"/>
    </row>
    <row r="1686" spans="3:6">
      <c r="C1686"/>
      <c r="D1686"/>
      <c r="E1686"/>
      <c r="F1686"/>
    </row>
    <row r="1687" spans="3:6">
      <c r="C1687"/>
      <c r="D1687"/>
      <c r="E1687"/>
      <c r="F1687"/>
    </row>
    <row r="1688" spans="3:6">
      <c r="C1688"/>
      <c r="D1688"/>
      <c r="E1688"/>
      <c r="F1688"/>
    </row>
    <row r="1689" spans="3:6">
      <c r="C1689"/>
      <c r="D1689"/>
      <c r="E1689"/>
      <c r="F1689"/>
    </row>
    <row r="1690" spans="3:6">
      <c r="C1690"/>
      <c r="D1690"/>
      <c r="E1690"/>
      <c r="F1690"/>
    </row>
    <row r="1691" spans="3:6">
      <c r="C1691"/>
      <c r="D1691"/>
      <c r="E1691"/>
      <c r="F1691"/>
    </row>
    <row r="1692" spans="3:6">
      <c r="C1692"/>
      <c r="D1692"/>
      <c r="E1692"/>
      <c r="F1692"/>
    </row>
    <row r="1693" spans="3:6">
      <c r="C1693"/>
      <c r="D1693"/>
      <c r="E1693"/>
      <c r="F1693"/>
    </row>
    <row r="1694" spans="3:6">
      <c r="C1694"/>
      <c r="D1694"/>
      <c r="E1694"/>
      <c r="F1694"/>
    </row>
    <row r="1695" spans="3:6">
      <c r="C1695"/>
      <c r="D1695"/>
      <c r="E1695"/>
      <c r="F1695"/>
    </row>
    <row r="1696" spans="3:6">
      <c r="C1696"/>
      <c r="D1696"/>
      <c r="E1696"/>
      <c r="F1696"/>
    </row>
    <row r="1697" spans="3:6">
      <c r="C1697"/>
      <c r="D1697"/>
      <c r="E1697"/>
      <c r="F1697"/>
    </row>
    <row r="1698" spans="3:6">
      <c r="C1698"/>
      <c r="D1698"/>
      <c r="E1698"/>
      <c r="F1698"/>
    </row>
    <row r="1699" spans="3:6">
      <c r="C1699"/>
      <c r="D1699"/>
      <c r="E1699"/>
      <c r="F1699"/>
    </row>
    <row r="1700" spans="3:6">
      <c r="C1700"/>
      <c r="D1700"/>
      <c r="E1700"/>
      <c r="F1700"/>
    </row>
    <row r="1701" spans="3:6">
      <c r="C1701"/>
      <c r="D1701"/>
      <c r="E1701"/>
      <c r="F1701"/>
    </row>
    <row r="1702" spans="3:6">
      <c r="C1702"/>
      <c r="D1702"/>
      <c r="E1702"/>
      <c r="F1702"/>
    </row>
    <row r="1703" spans="3:6">
      <c r="C1703"/>
      <c r="D1703"/>
      <c r="E1703"/>
      <c r="F1703"/>
    </row>
    <row r="1704" spans="3:6">
      <c r="C1704"/>
      <c r="D1704"/>
      <c r="E1704"/>
      <c r="F1704"/>
    </row>
    <row r="1705" spans="3:6">
      <c r="C1705"/>
      <c r="D1705"/>
      <c r="E1705"/>
      <c r="F1705"/>
    </row>
    <row r="1706" spans="3:6">
      <c r="C1706"/>
      <c r="D1706"/>
      <c r="E1706"/>
      <c r="F1706"/>
    </row>
    <row r="1707" spans="3:6">
      <c r="C1707"/>
      <c r="D1707"/>
      <c r="E1707"/>
      <c r="F1707"/>
    </row>
    <row r="1708" spans="3:6">
      <c r="C1708"/>
      <c r="D1708"/>
      <c r="E1708"/>
      <c r="F1708"/>
    </row>
    <row r="1709" spans="3:6">
      <c r="C1709"/>
      <c r="D1709"/>
      <c r="E1709"/>
      <c r="F1709"/>
    </row>
    <row r="1710" spans="3:6">
      <c r="C1710"/>
      <c r="D1710"/>
      <c r="E1710"/>
      <c r="F1710"/>
    </row>
    <row r="1711" spans="3:6">
      <c r="C1711"/>
      <c r="D1711"/>
      <c r="E1711"/>
      <c r="F1711"/>
    </row>
    <row r="1712" spans="3:6">
      <c r="C1712"/>
      <c r="D1712"/>
      <c r="E1712"/>
      <c r="F1712"/>
    </row>
    <row r="1713" spans="3:6">
      <c r="C1713"/>
      <c r="D1713"/>
      <c r="E1713"/>
      <c r="F1713"/>
    </row>
    <row r="1714" spans="3:6">
      <c r="C1714"/>
      <c r="D1714"/>
      <c r="E1714"/>
      <c r="F1714"/>
    </row>
    <row r="1715" spans="3:6">
      <c r="C1715"/>
      <c r="D1715"/>
      <c r="E1715"/>
      <c r="F1715"/>
    </row>
    <row r="1716" spans="3:6">
      <c r="C1716"/>
      <c r="D1716"/>
      <c r="E1716"/>
      <c r="F1716"/>
    </row>
    <row r="1717" spans="3:6">
      <c r="C1717"/>
      <c r="D1717"/>
      <c r="E1717"/>
      <c r="F1717"/>
    </row>
    <row r="1718" spans="3:6">
      <c r="C1718"/>
      <c r="D1718"/>
      <c r="E1718"/>
      <c r="F1718"/>
    </row>
    <row r="1719" spans="3:6">
      <c r="C1719"/>
      <c r="D1719"/>
      <c r="E1719"/>
      <c r="F1719"/>
    </row>
    <row r="1720" spans="3:6">
      <c r="C1720"/>
      <c r="D1720"/>
      <c r="E1720"/>
      <c r="F1720"/>
    </row>
    <row r="1721" spans="3:6">
      <c r="C1721"/>
      <c r="D1721"/>
      <c r="E1721"/>
      <c r="F1721"/>
    </row>
    <row r="1722" spans="3:6">
      <c r="C1722"/>
      <c r="D1722"/>
      <c r="E1722"/>
      <c r="F1722"/>
    </row>
    <row r="1723" spans="3:6">
      <c r="C1723"/>
      <c r="D1723"/>
      <c r="E1723"/>
      <c r="F1723"/>
    </row>
    <row r="1724" spans="3:6">
      <c r="C1724"/>
      <c r="D1724"/>
      <c r="E1724"/>
      <c r="F1724"/>
    </row>
    <row r="1725" spans="3:6">
      <c r="C1725"/>
      <c r="D1725"/>
      <c r="E1725"/>
      <c r="F1725"/>
    </row>
    <row r="1726" spans="3:6">
      <c r="C1726"/>
      <c r="D1726"/>
      <c r="E1726"/>
      <c r="F1726"/>
    </row>
    <row r="1727" spans="3:6">
      <c r="C1727"/>
      <c r="D1727"/>
      <c r="E1727"/>
      <c r="F1727"/>
    </row>
    <row r="1728" spans="3:6">
      <c r="C1728"/>
      <c r="D1728"/>
      <c r="E1728"/>
      <c r="F1728"/>
    </row>
    <row r="1729" spans="3:6">
      <c r="C1729"/>
      <c r="D1729"/>
      <c r="E1729"/>
      <c r="F1729"/>
    </row>
    <row r="1730" spans="3:6">
      <c r="C1730"/>
      <c r="D1730"/>
      <c r="E1730"/>
      <c r="F1730"/>
    </row>
    <row r="1731" spans="3:6">
      <c r="C1731"/>
      <c r="D1731"/>
      <c r="E1731"/>
      <c r="F1731"/>
    </row>
    <row r="1732" spans="3:6">
      <c r="C1732"/>
      <c r="D1732"/>
      <c r="E1732"/>
      <c r="F1732"/>
    </row>
    <row r="1733" spans="3:6">
      <c r="C1733"/>
      <c r="D1733"/>
      <c r="E1733"/>
      <c r="F1733"/>
    </row>
    <row r="1734" spans="3:6">
      <c r="C1734"/>
      <c r="D1734"/>
      <c r="E1734"/>
      <c r="F1734"/>
    </row>
    <row r="1735" spans="3:6">
      <c r="C1735"/>
      <c r="D1735"/>
      <c r="E1735"/>
      <c r="F1735"/>
    </row>
    <row r="1736" spans="3:6">
      <c r="C1736"/>
      <c r="D1736"/>
      <c r="E1736"/>
      <c r="F1736"/>
    </row>
    <row r="1737" spans="3:6">
      <c r="C1737"/>
      <c r="D1737"/>
      <c r="E1737"/>
      <c r="F1737"/>
    </row>
    <row r="1738" spans="3:6">
      <c r="C1738"/>
      <c r="D1738"/>
      <c r="E1738"/>
      <c r="F1738"/>
    </row>
    <row r="1739" spans="3:6">
      <c r="C1739"/>
      <c r="D1739"/>
      <c r="E1739"/>
      <c r="F1739"/>
    </row>
    <row r="1740" spans="3:6">
      <c r="C1740"/>
      <c r="D1740"/>
      <c r="E1740"/>
      <c r="F1740"/>
    </row>
    <row r="1741" spans="3:6">
      <c r="C1741"/>
      <c r="D1741"/>
      <c r="E1741"/>
      <c r="F1741"/>
    </row>
    <row r="1742" spans="3:6">
      <c r="C1742"/>
      <c r="D1742"/>
      <c r="E1742"/>
      <c r="F1742"/>
    </row>
    <row r="1743" spans="3:6">
      <c r="C1743"/>
      <c r="D1743"/>
      <c r="E1743"/>
      <c r="F1743"/>
    </row>
    <row r="1744" spans="3:6">
      <c r="C1744"/>
      <c r="D1744"/>
      <c r="E1744"/>
      <c r="F1744"/>
    </row>
    <row r="1745" spans="3:6">
      <c r="C1745"/>
      <c r="D1745"/>
      <c r="E1745"/>
      <c r="F1745"/>
    </row>
    <row r="1746" spans="3:6">
      <c r="C1746"/>
      <c r="D1746"/>
      <c r="E1746"/>
      <c r="F1746"/>
    </row>
    <row r="1747" spans="3:6">
      <c r="C1747"/>
      <c r="D1747"/>
      <c r="E1747"/>
      <c r="F1747"/>
    </row>
    <row r="1748" spans="3:6">
      <c r="C1748"/>
      <c r="D1748"/>
      <c r="E1748"/>
      <c r="F1748"/>
    </row>
    <row r="1749" spans="3:6">
      <c r="C1749"/>
      <c r="D1749"/>
      <c r="E1749"/>
      <c r="F1749"/>
    </row>
    <row r="1750" spans="3:6">
      <c r="C1750"/>
      <c r="D1750"/>
      <c r="E1750"/>
      <c r="F1750"/>
    </row>
    <row r="1751" spans="3:6">
      <c r="C1751"/>
      <c r="D1751"/>
      <c r="E1751"/>
      <c r="F1751"/>
    </row>
    <row r="1752" spans="3:6">
      <c r="C1752"/>
      <c r="D1752"/>
      <c r="E1752"/>
      <c r="F1752"/>
    </row>
    <row r="1753" spans="3:6">
      <c r="C1753"/>
      <c r="D1753"/>
      <c r="E1753"/>
      <c r="F1753"/>
    </row>
    <row r="1754" spans="3:6">
      <c r="C1754"/>
      <c r="D1754"/>
      <c r="E1754"/>
      <c r="F1754"/>
    </row>
    <row r="1755" spans="3:6">
      <c r="C1755"/>
      <c r="D1755"/>
      <c r="E1755"/>
      <c r="F1755"/>
    </row>
    <row r="1756" spans="3:6">
      <c r="C1756"/>
      <c r="D1756"/>
      <c r="E1756"/>
      <c r="F1756"/>
    </row>
    <row r="1757" spans="3:6">
      <c r="C1757"/>
      <c r="D1757"/>
      <c r="E1757"/>
      <c r="F1757"/>
    </row>
    <row r="1758" spans="3:6">
      <c r="C1758"/>
      <c r="D1758"/>
      <c r="E1758"/>
      <c r="F1758"/>
    </row>
    <row r="1759" spans="3:6">
      <c r="C1759"/>
      <c r="D1759"/>
      <c r="E1759"/>
      <c r="F1759"/>
    </row>
    <row r="1760" spans="3:6">
      <c r="C1760"/>
      <c r="D1760"/>
      <c r="E1760"/>
      <c r="F1760"/>
    </row>
    <row r="1761" spans="3:6">
      <c r="C1761"/>
      <c r="D1761"/>
      <c r="E1761"/>
      <c r="F1761"/>
    </row>
    <row r="1762" spans="3:6">
      <c r="C1762"/>
      <c r="D1762"/>
      <c r="E1762"/>
      <c r="F1762"/>
    </row>
    <row r="1763" spans="3:6">
      <c r="C1763"/>
      <c r="D1763"/>
      <c r="E1763"/>
      <c r="F1763"/>
    </row>
    <row r="1764" spans="3:6">
      <c r="C1764"/>
      <c r="D1764"/>
      <c r="E1764"/>
      <c r="F1764"/>
    </row>
    <row r="1765" spans="3:6">
      <c r="C1765"/>
      <c r="D1765"/>
      <c r="E1765"/>
      <c r="F1765"/>
    </row>
    <row r="1766" spans="3:6">
      <c r="C1766"/>
      <c r="D1766"/>
      <c r="E1766"/>
      <c r="F1766"/>
    </row>
    <row r="1767" spans="3:6">
      <c r="C1767"/>
      <c r="D1767"/>
      <c r="E1767"/>
      <c r="F1767"/>
    </row>
    <row r="1768" spans="3:6">
      <c r="C1768"/>
      <c r="D1768"/>
      <c r="E1768"/>
      <c r="F1768"/>
    </row>
    <row r="1769" spans="3:6">
      <c r="C1769"/>
      <c r="D1769"/>
      <c r="E1769"/>
      <c r="F1769"/>
    </row>
    <row r="1770" spans="3:6">
      <c r="C1770"/>
      <c r="D1770"/>
      <c r="E1770"/>
      <c r="F1770"/>
    </row>
    <row r="1771" spans="3:6">
      <c r="C1771"/>
      <c r="D1771"/>
      <c r="E1771"/>
      <c r="F1771"/>
    </row>
    <row r="1772" spans="3:6">
      <c r="C1772"/>
      <c r="D1772"/>
      <c r="E1772"/>
      <c r="F1772"/>
    </row>
    <row r="1773" spans="3:6">
      <c r="C1773"/>
      <c r="D1773"/>
      <c r="E1773"/>
      <c r="F1773"/>
    </row>
    <row r="1774" spans="3:6">
      <c r="C1774"/>
      <c r="D1774"/>
      <c r="E1774"/>
      <c r="F1774"/>
    </row>
    <row r="1775" spans="3:6">
      <c r="C1775"/>
      <c r="D1775"/>
      <c r="E1775"/>
      <c r="F1775"/>
    </row>
    <row r="1776" spans="3:6">
      <c r="C1776"/>
      <c r="D1776"/>
      <c r="E1776"/>
      <c r="F1776"/>
    </row>
    <row r="1777" spans="3:6">
      <c r="C1777"/>
      <c r="D1777"/>
      <c r="E1777"/>
      <c r="F1777"/>
    </row>
    <row r="1778" spans="3:6">
      <c r="C1778"/>
      <c r="D1778"/>
      <c r="E1778"/>
      <c r="F1778"/>
    </row>
    <row r="1779" spans="3:6">
      <c r="C1779"/>
      <c r="D1779"/>
      <c r="E1779"/>
      <c r="F1779"/>
    </row>
    <row r="1780" spans="3:6">
      <c r="C1780"/>
      <c r="D1780"/>
      <c r="E1780"/>
      <c r="F1780"/>
    </row>
    <row r="1781" spans="3:6">
      <c r="C1781"/>
      <c r="D1781"/>
      <c r="E1781"/>
      <c r="F1781"/>
    </row>
    <row r="1782" spans="3:6">
      <c r="C1782"/>
      <c r="D1782"/>
      <c r="E1782"/>
      <c r="F1782"/>
    </row>
    <row r="1783" spans="3:6">
      <c r="C1783"/>
      <c r="D1783"/>
      <c r="E1783"/>
      <c r="F1783"/>
    </row>
    <row r="1784" spans="3:6">
      <c r="C1784"/>
      <c r="D1784"/>
      <c r="E1784"/>
      <c r="F1784"/>
    </row>
    <row r="1785" spans="3:6">
      <c r="C1785"/>
      <c r="D1785"/>
      <c r="E1785"/>
      <c r="F1785"/>
    </row>
    <row r="1786" spans="3:6">
      <c r="C1786"/>
      <c r="D1786"/>
      <c r="E1786"/>
      <c r="F1786"/>
    </row>
    <row r="1787" spans="3:6">
      <c r="C1787"/>
      <c r="D1787"/>
      <c r="E1787"/>
      <c r="F1787"/>
    </row>
    <row r="1788" spans="3:6">
      <c r="C1788"/>
      <c r="D1788"/>
      <c r="E1788"/>
      <c r="F1788"/>
    </row>
    <row r="1789" spans="3:6">
      <c r="C1789"/>
      <c r="D1789"/>
      <c r="E1789"/>
      <c r="F1789"/>
    </row>
    <row r="1790" spans="3:6">
      <c r="C1790"/>
      <c r="D1790"/>
      <c r="E1790"/>
      <c r="F1790"/>
    </row>
    <row r="1791" spans="3:6">
      <c r="C1791"/>
      <c r="D1791"/>
      <c r="E1791"/>
      <c r="F1791"/>
    </row>
    <row r="1792" spans="3:6">
      <c r="C1792"/>
      <c r="D1792"/>
      <c r="E1792"/>
      <c r="F1792"/>
    </row>
    <row r="1793" spans="3:6">
      <c r="C1793"/>
      <c r="D1793"/>
      <c r="E1793"/>
      <c r="F1793"/>
    </row>
    <row r="1794" spans="3:6">
      <c r="C1794"/>
      <c r="D1794"/>
      <c r="E1794"/>
      <c r="F1794"/>
    </row>
    <row r="1795" spans="3:6">
      <c r="C1795"/>
      <c r="D1795"/>
      <c r="E1795"/>
      <c r="F1795"/>
    </row>
    <row r="1796" spans="3:6">
      <c r="C1796"/>
      <c r="D1796"/>
      <c r="E1796"/>
      <c r="F1796"/>
    </row>
    <row r="1797" spans="3:6">
      <c r="C1797"/>
      <c r="D1797"/>
      <c r="E1797"/>
      <c r="F1797"/>
    </row>
    <row r="1798" spans="3:6">
      <c r="C1798"/>
      <c r="D1798"/>
      <c r="E1798"/>
      <c r="F1798"/>
    </row>
    <row r="1799" spans="3:6">
      <c r="C1799"/>
      <c r="D1799"/>
      <c r="E1799"/>
      <c r="F1799"/>
    </row>
    <row r="1800" spans="3:6">
      <c r="C1800"/>
      <c r="D1800"/>
      <c r="E1800"/>
      <c r="F1800"/>
    </row>
    <row r="1801" spans="3:6">
      <c r="C1801"/>
      <c r="D1801"/>
      <c r="E1801"/>
      <c r="F1801"/>
    </row>
    <row r="1802" spans="3:6">
      <c r="C1802"/>
      <c r="D1802"/>
      <c r="E1802"/>
      <c r="F1802"/>
    </row>
    <row r="1803" spans="3:6">
      <c r="C1803"/>
      <c r="D1803"/>
      <c r="E1803"/>
      <c r="F1803"/>
    </row>
    <row r="1804" spans="3:6">
      <c r="C1804"/>
      <c r="D1804"/>
      <c r="E1804"/>
      <c r="F1804"/>
    </row>
    <row r="1805" spans="3:6">
      <c r="C1805"/>
      <c r="D1805"/>
      <c r="E1805"/>
      <c r="F1805"/>
    </row>
    <row r="1806" spans="3:6">
      <c r="C1806"/>
      <c r="D1806"/>
      <c r="E1806"/>
      <c r="F1806"/>
    </row>
    <row r="1807" spans="3:6">
      <c r="C1807"/>
      <c r="D1807"/>
      <c r="E1807"/>
      <c r="F1807"/>
    </row>
    <row r="1808" spans="3:6">
      <c r="C1808"/>
      <c r="D1808"/>
      <c r="E1808"/>
      <c r="F1808"/>
    </row>
    <row r="1809" spans="3:6">
      <c r="C1809"/>
      <c r="D1809"/>
      <c r="E1809"/>
      <c r="F1809"/>
    </row>
    <row r="1810" spans="3:6">
      <c r="C1810"/>
      <c r="D1810"/>
      <c r="E1810"/>
      <c r="F1810"/>
    </row>
    <row r="1811" spans="3:6">
      <c r="C1811"/>
      <c r="D1811"/>
      <c r="E1811"/>
      <c r="F1811"/>
    </row>
    <row r="1812" spans="3:6">
      <c r="C1812"/>
      <c r="D1812"/>
      <c r="E1812"/>
      <c r="F1812"/>
    </row>
    <row r="1813" spans="3:6">
      <c r="C1813"/>
      <c r="D1813"/>
      <c r="E1813"/>
      <c r="F1813"/>
    </row>
    <row r="1814" spans="3:6">
      <c r="C1814"/>
      <c r="D1814"/>
      <c r="E1814"/>
      <c r="F1814"/>
    </row>
    <row r="1815" spans="3:6">
      <c r="C1815"/>
      <c r="D1815"/>
      <c r="E1815"/>
      <c r="F1815"/>
    </row>
    <row r="1816" spans="3:6">
      <c r="C1816"/>
      <c r="D1816"/>
      <c r="E1816"/>
      <c r="F1816"/>
    </row>
    <row r="1817" spans="3:6">
      <c r="C1817"/>
      <c r="D1817"/>
      <c r="E1817"/>
      <c r="F1817"/>
    </row>
    <row r="1818" spans="3:6">
      <c r="C1818"/>
      <c r="D1818"/>
      <c r="E1818"/>
      <c r="F1818"/>
    </row>
    <row r="1819" spans="3:6">
      <c r="C1819"/>
      <c r="D1819"/>
      <c r="E1819"/>
      <c r="F1819"/>
    </row>
    <row r="1820" spans="3:6">
      <c r="C1820"/>
      <c r="D1820"/>
      <c r="E1820"/>
      <c r="F1820"/>
    </row>
    <row r="1821" spans="3:6">
      <c r="C1821"/>
      <c r="D1821"/>
      <c r="E1821"/>
      <c r="F1821"/>
    </row>
    <row r="1822" spans="3:6">
      <c r="C1822"/>
      <c r="D1822"/>
      <c r="E1822"/>
      <c r="F1822"/>
    </row>
    <row r="1823" spans="3:6">
      <c r="C1823"/>
      <c r="D1823"/>
      <c r="E1823"/>
      <c r="F1823"/>
    </row>
    <row r="1824" spans="3:6">
      <c r="C1824"/>
      <c r="D1824"/>
      <c r="E1824"/>
      <c r="F1824"/>
    </row>
    <row r="1825" spans="3:6">
      <c r="C1825"/>
      <c r="D1825"/>
      <c r="E1825"/>
      <c r="F1825"/>
    </row>
    <row r="1826" spans="3:6">
      <c r="C1826"/>
      <c r="D1826"/>
      <c r="E1826"/>
      <c r="F1826"/>
    </row>
    <row r="1827" spans="3:6">
      <c r="C1827"/>
      <c r="D1827"/>
      <c r="E1827"/>
      <c r="F1827"/>
    </row>
    <row r="1828" spans="3:6">
      <c r="C1828"/>
      <c r="D1828"/>
      <c r="E1828"/>
      <c r="F1828"/>
    </row>
    <row r="1829" spans="3:6">
      <c r="C1829"/>
      <c r="D1829"/>
      <c r="E1829"/>
      <c r="F1829"/>
    </row>
    <row r="1830" spans="3:6">
      <c r="C1830"/>
      <c r="D1830"/>
      <c r="E1830"/>
      <c r="F1830"/>
    </row>
    <row r="1831" spans="3:6">
      <c r="C1831"/>
      <c r="D1831"/>
      <c r="E1831"/>
      <c r="F1831"/>
    </row>
    <row r="1832" spans="3:6">
      <c r="C1832"/>
      <c r="D1832"/>
      <c r="E1832"/>
      <c r="F1832"/>
    </row>
    <row r="1833" spans="3:6">
      <c r="C1833"/>
      <c r="D1833"/>
      <c r="E1833"/>
      <c r="F1833"/>
    </row>
    <row r="1834" spans="3:6">
      <c r="C1834"/>
      <c r="D1834"/>
      <c r="E1834"/>
      <c r="F1834"/>
    </row>
    <row r="1835" spans="3:6">
      <c r="C1835"/>
      <c r="D1835"/>
      <c r="E1835"/>
      <c r="F1835"/>
    </row>
    <row r="1836" spans="3:6">
      <c r="C1836"/>
      <c r="D1836"/>
      <c r="E1836"/>
      <c r="F1836"/>
    </row>
    <row r="1837" spans="3:6">
      <c r="C1837"/>
      <c r="D1837"/>
      <c r="E1837"/>
      <c r="F1837"/>
    </row>
    <row r="1838" spans="3:6">
      <c r="C1838"/>
      <c r="D1838"/>
      <c r="E1838"/>
      <c r="F1838"/>
    </row>
    <row r="1839" spans="3:6">
      <c r="C1839"/>
      <c r="D1839"/>
      <c r="E1839"/>
      <c r="F1839"/>
    </row>
    <row r="1840" spans="3:6">
      <c r="C1840"/>
      <c r="D1840"/>
      <c r="E1840"/>
      <c r="F1840"/>
    </row>
    <row r="1841" spans="3:6">
      <c r="C1841"/>
      <c r="D1841"/>
      <c r="E1841"/>
      <c r="F1841"/>
    </row>
    <row r="1842" spans="3:6">
      <c r="C1842"/>
      <c r="D1842"/>
      <c r="E1842"/>
      <c r="F1842"/>
    </row>
    <row r="1843" spans="3:6">
      <c r="C1843"/>
      <c r="D1843"/>
      <c r="E1843"/>
      <c r="F1843"/>
    </row>
    <row r="1844" spans="3:6">
      <c r="C1844"/>
      <c r="D1844"/>
      <c r="E1844"/>
      <c r="F1844"/>
    </row>
    <row r="1845" spans="3:6">
      <c r="C1845"/>
      <c r="D1845"/>
      <c r="E1845"/>
      <c r="F1845"/>
    </row>
    <row r="1846" spans="3:6">
      <c r="C1846"/>
      <c r="D1846"/>
      <c r="E1846"/>
      <c r="F1846"/>
    </row>
    <row r="1847" spans="3:6">
      <c r="C1847"/>
      <c r="D1847"/>
      <c r="E1847"/>
      <c r="F1847"/>
    </row>
    <row r="1848" spans="3:6">
      <c r="C1848"/>
      <c r="D1848"/>
      <c r="E1848"/>
      <c r="F1848"/>
    </row>
    <row r="1849" spans="3:6">
      <c r="C1849"/>
      <c r="D1849"/>
      <c r="E1849"/>
      <c r="F1849"/>
    </row>
    <row r="1850" spans="3:6">
      <c r="C1850"/>
      <c r="D1850"/>
      <c r="E1850"/>
      <c r="F1850"/>
    </row>
    <row r="1851" spans="3:6">
      <c r="C1851"/>
      <c r="D1851"/>
      <c r="E1851"/>
      <c r="F1851"/>
    </row>
    <row r="1852" spans="3:6">
      <c r="C1852"/>
      <c r="D1852"/>
      <c r="E1852"/>
      <c r="F1852"/>
    </row>
    <row r="1853" spans="3:6">
      <c r="C1853"/>
      <c r="D1853"/>
      <c r="E1853"/>
      <c r="F1853"/>
    </row>
    <row r="1854" spans="3:6">
      <c r="C1854"/>
      <c r="D1854"/>
      <c r="E1854"/>
      <c r="F1854"/>
    </row>
    <row r="1855" spans="3:6">
      <c r="C1855"/>
      <c r="D1855"/>
      <c r="E1855"/>
      <c r="F1855"/>
    </row>
    <row r="1856" spans="3:6">
      <c r="C1856"/>
      <c r="D1856"/>
      <c r="E1856"/>
      <c r="F1856"/>
    </row>
    <row r="1857" spans="3:6">
      <c r="C1857"/>
      <c r="D1857"/>
      <c r="E1857"/>
      <c r="F1857"/>
    </row>
    <row r="1858" spans="3:6">
      <c r="C1858"/>
      <c r="D1858"/>
      <c r="E1858"/>
      <c r="F1858"/>
    </row>
    <row r="1859" spans="3:6">
      <c r="C1859"/>
      <c r="D1859"/>
      <c r="E1859"/>
      <c r="F1859"/>
    </row>
    <row r="1860" spans="3:6">
      <c r="C1860"/>
      <c r="D1860"/>
      <c r="E1860"/>
      <c r="F1860"/>
    </row>
    <row r="1861" spans="3:6">
      <c r="C1861"/>
      <c r="D1861"/>
      <c r="E1861"/>
      <c r="F1861"/>
    </row>
    <row r="1862" spans="3:6">
      <c r="C1862"/>
      <c r="D1862"/>
      <c r="E1862"/>
      <c r="F1862"/>
    </row>
    <row r="1863" spans="3:6">
      <c r="C1863"/>
      <c r="D1863"/>
      <c r="E1863"/>
      <c r="F1863"/>
    </row>
    <row r="1864" spans="3:6">
      <c r="C1864"/>
      <c r="D1864"/>
      <c r="E1864"/>
      <c r="F1864"/>
    </row>
    <row r="1865" spans="3:6">
      <c r="C1865"/>
      <c r="D1865"/>
      <c r="E1865"/>
      <c r="F1865"/>
    </row>
    <row r="1866" spans="3:6">
      <c r="C1866"/>
      <c r="D1866"/>
      <c r="E1866"/>
      <c r="F1866"/>
    </row>
    <row r="1867" spans="3:6">
      <c r="C1867"/>
      <c r="D1867"/>
      <c r="E1867"/>
      <c r="F1867"/>
    </row>
    <row r="1868" spans="3:6">
      <c r="C1868"/>
      <c r="D1868"/>
      <c r="E1868"/>
      <c r="F1868"/>
    </row>
    <row r="1869" spans="3:6">
      <c r="C1869"/>
      <c r="D1869"/>
      <c r="E1869"/>
      <c r="F1869"/>
    </row>
    <row r="1870" spans="3:6">
      <c r="C1870"/>
      <c r="D1870"/>
      <c r="E1870"/>
      <c r="F1870"/>
    </row>
    <row r="1871" spans="3:6">
      <c r="C1871"/>
      <c r="D1871"/>
      <c r="E1871"/>
      <c r="F1871"/>
    </row>
    <row r="1872" spans="3:6">
      <c r="C1872"/>
      <c r="D1872"/>
      <c r="E1872"/>
      <c r="F1872"/>
    </row>
    <row r="1873" spans="3:6">
      <c r="C1873"/>
      <c r="D1873"/>
      <c r="E1873"/>
      <c r="F1873"/>
    </row>
    <row r="1874" spans="3:6">
      <c r="C1874"/>
      <c r="D1874"/>
      <c r="E1874"/>
      <c r="F1874"/>
    </row>
    <row r="1875" spans="3:6">
      <c r="C1875"/>
      <c r="D1875"/>
      <c r="E1875"/>
      <c r="F1875"/>
    </row>
    <row r="1876" spans="3:6">
      <c r="C1876"/>
      <c r="D1876"/>
      <c r="E1876"/>
      <c r="F1876"/>
    </row>
    <row r="1877" spans="3:6">
      <c r="C1877"/>
      <c r="D1877"/>
      <c r="E1877"/>
      <c r="F1877"/>
    </row>
    <row r="1878" spans="3:6">
      <c r="C1878"/>
      <c r="D1878"/>
      <c r="E1878"/>
      <c r="F1878"/>
    </row>
    <row r="1879" spans="3:6">
      <c r="C1879"/>
      <c r="D1879"/>
      <c r="E1879"/>
      <c r="F1879"/>
    </row>
    <row r="1880" spans="3:6">
      <c r="C1880"/>
      <c r="D1880"/>
      <c r="E1880"/>
      <c r="F1880"/>
    </row>
    <row r="1881" spans="3:6">
      <c r="C1881"/>
      <c r="D1881"/>
      <c r="E1881"/>
      <c r="F1881"/>
    </row>
    <row r="1882" spans="3:6">
      <c r="C1882"/>
      <c r="D1882"/>
      <c r="E1882"/>
      <c r="F1882"/>
    </row>
    <row r="1883" spans="3:6">
      <c r="C1883"/>
      <c r="D1883"/>
      <c r="E1883"/>
      <c r="F1883"/>
    </row>
    <row r="1884" spans="3:6">
      <c r="C1884"/>
      <c r="D1884"/>
      <c r="E1884"/>
      <c r="F1884"/>
    </row>
    <row r="1885" spans="3:6">
      <c r="C1885"/>
      <c r="D1885"/>
      <c r="E1885"/>
      <c r="F1885"/>
    </row>
    <row r="1886" spans="3:6">
      <c r="C1886"/>
      <c r="D1886"/>
      <c r="E1886"/>
      <c r="F1886"/>
    </row>
    <row r="1887" spans="3:6">
      <c r="C1887"/>
      <c r="D1887"/>
      <c r="E1887"/>
      <c r="F1887"/>
    </row>
    <row r="1888" spans="3:6">
      <c r="C1888"/>
      <c r="D1888"/>
      <c r="E1888"/>
      <c r="F1888"/>
    </row>
    <row r="1889" spans="3:6">
      <c r="C1889"/>
      <c r="D1889"/>
      <c r="E1889"/>
      <c r="F1889"/>
    </row>
    <row r="1890" spans="3:6">
      <c r="C1890"/>
      <c r="D1890"/>
      <c r="E1890"/>
      <c r="F1890"/>
    </row>
    <row r="1891" spans="3:6">
      <c r="C1891"/>
      <c r="D1891"/>
      <c r="E1891"/>
      <c r="F1891"/>
    </row>
    <row r="1892" spans="3:6">
      <c r="C1892"/>
      <c r="D1892"/>
      <c r="E1892"/>
      <c r="F1892"/>
    </row>
    <row r="1893" spans="3:6">
      <c r="C1893"/>
      <c r="D1893"/>
      <c r="E1893"/>
      <c r="F1893"/>
    </row>
    <row r="1894" spans="3:6">
      <c r="C1894"/>
      <c r="D1894"/>
      <c r="E1894"/>
      <c r="F1894"/>
    </row>
    <row r="1895" spans="3:6">
      <c r="C1895"/>
      <c r="D1895"/>
      <c r="E1895"/>
      <c r="F1895"/>
    </row>
    <row r="1896" spans="3:6">
      <c r="C1896"/>
      <c r="D1896"/>
      <c r="E1896"/>
      <c r="F1896"/>
    </row>
    <row r="1897" spans="3:6">
      <c r="C1897"/>
      <c r="D1897"/>
      <c r="E1897"/>
      <c r="F1897"/>
    </row>
    <row r="1898" spans="3:6">
      <c r="C1898"/>
      <c r="D1898"/>
      <c r="E1898"/>
      <c r="F1898"/>
    </row>
    <row r="1899" spans="3:6">
      <c r="C1899"/>
      <c r="D1899"/>
      <c r="E1899"/>
      <c r="F1899"/>
    </row>
    <row r="1900" spans="3:6">
      <c r="C1900"/>
      <c r="D1900"/>
      <c r="E1900"/>
      <c r="F1900"/>
    </row>
    <row r="1901" spans="3:6">
      <c r="C1901"/>
      <c r="D1901"/>
      <c r="E1901"/>
      <c r="F1901"/>
    </row>
    <row r="1902" spans="3:6">
      <c r="C1902"/>
      <c r="D1902"/>
      <c r="E1902"/>
      <c r="F1902"/>
    </row>
    <row r="1903" spans="3:6">
      <c r="C1903"/>
      <c r="D1903"/>
      <c r="E1903"/>
      <c r="F1903"/>
    </row>
    <row r="1904" spans="3:6">
      <c r="C1904"/>
      <c r="D1904"/>
      <c r="E1904"/>
      <c r="F1904"/>
    </row>
    <row r="1905" spans="3:6">
      <c r="C1905"/>
      <c r="D1905"/>
      <c r="E1905"/>
      <c r="F1905"/>
    </row>
    <row r="1906" spans="3:6">
      <c r="C1906"/>
      <c r="D1906"/>
      <c r="E1906"/>
      <c r="F1906"/>
    </row>
    <row r="1907" spans="3:6">
      <c r="C1907"/>
      <c r="D1907"/>
      <c r="E1907"/>
      <c r="F1907"/>
    </row>
    <row r="1908" spans="3:6">
      <c r="C1908"/>
      <c r="D1908"/>
      <c r="E1908"/>
      <c r="F1908"/>
    </row>
    <row r="1909" spans="3:6">
      <c r="C1909"/>
      <c r="D1909"/>
      <c r="E1909"/>
      <c r="F1909"/>
    </row>
    <row r="1910" spans="3:6">
      <c r="C1910"/>
      <c r="D1910"/>
      <c r="E1910"/>
      <c r="F1910"/>
    </row>
    <row r="1911" spans="3:6">
      <c r="C1911"/>
      <c r="D1911"/>
      <c r="E1911"/>
      <c r="F1911"/>
    </row>
    <row r="1912" spans="3:6">
      <c r="C1912"/>
      <c r="D1912"/>
      <c r="E1912"/>
      <c r="F1912"/>
    </row>
    <row r="1913" spans="3:6">
      <c r="C1913"/>
      <c r="D1913"/>
      <c r="E1913"/>
      <c r="F1913"/>
    </row>
    <row r="1914" spans="3:6">
      <c r="C1914"/>
      <c r="D1914"/>
      <c r="E1914"/>
      <c r="F1914"/>
    </row>
    <row r="1915" spans="3:6">
      <c r="C1915"/>
      <c r="D1915"/>
      <c r="E1915"/>
      <c r="F1915"/>
    </row>
    <row r="1916" spans="3:6">
      <c r="C1916"/>
      <c r="D1916"/>
      <c r="E1916"/>
      <c r="F1916"/>
    </row>
    <row r="1917" spans="3:6">
      <c r="C1917"/>
      <c r="D1917"/>
      <c r="E1917"/>
      <c r="F1917"/>
    </row>
    <row r="1918" spans="3:6">
      <c r="C1918"/>
      <c r="D1918"/>
      <c r="E1918"/>
      <c r="F1918"/>
    </row>
    <row r="1919" spans="3:6">
      <c r="C1919"/>
      <c r="D1919"/>
      <c r="E1919"/>
      <c r="F1919"/>
    </row>
    <row r="1920" spans="3:6">
      <c r="C1920"/>
      <c r="D1920"/>
      <c r="E1920"/>
      <c r="F1920"/>
    </row>
    <row r="1921" spans="3:6">
      <c r="C1921"/>
      <c r="D1921"/>
      <c r="E1921"/>
      <c r="F1921"/>
    </row>
    <row r="1922" spans="3:6">
      <c r="C1922"/>
      <c r="D1922"/>
      <c r="E1922"/>
      <c r="F1922"/>
    </row>
    <row r="1923" spans="3:6">
      <c r="C1923"/>
      <c r="D1923"/>
      <c r="E1923"/>
      <c r="F1923"/>
    </row>
    <row r="1924" spans="3:6">
      <c r="C1924"/>
      <c r="D1924"/>
      <c r="E1924"/>
      <c r="F1924"/>
    </row>
    <row r="1925" spans="3:6">
      <c r="C1925"/>
      <c r="D1925"/>
      <c r="E1925"/>
      <c r="F1925"/>
    </row>
    <row r="1926" spans="3:6">
      <c r="C1926"/>
      <c r="D1926"/>
      <c r="E1926"/>
      <c r="F1926"/>
    </row>
    <row r="1927" spans="3:6">
      <c r="C1927"/>
      <c r="D1927"/>
      <c r="E1927"/>
      <c r="F1927"/>
    </row>
    <row r="1928" spans="3:6">
      <c r="C1928"/>
      <c r="D1928"/>
      <c r="E1928"/>
      <c r="F1928"/>
    </row>
    <row r="1929" spans="3:6">
      <c r="C1929"/>
      <c r="D1929"/>
      <c r="E1929"/>
      <c r="F1929"/>
    </row>
    <row r="1930" spans="3:6">
      <c r="C1930"/>
      <c r="D1930"/>
      <c r="E1930"/>
      <c r="F1930"/>
    </row>
    <row r="1931" spans="3:6">
      <c r="C1931"/>
      <c r="D1931"/>
      <c r="E1931"/>
      <c r="F1931"/>
    </row>
    <row r="1932" spans="3:6">
      <c r="C1932"/>
      <c r="D1932"/>
      <c r="E1932"/>
      <c r="F1932"/>
    </row>
    <row r="1933" spans="3:6">
      <c r="C1933"/>
      <c r="D1933"/>
      <c r="E1933"/>
      <c r="F1933"/>
    </row>
    <row r="1934" spans="3:6">
      <c r="C1934"/>
      <c r="D1934"/>
      <c r="E1934"/>
      <c r="F1934"/>
    </row>
    <row r="1935" spans="3:6">
      <c r="C1935"/>
      <c r="D1935"/>
      <c r="E1935"/>
      <c r="F1935"/>
    </row>
    <row r="1936" spans="3:6">
      <c r="C1936"/>
      <c r="D1936"/>
      <c r="E1936"/>
      <c r="F1936"/>
    </row>
    <row r="1937" spans="3:6">
      <c r="C1937"/>
      <c r="D1937"/>
      <c r="E1937"/>
      <c r="F1937"/>
    </row>
    <row r="1938" spans="3:6">
      <c r="C1938"/>
      <c r="D1938"/>
      <c r="E1938"/>
      <c r="F1938"/>
    </row>
    <row r="1939" spans="3:6">
      <c r="C1939"/>
      <c r="D1939"/>
      <c r="E1939"/>
      <c r="F1939"/>
    </row>
    <row r="1940" spans="3:6">
      <c r="C1940"/>
      <c r="D1940"/>
      <c r="E1940"/>
      <c r="F1940"/>
    </row>
    <row r="1941" spans="3:6">
      <c r="C1941"/>
      <c r="D1941"/>
      <c r="E1941"/>
      <c r="F1941"/>
    </row>
    <row r="1942" spans="3:6">
      <c r="C1942"/>
      <c r="D1942"/>
      <c r="E1942"/>
      <c r="F1942"/>
    </row>
    <row r="1943" spans="3:6">
      <c r="C1943"/>
      <c r="D1943"/>
      <c r="E1943"/>
      <c r="F1943"/>
    </row>
    <row r="1944" spans="3:6">
      <c r="C1944"/>
      <c r="D1944"/>
      <c r="E1944"/>
      <c r="F1944"/>
    </row>
    <row r="1945" spans="3:6">
      <c r="C1945"/>
      <c r="D1945"/>
      <c r="E1945"/>
      <c r="F1945"/>
    </row>
    <row r="1946" spans="3:6">
      <c r="C1946"/>
      <c r="D1946"/>
      <c r="E1946"/>
      <c r="F1946"/>
    </row>
    <row r="1947" spans="3:6">
      <c r="C1947"/>
      <c r="D1947"/>
      <c r="E1947"/>
      <c r="F1947"/>
    </row>
    <row r="1948" spans="3:6">
      <c r="C1948"/>
      <c r="D1948"/>
      <c r="E1948"/>
      <c r="F1948"/>
    </row>
    <row r="1949" spans="3:6">
      <c r="C1949"/>
      <c r="D1949"/>
      <c r="E1949"/>
      <c r="F1949"/>
    </row>
    <row r="1950" spans="3:6">
      <c r="C1950"/>
      <c r="D1950"/>
      <c r="E1950"/>
      <c r="F1950"/>
    </row>
    <row r="1951" spans="3:6">
      <c r="C1951"/>
      <c r="D1951"/>
      <c r="E1951"/>
      <c r="F1951"/>
    </row>
    <row r="1952" spans="3:6">
      <c r="C1952"/>
      <c r="D1952"/>
      <c r="E1952"/>
      <c r="F1952"/>
    </row>
    <row r="1953" spans="3:6">
      <c r="C1953"/>
      <c r="D1953"/>
      <c r="E1953"/>
      <c r="F1953"/>
    </row>
    <row r="1954" spans="3:6">
      <c r="C1954"/>
      <c r="D1954"/>
      <c r="E1954"/>
      <c r="F1954"/>
    </row>
    <row r="1955" spans="3:6">
      <c r="C1955"/>
      <c r="D1955"/>
      <c r="E1955"/>
      <c r="F1955"/>
    </row>
    <row r="1956" spans="3:6">
      <c r="C1956"/>
      <c r="D1956"/>
      <c r="E1956"/>
      <c r="F1956"/>
    </row>
    <row r="1957" spans="3:6">
      <c r="C1957"/>
      <c r="D1957"/>
      <c r="E1957"/>
      <c r="F1957"/>
    </row>
    <row r="1958" spans="3:6">
      <c r="C1958"/>
      <c r="D1958"/>
      <c r="E1958"/>
      <c r="F1958"/>
    </row>
    <row r="1959" spans="3:6">
      <c r="C1959"/>
      <c r="D1959"/>
      <c r="E1959"/>
      <c r="F1959"/>
    </row>
    <row r="1960" spans="3:6">
      <c r="C1960"/>
      <c r="D1960"/>
      <c r="E1960"/>
      <c r="F1960"/>
    </row>
    <row r="1961" spans="3:6">
      <c r="C1961"/>
      <c r="D1961"/>
      <c r="E1961"/>
      <c r="F1961"/>
    </row>
    <row r="1962" spans="3:6">
      <c r="C1962"/>
      <c r="D1962"/>
      <c r="E1962"/>
      <c r="F1962"/>
    </row>
    <row r="1963" spans="3:6">
      <c r="C1963"/>
      <c r="D1963"/>
      <c r="E1963"/>
      <c r="F1963"/>
    </row>
    <row r="1964" spans="3:6">
      <c r="C1964"/>
      <c r="D1964"/>
      <c r="E1964"/>
      <c r="F1964"/>
    </row>
    <row r="1965" spans="3:6">
      <c r="C1965"/>
      <c r="D1965"/>
      <c r="E1965"/>
      <c r="F1965"/>
    </row>
    <row r="1966" spans="3:6">
      <c r="C1966"/>
      <c r="D1966"/>
      <c r="E1966"/>
      <c r="F1966"/>
    </row>
    <row r="1967" spans="3:6">
      <c r="C1967"/>
      <c r="D1967"/>
      <c r="E1967"/>
      <c r="F1967"/>
    </row>
    <row r="1968" spans="3:6">
      <c r="C1968"/>
      <c r="D1968"/>
      <c r="E1968"/>
      <c r="F1968"/>
    </row>
    <row r="1969" spans="3:6">
      <c r="C1969"/>
      <c r="D1969"/>
      <c r="E1969"/>
      <c r="F1969"/>
    </row>
    <row r="1970" spans="3:6">
      <c r="C1970"/>
      <c r="D1970"/>
      <c r="E1970"/>
      <c r="F1970"/>
    </row>
    <row r="1971" spans="3:6">
      <c r="C1971"/>
      <c r="D1971"/>
      <c r="E1971"/>
      <c r="F1971"/>
    </row>
    <row r="1972" spans="3:6">
      <c r="C1972"/>
      <c r="D1972"/>
      <c r="E1972"/>
      <c r="F1972"/>
    </row>
    <row r="1973" spans="3:6">
      <c r="C1973"/>
      <c r="D1973"/>
      <c r="E1973"/>
      <c r="F1973"/>
    </row>
    <row r="1974" spans="3:6">
      <c r="C1974"/>
      <c r="D1974"/>
      <c r="E1974"/>
      <c r="F1974"/>
    </row>
    <row r="1975" spans="3:6">
      <c r="C1975"/>
      <c r="D1975"/>
      <c r="E1975"/>
      <c r="F1975"/>
    </row>
    <row r="1976" spans="3:6">
      <c r="C1976"/>
      <c r="D1976"/>
      <c r="E1976"/>
      <c r="F1976"/>
    </row>
    <row r="1977" spans="3:6">
      <c r="C1977"/>
      <c r="D1977"/>
      <c r="E1977"/>
      <c r="F1977"/>
    </row>
    <row r="1978" spans="3:6">
      <c r="C1978"/>
      <c r="D1978"/>
      <c r="E1978"/>
      <c r="F1978"/>
    </row>
    <row r="1979" spans="3:6">
      <c r="C1979"/>
      <c r="D1979"/>
      <c r="E1979"/>
      <c r="F1979"/>
    </row>
    <row r="1980" spans="3:6">
      <c r="C1980"/>
      <c r="D1980"/>
      <c r="E1980"/>
      <c r="F1980"/>
    </row>
    <row r="1981" spans="3:6">
      <c r="C1981"/>
      <c r="D1981"/>
      <c r="E1981"/>
      <c r="F1981"/>
    </row>
    <row r="1982" spans="3:6">
      <c r="C1982"/>
      <c r="D1982"/>
      <c r="E1982"/>
      <c r="F1982"/>
    </row>
    <row r="1983" spans="3:6">
      <c r="C1983"/>
      <c r="D1983"/>
      <c r="E1983"/>
      <c r="F1983"/>
    </row>
    <row r="1984" spans="3:6">
      <c r="C1984"/>
      <c r="D1984"/>
      <c r="E1984"/>
      <c r="F1984"/>
    </row>
    <row r="1985" spans="3:6">
      <c r="C1985"/>
      <c r="D1985"/>
      <c r="E1985"/>
      <c r="F1985"/>
    </row>
    <row r="1986" spans="3:6">
      <c r="C1986"/>
      <c r="D1986"/>
      <c r="E1986"/>
      <c r="F1986"/>
    </row>
    <row r="1987" spans="3:6">
      <c r="C1987"/>
      <c r="D1987"/>
      <c r="E1987"/>
      <c r="F1987"/>
    </row>
    <row r="1988" spans="3:6">
      <c r="C1988"/>
      <c r="D1988"/>
      <c r="E1988"/>
      <c r="F1988"/>
    </row>
    <row r="1989" spans="3:6">
      <c r="C1989"/>
      <c r="D1989"/>
      <c r="E1989"/>
      <c r="F1989"/>
    </row>
    <row r="1990" spans="3:6">
      <c r="C1990"/>
      <c r="D1990"/>
      <c r="E1990"/>
      <c r="F1990"/>
    </row>
    <row r="1991" spans="3:6">
      <c r="C1991"/>
      <c r="D1991"/>
      <c r="E1991"/>
      <c r="F1991"/>
    </row>
    <row r="1992" spans="3:6">
      <c r="C1992"/>
      <c r="D1992"/>
      <c r="E1992"/>
      <c r="F1992"/>
    </row>
    <row r="1993" spans="3:6">
      <c r="C1993"/>
      <c r="D1993"/>
      <c r="E1993"/>
      <c r="F1993"/>
    </row>
    <row r="1994" spans="3:6">
      <c r="C1994"/>
      <c r="D1994"/>
      <c r="E1994"/>
      <c r="F1994"/>
    </row>
    <row r="1995" spans="3:6">
      <c r="C1995"/>
      <c r="D1995"/>
      <c r="E1995"/>
      <c r="F1995"/>
    </row>
    <row r="1996" spans="3:6">
      <c r="C1996"/>
      <c r="D1996"/>
      <c r="E1996"/>
      <c r="F1996"/>
    </row>
    <row r="1997" spans="3:6">
      <c r="C1997"/>
      <c r="D1997"/>
      <c r="E1997"/>
      <c r="F1997"/>
    </row>
    <row r="1998" spans="3:6">
      <c r="C1998"/>
      <c r="D1998"/>
      <c r="E1998"/>
      <c r="F1998"/>
    </row>
    <row r="1999" spans="3:6">
      <c r="C1999"/>
      <c r="D1999"/>
      <c r="E1999"/>
      <c r="F1999"/>
    </row>
    <row r="2000" spans="3:6">
      <c r="C2000"/>
      <c r="D2000"/>
      <c r="E2000"/>
      <c r="F2000"/>
    </row>
    <row r="2001" spans="3:6">
      <c r="C2001"/>
      <c r="D2001"/>
      <c r="E2001"/>
      <c r="F2001"/>
    </row>
    <row r="2002" spans="3:6">
      <c r="C2002"/>
      <c r="D2002"/>
      <c r="E2002"/>
      <c r="F2002"/>
    </row>
    <row r="2003" spans="3:6">
      <c r="C2003"/>
      <c r="D2003"/>
      <c r="E2003"/>
      <c r="F2003"/>
    </row>
    <row r="2004" spans="3:6">
      <c r="C2004"/>
      <c r="D2004"/>
      <c r="E2004"/>
      <c r="F2004"/>
    </row>
    <row r="2005" spans="3:6">
      <c r="C2005"/>
      <c r="D2005"/>
      <c r="E2005"/>
      <c r="F2005"/>
    </row>
    <row r="2006" spans="3:6">
      <c r="C2006"/>
      <c r="D2006"/>
      <c r="E2006"/>
      <c r="F2006"/>
    </row>
    <row r="2007" spans="3:6">
      <c r="C2007"/>
      <c r="D2007"/>
      <c r="E2007"/>
      <c r="F2007"/>
    </row>
    <row r="2008" spans="3:6">
      <c r="C2008"/>
      <c r="D2008"/>
      <c r="E2008"/>
      <c r="F2008"/>
    </row>
    <row r="2009" spans="3:6">
      <c r="C2009"/>
      <c r="D2009"/>
      <c r="E2009"/>
      <c r="F2009"/>
    </row>
    <row r="2010" spans="3:6">
      <c r="C2010"/>
      <c r="D2010"/>
      <c r="E2010"/>
      <c r="F2010"/>
    </row>
    <row r="2011" spans="3:6">
      <c r="C2011"/>
      <c r="D2011"/>
      <c r="E2011"/>
      <c r="F2011"/>
    </row>
    <row r="2012" spans="3:6">
      <c r="C2012"/>
      <c r="D2012"/>
      <c r="E2012"/>
      <c r="F2012"/>
    </row>
    <row r="2013" spans="3:6">
      <c r="C2013"/>
      <c r="D2013"/>
      <c r="E2013"/>
      <c r="F2013"/>
    </row>
    <row r="2014" spans="3:6">
      <c r="C2014"/>
      <c r="D2014"/>
      <c r="E2014"/>
      <c r="F2014"/>
    </row>
    <row r="2015" spans="3:6">
      <c r="C2015"/>
      <c r="D2015"/>
      <c r="E2015"/>
      <c r="F2015"/>
    </row>
    <row r="2016" spans="3:6">
      <c r="C2016"/>
      <c r="D2016"/>
      <c r="E2016"/>
      <c r="F2016"/>
    </row>
    <row r="2017" spans="3:6">
      <c r="C2017"/>
      <c r="D2017"/>
      <c r="E2017"/>
      <c r="F2017"/>
    </row>
    <row r="2018" spans="3:6">
      <c r="C2018"/>
      <c r="D2018"/>
      <c r="E2018"/>
      <c r="F2018"/>
    </row>
    <row r="2019" spans="3:6">
      <c r="C2019"/>
      <c r="D2019"/>
      <c r="E2019"/>
      <c r="F2019"/>
    </row>
    <row r="2020" spans="3:6">
      <c r="C2020"/>
      <c r="D2020"/>
      <c r="E2020"/>
      <c r="F2020"/>
    </row>
    <row r="2021" spans="3:6">
      <c r="C2021"/>
      <c r="D2021"/>
      <c r="E2021"/>
      <c r="F2021"/>
    </row>
    <row r="2022" spans="3:6">
      <c r="C2022"/>
      <c r="D2022"/>
      <c r="E2022"/>
      <c r="F2022"/>
    </row>
    <row r="2023" spans="3:6">
      <c r="C2023"/>
      <c r="D2023"/>
      <c r="E2023"/>
      <c r="F2023"/>
    </row>
    <row r="2024" spans="3:6">
      <c r="C2024"/>
      <c r="D2024"/>
      <c r="E2024"/>
      <c r="F2024"/>
    </row>
    <row r="2025" spans="3:6">
      <c r="C2025"/>
      <c r="D2025"/>
      <c r="E2025"/>
      <c r="F2025"/>
    </row>
    <row r="2026" spans="3:6">
      <c r="C2026"/>
      <c r="D2026"/>
      <c r="E2026"/>
      <c r="F2026"/>
    </row>
    <row r="2027" spans="3:6">
      <c r="C2027"/>
      <c r="D2027"/>
      <c r="E2027"/>
      <c r="F2027"/>
    </row>
    <row r="2028" spans="3:6">
      <c r="C2028"/>
      <c r="D2028"/>
      <c r="E2028"/>
      <c r="F2028"/>
    </row>
    <row r="2029" spans="3:6">
      <c r="C2029"/>
      <c r="D2029"/>
      <c r="E2029"/>
      <c r="F2029"/>
    </row>
    <row r="2030" spans="3:6">
      <c r="C2030"/>
      <c r="D2030"/>
      <c r="E2030"/>
      <c r="F2030"/>
    </row>
    <row r="2031" spans="3:6">
      <c r="C2031"/>
      <c r="D2031"/>
      <c r="E2031"/>
      <c r="F2031"/>
    </row>
    <row r="2032" spans="3:6">
      <c r="C2032"/>
      <c r="D2032"/>
      <c r="E2032"/>
      <c r="F2032"/>
    </row>
    <row r="2033" spans="3:6">
      <c r="C2033"/>
      <c r="D2033"/>
      <c r="E2033"/>
      <c r="F2033"/>
    </row>
    <row r="2034" spans="3:6">
      <c r="C2034"/>
      <c r="D2034"/>
      <c r="E2034"/>
      <c r="F2034"/>
    </row>
    <row r="2035" spans="3:6">
      <c r="C2035"/>
      <c r="D2035"/>
      <c r="E2035"/>
      <c r="F2035"/>
    </row>
    <row r="2036" spans="3:6">
      <c r="C2036"/>
      <c r="D2036"/>
      <c r="E2036"/>
      <c r="F2036"/>
    </row>
    <row r="2037" spans="3:6">
      <c r="C2037"/>
      <c r="D2037"/>
      <c r="E2037"/>
      <c r="F2037"/>
    </row>
    <row r="2038" spans="3:6">
      <c r="C2038"/>
      <c r="D2038"/>
      <c r="E2038"/>
      <c r="F2038"/>
    </row>
    <row r="2039" spans="3:6">
      <c r="C2039"/>
      <c r="D2039"/>
      <c r="E2039"/>
      <c r="F2039"/>
    </row>
    <row r="2040" spans="3:6">
      <c r="C2040"/>
      <c r="D2040"/>
      <c r="E2040"/>
      <c r="F2040"/>
    </row>
    <row r="2041" spans="3:6">
      <c r="C2041"/>
      <c r="D2041"/>
      <c r="E2041"/>
      <c r="F2041"/>
    </row>
    <row r="2042" spans="3:6">
      <c r="C2042"/>
      <c r="D2042"/>
      <c r="E2042"/>
      <c r="F2042"/>
    </row>
    <row r="2043" spans="3:6">
      <c r="C2043"/>
      <c r="D2043"/>
      <c r="E2043"/>
      <c r="F2043"/>
    </row>
    <row r="2044" spans="3:6">
      <c r="C2044"/>
      <c r="D2044"/>
      <c r="E2044"/>
      <c r="F2044"/>
    </row>
    <row r="2045" spans="3:6">
      <c r="C2045"/>
      <c r="D2045"/>
      <c r="E2045"/>
      <c r="F2045"/>
    </row>
    <row r="2046" spans="3:6">
      <c r="C2046"/>
      <c r="D2046"/>
      <c r="E2046"/>
      <c r="F2046"/>
    </row>
    <row r="2047" spans="3:6">
      <c r="C2047"/>
      <c r="D2047"/>
      <c r="E2047"/>
      <c r="F2047"/>
    </row>
    <row r="2048" spans="3:6">
      <c r="C2048"/>
      <c r="D2048"/>
      <c r="E2048"/>
      <c r="F2048"/>
    </row>
    <row r="2049" spans="3:6">
      <c r="C2049"/>
      <c r="D2049"/>
      <c r="E2049"/>
      <c r="F2049"/>
    </row>
    <row r="2050" spans="3:6">
      <c r="C2050"/>
      <c r="D2050"/>
      <c r="E2050"/>
      <c r="F2050"/>
    </row>
    <row r="2051" spans="3:6">
      <c r="C2051"/>
      <c r="D2051"/>
      <c r="E2051"/>
      <c r="F2051"/>
    </row>
    <row r="2052" spans="3:6">
      <c r="C2052"/>
      <c r="D2052"/>
      <c r="E2052"/>
      <c r="F2052"/>
    </row>
    <row r="2053" spans="3:6">
      <c r="C2053"/>
      <c r="D2053"/>
      <c r="E2053"/>
      <c r="F2053"/>
    </row>
    <row r="2054" spans="3:6">
      <c r="C2054"/>
      <c r="D2054"/>
      <c r="E2054"/>
      <c r="F2054"/>
    </row>
    <row r="2055" spans="3:6">
      <c r="C2055"/>
      <c r="D2055"/>
      <c r="E2055"/>
      <c r="F2055"/>
    </row>
    <row r="2056" spans="3:6">
      <c r="C2056"/>
      <c r="D2056"/>
      <c r="E2056"/>
      <c r="F2056"/>
    </row>
    <row r="2057" spans="3:6">
      <c r="C2057"/>
      <c r="D2057"/>
      <c r="E2057"/>
      <c r="F2057"/>
    </row>
    <row r="2058" spans="3:6">
      <c r="C2058"/>
      <c r="D2058"/>
      <c r="E2058"/>
      <c r="F2058"/>
    </row>
    <row r="2059" spans="3:6">
      <c r="C2059"/>
      <c r="D2059"/>
      <c r="E2059"/>
      <c r="F2059"/>
    </row>
    <row r="2060" spans="3:6">
      <c r="C2060"/>
      <c r="D2060"/>
      <c r="E2060"/>
      <c r="F2060"/>
    </row>
    <row r="2061" spans="3:6">
      <c r="C2061"/>
      <c r="D2061"/>
      <c r="E2061"/>
      <c r="F2061"/>
    </row>
    <row r="2062" spans="3:6">
      <c r="C2062"/>
      <c r="D2062"/>
      <c r="E2062"/>
      <c r="F2062"/>
    </row>
    <row r="2063" spans="3:6">
      <c r="C2063"/>
      <c r="D2063"/>
      <c r="E2063"/>
      <c r="F2063"/>
    </row>
    <row r="2064" spans="3:6">
      <c r="C2064"/>
      <c r="D2064"/>
      <c r="E2064"/>
      <c r="F2064"/>
    </row>
    <row r="2065" spans="3:6">
      <c r="C2065"/>
      <c r="D2065"/>
      <c r="E2065"/>
      <c r="F2065"/>
    </row>
    <row r="2066" spans="3:6">
      <c r="C2066"/>
      <c r="D2066"/>
      <c r="E2066"/>
      <c r="F2066"/>
    </row>
    <row r="2067" spans="3:6">
      <c r="C2067"/>
      <c r="D2067"/>
      <c r="E2067"/>
      <c r="F2067"/>
    </row>
    <row r="2068" spans="3:6">
      <c r="C2068"/>
      <c r="D2068"/>
      <c r="E2068"/>
      <c r="F2068"/>
    </row>
    <row r="2069" spans="3:6">
      <c r="C2069"/>
      <c r="D2069"/>
      <c r="E2069"/>
      <c r="F2069"/>
    </row>
    <row r="2070" spans="3:6">
      <c r="C2070"/>
      <c r="D2070"/>
      <c r="E2070"/>
      <c r="F2070"/>
    </row>
    <row r="2071" spans="3:6">
      <c r="C2071"/>
      <c r="D2071"/>
      <c r="E2071"/>
      <c r="F2071"/>
    </row>
    <row r="2072" spans="3:6">
      <c r="C2072"/>
      <c r="D2072"/>
      <c r="E2072"/>
      <c r="F2072"/>
    </row>
    <row r="2073" spans="3:6">
      <c r="C2073"/>
      <c r="D2073"/>
      <c r="E2073"/>
      <c r="F2073"/>
    </row>
    <row r="2074" spans="3:6">
      <c r="C2074"/>
      <c r="D2074"/>
      <c r="E2074"/>
      <c r="F2074"/>
    </row>
    <row r="2075" spans="3:6">
      <c r="C2075"/>
      <c r="D2075"/>
      <c r="E2075"/>
      <c r="F2075"/>
    </row>
    <row r="2076" spans="3:6">
      <c r="C2076"/>
      <c r="D2076"/>
      <c r="E2076"/>
      <c r="F2076"/>
    </row>
    <row r="2077" spans="3:6">
      <c r="C2077"/>
      <c r="D2077"/>
      <c r="E2077"/>
      <c r="F2077"/>
    </row>
    <row r="2078" spans="3:6">
      <c r="C2078"/>
      <c r="D2078"/>
      <c r="E2078"/>
      <c r="F2078"/>
    </row>
    <row r="2079" spans="3:6">
      <c r="C2079"/>
      <c r="D2079"/>
      <c r="E2079"/>
      <c r="F2079"/>
    </row>
    <row r="2080" spans="3:6">
      <c r="C2080"/>
      <c r="D2080"/>
      <c r="E2080"/>
      <c r="F2080"/>
    </row>
    <row r="2081" spans="3:6">
      <c r="C2081"/>
      <c r="D2081"/>
      <c r="E2081"/>
      <c r="F2081"/>
    </row>
    <row r="2082" spans="3:6">
      <c r="C2082"/>
      <c r="D2082"/>
      <c r="E2082"/>
      <c r="F2082"/>
    </row>
    <row r="2083" spans="3:6">
      <c r="C2083"/>
      <c r="D2083"/>
      <c r="E2083"/>
      <c r="F2083"/>
    </row>
    <row r="2084" spans="3:6">
      <c r="C2084"/>
      <c r="D2084"/>
      <c r="E2084"/>
      <c r="F2084"/>
    </row>
    <row r="2085" spans="3:6">
      <c r="C2085"/>
      <c r="D2085"/>
      <c r="E2085"/>
      <c r="F2085"/>
    </row>
    <row r="2086" spans="3:6">
      <c r="C2086"/>
      <c r="D2086"/>
      <c r="E2086"/>
      <c r="F2086"/>
    </row>
    <row r="2087" spans="3:6">
      <c r="C2087"/>
      <c r="D2087"/>
      <c r="E2087"/>
      <c r="F2087"/>
    </row>
    <row r="2088" spans="3:6">
      <c r="C2088"/>
      <c r="D2088"/>
      <c r="E2088"/>
      <c r="F2088"/>
    </row>
    <row r="2089" spans="3:6">
      <c r="C2089"/>
      <c r="D2089"/>
      <c r="E2089"/>
      <c r="F2089"/>
    </row>
    <row r="2090" spans="3:6">
      <c r="C2090"/>
      <c r="D2090"/>
      <c r="E2090"/>
      <c r="F2090"/>
    </row>
    <row r="2091" spans="3:6">
      <c r="C2091"/>
      <c r="D2091"/>
      <c r="E2091"/>
      <c r="F2091"/>
    </row>
    <row r="2092" spans="3:6">
      <c r="C2092"/>
      <c r="D2092"/>
      <c r="E2092"/>
      <c r="F2092"/>
    </row>
    <row r="2093" spans="3:6">
      <c r="C2093"/>
      <c r="D2093"/>
      <c r="E2093"/>
      <c r="F2093"/>
    </row>
    <row r="2094" spans="3:6">
      <c r="C2094"/>
      <c r="D2094"/>
      <c r="E2094"/>
      <c r="F2094"/>
    </row>
    <row r="2095" spans="3:6">
      <c r="C2095"/>
      <c r="D2095"/>
      <c r="E2095"/>
      <c r="F2095"/>
    </row>
    <row r="2096" spans="3:6">
      <c r="C2096"/>
      <c r="D2096"/>
      <c r="E2096"/>
      <c r="F2096"/>
    </row>
    <row r="2097" spans="3:6">
      <c r="C2097"/>
      <c r="D2097"/>
      <c r="E2097"/>
      <c r="F2097"/>
    </row>
    <row r="2098" spans="3:6">
      <c r="C2098"/>
      <c r="D2098"/>
      <c r="E2098"/>
      <c r="F2098"/>
    </row>
    <row r="2099" spans="3:6">
      <c r="C2099"/>
      <c r="D2099"/>
      <c r="E2099"/>
      <c r="F2099"/>
    </row>
    <row r="2100" spans="3:6">
      <c r="C2100"/>
      <c r="D2100"/>
      <c r="E2100"/>
      <c r="F2100"/>
    </row>
    <row r="2101" spans="3:6">
      <c r="C2101"/>
      <c r="D2101"/>
      <c r="E2101"/>
      <c r="F2101"/>
    </row>
    <row r="2102" spans="3:6">
      <c r="C2102"/>
      <c r="D2102"/>
      <c r="E2102"/>
      <c r="F2102"/>
    </row>
    <row r="2103" spans="3:6">
      <c r="C2103"/>
      <c r="D2103"/>
      <c r="E2103"/>
      <c r="F2103"/>
    </row>
    <row r="2104" spans="3:6">
      <c r="C2104"/>
      <c r="D2104"/>
      <c r="E2104"/>
      <c r="F2104"/>
    </row>
    <row r="2105" spans="3:6">
      <c r="C2105"/>
      <c r="D2105"/>
      <c r="E2105"/>
      <c r="F2105"/>
    </row>
    <row r="2106" spans="3:6">
      <c r="C2106"/>
      <c r="D2106"/>
      <c r="E2106"/>
      <c r="F2106"/>
    </row>
    <row r="2107" spans="3:6">
      <c r="C2107"/>
      <c r="D2107"/>
      <c r="E2107"/>
      <c r="F2107"/>
    </row>
    <row r="2108" spans="3:6">
      <c r="C2108"/>
      <c r="D2108"/>
      <c r="E2108"/>
      <c r="F2108"/>
    </row>
    <row r="2109" spans="3:6">
      <c r="C2109"/>
      <c r="D2109"/>
      <c r="E2109"/>
      <c r="F2109"/>
    </row>
    <row r="2110" spans="3:6">
      <c r="C2110"/>
      <c r="D2110"/>
      <c r="E2110"/>
      <c r="F2110"/>
    </row>
    <row r="2111" spans="3:6">
      <c r="C2111"/>
      <c r="D2111"/>
      <c r="E2111"/>
      <c r="F2111"/>
    </row>
    <row r="2112" spans="3:6">
      <c r="C2112"/>
      <c r="D2112"/>
      <c r="E2112"/>
      <c r="F2112"/>
    </row>
    <row r="2113" spans="3:6">
      <c r="C2113"/>
      <c r="D2113"/>
      <c r="E2113"/>
      <c r="F2113"/>
    </row>
    <row r="2114" spans="3:6">
      <c r="C2114"/>
      <c r="D2114"/>
      <c r="E2114"/>
      <c r="F2114"/>
    </row>
    <row r="2115" spans="3:6">
      <c r="C2115"/>
      <c r="D2115"/>
      <c r="E2115"/>
      <c r="F2115"/>
    </row>
    <row r="2116" spans="3:6">
      <c r="C2116"/>
      <c r="D2116"/>
      <c r="E2116"/>
      <c r="F2116"/>
    </row>
    <row r="2117" spans="3:6">
      <c r="C2117"/>
      <c r="D2117"/>
      <c r="E2117"/>
      <c r="F2117"/>
    </row>
    <row r="2118" spans="3:6">
      <c r="C2118"/>
      <c r="D2118"/>
      <c r="E2118"/>
      <c r="F2118"/>
    </row>
    <row r="2119" spans="3:6">
      <c r="C2119"/>
      <c r="D2119"/>
      <c r="E2119"/>
      <c r="F2119"/>
    </row>
    <row r="2120" spans="3:6">
      <c r="C2120"/>
      <c r="D2120"/>
      <c r="E2120"/>
      <c r="F2120"/>
    </row>
    <row r="2121" spans="3:6">
      <c r="C2121"/>
      <c r="D2121"/>
      <c r="E2121"/>
      <c r="F2121"/>
    </row>
    <row r="2122" spans="3:6">
      <c r="C2122"/>
      <c r="D2122"/>
      <c r="E2122"/>
      <c r="F2122"/>
    </row>
    <row r="2123" spans="3:6">
      <c r="C2123"/>
      <c r="D2123"/>
      <c r="E2123"/>
      <c r="F2123"/>
    </row>
    <row r="2124" spans="3:6">
      <c r="C2124"/>
      <c r="D2124"/>
      <c r="E2124"/>
      <c r="F2124"/>
    </row>
    <row r="2125" spans="3:6">
      <c r="C2125"/>
      <c r="D2125"/>
      <c r="E2125"/>
      <c r="F2125"/>
    </row>
    <row r="2126" spans="3:6">
      <c r="C2126"/>
      <c r="D2126"/>
      <c r="E2126"/>
      <c r="F2126"/>
    </row>
    <row r="2127" spans="3:6">
      <c r="C2127"/>
      <c r="D2127"/>
      <c r="E2127"/>
      <c r="F2127"/>
    </row>
    <row r="2128" spans="3:6">
      <c r="C2128"/>
      <c r="D2128"/>
      <c r="E2128"/>
      <c r="F2128"/>
    </row>
    <row r="2129" spans="3:6">
      <c r="C2129"/>
      <c r="D2129"/>
      <c r="E2129"/>
      <c r="F2129"/>
    </row>
    <row r="2130" spans="3:6">
      <c r="C2130"/>
      <c r="D2130"/>
      <c r="E2130"/>
      <c r="F2130"/>
    </row>
    <row r="2131" spans="3:6">
      <c r="C2131"/>
      <c r="D2131"/>
      <c r="E2131"/>
      <c r="F2131"/>
    </row>
    <row r="2132" spans="3:6">
      <c r="C2132"/>
      <c r="D2132"/>
      <c r="E2132"/>
      <c r="F2132"/>
    </row>
    <row r="2133" spans="3:6">
      <c r="C2133"/>
      <c r="D2133"/>
      <c r="E2133"/>
      <c r="F2133"/>
    </row>
    <row r="2134" spans="3:6">
      <c r="C2134"/>
      <c r="D2134"/>
      <c r="E2134"/>
      <c r="F2134"/>
    </row>
    <row r="2135" spans="3:6">
      <c r="C2135"/>
      <c r="D2135"/>
      <c r="E2135"/>
      <c r="F2135"/>
    </row>
    <row r="2136" spans="3:6">
      <c r="C2136"/>
      <c r="D2136"/>
      <c r="E2136"/>
      <c r="F2136"/>
    </row>
    <row r="2137" spans="3:6">
      <c r="C2137"/>
      <c r="D2137"/>
      <c r="E2137"/>
      <c r="F2137"/>
    </row>
    <row r="2138" spans="3:6">
      <c r="C2138"/>
      <c r="D2138"/>
      <c r="E2138"/>
      <c r="F2138"/>
    </row>
    <row r="2139" spans="3:6">
      <c r="C2139"/>
      <c r="D2139"/>
      <c r="E2139"/>
      <c r="F2139"/>
    </row>
    <row r="2140" spans="3:6">
      <c r="C2140"/>
      <c r="D2140"/>
      <c r="E2140"/>
      <c r="F2140"/>
    </row>
    <row r="2141" spans="3:6">
      <c r="C2141"/>
      <c r="D2141"/>
      <c r="E2141"/>
      <c r="F2141"/>
    </row>
    <row r="2142" spans="3:6">
      <c r="C2142"/>
      <c r="D2142"/>
      <c r="E2142"/>
      <c r="F2142"/>
    </row>
    <row r="2143" spans="3:6">
      <c r="C2143"/>
      <c r="D2143"/>
      <c r="E2143"/>
      <c r="F2143"/>
    </row>
    <row r="2144" spans="3:6">
      <c r="C2144"/>
      <c r="D2144"/>
      <c r="E2144"/>
      <c r="F2144"/>
    </row>
    <row r="2145" spans="3:6">
      <c r="C2145"/>
      <c r="D2145"/>
      <c r="E2145"/>
      <c r="F2145"/>
    </row>
    <row r="2146" spans="3:6">
      <c r="C2146"/>
      <c r="D2146"/>
      <c r="E2146"/>
      <c r="F2146"/>
    </row>
    <row r="2147" spans="3:6">
      <c r="C2147"/>
      <c r="D2147"/>
      <c r="E2147"/>
      <c r="F2147"/>
    </row>
    <row r="2148" spans="3:6">
      <c r="C2148"/>
      <c r="D2148"/>
      <c r="E2148"/>
      <c r="F2148"/>
    </row>
    <row r="2149" spans="3:6">
      <c r="C2149"/>
      <c r="D2149"/>
      <c r="E2149"/>
      <c r="F2149"/>
    </row>
    <row r="2150" spans="3:6">
      <c r="C2150"/>
      <c r="D2150"/>
      <c r="E2150"/>
      <c r="F2150"/>
    </row>
    <row r="2151" spans="3:6">
      <c r="C2151"/>
      <c r="D2151"/>
      <c r="E2151"/>
      <c r="F2151"/>
    </row>
    <row r="2152" spans="3:6">
      <c r="C2152"/>
      <c r="D2152"/>
      <c r="E2152"/>
      <c r="F2152"/>
    </row>
    <row r="2153" spans="3:6">
      <c r="C2153"/>
      <c r="D2153"/>
      <c r="E2153"/>
      <c r="F2153"/>
    </row>
    <row r="2154" spans="3:6">
      <c r="C2154"/>
      <c r="D2154"/>
      <c r="E2154"/>
      <c r="F2154"/>
    </row>
    <row r="2155" spans="3:6">
      <c r="C2155"/>
      <c r="D2155"/>
      <c r="E2155"/>
      <c r="F2155"/>
    </row>
    <row r="2156" spans="3:6">
      <c r="C2156"/>
      <c r="D2156"/>
      <c r="E2156"/>
      <c r="F2156"/>
    </row>
    <row r="2157" spans="3:6">
      <c r="C2157"/>
      <c r="D2157"/>
      <c r="E2157"/>
      <c r="F2157"/>
    </row>
    <row r="2158" spans="3:6">
      <c r="C2158"/>
      <c r="D2158"/>
      <c r="E2158"/>
      <c r="F2158"/>
    </row>
    <row r="2159" spans="3:6">
      <c r="C2159"/>
      <c r="D2159"/>
      <c r="E2159"/>
      <c r="F2159"/>
    </row>
    <row r="2160" spans="3:6">
      <c r="C2160"/>
      <c r="D2160"/>
      <c r="E2160"/>
      <c r="F2160"/>
    </row>
    <row r="2161" spans="3:6">
      <c r="C2161"/>
      <c r="D2161"/>
      <c r="E2161"/>
      <c r="F2161"/>
    </row>
    <row r="2162" spans="3:6">
      <c r="C2162"/>
      <c r="D2162"/>
      <c r="E2162"/>
      <c r="F2162"/>
    </row>
    <row r="2163" spans="3:6">
      <c r="C2163"/>
      <c r="D2163"/>
      <c r="E2163"/>
      <c r="F2163"/>
    </row>
    <row r="2164" spans="3:6">
      <c r="C2164"/>
      <c r="D2164"/>
      <c r="E2164"/>
      <c r="F2164"/>
    </row>
    <row r="2165" spans="3:6">
      <c r="C2165"/>
      <c r="D2165"/>
      <c r="E2165"/>
      <c r="F2165"/>
    </row>
    <row r="2166" spans="3:6">
      <c r="C2166"/>
      <c r="D2166"/>
      <c r="E2166"/>
      <c r="F2166"/>
    </row>
    <row r="2167" spans="3:6">
      <c r="C2167"/>
      <c r="D2167"/>
      <c r="E2167"/>
      <c r="F2167"/>
    </row>
    <row r="2168" spans="3:6">
      <c r="C2168"/>
      <c r="D2168"/>
      <c r="E2168"/>
      <c r="F2168"/>
    </row>
    <row r="2169" spans="3:6">
      <c r="C2169"/>
      <c r="D2169"/>
      <c r="E2169"/>
      <c r="F2169"/>
    </row>
    <row r="2170" spans="3:6">
      <c r="C2170"/>
      <c r="D2170"/>
      <c r="E2170"/>
      <c r="F2170"/>
    </row>
    <row r="2171" spans="3:6">
      <c r="C2171"/>
      <c r="D2171"/>
      <c r="E2171"/>
      <c r="F2171"/>
    </row>
    <row r="2172" spans="3:6">
      <c r="C2172"/>
      <c r="D2172"/>
      <c r="E2172"/>
      <c r="F2172"/>
    </row>
    <row r="2173" spans="3:6">
      <c r="C2173"/>
      <c r="D2173"/>
      <c r="E2173"/>
      <c r="F2173"/>
    </row>
    <row r="2174" spans="3:6">
      <c r="C2174"/>
      <c r="D2174"/>
      <c r="E2174"/>
      <c r="F2174"/>
    </row>
    <row r="2175" spans="3:6">
      <c r="C2175"/>
      <c r="D2175"/>
      <c r="E2175"/>
      <c r="F2175"/>
    </row>
    <row r="2176" spans="3:6">
      <c r="C2176"/>
      <c r="D2176"/>
      <c r="E2176"/>
      <c r="F2176"/>
    </row>
    <row r="2177" spans="3:6">
      <c r="C2177"/>
      <c r="D2177"/>
      <c r="E2177"/>
      <c r="F2177"/>
    </row>
    <row r="2178" spans="3:6">
      <c r="C2178"/>
      <c r="D2178"/>
      <c r="E2178"/>
      <c r="F2178"/>
    </row>
    <row r="2179" spans="3:6">
      <c r="C2179"/>
      <c r="D2179"/>
      <c r="E2179"/>
      <c r="F2179"/>
    </row>
    <row r="2180" spans="3:6">
      <c r="C2180"/>
      <c r="D2180"/>
      <c r="E2180"/>
      <c r="F2180"/>
    </row>
    <row r="2181" spans="3:6">
      <c r="C2181"/>
      <c r="D2181"/>
      <c r="E2181"/>
      <c r="F2181"/>
    </row>
    <row r="2182" spans="3:6">
      <c r="C2182"/>
      <c r="D2182"/>
      <c r="E2182"/>
      <c r="F2182"/>
    </row>
    <row r="2183" spans="3:6">
      <c r="C2183"/>
      <c r="D2183"/>
      <c r="E2183"/>
      <c r="F2183"/>
    </row>
    <row r="2184" spans="3:6">
      <c r="C2184"/>
      <c r="D2184"/>
      <c r="E2184"/>
      <c r="F2184"/>
    </row>
    <row r="2185" spans="3:6">
      <c r="C2185"/>
      <c r="D2185"/>
      <c r="E2185"/>
      <c r="F2185"/>
    </row>
    <row r="2186" spans="3:6">
      <c r="C2186"/>
      <c r="D2186"/>
      <c r="E2186"/>
      <c r="F2186"/>
    </row>
    <row r="2187" spans="3:6">
      <c r="C2187"/>
      <c r="D2187"/>
      <c r="E2187"/>
      <c r="F2187"/>
    </row>
    <row r="2188" spans="3:6">
      <c r="C2188"/>
      <c r="D2188"/>
      <c r="E2188"/>
      <c r="F2188"/>
    </row>
    <row r="2189" spans="3:6">
      <c r="C2189"/>
      <c r="D2189"/>
      <c r="E2189"/>
      <c r="F2189"/>
    </row>
    <row r="2190" spans="3:6">
      <c r="C2190"/>
      <c r="D2190"/>
      <c r="E2190"/>
      <c r="F2190"/>
    </row>
    <row r="2191" spans="3:6">
      <c r="C2191"/>
      <c r="D2191"/>
      <c r="E2191"/>
      <c r="F2191"/>
    </row>
    <row r="2192" spans="3:6">
      <c r="C2192"/>
      <c r="D2192"/>
      <c r="E2192"/>
      <c r="F2192"/>
    </row>
    <row r="2193" spans="3:6">
      <c r="C2193"/>
      <c r="D2193"/>
      <c r="E2193"/>
      <c r="F2193"/>
    </row>
    <row r="2194" spans="3:6">
      <c r="C2194"/>
      <c r="D2194"/>
      <c r="E2194"/>
      <c r="F2194"/>
    </row>
    <row r="2195" spans="3:6">
      <c r="C2195"/>
      <c r="D2195"/>
      <c r="E2195"/>
      <c r="F2195"/>
    </row>
    <row r="2196" spans="3:6">
      <c r="C2196"/>
      <c r="D2196"/>
      <c r="E2196"/>
      <c r="F2196"/>
    </row>
    <row r="2197" spans="3:6">
      <c r="C2197"/>
      <c r="D2197"/>
      <c r="E2197"/>
      <c r="F2197"/>
    </row>
    <row r="2198" spans="3:6">
      <c r="C2198"/>
      <c r="D2198"/>
      <c r="E2198"/>
      <c r="F2198"/>
    </row>
    <row r="2199" spans="3:6">
      <c r="C2199"/>
      <c r="D2199"/>
      <c r="E2199"/>
      <c r="F2199"/>
    </row>
    <row r="2200" spans="3:6">
      <c r="C2200"/>
      <c r="D2200"/>
      <c r="E2200"/>
      <c r="F2200"/>
    </row>
    <row r="2201" spans="3:6">
      <c r="C2201"/>
      <c r="D2201"/>
      <c r="E2201"/>
      <c r="F2201"/>
    </row>
    <row r="2202" spans="3:6">
      <c r="C2202"/>
      <c r="D2202"/>
      <c r="E2202"/>
      <c r="F2202"/>
    </row>
    <row r="2203" spans="3:6">
      <c r="C2203"/>
      <c r="D2203"/>
      <c r="E2203"/>
      <c r="F2203"/>
    </row>
    <row r="2204" spans="3:6">
      <c r="C2204"/>
      <c r="D2204"/>
      <c r="E2204"/>
      <c r="F2204"/>
    </row>
    <row r="2205" spans="3:6">
      <c r="C2205"/>
      <c r="D2205"/>
      <c r="E2205"/>
      <c r="F2205"/>
    </row>
    <row r="2206" spans="3:6">
      <c r="C2206"/>
      <c r="D2206"/>
      <c r="E2206"/>
      <c r="F2206"/>
    </row>
    <row r="2207" spans="3:6">
      <c r="C2207"/>
      <c r="D2207"/>
      <c r="E2207"/>
      <c r="F2207"/>
    </row>
    <row r="2208" spans="3:6">
      <c r="C2208"/>
      <c r="D2208"/>
      <c r="E2208"/>
      <c r="F2208"/>
    </row>
    <row r="2209" spans="3:6">
      <c r="C2209"/>
      <c r="D2209"/>
      <c r="E2209"/>
      <c r="F2209"/>
    </row>
    <row r="2210" spans="3:6">
      <c r="C2210"/>
      <c r="D2210"/>
      <c r="E2210"/>
      <c r="F2210"/>
    </row>
    <row r="2211" spans="3:6">
      <c r="C2211"/>
      <c r="D2211"/>
      <c r="E2211"/>
      <c r="F2211"/>
    </row>
    <row r="2212" spans="3:6">
      <c r="C2212"/>
      <c r="D2212"/>
      <c r="E2212"/>
      <c r="F2212"/>
    </row>
    <row r="2213" spans="3:6">
      <c r="C2213"/>
      <c r="D2213"/>
      <c r="E2213"/>
      <c r="F2213"/>
    </row>
    <row r="2214" spans="3:6">
      <c r="C2214"/>
      <c r="D2214"/>
      <c r="E2214"/>
      <c r="F2214"/>
    </row>
    <row r="2215" spans="3:6">
      <c r="C2215"/>
      <c r="D2215"/>
      <c r="E2215"/>
      <c r="F2215"/>
    </row>
    <row r="2216" spans="3:6">
      <c r="C2216"/>
      <c r="D2216"/>
      <c r="E2216"/>
      <c r="F2216"/>
    </row>
    <row r="2217" spans="3:6">
      <c r="C2217"/>
      <c r="D2217"/>
      <c r="E2217"/>
      <c r="F2217"/>
    </row>
    <row r="2218" spans="3:6">
      <c r="C2218"/>
      <c r="D2218"/>
      <c r="E2218"/>
      <c r="F2218"/>
    </row>
    <row r="2219" spans="3:6">
      <c r="C2219"/>
      <c r="D2219"/>
      <c r="E2219"/>
      <c r="F2219"/>
    </row>
    <row r="2220" spans="3:6">
      <c r="C2220"/>
      <c r="D2220"/>
      <c r="E2220"/>
      <c r="F2220"/>
    </row>
    <row r="2221" spans="3:6">
      <c r="C2221"/>
      <c r="D2221"/>
      <c r="E2221"/>
      <c r="F2221"/>
    </row>
    <row r="2222" spans="3:6">
      <c r="C2222"/>
      <c r="D2222"/>
      <c r="E2222"/>
      <c r="F2222"/>
    </row>
    <row r="2223" spans="3:6">
      <c r="C2223"/>
      <c r="D2223"/>
      <c r="E2223"/>
      <c r="F2223"/>
    </row>
    <row r="2224" spans="3:6">
      <c r="C2224"/>
      <c r="D2224"/>
      <c r="E2224"/>
      <c r="F2224"/>
    </row>
    <row r="2225" spans="3:6">
      <c r="C2225"/>
      <c r="D2225"/>
      <c r="E2225"/>
      <c r="F2225"/>
    </row>
    <row r="2226" spans="3:6">
      <c r="C2226"/>
      <c r="D2226"/>
      <c r="E2226"/>
      <c r="F2226"/>
    </row>
    <row r="2227" spans="3:6">
      <c r="C2227"/>
      <c r="D2227"/>
      <c r="E2227"/>
      <c r="F2227"/>
    </row>
    <row r="2228" spans="3:6">
      <c r="C2228"/>
      <c r="D2228"/>
      <c r="E2228"/>
      <c r="F2228"/>
    </row>
    <row r="2229" spans="3:6">
      <c r="C2229"/>
      <c r="D2229"/>
      <c r="E2229"/>
      <c r="F2229"/>
    </row>
    <row r="2230" spans="3:6">
      <c r="C2230"/>
      <c r="D2230"/>
      <c r="E2230"/>
      <c r="F2230"/>
    </row>
    <row r="2231" spans="3:6">
      <c r="C2231"/>
      <c r="D2231"/>
      <c r="E2231"/>
      <c r="F2231"/>
    </row>
    <row r="2232" spans="3:6">
      <c r="C2232"/>
      <c r="D2232"/>
      <c r="E2232"/>
      <c r="F2232"/>
    </row>
    <row r="2233" spans="3:6">
      <c r="C2233"/>
      <c r="D2233"/>
      <c r="E2233"/>
      <c r="F2233"/>
    </row>
    <row r="2234" spans="3:6">
      <c r="C2234"/>
      <c r="D2234"/>
      <c r="E2234"/>
      <c r="F2234"/>
    </row>
    <row r="2235" spans="3:6">
      <c r="C2235"/>
      <c r="D2235"/>
      <c r="E2235"/>
      <c r="F2235"/>
    </row>
    <row r="2236" spans="3:6">
      <c r="C2236"/>
      <c r="D2236"/>
      <c r="E2236"/>
      <c r="F2236"/>
    </row>
    <row r="2237" spans="3:6">
      <c r="C2237"/>
      <c r="D2237"/>
      <c r="E2237"/>
      <c r="F2237"/>
    </row>
    <row r="2238" spans="3:6">
      <c r="C2238"/>
      <c r="D2238"/>
      <c r="E2238"/>
      <c r="F2238"/>
    </row>
    <row r="2239" spans="3:6">
      <c r="C2239"/>
      <c r="D2239"/>
      <c r="E2239"/>
      <c r="F2239"/>
    </row>
    <row r="2240" spans="3:6">
      <c r="C2240"/>
      <c r="D2240"/>
      <c r="E2240"/>
      <c r="F2240"/>
    </row>
    <row r="2241" spans="3:6">
      <c r="C2241"/>
      <c r="D2241"/>
      <c r="E2241"/>
      <c r="F2241"/>
    </row>
    <row r="2242" spans="3:6">
      <c r="C2242"/>
      <c r="D2242"/>
      <c r="E2242"/>
      <c r="F2242"/>
    </row>
    <row r="2243" spans="3:6">
      <c r="C2243"/>
      <c r="D2243"/>
      <c r="E2243"/>
      <c r="F2243"/>
    </row>
    <row r="2244" spans="3:6">
      <c r="C2244"/>
      <c r="D2244"/>
      <c r="E2244"/>
      <c r="F2244"/>
    </row>
    <row r="2245" spans="3:6">
      <c r="C2245"/>
      <c r="D2245"/>
      <c r="E2245"/>
      <c r="F2245"/>
    </row>
    <row r="2246" spans="3:6">
      <c r="C2246"/>
      <c r="D2246"/>
      <c r="E2246"/>
      <c r="F2246"/>
    </row>
    <row r="2247" spans="3:6">
      <c r="C2247"/>
      <c r="D2247"/>
      <c r="E2247"/>
      <c r="F2247"/>
    </row>
    <row r="2248" spans="3:6">
      <c r="C2248"/>
      <c r="D2248"/>
      <c r="E2248"/>
      <c r="F2248"/>
    </row>
    <row r="2249" spans="3:6">
      <c r="C2249"/>
      <c r="D2249"/>
      <c r="E2249"/>
      <c r="F2249"/>
    </row>
    <row r="2250" spans="3:6">
      <c r="C2250"/>
      <c r="D2250"/>
      <c r="E2250"/>
      <c r="F2250"/>
    </row>
    <row r="2251" spans="3:6">
      <c r="C2251"/>
      <c r="D2251"/>
      <c r="E2251"/>
      <c r="F2251"/>
    </row>
    <row r="2252" spans="3:6">
      <c r="C2252"/>
      <c r="D2252"/>
      <c r="E2252"/>
      <c r="F2252"/>
    </row>
    <row r="2253" spans="3:6">
      <c r="C2253"/>
      <c r="D2253"/>
      <c r="E2253"/>
      <c r="F2253"/>
    </row>
    <row r="2254" spans="3:6">
      <c r="C2254"/>
      <c r="D2254"/>
      <c r="E2254"/>
      <c r="F2254"/>
    </row>
    <row r="2255" spans="3:6">
      <c r="C2255"/>
      <c r="D2255"/>
      <c r="E2255"/>
      <c r="F2255"/>
    </row>
    <row r="2256" spans="3:6">
      <c r="C2256"/>
      <c r="D2256"/>
      <c r="E2256"/>
      <c r="F2256"/>
    </row>
    <row r="2257" spans="3:6">
      <c r="C2257"/>
      <c r="D2257"/>
      <c r="E2257"/>
      <c r="F2257"/>
    </row>
    <row r="2258" spans="3:6">
      <c r="C2258"/>
      <c r="D2258"/>
      <c r="E2258"/>
      <c r="F2258"/>
    </row>
    <row r="2259" spans="3:6">
      <c r="C2259"/>
      <c r="D2259"/>
      <c r="E2259"/>
      <c r="F2259"/>
    </row>
    <row r="2260" spans="3:6">
      <c r="C2260"/>
      <c r="D2260"/>
      <c r="E2260"/>
      <c r="F2260"/>
    </row>
    <row r="2261" spans="3:6">
      <c r="C2261"/>
      <c r="D2261"/>
      <c r="E2261"/>
      <c r="F2261"/>
    </row>
    <row r="2262" spans="3:6">
      <c r="C2262"/>
      <c r="D2262"/>
      <c r="E2262"/>
      <c r="F2262"/>
    </row>
    <row r="2263" spans="3:6">
      <c r="C2263"/>
      <c r="D2263"/>
      <c r="E2263"/>
      <c r="F2263"/>
    </row>
    <row r="2264" spans="3:6">
      <c r="C2264"/>
      <c r="D2264"/>
      <c r="E2264"/>
      <c r="F2264"/>
    </row>
    <row r="2265" spans="3:6">
      <c r="C2265"/>
      <c r="D2265"/>
      <c r="E2265"/>
      <c r="F2265"/>
    </row>
    <row r="2266" spans="3:6">
      <c r="C2266"/>
      <c r="D2266"/>
      <c r="E2266"/>
      <c r="F2266"/>
    </row>
    <row r="2267" spans="3:6">
      <c r="C2267"/>
      <c r="D2267"/>
      <c r="E2267"/>
      <c r="F2267"/>
    </row>
    <row r="2268" spans="3:6">
      <c r="C2268"/>
      <c r="D2268"/>
      <c r="E2268"/>
      <c r="F2268"/>
    </row>
    <row r="2269" spans="3:6">
      <c r="C2269"/>
      <c r="D2269"/>
      <c r="E2269"/>
      <c r="F2269"/>
    </row>
    <row r="2270" spans="3:6">
      <c r="C2270"/>
      <c r="D2270"/>
      <c r="E2270"/>
      <c r="F2270"/>
    </row>
    <row r="2271" spans="3:6">
      <c r="C2271"/>
      <c r="D2271"/>
      <c r="E2271"/>
      <c r="F2271"/>
    </row>
    <row r="2272" spans="3:6">
      <c r="C2272"/>
      <c r="D2272"/>
      <c r="E2272"/>
      <c r="F2272"/>
    </row>
    <row r="2273" spans="3:6">
      <c r="C2273"/>
      <c r="D2273"/>
      <c r="E2273"/>
      <c r="F2273"/>
    </row>
    <row r="2274" spans="3:6">
      <c r="C2274"/>
      <c r="D2274"/>
      <c r="E2274"/>
      <c r="F2274"/>
    </row>
    <row r="2275" spans="3:6">
      <c r="C2275"/>
      <c r="D2275"/>
      <c r="E2275"/>
      <c r="F2275"/>
    </row>
    <row r="2276" spans="3:6">
      <c r="C2276"/>
      <c r="D2276"/>
      <c r="E2276"/>
      <c r="F2276"/>
    </row>
    <row r="2277" spans="3:6">
      <c r="C2277"/>
      <c r="D2277"/>
      <c r="E2277"/>
      <c r="F2277"/>
    </row>
    <row r="2278" spans="3:6">
      <c r="C2278"/>
      <c r="D2278"/>
      <c r="E2278"/>
      <c r="F2278"/>
    </row>
    <row r="2279" spans="3:6">
      <c r="C2279"/>
      <c r="D2279"/>
      <c r="E2279"/>
      <c r="F2279"/>
    </row>
    <row r="2280" spans="3:6">
      <c r="C2280"/>
      <c r="D2280"/>
      <c r="E2280"/>
      <c r="F2280"/>
    </row>
    <row r="2281" spans="3:6">
      <c r="C2281"/>
      <c r="D2281"/>
      <c r="E2281"/>
      <c r="F2281"/>
    </row>
    <row r="2282" spans="3:6">
      <c r="C2282"/>
      <c r="D2282"/>
      <c r="E2282"/>
      <c r="F2282"/>
    </row>
    <row r="2283" spans="3:6">
      <c r="C2283"/>
      <c r="D2283"/>
      <c r="E2283"/>
      <c r="F2283"/>
    </row>
    <row r="2284" spans="3:6">
      <c r="C2284"/>
      <c r="D2284"/>
      <c r="E2284"/>
      <c r="F2284"/>
    </row>
    <row r="2285" spans="3:6">
      <c r="C2285"/>
      <c r="D2285"/>
      <c r="E2285"/>
      <c r="F2285"/>
    </row>
    <row r="2286" spans="3:6">
      <c r="C2286"/>
      <c r="D2286"/>
      <c r="E2286"/>
      <c r="F2286"/>
    </row>
    <row r="2287" spans="3:6">
      <c r="C2287"/>
      <c r="D2287"/>
      <c r="E2287"/>
      <c r="F2287"/>
    </row>
    <row r="2288" spans="3:6">
      <c r="C2288"/>
      <c r="D2288"/>
      <c r="E2288"/>
      <c r="F2288"/>
    </row>
    <row r="2289" spans="3:6">
      <c r="C2289"/>
      <c r="D2289"/>
      <c r="E2289"/>
      <c r="F2289"/>
    </row>
    <row r="2290" spans="3:6">
      <c r="C2290"/>
      <c r="D2290"/>
      <c r="E2290"/>
      <c r="F2290"/>
    </row>
    <row r="2291" spans="3:6">
      <c r="C2291"/>
      <c r="D2291"/>
      <c r="E2291"/>
      <c r="F2291"/>
    </row>
    <row r="2292" spans="3:6">
      <c r="C2292"/>
      <c r="D2292"/>
      <c r="E2292"/>
      <c r="F2292"/>
    </row>
    <row r="2293" spans="3:6">
      <c r="C2293"/>
      <c r="D2293"/>
      <c r="E2293"/>
      <c r="F2293"/>
    </row>
    <row r="2294" spans="3:6">
      <c r="C2294"/>
      <c r="D2294"/>
      <c r="E2294"/>
      <c r="F2294"/>
    </row>
    <row r="2295" spans="3:6">
      <c r="C2295"/>
      <c r="D2295"/>
      <c r="E2295"/>
      <c r="F2295"/>
    </row>
    <row r="2296" spans="3:6">
      <c r="C2296"/>
      <c r="D2296"/>
      <c r="E2296"/>
      <c r="F2296"/>
    </row>
    <row r="2297" spans="3:6">
      <c r="C2297"/>
      <c r="D2297"/>
      <c r="E2297"/>
      <c r="F2297"/>
    </row>
    <row r="2298" spans="3:6">
      <c r="C2298"/>
      <c r="D2298"/>
      <c r="E2298"/>
      <c r="F2298"/>
    </row>
    <row r="2299" spans="3:6">
      <c r="C2299"/>
      <c r="D2299"/>
      <c r="E2299"/>
      <c r="F2299"/>
    </row>
    <row r="2300" spans="3:6">
      <c r="C2300"/>
      <c r="D2300"/>
      <c r="E2300"/>
      <c r="F2300"/>
    </row>
    <row r="2301" spans="3:6">
      <c r="C2301"/>
      <c r="D2301"/>
      <c r="E2301"/>
      <c r="F2301"/>
    </row>
    <row r="2302" spans="3:6">
      <c r="C2302"/>
      <c r="D2302"/>
      <c r="E2302"/>
      <c r="F2302"/>
    </row>
    <row r="2303" spans="3:6">
      <c r="C2303"/>
      <c r="D2303"/>
      <c r="E2303"/>
      <c r="F2303"/>
    </row>
    <row r="2304" spans="3:6">
      <c r="C2304"/>
      <c r="D2304"/>
      <c r="E2304"/>
      <c r="F2304"/>
    </row>
    <row r="2305" spans="3:6">
      <c r="C2305"/>
      <c r="D2305"/>
      <c r="E2305"/>
      <c r="F2305"/>
    </row>
    <row r="2306" spans="3:6">
      <c r="C2306"/>
      <c r="D2306"/>
      <c r="E2306"/>
      <c r="F2306"/>
    </row>
    <row r="2307" spans="3:6">
      <c r="C2307"/>
      <c r="D2307"/>
      <c r="E2307"/>
      <c r="F2307"/>
    </row>
    <row r="2308" spans="3:6">
      <c r="C2308"/>
      <c r="D2308"/>
      <c r="E2308"/>
      <c r="F2308"/>
    </row>
    <row r="2309" spans="3:6">
      <c r="C2309"/>
      <c r="D2309"/>
      <c r="E2309"/>
      <c r="F2309"/>
    </row>
    <row r="2310" spans="3:6">
      <c r="C2310"/>
      <c r="D2310"/>
      <c r="E2310"/>
      <c r="F2310"/>
    </row>
    <row r="2311" spans="3:6">
      <c r="C2311"/>
      <c r="D2311"/>
      <c r="E2311"/>
      <c r="F2311"/>
    </row>
    <row r="2312" spans="3:6">
      <c r="C2312"/>
      <c r="D2312"/>
      <c r="E2312"/>
      <c r="F2312"/>
    </row>
    <row r="2313" spans="3:6">
      <c r="C2313"/>
      <c r="D2313"/>
      <c r="E2313"/>
      <c r="F2313"/>
    </row>
    <row r="2314" spans="3:6">
      <c r="C2314"/>
      <c r="D2314"/>
      <c r="E2314"/>
      <c r="F2314"/>
    </row>
    <row r="2315" spans="3:6">
      <c r="C2315"/>
      <c r="D2315"/>
      <c r="E2315"/>
      <c r="F2315"/>
    </row>
    <row r="2316" spans="3:6">
      <c r="C2316"/>
      <c r="D2316"/>
      <c r="E2316"/>
      <c r="F2316"/>
    </row>
    <row r="2317" spans="3:6">
      <c r="C2317"/>
      <c r="D2317"/>
      <c r="E2317"/>
      <c r="F2317"/>
    </row>
    <row r="2318" spans="3:6">
      <c r="C2318"/>
      <c r="D2318"/>
      <c r="E2318"/>
      <c r="F2318"/>
    </row>
    <row r="2319" spans="3:6">
      <c r="C2319"/>
      <c r="D2319"/>
      <c r="E2319"/>
      <c r="F2319"/>
    </row>
    <row r="2320" spans="3:6">
      <c r="C2320"/>
      <c r="D2320"/>
      <c r="E2320"/>
      <c r="F2320"/>
    </row>
    <row r="2321" spans="3:6">
      <c r="C2321"/>
      <c r="D2321"/>
      <c r="E2321"/>
      <c r="F2321"/>
    </row>
    <row r="2322" spans="3:6">
      <c r="C2322"/>
      <c r="D2322"/>
      <c r="E2322"/>
      <c r="F2322"/>
    </row>
    <row r="2323" spans="3:6">
      <c r="C2323"/>
      <c r="D2323"/>
      <c r="E2323"/>
      <c r="F2323"/>
    </row>
    <row r="2324" spans="3:6">
      <c r="C2324"/>
      <c r="D2324"/>
      <c r="E2324"/>
      <c r="F2324"/>
    </row>
    <row r="2325" spans="3:6">
      <c r="C2325"/>
      <c r="D2325"/>
      <c r="E2325"/>
      <c r="F2325"/>
    </row>
    <row r="2326" spans="3:6">
      <c r="C2326"/>
      <c r="D2326"/>
      <c r="E2326"/>
      <c r="F2326"/>
    </row>
    <row r="2327" spans="3:6">
      <c r="C2327"/>
      <c r="D2327"/>
      <c r="E2327"/>
      <c r="F2327"/>
    </row>
    <row r="2328" spans="3:6">
      <c r="C2328"/>
      <c r="D2328"/>
      <c r="E2328"/>
      <c r="F2328"/>
    </row>
    <row r="2329" spans="3:6">
      <c r="C2329"/>
      <c r="D2329"/>
      <c r="E2329"/>
      <c r="F2329"/>
    </row>
    <row r="2330" spans="3:6">
      <c r="C2330"/>
      <c r="D2330"/>
      <c r="E2330"/>
      <c r="F2330"/>
    </row>
    <row r="2331" spans="3:6">
      <c r="C2331"/>
      <c r="D2331"/>
      <c r="E2331"/>
      <c r="F2331"/>
    </row>
    <row r="2332" spans="3:6">
      <c r="C2332"/>
      <c r="D2332"/>
      <c r="E2332"/>
      <c r="F2332"/>
    </row>
    <row r="2333" spans="3:6">
      <c r="C2333"/>
      <c r="D2333"/>
      <c r="E2333"/>
      <c r="F2333"/>
    </row>
    <row r="2334" spans="3:6">
      <c r="C2334"/>
      <c r="D2334"/>
      <c r="E2334"/>
      <c r="F2334"/>
    </row>
    <row r="2335" spans="3:6">
      <c r="C2335"/>
      <c r="D2335"/>
      <c r="E2335"/>
      <c r="F2335"/>
    </row>
    <row r="2336" spans="3:6">
      <c r="C2336"/>
      <c r="D2336"/>
      <c r="E2336"/>
      <c r="F2336"/>
    </row>
    <row r="2337" spans="3:6">
      <c r="C2337"/>
      <c r="D2337"/>
      <c r="E2337"/>
      <c r="F2337"/>
    </row>
    <row r="2338" spans="3:6">
      <c r="C2338"/>
      <c r="D2338"/>
      <c r="E2338"/>
      <c r="F2338"/>
    </row>
    <row r="2339" spans="3:6">
      <c r="C2339"/>
      <c r="D2339"/>
      <c r="E2339"/>
      <c r="F2339"/>
    </row>
    <row r="2340" spans="3:6">
      <c r="C2340"/>
      <c r="D2340"/>
      <c r="E2340"/>
      <c r="F2340"/>
    </row>
    <row r="2341" spans="3:6">
      <c r="C2341"/>
      <c r="D2341"/>
      <c r="E2341"/>
      <c r="F2341"/>
    </row>
    <row r="2342" spans="3:6">
      <c r="C2342"/>
      <c r="D2342"/>
      <c r="E2342"/>
      <c r="F2342"/>
    </row>
    <row r="2343" spans="3:6">
      <c r="C2343"/>
      <c r="D2343"/>
      <c r="E2343"/>
      <c r="F2343"/>
    </row>
    <row r="2344" spans="3:6">
      <c r="C2344"/>
      <c r="D2344"/>
      <c r="E2344"/>
      <c r="F2344"/>
    </row>
    <row r="2345" spans="3:6">
      <c r="C2345"/>
      <c r="D2345"/>
      <c r="E2345"/>
      <c r="F2345"/>
    </row>
    <row r="2346" spans="3:6">
      <c r="C2346"/>
      <c r="D2346"/>
      <c r="E2346"/>
      <c r="F2346"/>
    </row>
    <row r="2347" spans="3:6">
      <c r="C2347"/>
      <c r="D2347"/>
      <c r="E2347"/>
      <c r="F2347"/>
    </row>
    <row r="2348" spans="3:6">
      <c r="C2348"/>
      <c r="D2348"/>
      <c r="E2348"/>
      <c r="F2348"/>
    </row>
    <row r="2349" spans="3:6">
      <c r="C2349"/>
      <c r="D2349"/>
      <c r="E2349"/>
      <c r="F2349"/>
    </row>
    <row r="2350" spans="3:6">
      <c r="C2350"/>
      <c r="D2350"/>
      <c r="E2350"/>
      <c r="F2350"/>
    </row>
    <row r="2351" spans="3:6">
      <c r="C2351"/>
      <c r="D2351"/>
      <c r="E2351"/>
      <c r="F2351"/>
    </row>
    <row r="2352" spans="3:6">
      <c r="C2352"/>
      <c r="D2352"/>
      <c r="E2352"/>
      <c r="F2352"/>
    </row>
    <row r="2353" spans="3:6">
      <c r="C2353"/>
      <c r="D2353"/>
      <c r="E2353"/>
      <c r="F2353"/>
    </row>
    <row r="2354" spans="3:6">
      <c r="C2354"/>
      <c r="D2354"/>
      <c r="E2354"/>
      <c r="F2354"/>
    </row>
    <row r="2355" spans="3:6">
      <c r="C2355"/>
      <c r="D2355"/>
      <c r="E2355"/>
      <c r="F2355"/>
    </row>
    <row r="2356" spans="3:6">
      <c r="C2356"/>
      <c r="D2356"/>
      <c r="E2356"/>
      <c r="F2356"/>
    </row>
    <row r="2357" spans="3:6">
      <c r="C2357"/>
      <c r="D2357"/>
      <c r="E2357"/>
      <c r="F2357"/>
    </row>
    <row r="2358" spans="3:6">
      <c r="C2358"/>
      <c r="D2358"/>
      <c r="E2358"/>
      <c r="F2358"/>
    </row>
    <row r="2359" spans="3:6">
      <c r="C2359"/>
      <c r="D2359"/>
      <c r="E2359"/>
      <c r="F2359"/>
    </row>
    <row r="2360" spans="3:6">
      <c r="C2360"/>
      <c r="D2360"/>
      <c r="E2360"/>
      <c r="F2360"/>
    </row>
    <row r="2361" spans="3:6">
      <c r="C2361"/>
      <c r="D2361"/>
      <c r="E2361"/>
      <c r="F2361"/>
    </row>
    <row r="2362" spans="3:6">
      <c r="C2362"/>
      <c r="D2362"/>
      <c r="E2362"/>
      <c r="F2362"/>
    </row>
    <row r="2363" spans="3:6">
      <c r="C2363"/>
      <c r="D2363"/>
      <c r="E2363"/>
      <c r="F2363"/>
    </row>
    <row r="2364" spans="3:6">
      <c r="C2364"/>
      <c r="D2364"/>
      <c r="E2364"/>
      <c r="F2364"/>
    </row>
    <row r="2365" spans="3:6">
      <c r="C2365"/>
      <c r="D2365"/>
      <c r="E2365"/>
      <c r="F2365"/>
    </row>
    <row r="2366" spans="3:6">
      <c r="C2366"/>
      <c r="D2366"/>
      <c r="E2366"/>
      <c r="F2366"/>
    </row>
    <row r="2367" spans="3:6">
      <c r="C2367"/>
      <c r="D2367"/>
      <c r="E2367"/>
      <c r="F2367"/>
    </row>
    <row r="2368" spans="3:6">
      <c r="C2368"/>
      <c r="D2368"/>
      <c r="E2368"/>
      <c r="F2368"/>
    </row>
    <row r="2369" spans="3:6">
      <c r="C2369"/>
      <c r="D2369"/>
      <c r="E2369"/>
      <c r="F2369"/>
    </row>
    <row r="2370" spans="3:6">
      <c r="C2370"/>
      <c r="D2370"/>
      <c r="E2370"/>
      <c r="F2370"/>
    </row>
    <row r="2371" spans="3:6">
      <c r="C2371"/>
      <c r="D2371"/>
      <c r="E2371"/>
      <c r="F2371"/>
    </row>
    <row r="2372" spans="3:6">
      <c r="C2372"/>
      <c r="D2372"/>
      <c r="E2372"/>
      <c r="F2372"/>
    </row>
    <row r="2373" spans="3:6">
      <c r="C2373"/>
      <c r="D2373"/>
      <c r="E2373"/>
      <c r="F2373"/>
    </row>
    <row r="2374" spans="3:6">
      <c r="C2374"/>
      <c r="D2374"/>
      <c r="E2374"/>
      <c r="F2374"/>
    </row>
    <row r="2375" spans="3:6">
      <c r="C2375"/>
      <c r="D2375"/>
      <c r="E2375"/>
      <c r="F2375"/>
    </row>
    <row r="2376" spans="3:6">
      <c r="C2376"/>
      <c r="D2376"/>
      <c r="E2376"/>
      <c r="F2376"/>
    </row>
    <row r="2377" spans="3:6">
      <c r="C2377"/>
      <c r="D2377"/>
      <c r="E2377"/>
      <c r="F2377"/>
    </row>
    <row r="2378" spans="3:6">
      <c r="C2378"/>
      <c r="D2378"/>
      <c r="E2378"/>
      <c r="F2378"/>
    </row>
    <row r="2379" spans="3:6">
      <c r="C2379"/>
      <c r="D2379"/>
      <c r="E2379"/>
      <c r="F2379"/>
    </row>
    <row r="2380" spans="3:6">
      <c r="C2380"/>
      <c r="D2380"/>
      <c r="E2380"/>
      <c r="F2380"/>
    </row>
    <row r="2381" spans="3:6">
      <c r="C2381"/>
      <c r="D2381"/>
      <c r="E2381"/>
      <c r="F2381"/>
    </row>
    <row r="2382" spans="3:6">
      <c r="C2382"/>
      <c r="D2382"/>
      <c r="E2382"/>
      <c r="F2382"/>
    </row>
    <row r="2383" spans="3:6">
      <c r="C2383"/>
      <c r="D2383"/>
      <c r="E2383"/>
      <c r="F2383"/>
    </row>
    <row r="2384" spans="3:6">
      <c r="C2384"/>
      <c r="D2384"/>
      <c r="E2384"/>
      <c r="F2384"/>
    </row>
    <row r="2385" spans="3:6">
      <c r="C2385"/>
      <c r="D2385"/>
      <c r="E2385"/>
      <c r="F2385"/>
    </row>
    <row r="2386" spans="3:6">
      <c r="C2386"/>
      <c r="D2386"/>
      <c r="E2386"/>
      <c r="F2386"/>
    </row>
    <row r="2387" spans="3:6">
      <c r="C2387"/>
      <c r="D2387"/>
      <c r="E2387"/>
      <c r="F2387"/>
    </row>
    <row r="2388" spans="3:6">
      <c r="C2388"/>
      <c r="D2388"/>
      <c r="E2388"/>
      <c r="F2388"/>
    </row>
    <row r="2389" spans="3:6">
      <c r="C2389"/>
      <c r="D2389"/>
      <c r="E2389"/>
      <c r="F2389"/>
    </row>
    <row r="2390" spans="3:6">
      <c r="C2390"/>
      <c r="D2390"/>
      <c r="E2390"/>
      <c r="F2390"/>
    </row>
    <row r="2391" spans="3:6">
      <c r="C2391"/>
      <c r="D2391"/>
      <c r="E2391"/>
      <c r="F2391"/>
    </row>
    <row r="2392" spans="3:6">
      <c r="C2392"/>
      <c r="D2392"/>
      <c r="E2392"/>
      <c r="F2392"/>
    </row>
    <row r="2393" spans="3:6">
      <c r="C2393"/>
      <c r="D2393"/>
      <c r="E2393"/>
      <c r="F2393"/>
    </row>
    <row r="2394" spans="3:6">
      <c r="C2394"/>
      <c r="D2394"/>
      <c r="E2394"/>
      <c r="F2394"/>
    </row>
    <row r="2395" spans="3:6">
      <c r="C2395"/>
      <c r="D2395"/>
      <c r="E2395"/>
      <c r="F2395"/>
    </row>
    <row r="2396" spans="3:6">
      <c r="C2396"/>
      <c r="D2396"/>
      <c r="E2396"/>
      <c r="F2396"/>
    </row>
    <row r="2397" spans="3:6">
      <c r="C2397"/>
      <c r="D2397"/>
      <c r="E2397"/>
      <c r="F2397"/>
    </row>
    <row r="2398" spans="3:6">
      <c r="C2398"/>
      <c r="D2398"/>
      <c r="E2398"/>
      <c r="F2398"/>
    </row>
    <row r="2399" spans="3:6">
      <c r="C2399"/>
      <c r="D2399"/>
      <c r="E2399"/>
      <c r="F2399"/>
    </row>
    <row r="2400" spans="3:6">
      <c r="C2400"/>
      <c r="D2400"/>
      <c r="E2400"/>
      <c r="F2400"/>
    </row>
    <row r="2401" spans="3:6">
      <c r="C2401"/>
      <c r="D2401"/>
      <c r="E2401"/>
      <c r="F2401"/>
    </row>
    <row r="2402" spans="3:6">
      <c r="C2402"/>
      <c r="D2402"/>
      <c r="E2402"/>
      <c r="F2402"/>
    </row>
    <row r="2403" spans="3:6">
      <c r="C2403"/>
      <c r="D2403"/>
      <c r="E2403"/>
      <c r="F2403"/>
    </row>
    <row r="2404" spans="3:6">
      <c r="C2404"/>
      <c r="D2404"/>
      <c r="E2404"/>
      <c r="F2404"/>
    </row>
    <row r="2405" spans="3:6">
      <c r="C2405"/>
      <c r="D2405"/>
      <c r="E2405"/>
      <c r="F2405"/>
    </row>
    <row r="2406" spans="3:6">
      <c r="C2406"/>
      <c r="D2406"/>
      <c r="E2406"/>
      <c r="F2406"/>
    </row>
    <row r="2407" spans="3:6">
      <c r="C2407"/>
      <c r="D2407"/>
      <c r="E2407"/>
      <c r="F2407"/>
    </row>
    <row r="2408" spans="3:6">
      <c r="C2408"/>
      <c r="D2408"/>
      <c r="E2408"/>
      <c r="F2408"/>
    </row>
    <row r="2409" spans="3:6">
      <c r="C2409"/>
      <c r="D2409"/>
      <c r="E2409"/>
      <c r="F2409"/>
    </row>
    <row r="2410" spans="3:6">
      <c r="C2410"/>
      <c r="D2410"/>
      <c r="E2410"/>
      <c r="F2410"/>
    </row>
    <row r="2411" spans="3:6">
      <c r="C2411"/>
      <c r="D2411"/>
      <c r="E2411"/>
      <c r="F2411"/>
    </row>
    <row r="2412" spans="3:6">
      <c r="C2412"/>
      <c r="D2412"/>
      <c r="E2412"/>
      <c r="F2412"/>
    </row>
    <row r="2413" spans="3:6">
      <c r="C2413"/>
      <c r="D2413"/>
      <c r="E2413"/>
      <c r="F2413"/>
    </row>
    <row r="2414" spans="3:6">
      <c r="C2414"/>
      <c r="D2414"/>
      <c r="E2414"/>
      <c r="F2414"/>
    </row>
    <row r="2415" spans="3:6">
      <c r="C2415"/>
      <c r="D2415"/>
      <c r="E2415"/>
      <c r="F2415"/>
    </row>
    <row r="2416" spans="3:6">
      <c r="C2416"/>
      <c r="D2416"/>
      <c r="E2416"/>
      <c r="F2416"/>
    </row>
    <row r="2417" spans="3:6">
      <c r="C2417"/>
      <c r="D2417"/>
      <c r="E2417"/>
      <c r="F2417"/>
    </row>
    <row r="2418" spans="3:6">
      <c r="C2418"/>
      <c r="D2418"/>
      <c r="E2418"/>
      <c r="F2418"/>
    </row>
    <row r="2419" spans="3:6">
      <c r="C2419"/>
      <c r="D2419"/>
      <c r="E2419"/>
      <c r="F2419"/>
    </row>
    <row r="2420" spans="3:6">
      <c r="C2420"/>
      <c r="D2420"/>
      <c r="E2420"/>
      <c r="F2420"/>
    </row>
    <row r="2421" spans="3:6">
      <c r="C2421"/>
      <c r="D2421"/>
      <c r="E2421"/>
      <c r="F2421"/>
    </row>
    <row r="2422" spans="3:6">
      <c r="C2422"/>
      <c r="D2422"/>
      <c r="E2422"/>
      <c r="F2422"/>
    </row>
    <row r="2423" spans="3:6">
      <c r="C2423"/>
      <c r="D2423"/>
      <c r="E2423"/>
      <c r="F2423"/>
    </row>
    <row r="2424" spans="3:6">
      <c r="C2424"/>
      <c r="D2424"/>
      <c r="E2424"/>
      <c r="F2424"/>
    </row>
    <row r="2425" spans="3:6">
      <c r="C2425"/>
      <c r="D2425"/>
      <c r="E2425"/>
      <c r="F2425"/>
    </row>
    <row r="2426" spans="3:6">
      <c r="C2426"/>
      <c r="D2426"/>
      <c r="E2426"/>
      <c r="F2426"/>
    </row>
    <row r="2427" spans="3:6">
      <c r="C2427"/>
      <c r="D2427"/>
      <c r="E2427"/>
      <c r="F2427"/>
    </row>
    <row r="2428" spans="3:6">
      <c r="C2428"/>
      <c r="D2428"/>
      <c r="E2428"/>
      <c r="F2428"/>
    </row>
    <row r="2429" spans="3:6">
      <c r="C2429"/>
      <c r="D2429"/>
      <c r="E2429"/>
      <c r="F2429"/>
    </row>
    <row r="2430" spans="3:6">
      <c r="C2430"/>
      <c r="D2430"/>
      <c r="E2430"/>
      <c r="F2430"/>
    </row>
    <row r="2431" spans="3:6">
      <c r="C2431"/>
      <c r="D2431"/>
      <c r="E2431"/>
      <c r="F2431"/>
    </row>
    <row r="2432" spans="3:6">
      <c r="C2432"/>
      <c r="D2432"/>
      <c r="E2432"/>
      <c r="F2432"/>
    </row>
    <row r="2433" spans="3:6">
      <c r="C2433"/>
      <c r="D2433"/>
      <c r="E2433"/>
      <c r="F2433"/>
    </row>
    <row r="2434" spans="3:6">
      <c r="C2434"/>
      <c r="D2434"/>
      <c r="E2434"/>
      <c r="F2434"/>
    </row>
    <row r="2435" spans="3:6">
      <c r="C2435"/>
      <c r="D2435"/>
      <c r="E2435"/>
      <c r="F2435"/>
    </row>
    <row r="2436" spans="3:6">
      <c r="C2436"/>
      <c r="D2436"/>
      <c r="E2436"/>
      <c r="F2436"/>
    </row>
    <row r="2437" spans="3:6">
      <c r="C2437"/>
      <c r="D2437"/>
      <c r="E2437"/>
      <c r="F2437"/>
    </row>
    <row r="2438" spans="3:6">
      <c r="C2438"/>
      <c r="D2438"/>
      <c r="E2438"/>
      <c r="F2438"/>
    </row>
    <row r="2439" spans="3:6">
      <c r="C2439"/>
      <c r="D2439"/>
      <c r="E2439"/>
      <c r="F2439"/>
    </row>
    <row r="2440" spans="3:6">
      <c r="C2440"/>
      <c r="D2440"/>
      <c r="E2440"/>
      <c r="F2440"/>
    </row>
    <row r="2441" spans="3:6">
      <c r="C2441"/>
      <c r="D2441"/>
      <c r="E2441"/>
      <c r="F2441"/>
    </row>
    <row r="2442" spans="3:6">
      <c r="C2442"/>
      <c r="D2442"/>
      <c r="E2442"/>
      <c r="F2442"/>
    </row>
    <row r="2443" spans="3:6">
      <c r="C2443"/>
      <c r="D2443"/>
      <c r="E2443"/>
      <c r="F2443"/>
    </row>
    <row r="2444" spans="3:6">
      <c r="C2444"/>
      <c r="D2444"/>
      <c r="E2444"/>
      <c r="F2444"/>
    </row>
    <row r="2445" spans="3:6">
      <c r="C2445"/>
      <c r="D2445"/>
      <c r="E2445"/>
      <c r="F2445"/>
    </row>
    <row r="2446" spans="3:6">
      <c r="C2446"/>
      <c r="D2446"/>
      <c r="E2446"/>
      <c r="F2446"/>
    </row>
    <row r="2447" spans="3:6">
      <c r="C2447"/>
      <c r="D2447"/>
      <c r="E2447"/>
      <c r="F2447"/>
    </row>
    <row r="2448" spans="3:6">
      <c r="C2448"/>
      <c r="D2448"/>
      <c r="E2448"/>
      <c r="F2448"/>
    </row>
    <row r="2449" spans="3:6">
      <c r="C2449"/>
      <c r="D2449"/>
      <c r="E2449"/>
      <c r="F2449"/>
    </row>
    <row r="2450" spans="3:6">
      <c r="C2450"/>
      <c r="D2450"/>
      <c r="E2450"/>
      <c r="F2450"/>
    </row>
    <row r="2451" spans="3:6">
      <c r="C2451"/>
      <c r="D2451"/>
      <c r="E2451"/>
      <c r="F2451"/>
    </row>
    <row r="2452" spans="3:6">
      <c r="C2452"/>
      <c r="D2452"/>
      <c r="E2452"/>
      <c r="F2452"/>
    </row>
    <row r="2453" spans="3:6">
      <c r="C2453"/>
      <c r="D2453"/>
      <c r="E2453"/>
      <c r="F2453"/>
    </row>
    <row r="2454" spans="3:6">
      <c r="C2454"/>
      <c r="D2454"/>
      <c r="E2454"/>
      <c r="F2454"/>
    </row>
    <row r="2455" spans="3:6">
      <c r="C2455"/>
      <c r="D2455"/>
      <c r="E2455"/>
      <c r="F2455"/>
    </row>
    <row r="2456" spans="3:6">
      <c r="C2456"/>
      <c r="D2456"/>
      <c r="E2456"/>
      <c r="F2456"/>
    </row>
    <row r="2457" spans="3:6">
      <c r="C2457"/>
      <c r="D2457"/>
      <c r="E2457"/>
      <c r="F2457"/>
    </row>
    <row r="2458" spans="3:6">
      <c r="C2458"/>
      <c r="D2458"/>
      <c r="E2458"/>
      <c r="F2458"/>
    </row>
    <row r="2459" spans="3:6">
      <c r="C2459"/>
      <c r="D2459"/>
      <c r="E2459"/>
      <c r="F2459"/>
    </row>
    <row r="2460" spans="3:6">
      <c r="C2460"/>
      <c r="D2460"/>
      <c r="E2460"/>
      <c r="F2460"/>
    </row>
    <row r="2461" spans="3:6">
      <c r="C2461"/>
      <c r="D2461"/>
      <c r="E2461"/>
      <c r="F2461"/>
    </row>
    <row r="2462" spans="3:6">
      <c r="C2462"/>
      <c r="D2462"/>
      <c r="E2462"/>
      <c r="F2462"/>
    </row>
    <row r="2463" spans="3:6">
      <c r="C2463"/>
      <c r="D2463"/>
      <c r="E2463"/>
      <c r="F2463"/>
    </row>
    <row r="2464" spans="3:6">
      <c r="C2464"/>
      <c r="D2464"/>
      <c r="E2464"/>
      <c r="F2464"/>
    </row>
    <row r="2465" spans="3:6">
      <c r="C2465"/>
      <c r="D2465"/>
      <c r="E2465"/>
      <c r="F2465"/>
    </row>
    <row r="2466" spans="3:6">
      <c r="C2466"/>
      <c r="D2466"/>
      <c r="E2466"/>
      <c r="F2466"/>
    </row>
    <row r="2467" spans="3:6">
      <c r="C2467"/>
      <c r="D2467"/>
      <c r="E2467"/>
      <c r="F2467"/>
    </row>
    <row r="2468" spans="3:6">
      <c r="C2468"/>
      <c r="D2468"/>
      <c r="E2468"/>
      <c r="F2468"/>
    </row>
    <row r="2469" spans="3:6">
      <c r="C2469"/>
      <c r="D2469"/>
      <c r="E2469"/>
      <c r="F2469"/>
    </row>
    <row r="2470" spans="3:6">
      <c r="C2470"/>
      <c r="D2470"/>
      <c r="E2470"/>
      <c r="F2470"/>
    </row>
    <row r="2471" spans="3:6">
      <c r="C2471"/>
      <c r="D2471"/>
      <c r="E2471"/>
      <c r="F2471"/>
    </row>
    <row r="2472" spans="3:6">
      <c r="C2472"/>
      <c r="D2472"/>
      <c r="E2472"/>
      <c r="F2472"/>
    </row>
    <row r="2473" spans="3:6">
      <c r="C2473"/>
      <c r="D2473"/>
      <c r="E2473"/>
      <c r="F2473"/>
    </row>
    <row r="2474" spans="3:6">
      <c r="C2474"/>
      <c r="D2474"/>
      <c r="E2474"/>
      <c r="F2474"/>
    </row>
    <row r="2475" spans="3:6">
      <c r="C2475"/>
      <c r="D2475"/>
      <c r="E2475"/>
      <c r="F2475"/>
    </row>
    <row r="2476" spans="3:6">
      <c r="C2476"/>
      <c r="D2476"/>
      <c r="E2476"/>
      <c r="F2476"/>
    </row>
    <row r="2477" spans="3:6">
      <c r="C2477"/>
      <c r="D2477"/>
      <c r="E2477"/>
      <c r="F2477"/>
    </row>
    <row r="2478" spans="3:6">
      <c r="C2478"/>
      <c r="D2478"/>
      <c r="E2478"/>
      <c r="F2478"/>
    </row>
    <row r="2479" spans="3:6">
      <c r="C2479"/>
      <c r="D2479"/>
      <c r="E2479"/>
      <c r="F2479"/>
    </row>
    <row r="2480" spans="3:6">
      <c r="C2480"/>
      <c r="D2480"/>
      <c r="E2480"/>
      <c r="F2480"/>
    </row>
    <row r="2481" spans="3:6">
      <c r="C2481"/>
      <c r="D2481"/>
      <c r="E2481"/>
      <c r="F2481"/>
    </row>
    <row r="2482" spans="3:6">
      <c r="C2482"/>
      <c r="D2482"/>
      <c r="E2482"/>
      <c r="F2482"/>
    </row>
    <row r="2483" spans="3:6">
      <c r="C2483"/>
      <c r="D2483"/>
      <c r="E2483"/>
      <c r="F2483"/>
    </row>
    <row r="2484" spans="3:6">
      <c r="C2484"/>
      <c r="D2484"/>
      <c r="E2484"/>
      <c r="F2484"/>
    </row>
    <row r="2485" spans="3:6">
      <c r="C2485"/>
      <c r="D2485"/>
      <c r="E2485"/>
      <c r="F2485"/>
    </row>
    <row r="2486" spans="3:6">
      <c r="C2486"/>
      <c r="D2486"/>
      <c r="E2486"/>
      <c r="F2486"/>
    </row>
    <row r="2487" spans="3:6">
      <c r="C2487"/>
      <c r="D2487"/>
      <c r="E2487"/>
      <c r="F2487"/>
    </row>
    <row r="2488" spans="3:6">
      <c r="C2488"/>
      <c r="D2488"/>
      <c r="E2488"/>
      <c r="F2488"/>
    </row>
    <row r="2489" spans="3:6">
      <c r="C2489"/>
      <c r="D2489"/>
      <c r="E2489"/>
      <c r="F2489"/>
    </row>
    <row r="2490" spans="3:6">
      <c r="C2490"/>
      <c r="D2490"/>
      <c r="E2490"/>
      <c r="F2490"/>
    </row>
    <row r="2491" spans="3:6">
      <c r="C2491"/>
      <c r="D2491"/>
      <c r="E2491"/>
      <c r="F2491"/>
    </row>
    <row r="2492" spans="3:6">
      <c r="C2492"/>
      <c r="D2492"/>
      <c r="E2492"/>
      <c r="F2492"/>
    </row>
    <row r="2493" spans="3:6">
      <c r="C2493"/>
      <c r="D2493"/>
      <c r="E2493"/>
      <c r="F2493"/>
    </row>
    <row r="2494" spans="3:6">
      <c r="C2494"/>
      <c r="D2494"/>
      <c r="E2494"/>
      <c r="F2494"/>
    </row>
    <row r="2495" spans="3:6">
      <c r="C2495"/>
      <c r="D2495"/>
      <c r="E2495"/>
      <c r="F2495"/>
    </row>
    <row r="2496" spans="3:6">
      <c r="C2496"/>
      <c r="D2496"/>
      <c r="E2496"/>
      <c r="F2496"/>
    </row>
    <row r="2497" spans="3:6">
      <c r="C2497"/>
      <c r="D2497"/>
      <c r="E2497"/>
      <c r="F2497"/>
    </row>
    <row r="2498" spans="3:6">
      <c r="C2498"/>
      <c r="D2498"/>
      <c r="E2498"/>
      <c r="F2498"/>
    </row>
    <row r="2499" spans="3:6">
      <c r="C2499"/>
      <c r="D2499"/>
      <c r="E2499"/>
      <c r="F2499"/>
    </row>
    <row r="2500" spans="3:6">
      <c r="C2500"/>
      <c r="D2500"/>
      <c r="E2500"/>
      <c r="F2500"/>
    </row>
    <row r="2501" spans="3:6">
      <c r="C2501"/>
      <c r="D2501"/>
      <c r="E2501"/>
      <c r="F2501"/>
    </row>
    <row r="2502" spans="3:6">
      <c r="C2502"/>
      <c r="D2502"/>
      <c r="E2502"/>
      <c r="F2502"/>
    </row>
    <row r="2503" spans="3:6">
      <c r="C2503"/>
      <c r="D2503"/>
      <c r="E2503"/>
      <c r="F2503"/>
    </row>
    <row r="2504" spans="3:6">
      <c r="C2504"/>
      <c r="D2504"/>
      <c r="E2504"/>
      <c r="F2504"/>
    </row>
    <row r="2505" spans="3:6">
      <c r="C2505"/>
      <c r="D2505"/>
      <c r="E2505"/>
      <c r="F2505"/>
    </row>
    <row r="2506" spans="3:6">
      <c r="C2506"/>
      <c r="D2506"/>
      <c r="E2506"/>
      <c r="F2506"/>
    </row>
    <row r="2507" spans="3:6">
      <c r="C2507"/>
      <c r="D2507"/>
      <c r="E2507"/>
      <c r="F2507"/>
    </row>
    <row r="2508" spans="3:6">
      <c r="C2508"/>
      <c r="D2508"/>
      <c r="E2508"/>
      <c r="F2508"/>
    </row>
    <row r="2509" spans="3:6">
      <c r="C2509"/>
      <c r="D2509"/>
      <c r="E2509"/>
      <c r="F2509"/>
    </row>
    <row r="2510" spans="3:6">
      <c r="C2510"/>
      <c r="D2510"/>
      <c r="E2510"/>
      <c r="F2510"/>
    </row>
    <row r="2511" spans="3:6">
      <c r="C2511"/>
      <c r="D2511"/>
      <c r="E2511"/>
      <c r="F2511"/>
    </row>
    <row r="2512" spans="3:6">
      <c r="C2512"/>
      <c r="D2512"/>
      <c r="E2512"/>
      <c r="F2512"/>
    </row>
    <row r="2513" spans="3:6">
      <c r="C2513"/>
      <c r="D2513"/>
      <c r="E2513"/>
      <c r="F2513"/>
    </row>
    <row r="2514" spans="3:6">
      <c r="C2514"/>
      <c r="D2514"/>
      <c r="E2514"/>
      <c r="F2514"/>
    </row>
    <row r="2515" spans="3:6">
      <c r="C2515"/>
      <c r="D2515"/>
      <c r="E2515"/>
      <c r="F2515"/>
    </row>
    <row r="2516" spans="3:6">
      <c r="C2516"/>
      <c r="D2516"/>
      <c r="E2516"/>
      <c r="F2516"/>
    </row>
    <row r="2517" spans="3:6">
      <c r="C2517"/>
      <c r="D2517"/>
      <c r="E2517"/>
      <c r="F2517"/>
    </row>
    <row r="2518" spans="3:6">
      <c r="C2518"/>
      <c r="D2518"/>
      <c r="E2518"/>
      <c r="F2518"/>
    </row>
    <row r="2519" spans="3:6">
      <c r="C2519"/>
      <c r="D2519"/>
      <c r="E2519"/>
      <c r="F2519"/>
    </row>
    <row r="2520" spans="3:6">
      <c r="C2520"/>
      <c r="D2520"/>
      <c r="E2520"/>
      <c r="F2520"/>
    </row>
    <row r="2521" spans="3:6">
      <c r="C2521"/>
      <c r="D2521"/>
      <c r="E2521"/>
      <c r="F2521"/>
    </row>
    <row r="2522" spans="3:6">
      <c r="C2522"/>
      <c r="D2522"/>
      <c r="E2522"/>
      <c r="F2522"/>
    </row>
    <row r="2523" spans="3:6">
      <c r="C2523"/>
      <c r="D2523"/>
      <c r="E2523"/>
      <c r="F2523"/>
    </row>
    <row r="2524" spans="3:6">
      <c r="C2524"/>
      <c r="D2524"/>
      <c r="E2524"/>
      <c r="F2524"/>
    </row>
    <row r="2525" spans="3:6">
      <c r="C2525"/>
      <c r="D2525"/>
      <c r="E2525"/>
      <c r="F2525"/>
    </row>
    <row r="2526" spans="3:6">
      <c r="C2526"/>
      <c r="D2526"/>
      <c r="E2526"/>
      <c r="F2526"/>
    </row>
    <row r="2527" spans="3:6">
      <c r="C2527"/>
      <c r="D2527"/>
      <c r="E2527"/>
      <c r="F2527"/>
    </row>
    <row r="2528" spans="3:6">
      <c r="C2528"/>
      <c r="D2528"/>
      <c r="E2528"/>
      <c r="F2528"/>
    </row>
    <row r="2529" spans="3:6">
      <c r="C2529"/>
      <c r="D2529"/>
      <c r="E2529"/>
      <c r="F2529"/>
    </row>
    <row r="2530" spans="3:6">
      <c r="C2530"/>
      <c r="D2530"/>
      <c r="E2530"/>
      <c r="F2530"/>
    </row>
    <row r="2531" spans="3:6">
      <c r="C2531"/>
      <c r="D2531"/>
      <c r="E2531"/>
      <c r="F2531"/>
    </row>
    <row r="2532" spans="3:6">
      <c r="C2532"/>
      <c r="D2532"/>
      <c r="E2532"/>
      <c r="F2532"/>
    </row>
    <row r="2533" spans="3:6">
      <c r="C2533"/>
      <c r="D2533"/>
      <c r="E2533"/>
      <c r="F2533"/>
    </row>
    <row r="2534" spans="3:6">
      <c r="C2534"/>
      <c r="D2534"/>
      <c r="E2534"/>
      <c r="F2534"/>
    </row>
    <row r="2535" spans="3:6">
      <c r="C2535"/>
      <c r="D2535"/>
      <c r="E2535"/>
      <c r="F2535"/>
    </row>
    <row r="2536" spans="3:6">
      <c r="C2536"/>
      <c r="D2536"/>
      <c r="E2536"/>
      <c r="F2536"/>
    </row>
    <row r="2537" spans="3:6">
      <c r="C2537"/>
      <c r="D2537"/>
      <c r="E2537"/>
      <c r="F2537"/>
    </row>
    <row r="2538" spans="3:6">
      <c r="C2538"/>
      <c r="D2538"/>
      <c r="E2538"/>
      <c r="F2538"/>
    </row>
    <row r="2539" spans="3:6">
      <c r="C2539"/>
      <c r="D2539"/>
      <c r="E2539"/>
      <c r="F2539"/>
    </row>
    <row r="2540" spans="3:6">
      <c r="C2540"/>
      <c r="D2540"/>
      <c r="E2540"/>
      <c r="F2540"/>
    </row>
    <row r="2541" spans="3:6">
      <c r="C2541"/>
      <c r="D2541"/>
      <c r="E2541"/>
      <c r="F2541"/>
    </row>
    <row r="2542" spans="3:6">
      <c r="C2542"/>
      <c r="D2542"/>
      <c r="E2542"/>
      <c r="F2542"/>
    </row>
    <row r="2543" spans="3:6">
      <c r="C2543"/>
      <c r="D2543"/>
      <c r="E2543"/>
      <c r="F2543"/>
    </row>
    <row r="2544" spans="3:6">
      <c r="C2544"/>
      <c r="D2544"/>
      <c r="E2544"/>
      <c r="F2544"/>
    </row>
    <row r="2545" spans="3:6">
      <c r="C2545"/>
      <c r="D2545"/>
      <c r="E2545"/>
      <c r="F2545"/>
    </row>
    <row r="2546" spans="3:6">
      <c r="C2546"/>
      <c r="D2546"/>
      <c r="E2546"/>
      <c r="F2546"/>
    </row>
    <row r="2547" spans="3:6">
      <c r="C2547"/>
      <c r="D2547"/>
      <c r="E2547"/>
      <c r="F2547"/>
    </row>
    <row r="2548" spans="3:6">
      <c r="C2548"/>
      <c r="D2548"/>
      <c r="E2548"/>
      <c r="F2548"/>
    </row>
    <row r="2549" spans="3:6">
      <c r="C2549"/>
      <c r="D2549"/>
      <c r="E2549"/>
      <c r="F2549"/>
    </row>
    <row r="2550" spans="3:6">
      <c r="C2550"/>
      <c r="D2550"/>
      <c r="E2550"/>
      <c r="F2550"/>
    </row>
    <row r="2551" spans="3:6">
      <c r="C2551"/>
      <c r="D2551"/>
      <c r="E2551"/>
      <c r="F2551"/>
    </row>
    <row r="2552" spans="3:6">
      <c r="C2552"/>
      <c r="D2552"/>
      <c r="E2552"/>
      <c r="F2552"/>
    </row>
    <row r="2553" spans="3:6">
      <c r="C2553"/>
      <c r="D2553"/>
      <c r="E2553"/>
      <c r="F2553"/>
    </row>
    <row r="2554" spans="3:6">
      <c r="C2554"/>
      <c r="D2554"/>
      <c r="E2554"/>
      <c r="F2554"/>
    </row>
    <row r="2555" spans="3:6">
      <c r="C2555"/>
      <c r="D2555"/>
      <c r="E2555"/>
      <c r="F2555"/>
    </row>
    <row r="2556" spans="3:6">
      <c r="C2556"/>
      <c r="D2556"/>
      <c r="E2556"/>
      <c r="F2556"/>
    </row>
    <row r="2557" spans="3:6">
      <c r="C2557"/>
      <c r="D2557"/>
      <c r="E2557"/>
      <c r="F2557"/>
    </row>
    <row r="2558" spans="3:6">
      <c r="C2558"/>
      <c r="D2558"/>
      <c r="E2558"/>
      <c r="F2558"/>
    </row>
    <row r="2559" spans="3:6">
      <c r="C2559"/>
      <c r="D2559"/>
      <c r="E2559"/>
      <c r="F2559"/>
    </row>
    <row r="2560" spans="3:6">
      <c r="C2560"/>
      <c r="D2560"/>
      <c r="E2560"/>
      <c r="F2560"/>
    </row>
    <row r="2561" spans="3:6">
      <c r="C2561"/>
      <c r="D2561"/>
      <c r="E2561"/>
      <c r="F2561"/>
    </row>
    <row r="2562" spans="3:6">
      <c r="C2562"/>
      <c r="D2562"/>
      <c r="E2562"/>
      <c r="F2562"/>
    </row>
    <row r="2563" spans="3:6">
      <c r="C2563"/>
      <c r="D2563"/>
      <c r="E2563"/>
      <c r="F2563"/>
    </row>
    <row r="2564" spans="3:6">
      <c r="C2564"/>
      <c r="D2564"/>
      <c r="E2564"/>
      <c r="F2564"/>
    </row>
    <row r="2565" spans="3:6">
      <c r="C2565"/>
      <c r="D2565"/>
      <c r="E2565"/>
      <c r="F2565"/>
    </row>
    <row r="2566" spans="3:6">
      <c r="C2566"/>
      <c r="D2566"/>
      <c r="E2566"/>
      <c r="F2566"/>
    </row>
    <row r="2567" spans="3:6">
      <c r="C2567"/>
      <c r="D2567"/>
      <c r="E2567"/>
      <c r="F2567"/>
    </row>
    <row r="2568" spans="3:6">
      <c r="C2568"/>
      <c r="D2568"/>
      <c r="E2568"/>
      <c r="F2568"/>
    </row>
    <row r="2569" spans="3:6">
      <c r="C2569"/>
      <c r="D2569"/>
      <c r="E2569"/>
      <c r="F2569"/>
    </row>
    <row r="2570" spans="3:6">
      <c r="C2570"/>
      <c r="D2570"/>
      <c r="E2570"/>
      <c r="F2570"/>
    </row>
    <row r="2571" spans="3:6">
      <c r="C2571"/>
      <c r="D2571"/>
      <c r="E2571"/>
      <c r="F2571"/>
    </row>
    <row r="2572" spans="3:6">
      <c r="C2572"/>
      <c r="D2572"/>
      <c r="E2572"/>
      <c r="F2572"/>
    </row>
    <row r="2573" spans="3:6">
      <c r="C2573"/>
      <c r="D2573"/>
      <c r="E2573"/>
      <c r="F2573"/>
    </row>
    <row r="2574" spans="3:6">
      <c r="C2574"/>
      <c r="D2574"/>
      <c r="E2574"/>
      <c r="F2574"/>
    </row>
    <row r="2575" spans="3:6">
      <c r="C2575"/>
      <c r="D2575"/>
      <c r="E2575"/>
      <c r="F2575"/>
    </row>
    <row r="2576" spans="3:6">
      <c r="C2576"/>
      <c r="D2576"/>
      <c r="E2576"/>
      <c r="F2576"/>
    </row>
    <row r="2577" spans="3:6">
      <c r="C2577"/>
      <c r="D2577"/>
      <c r="E2577"/>
      <c r="F2577"/>
    </row>
    <row r="2578" spans="3:6">
      <c r="C2578"/>
      <c r="D2578"/>
      <c r="E2578"/>
      <c r="F2578"/>
    </row>
    <row r="2579" spans="3:6">
      <c r="C2579"/>
      <c r="D2579"/>
      <c r="E2579"/>
      <c r="F2579"/>
    </row>
    <row r="2580" spans="3:6">
      <c r="C2580"/>
      <c r="D2580"/>
      <c r="E2580"/>
      <c r="F2580"/>
    </row>
    <row r="2581" spans="3:6">
      <c r="C2581"/>
      <c r="D2581"/>
      <c r="E2581"/>
      <c r="F2581"/>
    </row>
    <row r="2582" spans="3:6">
      <c r="C2582"/>
      <c r="D2582"/>
      <c r="E2582"/>
      <c r="F2582"/>
    </row>
    <row r="2583" spans="3:6">
      <c r="C2583"/>
      <c r="D2583"/>
      <c r="E2583"/>
      <c r="F2583"/>
    </row>
    <row r="2584" spans="3:6">
      <c r="C2584"/>
      <c r="D2584"/>
      <c r="E2584"/>
      <c r="F2584"/>
    </row>
    <row r="2585" spans="3:6">
      <c r="C2585"/>
      <c r="D2585"/>
      <c r="E2585"/>
      <c r="F2585"/>
    </row>
    <row r="2586" spans="3:6">
      <c r="C2586"/>
      <c r="D2586"/>
      <c r="E2586"/>
      <c r="F2586"/>
    </row>
    <row r="2587" spans="3:6">
      <c r="C2587"/>
      <c r="D2587"/>
      <c r="E2587"/>
      <c r="F2587"/>
    </row>
    <row r="2588" spans="3:6">
      <c r="C2588"/>
      <c r="D2588"/>
      <c r="E2588"/>
      <c r="F2588"/>
    </row>
    <row r="2589" spans="3:6">
      <c r="C2589"/>
      <c r="D2589"/>
      <c r="E2589"/>
      <c r="F2589"/>
    </row>
    <row r="2590" spans="3:6">
      <c r="C2590"/>
      <c r="D2590"/>
      <c r="E2590"/>
      <c r="F2590"/>
    </row>
    <row r="2591" spans="3:6">
      <c r="C2591"/>
      <c r="D2591"/>
      <c r="E2591"/>
      <c r="F2591"/>
    </row>
    <row r="2592" spans="3:6">
      <c r="C2592"/>
      <c r="D2592"/>
      <c r="E2592"/>
      <c r="F2592"/>
    </row>
    <row r="2593" spans="3:6">
      <c r="C2593"/>
      <c r="D2593"/>
      <c r="E2593"/>
      <c r="F2593"/>
    </row>
    <row r="2594" spans="3:6">
      <c r="C2594"/>
      <c r="D2594"/>
      <c r="E2594"/>
      <c r="F2594"/>
    </row>
    <row r="2595" spans="3:6">
      <c r="C2595"/>
      <c r="D2595"/>
      <c r="E2595"/>
      <c r="F2595"/>
    </row>
    <row r="2596" spans="3:6">
      <c r="C2596"/>
      <c r="D2596"/>
      <c r="E2596"/>
      <c r="F2596"/>
    </row>
    <row r="2597" spans="3:6">
      <c r="C2597"/>
      <c r="D2597"/>
      <c r="E2597"/>
      <c r="F2597"/>
    </row>
    <row r="2598" spans="3:6">
      <c r="C2598"/>
      <c r="D2598"/>
      <c r="E2598"/>
      <c r="F2598"/>
    </row>
    <row r="2599" spans="3:6">
      <c r="C2599"/>
      <c r="D2599"/>
      <c r="E2599"/>
      <c r="F2599"/>
    </row>
    <row r="2600" spans="3:6">
      <c r="C2600"/>
      <c r="D2600"/>
      <c r="E2600"/>
      <c r="F2600"/>
    </row>
    <row r="2601" spans="3:6">
      <c r="C2601"/>
      <c r="D2601"/>
      <c r="E2601"/>
      <c r="F2601"/>
    </row>
    <row r="2602" spans="3:6">
      <c r="C2602"/>
      <c r="D2602"/>
      <c r="E2602"/>
      <c r="F2602"/>
    </row>
    <row r="2603" spans="3:6">
      <c r="C2603"/>
      <c r="D2603"/>
      <c r="E2603"/>
      <c r="F2603"/>
    </row>
    <row r="2604" spans="3:6">
      <c r="C2604"/>
      <c r="D2604"/>
      <c r="E2604"/>
      <c r="F2604"/>
    </row>
    <row r="2605" spans="3:6">
      <c r="C2605"/>
      <c r="D2605"/>
      <c r="E2605"/>
      <c r="F2605"/>
    </row>
    <row r="2606" spans="3:6">
      <c r="C2606"/>
      <c r="D2606"/>
      <c r="E2606"/>
      <c r="F2606"/>
    </row>
    <row r="2607" spans="3:6">
      <c r="C2607"/>
      <c r="D2607"/>
      <c r="E2607"/>
      <c r="F2607"/>
    </row>
    <row r="2608" spans="3:6">
      <c r="C2608"/>
      <c r="D2608"/>
      <c r="E2608"/>
      <c r="F2608"/>
    </row>
    <row r="2609" spans="3:6">
      <c r="C2609"/>
      <c r="D2609"/>
      <c r="E2609"/>
      <c r="F2609"/>
    </row>
    <row r="2610" spans="3:6">
      <c r="C2610"/>
      <c r="D2610"/>
      <c r="E2610"/>
      <c r="F2610"/>
    </row>
    <row r="2611" spans="3:6">
      <c r="C2611"/>
      <c r="D2611"/>
      <c r="E2611"/>
      <c r="F2611"/>
    </row>
    <row r="2612" spans="3:6">
      <c r="C2612"/>
      <c r="D2612"/>
      <c r="E2612"/>
      <c r="F2612"/>
    </row>
    <row r="2613" spans="3:6">
      <c r="C2613"/>
      <c r="D2613"/>
      <c r="E2613"/>
      <c r="F2613"/>
    </row>
    <row r="2614" spans="3:6">
      <c r="C2614"/>
      <c r="D2614"/>
      <c r="E2614"/>
      <c r="F2614"/>
    </row>
    <row r="2615" spans="3:6">
      <c r="C2615"/>
      <c r="D2615"/>
      <c r="E2615"/>
      <c r="F2615"/>
    </row>
    <row r="2616" spans="3:6">
      <c r="C2616"/>
      <c r="D2616"/>
      <c r="E2616"/>
      <c r="F2616"/>
    </row>
    <row r="2617" spans="3:6">
      <c r="C2617"/>
      <c r="D2617"/>
      <c r="E2617"/>
      <c r="F2617"/>
    </row>
    <row r="2618" spans="3:6">
      <c r="C2618"/>
      <c r="D2618"/>
      <c r="E2618"/>
      <c r="F2618"/>
    </row>
    <row r="2619" spans="3:6">
      <c r="C2619"/>
      <c r="D2619"/>
      <c r="E2619"/>
      <c r="F2619"/>
    </row>
    <row r="2620" spans="3:6">
      <c r="C2620"/>
      <c r="D2620"/>
      <c r="E2620"/>
      <c r="F2620"/>
    </row>
    <row r="2621" spans="3:6">
      <c r="C2621"/>
      <c r="D2621"/>
      <c r="E2621"/>
      <c r="F2621"/>
    </row>
    <row r="2622" spans="3:6">
      <c r="C2622"/>
      <c r="D2622"/>
      <c r="E2622"/>
      <c r="F2622"/>
    </row>
    <row r="2623" spans="3:6">
      <c r="C2623"/>
      <c r="D2623"/>
      <c r="E2623"/>
      <c r="F2623"/>
    </row>
    <row r="2624" spans="3:6">
      <c r="C2624"/>
      <c r="D2624"/>
      <c r="E2624"/>
      <c r="F2624"/>
    </row>
    <row r="2625" spans="3:6">
      <c r="C2625"/>
      <c r="D2625"/>
      <c r="E2625"/>
      <c r="F2625"/>
    </row>
    <row r="2626" spans="3:6">
      <c r="C2626"/>
      <c r="D2626"/>
      <c r="E2626"/>
      <c r="F2626"/>
    </row>
    <row r="2627" spans="3:6">
      <c r="C2627"/>
      <c r="D2627"/>
      <c r="E2627"/>
      <c r="F2627"/>
    </row>
    <row r="2628" spans="3:6">
      <c r="C2628"/>
      <c r="D2628"/>
      <c r="E2628"/>
      <c r="F2628"/>
    </row>
    <row r="2629" spans="3:6">
      <c r="C2629"/>
      <c r="D2629"/>
      <c r="E2629"/>
      <c r="F2629"/>
    </row>
    <row r="2630" spans="3:6">
      <c r="C2630"/>
      <c r="D2630"/>
      <c r="E2630"/>
      <c r="F2630"/>
    </row>
    <row r="2631" spans="3:6">
      <c r="C2631"/>
      <c r="D2631"/>
      <c r="E2631"/>
      <c r="F2631"/>
    </row>
    <row r="2632" spans="3:6">
      <c r="C2632"/>
      <c r="D2632"/>
      <c r="E2632"/>
      <c r="F2632"/>
    </row>
    <row r="2633" spans="3:6">
      <c r="C2633"/>
      <c r="D2633"/>
      <c r="E2633"/>
      <c r="F2633"/>
    </row>
    <row r="2634" spans="3:6">
      <c r="C2634"/>
      <c r="D2634"/>
      <c r="E2634"/>
      <c r="F2634"/>
    </row>
    <row r="2635" spans="3:6">
      <c r="C2635"/>
      <c r="D2635"/>
      <c r="E2635"/>
      <c r="F2635"/>
    </row>
    <row r="2636" spans="3:6">
      <c r="C2636"/>
      <c r="D2636"/>
      <c r="E2636"/>
      <c r="F2636"/>
    </row>
    <row r="2637" spans="3:6">
      <c r="C2637"/>
      <c r="D2637"/>
      <c r="E2637"/>
      <c r="F2637"/>
    </row>
    <row r="2638" spans="3:6">
      <c r="C2638"/>
      <c r="D2638"/>
      <c r="E2638"/>
      <c r="F2638"/>
    </row>
    <row r="2639" spans="3:6">
      <c r="C2639"/>
      <c r="D2639"/>
      <c r="E2639"/>
      <c r="F2639"/>
    </row>
    <row r="2640" spans="3:6">
      <c r="C2640"/>
      <c r="D2640"/>
      <c r="E2640"/>
      <c r="F2640"/>
    </row>
    <row r="2641" spans="3:6">
      <c r="C2641"/>
      <c r="D2641"/>
      <c r="E2641"/>
      <c r="F2641"/>
    </row>
    <row r="2642" spans="3:6">
      <c r="C2642"/>
      <c r="D2642"/>
      <c r="E2642"/>
      <c r="F2642"/>
    </row>
    <row r="2643" spans="3:6">
      <c r="C2643"/>
      <c r="D2643"/>
      <c r="E2643"/>
      <c r="F2643"/>
    </row>
    <row r="2644" spans="3:6">
      <c r="C2644"/>
      <c r="D2644"/>
      <c r="E2644"/>
      <c r="F2644"/>
    </row>
    <row r="2645" spans="3:6">
      <c r="C2645"/>
      <c r="D2645"/>
      <c r="E2645"/>
      <c r="F2645"/>
    </row>
    <row r="2646" spans="3:6">
      <c r="C2646"/>
      <c r="D2646"/>
      <c r="E2646"/>
      <c r="F2646"/>
    </row>
    <row r="2647" spans="3:6">
      <c r="C2647"/>
      <c r="D2647"/>
      <c r="E2647"/>
      <c r="F2647"/>
    </row>
    <row r="2648" spans="3:6">
      <c r="C2648"/>
      <c r="D2648"/>
      <c r="E2648"/>
      <c r="F2648"/>
    </row>
    <row r="2649" spans="3:6">
      <c r="C2649"/>
      <c r="D2649"/>
      <c r="E2649"/>
      <c r="F2649"/>
    </row>
    <row r="2650" spans="3:6">
      <c r="C2650"/>
      <c r="D2650"/>
      <c r="E2650"/>
      <c r="F2650"/>
    </row>
    <row r="2651" spans="3:6">
      <c r="C2651"/>
      <c r="D2651"/>
      <c r="E2651"/>
      <c r="F2651"/>
    </row>
    <row r="2652" spans="3:6">
      <c r="C2652"/>
      <c r="D2652"/>
      <c r="E2652"/>
      <c r="F2652"/>
    </row>
    <row r="2653" spans="3:6">
      <c r="C2653"/>
      <c r="D2653"/>
      <c r="E2653"/>
      <c r="F2653"/>
    </row>
    <row r="2654" spans="3:6">
      <c r="C2654"/>
      <c r="D2654"/>
      <c r="E2654"/>
      <c r="F2654"/>
    </row>
    <row r="2655" spans="3:6">
      <c r="C2655"/>
      <c r="D2655"/>
      <c r="E2655"/>
      <c r="F2655"/>
    </row>
    <row r="2656" spans="3:6">
      <c r="C2656"/>
      <c r="D2656"/>
      <c r="E2656"/>
      <c r="F2656"/>
    </row>
    <row r="2657" spans="3:6">
      <c r="C2657"/>
      <c r="D2657"/>
      <c r="E2657"/>
      <c r="F2657"/>
    </row>
    <row r="2658" spans="3:6">
      <c r="C2658"/>
      <c r="D2658"/>
      <c r="E2658"/>
      <c r="F2658"/>
    </row>
    <row r="2659" spans="3:6">
      <c r="C2659"/>
      <c r="D2659"/>
      <c r="E2659"/>
      <c r="F2659"/>
    </row>
    <row r="2660" spans="3:6">
      <c r="C2660"/>
      <c r="D2660"/>
      <c r="E2660"/>
      <c r="F2660"/>
    </row>
    <row r="2661" spans="3:6">
      <c r="C2661"/>
      <c r="D2661"/>
      <c r="E2661"/>
      <c r="F2661"/>
    </row>
    <row r="2662" spans="3:6">
      <c r="C2662"/>
      <c r="D2662"/>
      <c r="E2662"/>
      <c r="F2662"/>
    </row>
    <row r="2663" spans="3:6">
      <c r="C2663"/>
      <c r="D2663"/>
      <c r="E2663"/>
      <c r="F2663"/>
    </row>
    <row r="2664" spans="3:6">
      <c r="C2664"/>
      <c r="D2664"/>
      <c r="E2664"/>
      <c r="F2664"/>
    </row>
    <row r="2665" spans="3:6">
      <c r="C2665"/>
      <c r="D2665"/>
      <c r="E2665"/>
      <c r="F2665"/>
    </row>
    <row r="2666" spans="3:6">
      <c r="C2666"/>
      <c r="D2666"/>
      <c r="E2666"/>
      <c r="F2666"/>
    </row>
    <row r="2667" spans="3:6">
      <c r="C2667"/>
      <c r="D2667"/>
      <c r="E2667"/>
      <c r="F2667"/>
    </row>
    <row r="2668" spans="3:6">
      <c r="C2668"/>
      <c r="D2668"/>
      <c r="E2668"/>
      <c r="F2668"/>
    </row>
    <row r="2669" spans="3:6">
      <c r="C2669"/>
      <c r="D2669"/>
      <c r="E2669"/>
      <c r="F2669"/>
    </row>
    <row r="2670" spans="3:6">
      <c r="C2670"/>
      <c r="D2670"/>
      <c r="E2670"/>
      <c r="F2670"/>
    </row>
    <row r="2671" spans="3:6">
      <c r="C2671"/>
      <c r="D2671"/>
      <c r="E2671"/>
      <c r="F2671"/>
    </row>
    <row r="2672" spans="3:6">
      <c r="C2672"/>
      <c r="D2672"/>
      <c r="E2672"/>
      <c r="F2672"/>
    </row>
    <row r="2673" spans="3:6">
      <c r="C2673"/>
      <c r="D2673"/>
      <c r="E2673"/>
      <c r="F2673"/>
    </row>
    <row r="2674" spans="3:6">
      <c r="C2674"/>
      <c r="D2674"/>
      <c r="E2674"/>
      <c r="F2674"/>
    </row>
    <row r="2675" spans="3:6">
      <c r="C2675"/>
      <c r="D2675"/>
      <c r="E2675"/>
      <c r="F2675"/>
    </row>
    <row r="2676" spans="3:6">
      <c r="C2676"/>
      <c r="D2676"/>
      <c r="E2676"/>
      <c r="F2676"/>
    </row>
    <row r="2677" spans="3:6">
      <c r="C2677"/>
      <c r="D2677"/>
      <c r="E2677"/>
      <c r="F2677"/>
    </row>
    <row r="2678" spans="3:6">
      <c r="C2678"/>
      <c r="D2678"/>
      <c r="E2678"/>
      <c r="F2678"/>
    </row>
    <row r="2679" spans="3:6">
      <c r="C2679"/>
      <c r="D2679"/>
      <c r="E2679"/>
      <c r="F2679"/>
    </row>
    <row r="2680" spans="3:6">
      <c r="C2680"/>
      <c r="D2680"/>
      <c r="E2680"/>
      <c r="F2680"/>
    </row>
    <row r="2681" spans="3:6">
      <c r="C2681"/>
      <c r="D2681"/>
      <c r="E2681"/>
      <c r="F2681"/>
    </row>
    <row r="2682" spans="3:6">
      <c r="C2682"/>
      <c r="D2682"/>
      <c r="E2682"/>
      <c r="F2682"/>
    </row>
    <row r="2683" spans="3:6">
      <c r="C2683"/>
      <c r="D2683"/>
      <c r="E2683"/>
      <c r="F2683"/>
    </row>
    <row r="2684" spans="3:6">
      <c r="C2684"/>
      <c r="D2684"/>
      <c r="E2684"/>
      <c r="F2684"/>
    </row>
    <row r="2685" spans="3:6">
      <c r="C2685"/>
      <c r="D2685"/>
      <c r="E2685"/>
      <c r="F2685"/>
    </row>
    <row r="2686" spans="3:6">
      <c r="C2686"/>
      <c r="D2686"/>
      <c r="E2686"/>
      <c r="F2686"/>
    </row>
    <row r="2687" spans="3:6">
      <c r="C2687"/>
      <c r="D2687"/>
      <c r="E2687"/>
      <c r="F2687"/>
    </row>
    <row r="2688" spans="3:6">
      <c r="C2688"/>
      <c r="D2688"/>
      <c r="E2688"/>
      <c r="F2688"/>
    </row>
    <row r="2689" spans="3:6">
      <c r="C2689"/>
      <c r="D2689"/>
      <c r="E2689"/>
      <c r="F2689"/>
    </row>
    <row r="2690" spans="3:6">
      <c r="C2690"/>
      <c r="D2690"/>
      <c r="E2690"/>
      <c r="F2690"/>
    </row>
    <row r="2691" spans="3:6">
      <c r="C2691"/>
      <c r="D2691"/>
      <c r="E2691"/>
      <c r="F2691"/>
    </row>
    <row r="2692" spans="3:6">
      <c r="C2692"/>
      <c r="D2692"/>
      <c r="E2692"/>
      <c r="F2692"/>
    </row>
    <row r="2693" spans="3:6">
      <c r="C2693"/>
      <c r="D2693"/>
      <c r="E2693"/>
      <c r="F2693"/>
    </row>
    <row r="2694" spans="3:6">
      <c r="C2694"/>
      <c r="D2694"/>
      <c r="E2694"/>
      <c r="F2694"/>
    </row>
    <row r="2695" spans="3:6">
      <c r="C2695"/>
      <c r="D2695"/>
      <c r="E2695"/>
      <c r="F2695"/>
    </row>
    <row r="2696" spans="3:6">
      <c r="C2696"/>
      <c r="D2696"/>
      <c r="E2696"/>
      <c r="F2696"/>
    </row>
    <row r="2697" spans="3:6">
      <c r="C2697"/>
      <c r="D2697"/>
      <c r="E2697"/>
      <c r="F2697"/>
    </row>
    <row r="2698" spans="3:6">
      <c r="C2698"/>
      <c r="D2698"/>
      <c r="E2698"/>
      <c r="F2698"/>
    </row>
    <row r="2699" spans="3:6">
      <c r="C2699"/>
      <c r="D2699"/>
      <c r="E2699"/>
      <c r="F2699"/>
    </row>
    <row r="2700" spans="3:6">
      <c r="C2700"/>
      <c r="D2700"/>
      <c r="E2700"/>
      <c r="F2700"/>
    </row>
    <row r="2701" spans="3:6">
      <c r="C2701"/>
      <c r="D2701"/>
      <c r="E2701"/>
      <c r="F2701"/>
    </row>
    <row r="2702" spans="3:6">
      <c r="C2702"/>
      <c r="D2702"/>
      <c r="E2702"/>
      <c r="F2702"/>
    </row>
    <row r="2703" spans="3:6">
      <c r="C2703"/>
      <c r="D2703"/>
      <c r="E2703"/>
      <c r="F2703"/>
    </row>
    <row r="2704" spans="3:6">
      <c r="C2704"/>
      <c r="D2704"/>
      <c r="E2704"/>
      <c r="F2704"/>
    </row>
    <row r="2705" spans="3:6">
      <c r="C2705"/>
      <c r="D2705"/>
      <c r="E2705"/>
      <c r="F2705"/>
    </row>
    <row r="2706" spans="3:6">
      <c r="C2706"/>
      <c r="D2706"/>
      <c r="E2706"/>
      <c r="F2706"/>
    </row>
    <row r="2707" spans="3:6">
      <c r="C2707"/>
      <c r="D2707"/>
      <c r="E2707"/>
      <c r="F2707"/>
    </row>
    <row r="2708" spans="3:6">
      <c r="C2708"/>
      <c r="D2708"/>
      <c r="E2708"/>
      <c r="F2708"/>
    </row>
    <row r="2709" spans="3:6">
      <c r="C2709"/>
      <c r="D2709"/>
      <c r="E2709"/>
      <c r="F2709"/>
    </row>
    <row r="2710" spans="3:6">
      <c r="C2710"/>
      <c r="D2710"/>
      <c r="E2710"/>
      <c r="F2710"/>
    </row>
    <row r="2711" spans="3:6">
      <c r="C2711"/>
      <c r="D2711"/>
      <c r="E2711"/>
      <c r="F2711"/>
    </row>
    <row r="2712" spans="3:6">
      <c r="C2712"/>
      <c r="D2712"/>
      <c r="E2712"/>
      <c r="F2712"/>
    </row>
    <row r="2713" spans="3:6">
      <c r="C2713"/>
      <c r="D2713"/>
      <c r="E2713"/>
      <c r="F2713"/>
    </row>
    <row r="2714" spans="3:6">
      <c r="C2714"/>
      <c r="D2714"/>
      <c r="E2714"/>
      <c r="F2714"/>
    </row>
    <row r="2715" spans="3:6">
      <c r="C2715"/>
      <c r="D2715"/>
      <c r="E2715"/>
      <c r="F2715"/>
    </row>
    <row r="2716" spans="3:6">
      <c r="C2716"/>
      <c r="D2716"/>
      <c r="E2716"/>
      <c r="F2716"/>
    </row>
    <row r="2717" spans="3:6">
      <c r="C2717"/>
      <c r="D2717"/>
      <c r="E2717"/>
      <c r="F2717"/>
    </row>
    <row r="2718" spans="3:6">
      <c r="C2718"/>
      <c r="D2718"/>
      <c r="E2718"/>
      <c r="F2718"/>
    </row>
    <row r="2719" spans="3:6">
      <c r="C2719"/>
      <c r="D2719"/>
      <c r="E2719"/>
      <c r="F2719"/>
    </row>
    <row r="2720" spans="3:6">
      <c r="C2720"/>
      <c r="D2720"/>
      <c r="E2720"/>
      <c r="F2720"/>
    </row>
    <row r="2721" spans="3:6">
      <c r="C2721"/>
      <c r="D2721"/>
      <c r="E2721"/>
      <c r="F2721"/>
    </row>
    <row r="2722" spans="3:6">
      <c r="C2722"/>
      <c r="D2722"/>
      <c r="E2722"/>
      <c r="F2722"/>
    </row>
    <row r="2723" spans="3:6">
      <c r="C2723"/>
      <c r="D2723"/>
      <c r="E2723"/>
      <c r="F2723"/>
    </row>
    <row r="2724" spans="3:6">
      <c r="C2724"/>
      <c r="D2724"/>
      <c r="E2724"/>
      <c r="F2724"/>
    </row>
    <row r="2725" spans="3:6">
      <c r="C2725"/>
      <c r="D2725"/>
      <c r="E2725"/>
      <c r="F2725"/>
    </row>
    <row r="2726" spans="3:6">
      <c r="C2726"/>
      <c r="D2726"/>
      <c r="E2726"/>
      <c r="F2726"/>
    </row>
    <row r="2727" spans="3:6">
      <c r="C2727"/>
      <c r="D2727"/>
      <c r="E2727"/>
      <c r="F2727"/>
    </row>
    <row r="2728" spans="3:6">
      <c r="C2728"/>
      <c r="D2728"/>
      <c r="E2728"/>
      <c r="F2728"/>
    </row>
    <row r="2729" spans="3:6">
      <c r="C2729"/>
      <c r="D2729"/>
      <c r="E2729"/>
      <c r="F2729"/>
    </row>
    <row r="2730" spans="3:6">
      <c r="C2730"/>
      <c r="D2730"/>
      <c r="E2730"/>
      <c r="F2730"/>
    </row>
    <row r="2731" spans="3:6">
      <c r="C2731"/>
      <c r="D2731"/>
      <c r="E2731"/>
      <c r="F2731"/>
    </row>
    <row r="2732" spans="3:6">
      <c r="C2732"/>
      <c r="D2732"/>
      <c r="E2732"/>
      <c r="F2732"/>
    </row>
    <row r="2733" spans="3:6">
      <c r="C2733"/>
      <c r="D2733"/>
      <c r="E2733"/>
      <c r="F2733"/>
    </row>
    <row r="2734" spans="3:6">
      <c r="C2734"/>
      <c r="D2734"/>
      <c r="E2734"/>
      <c r="F2734"/>
    </row>
    <row r="2735" spans="3:6">
      <c r="C2735"/>
      <c r="D2735"/>
      <c r="E2735"/>
      <c r="F2735"/>
    </row>
    <row r="2736" spans="3:6">
      <c r="C2736"/>
      <c r="D2736"/>
      <c r="E2736"/>
      <c r="F2736"/>
    </row>
    <row r="2737" spans="3:6">
      <c r="C2737"/>
      <c r="D2737"/>
      <c r="E2737"/>
      <c r="F2737"/>
    </row>
    <row r="2738" spans="3:6">
      <c r="C2738"/>
      <c r="D2738"/>
      <c r="E2738"/>
      <c r="F2738"/>
    </row>
    <row r="2739" spans="3:6">
      <c r="C2739"/>
      <c r="D2739"/>
      <c r="E2739"/>
      <c r="F2739"/>
    </row>
    <row r="2740" spans="3:6">
      <c r="C2740"/>
      <c r="D2740"/>
      <c r="E2740"/>
      <c r="F2740"/>
    </row>
    <row r="2741" spans="3:6">
      <c r="C2741"/>
      <c r="D2741"/>
      <c r="E2741"/>
      <c r="F2741"/>
    </row>
    <row r="2742" spans="3:6">
      <c r="C2742"/>
      <c r="D2742"/>
      <c r="E2742"/>
      <c r="F2742"/>
    </row>
    <row r="2743" spans="3:6">
      <c r="C2743"/>
      <c r="D2743"/>
      <c r="E2743"/>
      <c r="F2743"/>
    </row>
    <row r="2744" spans="3:6">
      <c r="C2744"/>
      <c r="D2744"/>
      <c r="E2744"/>
      <c r="F2744"/>
    </row>
    <row r="2745" spans="3:6">
      <c r="C2745"/>
      <c r="D2745"/>
      <c r="E2745"/>
      <c r="F2745"/>
    </row>
    <row r="2746" spans="3:6">
      <c r="C2746"/>
      <c r="D2746"/>
      <c r="E2746"/>
      <c r="F2746"/>
    </row>
    <row r="2747" spans="3:6">
      <c r="C2747"/>
      <c r="D2747"/>
      <c r="E2747"/>
      <c r="F2747"/>
    </row>
    <row r="2748" spans="3:6">
      <c r="C2748"/>
      <c r="D2748"/>
      <c r="E2748"/>
      <c r="F2748"/>
    </row>
    <row r="2749" spans="3:6">
      <c r="C2749"/>
      <c r="D2749"/>
      <c r="E2749"/>
      <c r="F2749"/>
    </row>
    <row r="2750" spans="3:6">
      <c r="C2750"/>
      <c r="D2750"/>
      <c r="E2750"/>
      <c r="F2750"/>
    </row>
    <row r="2751" spans="3:6">
      <c r="C2751"/>
      <c r="D2751"/>
      <c r="E2751"/>
      <c r="F2751"/>
    </row>
    <row r="2752" spans="3:6">
      <c r="C2752"/>
      <c r="D2752"/>
      <c r="E2752"/>
      <c r="F2752"/>
    </row>
    <row r="2753" spans="3:6">
      <c r="C2753"/>
      <c r="D2753"/>
      <c r="E2753"/>
      <c r="F2753"/>
    </row>
    <row r="2754" spans="3:6">
      <c r="C2754"/>
      <c r="D2754"/>
      <c r="E2754"/>
      <c r="F2754"/>
    </row>
    <row r="2755" spans="3:6">
      <c r="C2755"/>
      <c r="D2755"/>
      <c r="E2755"/>
      <c r="F2755"/>
    </row>
    <row r="2756" spans="3:6">
      <c r="C2756"/>
      <c r="D2756"/>
      <c r="E2756"/>
      <c r="F2756"/>
    </row>
    <row r="2757" spans="3:6">
      <c r="C2757"/>
      <c r="D2757"/>
      <c r="E2757"/>
      <c r="F2757"/>
    </row>
    <row r="2758" spans="3:6">
      <c r="C2758"/>
      <c r="D2758"/>
      <c r="E2758"/>
      <c r="F2758"/>
    </row>
    <row r="2759" spans="3:6">
      <c r="C2759"/>
      <c r="D2759"/>
      <c r="E2759"/>
      <c r="F2759"/>
    </row>
    <row r="2760" spans="3:6">
      <c r="C2760"/>
      <c r="D2760"/>
      <c r="E2760"/>
      <c r="F2760"/>
    </row>
    <row r="2761" spans="3:6">
      <c r="C2761"/>
      <c r="D2761"/>
      <c r="E2761"/>
      <c r="F2761"/>
    </row>
    <row r="2762" spans="3:6">
      <c r="C2762"/>
      <c r="D2762"/>
      <c r="E2762"/>
      <c r="F2762"/>
    </row>
    <row r="2763" spans="3:6">
      <c r="C2763"/>
      <c r="D2763"/>
      <c r="E2763"/>
      <c r="F2763"/>
    </row>
    <row r="2764" spans="3:6">
      <c r="C2764"/>
      <c r="D2764"/>
      <c r="E2764"/>
      <c r="F2764"/>
    </row>
    <row r="2765" spans="3:6">
      <c r="C2765"/>
      <c r="D2765"/>
      <c r="E2765"/>
      <c r="F2765"/>
    </row>
    <row r="2766" spans="3:6">
      <c r="C2766"/>
      <c r="D2766"/>
      <c r="E2766"/>
      <c r="F2766"/>
    </row>
    <row r="2767" spans="3:6">
      <c r="C2767"/>
      <c r="D2767"/>
      <c r="E2767"/>
      <c r="F2767"/>
    </row>
    <row r="2768" spans="3:6">
      <c r="C2768"/>
      <c r="D2768"/>
      <c r="E2768"/>
      <c r="F2768"/>
    </row>
    <row r="2769" spans="3:6">
      <c r="C2769"/>
      <c r="D2769"/>
      <c r="E2769"/>
      <c r="F2769"/>
    </row>
    <row r="2770" spans="3:6">
      <c r="C2770"/>
      <c r="D2770"/>
      <c r="E2770"/>
      <c r="F2770"/>
    </row>
    <row r="2771" spans="3:6">
      <c r="C2771"/>
      <c r="D2771"/>
      <c r="E2771"/>
      <c r="F2771"/>
    </row>
    <row r="2772" spans="3:6">
      <c r="C2772"/>
      <c r="D2772"/>
      <c r="E2772"/>
      <c r="F2772"/>
    </row>
    <row r="2773" spans="3:6">
      <c r="C2773"/>
      <c r="D2773"/>
      <c r="E2773"/>
      <c r="F2773"/>
    </row>
    <row r="2774" spans="3:6">
      <c r="C2774"/>
      <c r="D2774"/>
      <c r="E2774"/>
      <c r="F2774"/>
    </row>
    <row r="2775" spans="3:6">
      <c r="C2775"/>
      <c r="D2775"/>
      <c r="E2775"/>
      <c r="F2775"/>
    </row>
    <row r="2776" spans="3:6">
      <c r="C2776"/>
      <c r="D2776"/>
      <c r="E2776"/>
      <c r="F2776"/>
    </row>
    <row r="2777" spans="3:6">
      <c r="C2777"/>
      <c r="D2777"/>
      <c r="E2777"/>
      <c r="F2777"/>
    </row>
    <row r="2778" spans="3:6">
      <c r="C2778"/>
      <c r="D2778"/>
      <c r="E2778"/>
      <c r="F2778"/>
    </row>
    <row r="2779" spans="3:6">
      <c r="C2779"/>
      <c r="D2779"/>
      <c r="E2779"/>
      <c r="F2779"/>
    </row>
    <row r="2780" spans="3:6">
      <c r="C2780"/>
      <c r="D2780"/>
      <c r="E2780"/>
      <c r="F2780"/>
    </row>
    <row r="2781" spans="3:6">
      <c r="C2781"/>
      <c r="D2781"/>
      <c r="E2781"/>
      <c r="F2781"/>
    </row>
    <row r="2782" spans="3:6">
      <c r="C2782"/>
      <c r="D2782"/>
      <c r="E2782"/>
      <c r="F2782"/>
    </row>
    <row r="2783" spans="3:6">
      <c r="C2783"/>
      <c r="D2783"/>
      <c r="E2783"/>
      <c r="F2783"/>
    </row>
    <row r="2784" spans="3:6">
      <c r="C2784"/>
      <c r="D2784"/>
      <c r="E2784"/>
      <c r="F2784"/>
    </row>
    <row r="2785" spans="3:6">
      <c r="C2785"/>
      <c r="D2785"/>
      <c r="E2785"/>
      <c r="F2785"/>
    </row>
    <row r="2786" spans="3:6">
      <c r="C2786"/>
      <c r="D2786"/>
      <c r="E2786"/>
      <c r="F2786"/>
    </row>
    <row r="2787" spans="3:6">
      <c r="C2787"/>
      <c r="D2787"/>
      <c r="E2787"/>
      <c r="F2787"/>
    </row>
    <row r="2788" spans="3:6">
      <c r="C2788"/>
      <c r="D2788"/>
      <c r="E2788"/>
      <c r="F2788"/>
    </row>
    <row r="2789" spans="3:6">
      <c r="C2789"/>
      <c r="D2789"/>
      <c r="E2789"/>
      <c r="F2789"/>
    </row>
    <row r="2790" spans="3:6">
      <c r="C2790"/>
      <c r="D2790"/>
      <c r="E2790"/>
      <c r="F2790"/>
    </row>
    <row r="2791" spans="3:6">
      <c r="C2791"/>
      <c r="D2791"/>
      <c r="E2791"/>
      <c r="F2791"/>
    </row>
    <row r="2792" spans="3:6">
      <c r="C2792"/>
      <c r="D2792"/>
      <c r="E2792"/>
      <c r="F2792"/>
    </row>
    <row r="2793" spans="3:6">
      <c r="C2793"/>
      <c r="D2793"/>
      <c r="E2793"/>
      <c r="F2793"/>
    </row>
    <row r="2794" spans="3:6">
      <c r="C2794"/>
      <c r="D2794"/>
      <c r="E2794"/>
      <c r="F2794"/>
    </row>
    <row r="2795" spans="3:6">
      <c r="C2795"/>
      <c r="D2795"/>
      <c r="E2795"/>
      <c r="F2795"/>
    </row>
    <row r="2796" spans="3:6">
      <c r="C2796"/>
      <c r="D2796"/>
      <c r="E2796"/>
      <c r="F2796"/>
    </row>
    <row r="2797" spans="3:6">
      <c r="C2797"/>
      <c r="D2797"/>
      <c r="E2797"/>
      <c r="F2797"/>
    </row>
    <row r="2798" spans="3:6">
      <c r="C2798"/>
      <c r="D2798"/>
      <c r="E2798"/>
      <c r="F2798"/>
    </row>
    <row r="2799" spans="3:6">
      <c r="C2799"/>
      <c r="D2799"/>
      <c r="E2799"/>
      <c r="F2799"/>
    </row>
    <row r="2800" spans="3:6">
      <c r="C2800"/>
      <c r="D2800"/>
      <c r="E2800"/>
      <c r="F2800"/>
    </row>
    <row r="2801" spans="3:6">
      <c r="C2801"/>
      <c r="D2801"/>
      <c r="E2801"/>
      <c r="F2801"/>
    </row>
    <row r="2802" spans="3:6">
      <c r="C2802"/>
      <c r="D2802"/>
      <c r="E2802"/>
      <c r="F2802"/>
    </row>
    <row r="2803" spans="3:6">
      <c r="C2803"/>
      <c r="D2803"/>
      <c r="E2803"/>
      <c r="F2803"/>
    </row>
    <row r="2804" spans="3:6">
      <c r="C2804"/>
      <c r="D2804"/>
      <c r="E2804"/>
      <c r="F2804"/>
    </row>
    <row r="2805" spans="3:6">
      <c r="C2805"/>
      <c r="D2805"/>
      <c r="E2805"/>
      <c r="F2805"/>
    </row>
    <row r="2806" spans="3:6">
      <c r="C2806"/>
      <c r="D2806"/>
      <c r="E2806"/>
      <c r="F2806"/>
    </row>
    <row r="2807" spans="3:6">
      <c r="C2807"/>
      <c r="D2807"/>
      <c r="E2807"/>
      <c r="F2807"/>
    </row>
    <row r="2808" spans="3:6">
      <c r="C2808"/>
      <c r="D2808"/>
      <c r="E2808"/>
      <c r="F2808"/>
    </row>
    <row r="2809" spans="3:6">
      <c r="C2809"/>
      <c r="D2809"/>
      <c r="E2809"/>
      <c r="F2809"/>
    </row>
    <row r="2810" spans="3:6">
      <c r="C2810"/>
      <c r="D2810"/>
      <c r="E2810"/>
      <c r="F2810"/>
    </row>
    <row r="2811" spans="3:6">
      <c r="C2811"/>
      <c r="D2811"/>
      <c r="E2811"/>
      <c r="F2811"/>
    </row>
    <row r="2812" spans="3:6">
      <c r="C2812"/>
      <c r="D2812"/>
      <c r="E2812"/>
      <c r="F2812"/>
    </row>
    <row r="2813" spans="3:6">
      <c r="C2813"/>
      <c r="D2813"/>
      <c r="E2813"/>
      <c r="F2813"/>
    </row>
    <row r="2814" spans="3:6">
      <c r="C2814"/>
      <c r="D2814"/>
      <c r="E2814"/>
      <c r="F2814"/>
    </row>
    <row r="2815" spans="3:6">
      <c r="C2815"/>
      <c r="D2815"/>
      <c r="E2815"/>
      <c r="F2815"/>
    </row>
    <row r="2816" spans="3:6">
      <c r="C2816"/>
      <c r="D2816"/>
      <c r="E2816"/>
      <c r="F2816"/>
    </row>
    <row r="2817" spans="3:6">
      <c r="C2817"/>
      <c r="D2817"/>
      <c r="E2817"/>
      <c r="F2817"/>
    </row>
    <row r="2818" spans="3:6">
      <c r="C2818"/>
      <c r="D2818"/>
      <c r="E2818"/>
      <c r="F2818"/>
    </row>
    <row r="2819" spans="3:6">
      <c r="C2819"/>
      <c r="D2819"/>
      <c r="E2819"/>
      <c r="F2819"/>
    </row>
    <row r="2820" spans="3:6">
      <c r="C2820"/>
      <c r="D2820"/>
      <c r="E2820"/>
      <c r="F2820"/>
    </row>
    <row r="2821" spans="3:6">
      <c r="C2821"/>
      <c r="D2821"/>
      <c r="E2821"/>
      <c r="F2821"/>
    </row>
    <row r="2822" spans="3:6">
      <c r="C2822"/>
      <c r="D2822"/>
      <c r="E2822"/>
      <c r="F2822"/>
    </row>
    <row r="2823" spans="3:6">
      <c r="C2823"/>
      <c r="D2823"/>
      <c r="E2823"/>
      <c r="F2823"/>
    </row>
    <row r="2824" spans="3:6">
      <c r="C2824"/>
      <c r="D2824"/>
      <c r="E2824"/>
      <c r="F2824"/>
    </row>
    <row r="2825" spans="3:6">
      <c r="C2825"/>
      <c r="D2825"/>
      <c r="E2825"/>
      <c r="F2825"/>
    </row>
    <row r="2826" spans="3:6">
      <c r="C2826"/>
      <c r="D2826"/>
      <c r="E2826"/>
      <c r="F2826"/>
    </row>
    <row r="2827" spans="3:6">
      <c r="C2827"/>
      <c r="D2827"/>
      <c r="E2827"/>
      <c r="F2827"/>
    </row>
    <row r="2828" spans="3:6">
      <c r="C2828"/>
      <c r="D2828"/>
      <c r="E2828"/>
      <c r="F2828"/>
    </row>
    <row r="2829" spans="3:6">
      <c r="C2829"/>
      <c r="D2829"/>
      <c r="E2829"/>
      <c r="F2829"/>
    </row>
    <row r="2830" spans="3:6">
      <c r="C2830"/>
      <c r="D2830"/>
      <c r="E2830"/>
      <c r="F2830"/>
    </row>
    <row r="2831" spans="3:6">
      <c r="C2831"/>
      <c r="D2831"/>
      <c r="E2831"/>
      <c r="F2831"/>
    </row>
    <row r="2832" spans="3:6">
      <c r="C2832"/>
      <c r="D2832"/>
      <c r="E2832"/>
      <c r="F2832"/>
    </row>
    <row r="2833" spans="3:6">
      <c r="C2833"/>
      <c r="D2833"/>
      <c r="E2833"/>
      <c r="F2833"/>
    </row>
    <row r="2834" spans="3:6">
      <c r="C2834"/>
      <c r="D2834"/>
      <c r="E2834"/>
      <c r="F2834"/>
    </row>
    <row r="2835" spans="3:6">
      <c r="C2835"/>
      <c r="D2835"/>
      <c r="E2835"/>
      <c r="F2835"/>
    </row>
    <row r="2836" spans="3:6">
      <c r="C2836"/>
      <c r="D2836"/>
      <c r="E2836"/>
      <c r="F2836"/>
    </row>
    <row r="2837" spans="3:6">
      <c r="C2837"/>
      <c r="D2837"/>
      <c r="E2837"/>
      <c r="F2837"/>
    </row>
    <row r="2838" spans="3:6">
      <c r="C2838"/>
      <c r="D2838"/>
      <c r="E2838"/>
      <c r="F2838"/>
    </row>
    <row r="2839" spans="3:6">
      <c r="C2839"/>
      <c r="D2839"/>
      <c r="E2839"/>
      <c r="F2839"/>
    </row>
    <row r="2840" spans="3:6">
      <c r="C2840"/>
      <c r="D2840"/>
      <c r="E2840"/>
      <c r="F2840"/>
    </row>
    <row r="2841" spans="3:6">
      <c r="C2841"/>
      <c r="D2841"/>
      <c r="E2841"/>
      <c r="F2841"/>
    </row>
    <row r="2842" spans="3:6">
      <c r="C2842"/>
      <c r="D2842"/>
      <c r="E2842"/>
      <c r="F2842"/>
    </row>
    <row r="2843" spans="3:6">
      <c r="C2843"/>
      <c r="D2843"/>
      <c r="E2843"/>
      <c r="F2843"/>
    </row>
    <row r="2844" spans="3:6">
      <c r="C2844"/>
      <c r="D2844"/>
      <c r="E2844"/>
      <c r="F2844"/>
    </row>
    <row r="2845" spans="3:6">
      <c r="C2845"/>
      <c r="D2845"/>
      <c r="E2845"/>
      <c r="F2845"/>
    </row>
    <row r="2846" spans="3:6">
      <c r="C2846"/>
      <c r="D2846"/>
      <c r="E2846"/>
      <c r="F2846"/>
    </row>
    <row r="2847" spans="3:6">
      <c r="C2847"/>
      <c r="D2847"/>
      <c r="E2847"/>
      <c r="F2847"/>
    </row>
    <row r="2848" spans="3:6">
      <c r="C2848"/>
      <c r="D2848"/>
      <c r="E2848"/>
      <c r="F2848"/>
    </row>
    <row r="2849" spans="3:6">
      <c r="C2849"/>
      <c r="D2849"/>
      <c r="E2849"/>
      <c r="F2849"/>
    </row>
    <row r="2850" spans="3:6">
      <c r="C2850"/>
      <c r="D2850"/>
      <c r="E2850"/>
      <c r="F2850"/>
    </row>
    <row r="2851" spans="3:6">
      <c r="C2851"/>
      <c r="D2851"/>
      <c r="E2851"/>
      <c r="F2851"/>
    </row>
    <row r="2852" spans="3:6">
      <c r="C2852"/>
      <c r="D2852"/>
      <c r="E2852"/>
      <c r="F2852"/>
    </row>
    <row r="2853" spans="3:6">
      <c r="C2853"/>
      <c r="D2853"/>
      <c r="E2853"/>
      <c r="F2853"/>
    </row>
    <row r="2854" spans="3:6">
      <c r="C2854"/>
      <c r="D2854"/>
      <c r="E2854"/>
      <c r="F2854"/>
    </row>
    <row r="2855" spans="3:6">
      <c r="C2855"/>
      <c r="D2855"/>
      <c r="E2855"/>
      <c r="F2855"/>
    </row>
    <row r="2856" spans="3:6">
      <c r="C2856"/>
      <c r="D2856"/>
      <c r="E2856"/>
      <c r="F2856"/>
    </row>
    <row r="2857" spans="3:6">
      <c r="C2857"/>
      <c r="D2857"/>
      <c r="E2857"/>
      <c r="F2857"/>
    </row>
    <row r="2858" spans="3:6">
      <c r="C2858"/>
      <c r="D2858"/>
      <c r="E2858"/>
      <c r="F2858"/>
    </row>
    <row r="2859" spans="3:6">
      <c r="C2859"/>
      <c r="D2859"/>
      <c r="E2859"/>
      <c r="F2859"/>
    </row>
    <row r="2860" spans="3:6">
      <c r="C2860"/>
      <c r="D2860"/>
      <c r="E2860"/>
      <c r="F2860"/>
    </row>
    <row r="2861" spans="3:6">
      <c r="C2861"/>
      <c r="D2861"/>
      <c r="E2861"/>
      <c r="F2861"/>
    </row>
    <row r="2862" spans="3:6">
      <c r="C2862"/>
      <c r="D2862"/>
      <c r="E2862"/>
      <c r="F2862"/>
    </row>
    <row r="2863" spans="3:6">
      <c r="C2863"/>
      <c r="D2863"/>
      <c r="E2863"/>
      <c r="F2863"/>
    </row>
    <row r="2864" spans="3:6">
      <c r="C2864"/>
      <c r="D2864"/>
      <c r="E2864"/>
      <c r="F2864"/>
    </row>
    <row r="2865" spans="3:6">
      <c r="C2865"/>
      <c r="D2865"/>
      <c r="E2865"/>
      <c r="F2865"/>
    </row>
    <row r="2866" spans="3:6">
      <c r="C2866"/>
      <c r="D2866"/>
      <c r="E2866"/>
      <c r="F2866"/>
    </row>
    <row r="2867" spans="3:6">
      <c r="C2867"/>
      <c r="D2867"/>
      <c r="E2867"/>
      <c r="F2867"/>
    </row>
    <row r="2868" spans="3:6">
      <c r="C2868"/>
      <c r="D2868"/>
      <c r="E2868"/>
      <c r="F2868"/>
    </row>
    <row r="2869" spans="3:6">
      <c r="C2869"/>
      <c r="D2869"/>
      <c r="E2869"/>
      <c r="F2869"/>
    </row>
    <row r="2870" spans="3:6">
      <c r="C2870"/>
      <c r="D2870"/>
      <c r="E2870"/>
      <c r="F2870"/>
    </row>
    <row r="2871" spans="3:6">
      <c r="C2871"/>
      <c r="D2871"/>
      <c r="E2871"/>
      <c r="F2871"/>
    </row>
    <row r="2872" spans="3:6">
      <c r="C2872"/>
      <c r="D2872"/>
      <c r="E2872"/>
      <c r="F2872"/>
    </row>
    <row r="2873" spans="3:6">
      <c r="C2873"/>
      <c r="D2873"/>
      <c r="E2873"/>
      <c r="F2873"/>
    </row>
    <row r="2874" spans="3:6">
      <c r="C2874"/>
      <c r="D2874"/>
      <c r="E2874"/>
      <c r="F2874"/>
    </row>
    <row r="2875" spans="3:6">
      <c r="C2875"/>
      <c r="D2875"/>
      <c r="E2875"/>
      <c r="F2875"/>
    </row>
    <row r="2876" spans="3:6">
      <c r="C2876"/>
      <c r="D2876"/>
      <c r="E2876"/>
      <c r="F2876"/>
    </row>
    <row r="2877" spans="3:6">
      <c r="C2877"/>
      <c r="D2877"/>
      <c r="E2877"/>
      <c r="F2877"/>
    </row>
    <row r="2878" spans="3:6">
      <c r="C2878"/>
      <c r="D2878"/>
      <c r="E2878"/>
      <c r="F2878"/>
    </row>
    <row r="2879" spans="3:6">
      <c r="C2879"/>
      <c r="D2879"/>
      <c r="E2879"/>
      <c r="F2879"/>
    </row>
    <row r="2880" spans="3:6">
      <c r="C2880"/>
      <c r="D2880"/>
      <c r="E2880"/>
      <c r="F2880"/>
    </row>
    <row r="2881" spans="3:6">
      <c r="C2881"/>
      <c r="D2881"/>
      <c r="E2881"/>
      <c r="F2881"/>
    </row>
    <row r="2882" spans="3:6">
      <c r="C2882"/>
      <c r="D2882"/>
      <c r="E2882"/>
      <c r="F2882"/>
    </row>
    <row r="2883" spans="3:6">
      <c r="C2883"/>
      <c r="D2883"/>
      <c r="E2883"/>
      <c r="F2883"/>
    </row>
    <row r="2884" spans="3:6">
      <c r="C2884"/>
      <c r="D2884"/>
      <c r="E2884"/>
      <c r="F2884"/>
    </row>
    <row r="2885" spans="3:6">
      <c r="C2885"/>
      <c r="D2885"/>
      <c r="E2885"/>
      <c r="F2885"/>
    </row>
    <row r="2886" spans="3:6">
      <c r="C2886"/>
      <c r="D2886"/>
      <c r="E2886"/>
      <c r="F2886"/>
    </row>
    <row r="2887" spans="3:6">
      <c r="C2887"/>
      <c r="D2887"/>
      <c r="E2887"/>
      <c r="F2887"/>
    </row>
    <row r="2888" spans="3:6">
      <c r="C2888"/>
      <c r="D2888"/>
      <c r="E2888"/>
      <c r="F2888"/>
    </row>
    <row r="2889" spans="3:6">
      <c r="C2889"/>
      <c r="D2889"/>
      <c r="E2889"/>
      <c r="F2889"/>
    </row>
    <row r="2890" spans="3:6">
      <c r="C2890"/>
      <c r="D2890"/>
      <c r="E2890"/>
      <c r="F2890"/>
    </row>
    <row r="2891" spans="3:6">
      <c r="C2891"/>
      <c r="D2891"/>
      <c r="E2891"/>
      <c r="F2891"/>
    </row>
    <row r="2892" spans="3:6">
      <c r="C2892"/>
      <c r="D2892"/>
      <c r="E2892"/>
      <c r="F2892"/>
    </row>
    <row r="2893" spans="3:6">
      <c r="C2893"/>
      <c r="D2893"/>
      <c r="E2893"/>
      <c r="F2893"/>
    </row>
    <row r="2894" spans="3:6">
      <c r="C2894"/>
      <c r="D2894"/>
      <c r="E2894"/>
      <c r="F2894"/>
    </row>
    <row r="2895" spans="3:6">
      <c r="C2895"/>
      <c r="D2895"/>
      <c r="E2895"/>
      <c r="F2895"/>
    </row>
    <row r="2896" spans="3:6">
      <c r="C2896"/>
      <c r="D2896"/>
      <c r="E2896"/>
      <c r="F2896"/>
    </row>
    <row r="2897" spans="3:6">
      <c r="C2897"/>
      <c r="D2897"/>
      <c r="E2897"/>
      <c r="F2897"/>
    </row>
    <row r="2898" spans="3:6">
      <c r="C2898"/>
      <c r="D2898"/>
      <c r="E2898"/>
      <c r="F2898"/>
    </row>
    <row r="2899" spans="3:6">
      <c r="C2899"/>
      <c r="D2899"/>
      <c r="E2899"/>
      <c r="F2899"/>
    </row>
    <row r="2900" spans="3:6">
      <c r="C2900"/>
      <c r="D2900"/>
      <c r="E2900"/>
      <c r="F2900"/>
    </row>
    <row r="2901" spans="3:6">
      <c r="C2901"/>
      <c r="D2901"/>
      <c r="E2901"/>
      <c r="F2901"/>
    </row>
    <row r="2902" spans="3:6">
      <c r="C2902"/>
      <c r="D2902"/>
      <c r="E2902"/>
      <c r="F2902"/>
    </row>
    <row r="2903" spans="3:6">
      <c r="C2903"/>
      <c r="D2903"/>
      <c r="E2903"/>
      <c r="F2903"/>
    </row>
    <row r="2904" spans="3:6">
      <c r="C2904"/>
      <c r="D2904"/>
      <c r="E2904"/>
      <c r="F2904"/>
    </row>
    <row r="2905" spans="3:6">
      <c r="C2905"/>
      <c r="D2905"/>
      <c r="E2905"/>
      <c r="F2905"/>
    </row>
    <row r="2906" spans="3:6">
      <c r="C2906"/>
      <c r="D2906"/>
      <c r="E2906"/>
      <c r="F2906"/>
    </row>
    <row r="2907" spans="3:6">
      <c r="C2907"/>
      <c r="D2907"/>
      <c r="E2907"/>
      <c r="F2907"/>
    </row>
    <row r="2908" spans="3:6">
      <c r="C2908"/>
      <c r="D2908"/>
      <c r="E2908"/>
      <c r="F2908"/>
    </row>
    <row r="2909" spans="3:6">
      <c r="C2909"/>
      <c r="D2909"/>
      <c r="E2909"/>
      <c r="F2909"/>
    </row>
    <row r="2910" spans="3:6">
      <c r="C2910"/>
      <c r="D2910"/>
      <c r="E2910"/>
      <c r="F2910"/>
    </row>
    <row r="2911" spans="3:6">
      <c r="C2911"/>
      <c r="D2911"/>
      <c r="E2911"/>
      <c r="F2911"/>
    </row>
    <row r="2912" spans="3:6">
      <c r="C2912"/>
      <c r="D2912"/>
      <c r="E2912"/>
      <c r="F2912"/>
    </row>
    <row r="2913" spans="3:6">
      <c r="C2913"/>
      <c r="D2913"/>
      <c r="E2913"/>
      <c r="F2913"/>
    </row>
    <row r="2914" spans="3:6">
      <c r="C2914"/>
      <c r="D2914"/>
      <c r="E2914"/>
      <c r="F2914"/>
    </row>
    <row r="2915" spans="3:6">
      <c r="C2915"/>
      <c r="D2915"/>
      <c r="E2915"/>
      <c r="F2915"/>
    </row>
    <row r="2916" spans="3:6">
      <c r="C2916"/>
      <c r="D2916"/>
      <c r="E2916"/>
      <c r="F2916"/>
    </row>
    <row r="2917" spans="3:6">
      <c r="C2917"/>
      <c r="D2917"/>
      <c r="E2917"/>
      <c r="F2917"/>
    </row>
    <row r="2918" spans="3:6">
      <c r="C2918"/>
      <c r="D2918"/>
      <c r="E2918"/>
      <c r="F2918"/>
    </row>
    <row r="2919" spans="3:6">
      <c r="C2919"/>
      <c r="D2919"/>
      <c r="E2919"/>
      <c r="F2919"/>
    </row>
    <row r="2920" spans="3:6">
      <c r="C2920"/>
      <c r="D2920"/>
      <c r="E2920"/>
      <c r="F2920"/>
    </row>
    <row r="2921" spans="3:6">
      <c r="C2921"/>
      <c r="D2921"/>
      <c r="E2921"/>
      <c r="F2921"/>
    </row>
    <row r="2922" spans="3:6">
      <c r="C2922"/>
      <c r="D2922"/>
      <c r="E2922"/>
      <c r="F2922"/>
    </row>
    <row r="2923" spans="3:6">
      <c r="C2923"/>
      <c r="D2923"/>
      <c r="E2923"/>
      <c r="F2923"/>
    </row>
    <row r="2924" spans="3:6">
      <c r="C2924"/>
      <c r="D2924"/>
      <c r="E2924"/>
      <c r="F2924"/>
    </row>
    <row r="2925" spans="3:6">
      <c r="C2925"/>
      <c r="D2925"/>
      <c r="E2925"/>
      <c r="F2925"/>
    </row>
    <row r="2926" spans="3:6">
      <c r="C2926"/>
      <c r="D2926"/>
      <c r="E2926"/>
      <c r="F2926"/>
    </row>
    <row r="2927" spans="3:6">
      <c r="C2927"/>
      <c r="D2927"/>
      <c r="E2927"/>
      <c r="F2927"/>
    </row>
    <row r="2928" spans="3:6">
      <c r="C2928"/>
      <c r="D2928"/>
      <c r="E2928"/>
      <c r="F2928"/>
    </row>
    <row r="2929" spans="3:6">
      <c r="C2929"/>
      <c r="D2929"/>
      <c r="E2929"/>
      <c r="F2929"/>
    </row>
    <row r="2930" spans="3:6">
      <c r="C2930"/>
      <c r="D2930"/>
      <c r="E2930"/>
      <c r="F2930"/>
    </row>
    <row r="2931" spans="3:6">
      <c r="C2931"/>
      <c r="D2931"/>
      <c r="E2931"/>
      <c r="F2931"/>
    </row>
    <row r="2932" spans="3:6">
      <c r="C2932"/>
      <c r="D2932"/>
      <c r="E2932"/>
      <c r="F2932"/>
    </row>
    <row r="2933" spans="3:6">
      <c r="C2933"/>
      <c r="D2933"/>
      <c r="E2933"/>
      <c r="F2933"/>
    </row>
    <row r="2934" spans="3:6">
      <c r="C2934"/>
      <c r="D2934"/>
      <c r="E2934"/>
      <c r="F2934"/>
    </row>
    <row r="2935" spans="3:6">
      <c r="C2935"/>
      <c r="D2935"/>
      <c r="E2935"/>
      <c r="F2935"/>
    </row>
    <row r="2936" spans="3:6">
      <c r="C2936"/>
      <c r="D2936"/>
      <c r="E2936"/>
      <c r="F2936"/>
    </row>
    <row r="2937" spans="3:6">
      <c r="C2937"/>
      <c r="D2937"/>
      <c r="E2937"/>
      <c r="F2937"/>
    </row>
    <row r="2938" spans="3:6">
      <c r="C2938"/>
      <c r="D2938"/>
      <c r="E2938"/>
      <c r="F2938"/>
    </row>
    <row r="2939" spans="3:6">
      <c r="C2939"/>
      <c r="D2939"/>
      <c r="E2939"/>
      <c r="F2939"/>
    </row>
    <row r="2940" spans="3:6">
      <c r="C2940"/>
      <c r="D2940"/>
      <c r="E2940"/>
      <c r="F2940"/>
    </row>
    <row r="2941" spans="3:6">
      <c r="C2941"/>
      <c r="D2941"/>
      <c r="E2941"/>
      <c r="F2941"/>
    </row>
    <row r="2942" spans="3:6">
      <c r="C2942"/>
      <c r="D2942"/>
      <c r="E2942"/>
      <c r="F2942"/>
    </row>
    <row r="2943" spans="3:6">
      <c r="C2943"/>
      <c r="D2943"/>
      <c r="E2943"/>
      <c r="F2943"/>
    </row>
    <row r="2944" spans="3:6">
      <c r="C2944"/>
      <c r="D2944"/>
      <c r="E2944"/>
      <c r="F2944"/>
    </row>
    <row r="2945" spans="3:6">
      <c r="C2945"/>
      <c r="D2945"/>
      <c r="E2945"/>
      <c r="F2945"/>
    </row>
    <row r="2946" spans="3:6">
      <c r="C2946"/>
      <c r="D2946"/>
      <c r="E2946"/>
      <c r="F2946"/>
    </row>
    <row r="2947" spans="3:6">
      <c r="C2947"/>
      <c r="D2947"/>
      <c r="E2947"/>
      <c r="F2947"/>
    </row>
    <row r="2948" spans="3:6">
      <c r="C2948"/>
      <c r="D2948"/>
      <c r="E2948"/>
      <c r="F2948"/>
    </row>
    <row r="2949" spans="3:6">
      <c r="C2949"/>
      <c r="D2949"/>
      <c r="E2949"/>
      <c r="F2949"/>
    </row>
    <row r="2950" spans="3:6">
      <c r="C2950"/>
      <c r="D2950"/>
      <c r="E2950"/>
      <c r="F2950"/>
    </row>
    <row r="2951" spans="3:6">
      <c r="C2951"/>
      <c r="D2951"/>
      <c r="E2951"/>
      <c r="F2951"/>
    </row>
    <row r="2952" spans="3:6">
      <c r="C2952"/>
      <c r="D2952"/>
      <c r="E2952"/>
      <c r="F2952"/>
    </row>
    <row r="2953" spans="3:6">
      <c r="C2953"/>
      <c r="D2953"/>
      <c r="E2953"/>
      <c r="F2953"/>
    </row>
    <row r="2954" spans="3:6">
      <c r="C2954"/>
      <c r="D2954"/>
      <c r="E2954"/>
      <c r="F2954"/>
    </row>
    <row r="2955" spans="3:6">
      <c r="C2955"/>
      <c r="D2955"/>
      <c r="E2955"/>
      <c r="F2955"/>
    </row>
    <row r="2956" spans="3:6">
      <c r="C2956"/>
      <c r="D2956"/>
      <c r="E2956"/>
      <c r="F2956"/>
    </row>
    <row r="2957" spans="3:6">
      <c r="C2957"/>
      <c r="D2957"/>
      <c r="E2957"/>
      <c r="F2957"/>
    </row>
    <row r="2958" spans="3:6">
      <c r="C2958"/>
      <c r="D2958"/>
      <c r="E2958"/>
      <c r="F2958"/>
    </row>
    <row r="2959" spans="3:6">
      <c r="C2959"/>
      <c r="D2959"/>
      <c r="E2959"/>
      <c r="F2959"/>
    </row>
    <row r="2960" spans="3:6">
      <c r="C2960"/>
      <c r="D2960"/>
      <c r="E2960"/>
      <c r="F2960"/>
    </row>
    <row r="2961" spans="3:6">
      <c r="C2961"/>
      <c r="D2961"/>
      <c r="E2961"/>
      <c r="F2961"/>
    </row>
    <row r="2962" spans="3:6">
      <c r="C2962"/>
      <c r="D2962"/>
      <c r="E2962"/>
      <c r="F2962"/>
    </row>
    <row r="2963" spans="3:6">
      <c r="C2963"/>
      <c r="D2963"/>
      <c r="E2963"/>
      <c r="F2963"/>
    </row>
    <row r="2964" spans="3:6">
      <c r="C2964"/>
      <c r="D2964"/>
      <c r="E2964"/>
      <c r="F2964"/>
    </row>
    <row r="2965" spans="3:6">
      <c r="C2965"/>
      <c r="D2965"/>
      <c r="E2965"/>
      <c r="F2965"/>
    </row>
    <row r="2966" spans="3:6">
      <c r="C2966"/>
      <c r="D2966"/>
      <c r="E2966"/>
      <c r="F2966"/>
    </row>
    <row r="2967" spans="3:6">
      <c r="C2967"/>
      <c r="D2967"/>
      <c r="E2967"/>
      <c r="F2967"/>
    </row>
    <row r="2968" spans="3:6">
      <c r="C2968"/>
      <c r="D2968"/>
      <c r="E2968"/>
      <c r="F2968"/>
    </row>
    <row r="2969" spans="3:6">
      <c r="C2969"/>
      <c r="D2969"/>
      <c r="E2969"/>
      <c r="F2969"/>
    </row>
    <row r="2970" spans="3:6">
      <c r="C2970"/>
      <c r="D2970"/>
      <c r="E2970"/>
      <c r="F2970"/>
    </row>
    <row r="2971" spans="3:6">
      <c r="C2971"/>
      <c r="D2971"/>
      <c r="E2971"/>
      <c r="F2971"/>
    </row>
    <row r="2972" spans="3:6">
      <c r="C2972"/>
      <c r="D2972"/>
      <c r="E2972"/>
      <c r="F2972"/>
    </row>
    <row r="2973" spans="3:6">
      <c r="C2973"/>
      <c r="D2973"/>
      <c r="E2973"/>
      <c r="F2973"/>
    </row>
    <row r="2974" spans="3:6">
      <c r="C2974"/>
      <c r="D2974"/>
      <c r="E2974"/>
      <c r="F2974"/>
    </row>
    <row r="2975" spans="3:6">
      <c r="C2975"/>
      <c r="D2975"/>
      <c r="E2975"/>
      <c r="F2975"/>
    </row>
    <row r="2976" spans="3:6">
      <c r="C2976"/>
      <c r="D2976"/>
      <c r="E2976"/>
      <c r="F2976"/>
    </row>
    <row r="2977" spans="3:6">
      <c r="C2977"/>
      <c r="D2977"/>
      <c r="E2977"/>
      <c r="F2977"/>
    </row>
    <row r="2978" spans="3:6">
      <c r="C2978"/>
      <c r="D2978"/>
      <c r="E2978"/>
      <c r="F2978"/>
    </row>
    <row r="2979" spans="3:6">
      <c r="C2979"/>
      <c r="D2979"/>
      <c r="E2979"/>
      <c r="F2979"/>
    </row>
    <row r="2980" spans="3:6">
      <c r="C2980"/>
      <c r="D2980"/>
      <c r="E2980"/>
      <c r="F2980"/>
    </row>
    <row r="2981" spans="3:6">
      <c r="C2981"/>
      <c r="D2981"/>
      <c r="E2981"/>
      <c r="F2981"/>
    </row>
    <row r="2982" spans="3:6">
      <c r="C2982"/>
      <c r="D2982"/>
      <c r="E2982"/>
      <c r="F2982"/>
    </row>
    <row r="2983" spans="3:6">
      <c r="C2983"/>
      <c r="D2983"/>
      <c r="E2983"/>
      <c r="F2983"/>
    </row>
    <row r="2984" spans="3:6">
      <c r="C2984"/>
      <c r="D2984"/>
      <c r="E2984"/>
      <c r="F2984"/>
    </row>
    <row r="2985" spans="3:6">
      <c r="C2985"/>
      <c r="D2985"/>
      <c r="E2985"/>
      <c r="F2985"/>
    </row>
    <row r="2986" spans="3:6">
      <c r="C2986"/>
      <c r="D2986"/>
      <c r="E2986"/>
      <c r="F2986"/>
    </row>
    <row r="2987" spans="3:6">
      <c r="C2987"/>
      <c r="D2987"/>
      <c r="E2987"/>
      <c r="F2987"/>
    </row>
    <row r="2988" spans="3:6">
      <c r="C2988"/>
      <c r="D2988"/>
      <c r="E2988"/>
      <c r="F2988"/>
    </row>
    <row r="2989" spans="3:6">
      <c r="C2989"/>
      <c r="D2989"/>
      <c r="E2989"/>
      <c r="F2989"/>
    </row>
    <row r="2990" spans="3:6">
      <c r="C2990"/>
      <c r="D2990"/>
      <c r="E2990"/>
      <c r="F2990"/>
    </row>
    <row r="2991" spans="3:6">
      <c r="C2991"/>
      <c r="D2991"/>
      <c r="E2991"/>
      <c r="F2991"/>
    </row>
    <row r="2992" spans="3:6">
      <c r="C2992"/>
      <c r="D2992"/>
      <c r="E2992"/>
      <c r="F2992"/>
    </row>
    <row r="2993" spans="3:6">
      <c r="C2993"/>
      <c r="D2993"/>
      <c r="E2993"/>
      <c r="F2993"/>
    </row>
    <row r="2994" spans="3:6">
      <c r="C2994"/>
      <c r="D2994"/>
      <c r="E2994"/>
      <c r="F2994"/>
    </row>
    <row r="2995" spans="3:6">
      <c r="C2995"/>
      <c r="D2995"/>
      <c r="E2995"/>
      <c r="F2995"/>
    </row>
    <row r="2996" spans="3:6">
      <c r="C2996"/>
      <c r="D2996"/>
      <c r="E2996"/>
      <c r="F2996"/>
    </row>
    <row r="2997" spans="3:6">
      <c r="C2997"/>
      <c r="D2997"/>
      <c r="E2997"/>
      <c r="F2997"/>
    </row>
    <row r="2998" spans="3:6">
      <c r="C2998"/>
      <c r="D2998"/>
      <c r="E2998"/>
      <c r="F2998"/>
    </row>
    <row r="2999" spans="3:6">
      <c r="C2999"/>
      <c r="D2999"/>
      <c r="E2999"/>
      <c r="F2999"/>
    </row>
    <row r="3000" spans="3:6">
      <c r="C3000"/>
      <c r="D3000"/>
      <c r="E3000"/>
      <c r="F3000"/>
    </row>
    <row r="3001" spans="3:6">
      <c r="C3001"/>
      <c r="D3001"/>
      <c r="E3001"/>
      <c r="F3001"/>
    </row>
    <row r="3002" spans="3:6">
      <c r="C3002"/>
      <c r="D3002"/>
      <c r="E3002"/>
      <c r="F3002"/>
    </row>
    <row r="3003" spans="3:6">
      <c r="C3003"/>
      <c r="D3003"/>
      <c r="E3003"/>
      <c r="F3003"/>
    </row>
    <row r="3004" spans="3:6">
      <c r="C3004"/>
      <c r="D3004"/>
      <c r="E3004"/>
      <c r="F3004"/>
    </row>
    <row r="3005" spans="3:6">
      <c r="C3005"/>
      <c r="D3005"/>
      <c r="E3005"/>
      <c r="F3005"/>
    </row>
    <row r="3006" spans="3:6">
      <c r="C3006"/>
      <c r="D3006"/>
      <c r="E3006"/>
      <c r="F3006"/>
    </row>
    <row r="3007" spans="3:6">
      <c r="C3007"/>
      <c r="D3007"/>
      <c r="E3007"/>
      <c r="F3007"/>
    </row>
    <row r="3008" spans="3:6">
      <c r="C3008"/>
      <c r="D3008"/>
      <c r="E3008"/>
      <c r="F3008"/>
    </row>
    <row r="3009" spans="3:6">
      <c r="C3009"/>
      <c r="D3009"/>
      <c r="E3009"/>
      <c r="F3009"/>
    </row>
    <row r="3010" spans="3:6">
      <c r="C3010"/>
      <c r="D3010"/>
      <c r="E3010"/>
      <c r="F3010"/>
    </row>
    <row r="3011" spans="3:6">
      <c r="C3011"/>
      <c r="D3011"/>
      <c r="E3011"/>
      <c r="F3011"/>
    </row>
    <row r="3012" spans="3:6">
      <c r="C3012"/>
      <c r="D3012"/>
      <c r="E3012"/>
      <c r="F3012"/>
    </row>
    <row r="3013" spans="3:6">
      <c r="C3013"/>
      <c r="D3013"/>
      <c r="E3013"/>
      <c r="F3013"/>
    </row>
    <row r="3014" spans="3:6">
      <c r="C3014"/>
      <c r="D3014"/>
      <c r="E3014"/>
      <c r="F3014"/>
    </row>
    <row r="3015" spans="3:6">
      <c r="C3015"/>
      <c r="D3015"/>
      <c r="E3015"/>
      <c r="F3015"/>
    </row>
    <row r="3016" spans="3:6">
      <c r="C3016"/>
      <c r="D3016"/>
      <c r="E3016"/>
      <c r="F3016"/>
    </row>
    <row r="3017" spans="3:6">
      <c r="C3017"/>
      <c r="D3017"/>
      <c r="E3017"/>
      <c r="F3017"/>
    </row>
    <row r="3018" spans="3:6">
      <c r="C3018"/>
      <c r="D3018"/>
      <c r="E3018"/>
      <c r="F3018"/>
    </row>
    <row r="3019" spans="3:6">
      <c r="C3019"/>
      <c r="D3019"/>
      <c r="E3019"/>
      <c r="F3019"/>
    </row>
    <row r="3020" spans="3:6">
      <c r="C3020"/>
      <c r="D3020"/>
      <c r="E3020"/>
      <c r="F3020"/>
    </row>
    <row r="3021" spans="3:6">
      <c r="C3021"/>
      <c r="D3021"/>
      <c r="E3021"/>
      <c r="F3021"/>
    </row>
    <row r="3022" spans="3:6">
      <c r="C3022"/>
      <c r="D3022"/>
      <c r="E3022"/>
      <c r="F3022"/>
    </row>
    <row r="3023" spans="3:6">
      <c r="C3023"/>
      <c r="D3023"/>
      <c r="E3023"/>
      <c r="F3023"/>
    </row>
    <row r="3024" spans="3:6">
      <c r="C3024"/>
      <c r="D3024"/>
      <c r="E3024"/>
      <c r="F3024"/>
    </row>
    <row r="3025" spans="3:6">
      <c r="C3025"/>
      <c r="D3025"/>
      <c r="E3025"/>
      <c r="F3025"/>
    </row>
    <row r="3026" spans="3:6">
      <c r="C3026"/>
      <c r="D3026"/>
      <c r="E3026"/>
      <c r="F3026"/>
    </row>
    <row r="3027" spans="3:6">
      <c r="C3027"/>
      <c r="D3027"/>
      <c r="E3027"/>
      <c r="F3027"/>
    </row>
    <row r="3028" spans="3:6">
      <c r="C3028"/>
      <c r="D3028"/>
      <c r="E3028"/>
      <c r="F3028"/>
    </row>
    <row r="3029" spans="3:6">
      <c r="C3029"/>
      <c r="D3029"/>
      <c r="E3029"/>
      <c r="F3029"/>
    </row>
    <row r="3030" spans="3:6">
      <c r="C3030"/>
      <c r="D3030"/>
      <c r="E3030"/>
      <c r="F3030"/>
    </row>
    <row r="3031" spans="3:6">
      <c r="C3031"/>
      <c r="D3031"/>
      <c r="E3031"/>
      <c r="F3031"/>
    </row>
    <row r="3032" spans="3:6">
      <c r="C3032"/>
      <c r="D3032"/>
      <c r="E3032"/>
      <c r="F3032"/>
    </row>
    <row r="3033" spans="3:6">
      <c r="C3033"/>
      <c r="D3033"/>
      <c r="E3033"/>
      <c r="F3033"/>
    </row>
    <row r="3034" spans="3:6">
      <c r="C3034"/>
      <c r="D3034"/>
      <c r="E3034"/>
      <c r="F3034"/>
    </row>
    <row r="3035" spans="3:6">
      <c r="C3035"/>
      <c r="D3035"/>
      <c r="E3035"/>
      <c r="F3035"/>
    </row>
    <row r="3036" spans="3:6">
      <c r="C3036"/>
      <c r="D3036"/>
      <c r="E3036"/>
      <c r="F3036"/>
    </row>
    <row r="3037" spans="3:6">
      <c r="C3037"/>
      <c r="D3037"/>
      <c r="E3037"/>
      <c r="F3037"/>
    </row>
    <row r="3038" spans="3:6">
      <c r="C3038"/>
      <c r="D3038"/>
      <c r="E3038"/>
      <c r="F3038"/>
    </row>
    <row r="3039" spans="3:6">
      <c r="C3039"/>
      <c r="D3039"/>
      <c r="E3039"/>
      <c r="F3039"/>
    </row>
    <row r="3040" spans="3:6">
      <c r="C3040"/>
      <c r="D3040"/>
      <c r="E3040"/>
      <c r="F3040"/>
    </row>
    <row r="3041" spans="3:6">
      <c r="C3041"/>
      <c r="D3041"/>
      <c r="E3041"/>
      <c r="F3041"/>
    </row>
    <row r="3042" spans="3:6">
      <c r="C3042"/>
      <c r="D3042"/>
      <c r="E3042"/>
      <c r="F3042"/>
    </row>
    <row r="3043" spans="3:6">
      <c r="C3043"/>
      <c r="D3043"/>
      <c r="E3043"/>
      <c r="F3043"/>
    </row>
    <row r="3044" spans="3:6">
      <c r="C3044"/>
      <c r="D3044"/>
      <c r="E3044"/>
      <c r="F3044"/>
    </row>
    <row r="3045" spans="3:6">
      <c r="C3045"/>
      <c r="D3045"/>
      <c r="E3045"/>
      <c r="F3045"/>
    </row>
    <row r="3046" spans="3:6">
      <c r="C3046"/>
      <c r="D3046"/>
      <c r="E3046"/>
      <c r="F3046"/>
    </row>
    <row r="3047" spans="3:6">
      <c r="C3047"/>
      <c r="D3047"/>
      <c r="E3047"/>
      <c r="F3047"/>
    </row>
    <row r="3048" spans="3:6">
      <c r="C3048"/>
      <c r="D3048"/>
      <c r="E3048"/>
      <c r="F3048"/>
    </row>
    <row r="3049" spans="3:6">
      <c r="C3049"/>
      <c r="D3049"/>
      <c r="E3049"/>
      <c r="F3049"/>
    </row>
    <row r="3050" spans="3:6">
      <c r="C3050"/>
      <c r="D3050"/>
      <c r="E3050"/>
      <c r="F3050"/>
    </row>
    <row r="3051" spans="3:6">
      <c r="C3051"/>
      <c r="D3051"/>
      <c r="E3051"/>
      <c r="F3051"/>
    </row>
    <row r="3052" spans="3:6">
      <c r="C3052"/>
      <c r="D3052"/>
      <c r="E3052"/>
      <c r="F3052"/>
    </row>
    <row r="3053" spans="3:6">
      <c r="C3053"/>
      <c r="D3053"/>
      <c r="E3053"/>
      <c r="F3053"/>
    </row>
    <row r="3054" spans="3:6">
      <c r="C3054"/>
      <c r="D3054"/>
      <c r="E3054"/>
      <c r="F3054"/>
    </row>
    <row r="3055" spans="3:6">
      <c r="C3055"/>
      <c r="D3055"/>
      <c r="E3055"/>
      <c r="F3055"/>
    </row>
    <row r="3056" spans="3:6">
      <c r="C3056"/>
      <c r="D3056"/>
      <c r="E3056"/>
      <c r="F3056"/>
    </row>
    <row r="3057" spans="3:6">
      <c r="C3057"/>
      <c r="D3057"/>
      <c r="E3057"/>
      <c r="F3057"/>
    </row>
    <row r="3058" spans="3:6">
      <c r="C3058"/>
      <c r="D3058"/>
      <c r="E3058"/>
      <c r="F3058"/>
    </row>
    <row r="3059" spans="3:6">
      <c r="C3059"/>
      <c r="D3059"/>
      <c r="E3059"/>
      <c r="F3059"/>
    </row>
    <row r="3060" spans="3:6">
      <c r="C3060"/>
      <c r="D3060"/>
      <c r="E3060"/>
      <c r="F3060"/>
    </row>
    <row r="3061" spans="3:6">
      <c r="C3061"/>
      <c r="D3061"/>
      <c r="E3061"/>
      <c r="F3061"/>
    </row>
    <row r="3062" spans="3:6">
      <c r="C3062"/>
      <c r="D3062"/>
      <c r="E3062"/>
      <c r="F3062"/>
    </row>
    <row r="3063" spans="3:6">
      <c r="C3063"/>
      <c r="D3063"/>
      <c r="E3063"/>
      <c r="F3063"/>
    </row>
    <row r="3064" spans="3:6">
      <c r="C3064"/>
      <c r="D3064"/>
      <c r="E3064"/>
      <c r="F3064"/>
    </row>
    <row r="3065" spans="3:6">
      <c r="C3065"/>
      <c r="D3065"/>
      <c r="E3065"/>
      <c r="F3065"/>
    </row>
    <row r="3066" spans="3:6">
      <c r="C3066"/>
      <c r="D3066"/>
      <c r="E3066"/>
      <c r="F3066"/>
    </row>
    <row r="3067" spans="3:6">
      <c r="C3067"/>
      <c r="D3067"/>
      <c r="E3067"/>
      <c r="F3067"/>
    </row>
    <row r="3068" spans="3:6">
      <c r="C3068"/>
      <c r="D3068"/>
      <c r="E3068"/>
      <c r="F3068"/>
    </row>
    <row r="3069" spans="3:6">
      <c r="C3069"/>
      <c r="D3069"/>
      <c r="E3069"/>
      <c r="F3069"/>
    </row>
    <row r="3070" spans="3:6">
      <c r="C3070"/>
      <c r="D3070"/>
      <c r="E3070"/>
      <c r="F3070"/>
    </row>
    <row r="3071" spans="3:6">
      <c r="C3071"/>
      <c r="D3071"/>
      <c r="E3071"/>
      <c r="F3071"/>
    </row>
    <row r="3072" spans="3:6">
      <c r="C3072"/>
      <c r="D3072"/>
      <c r="E3072"/>
      <c r="F3072"/>
    </row>
    <row r="3073" spans="3:6">
      <c r="C3073"/>
      <c r="D3073"/>
      <c r="E3073"/>
      <c r="F3073"/>
    </row>
    <row r="3074" spans="3:6">
      <c r="C3074"/>
      <c r="D3074"/>
      <c r="E3074"/>
      <c r="F3074"/>
    </row>
    <row r="3075" spans="3:6">
      <c r="C3075"/>
      <c r="D3075"/>
      <c r="E3075"/>
      <c r="F3075"/>
    </row>
    <row r="3076" spans="3:6">
      <c r="C3076"/>
      <c r="D3076"/>
      <c r="E3076"/>
      <c r="F3076"/>
    </row>
    <row r="3077" spans="3:6">
      <c r="C3077"/>
      <c r="D3077"/>
      <c r="E3077"/>
      <c r="F3077"/>
    </row>
    <row r="3078" spans="3:6">
      <c r="C3078"/>
      <c r="D3078"/>
      <c r="E3078"/>
      <c r="F3078"/>
    </row>
    <row r="3079" spans="3:6">
      <c r="C3079"/>
      <c r="D3079"/>
      <c r="E3079"/>
      <c r="F3079"/>
    </row>
    <row r="3080" spans="3:6">
      <c r="C3080"/>
      <c r="D3080"/>
      <c r="E3080"/>
      <c r="F3080"/>
    </row>
    <row r="3081" spans="3:6">
      <c r="C3081"/>
      <c r="D3081"/>
      <c r="E3081"/>
      <c r="F3081"/>
    </row>
    <row r="3082" spans="3:6">
      <c r="C3082"/>
      <c r="D3082"/>
      <c r="E3082"/>
      <c r="F3082"/>
    </row>
    <row r="3083" spans="3:6">
      <c r="C3083"/>
      <c r="D3083"/>
      <c r="E3083"/>
      <c r="F3083"/>
    </row>
    <row r="3084" spans="3:6">
      <c r="C3084"/>
      <c r="D3084"/>
      <c r="E3084"/>
      <c r="F3084"/>
    </row>
    <row r="3085" spans="3:6">
      <c r="C3085"/>
      <c r="D3085"/>
      <c r="E3085"/>
      <c r="F3085"/>
    </row>
    <row r="3086" spans="3:6">
      <c r="C3086"/>
      <c r="D3086"/>
      <c r="E3086"/>
      <c r="F3086"/>
    </row>
    <row r="3087" spans="3:6">
      <c r="C3087"/>
      <c r="D3087"/>
      <c r="E3087"/>
      <c r="F3087"/>
    </row>
    <row r="3088" spans="3:6">
      <c r="C3088"/>
      <c r="D3088"/>
      <c r="E3088"/>
      <c r="F3088"/>
    </row>
    <row r="3089" spans="3:6">
      <c r="C3089"/>
      <c r="D3089"/>
      <c r="E3089"/>
      <c r="F3089"/>
    </row>
    <row r="3090" spans="3:6">
      <c r="C3090"/>
      <c r="D3090"/>
      <c r="E3090"/>
      <c r="F3090"/>
    </row>
    <row r="3091" spans="3:6">
      <c r="C3091"/>
      <c r="D3091"/>
      <c r="E3091"/>
      <c r="F3091"/>
    </row>
    <row r="3092" spans="3:6">
      <c r="C3092"/>
      <c r="D3092"/>
      <c r="E3092"/>
      <c r="F3092"/>
    </row>
    <row r="3093" spans="3:6">
      <c r="C3093"/>
      <c r="D3093"/>
      <c r="E3093"/>
      <c r="F3093"/>
    </row>
    <row r="3094" spans="3:6">
      <c r="C3094"/>
      <c r="D3094"/>
      <c r="E3094"/>
      <c r="F3094"/>
    </row>
    <row r="3095" spans="3:6">
      <c r="C3095"/>
      <c r="D3095"/>
      <c r="E3095"/>
      <c r="F3095"/>
    </row>
    <row r="3096" spans="3:6">
      <c r="C3096"/>
      <c r="D3096"/>
      <c r="E3096"/>
      <c r="F3096"/>
    </row>
    <row r="3097" spans="3:6">
      <c r="C3097"/>
      <c r="D3097"/>
      <c r="E3097"/>
      <c r="F3097"/>
    </row>
    <row r="3098" spans="3:6">
      <c r="C3098"/>
      <c r="D3098"/>
      <c r="E3098"/>
      <c r="F3098"/>
    </row>
    <row r="3099" spans="3:6">
      <c r="C3099"/>
      <c r="D3099"/>
      <c r="E3099"/>
      <c r="F3099"/>
    </row>
    <row r="3100" spans="3:6">
      <c r="C3100"/>
      <c r="D3100"/>
      <c r="E3100"/>
      <c r="F3100"/>
    </row>
    <row r="3101" spans="3:6">
      <c r="C3101"/>
      <c r="D3101"/>
      <c r="E3101"/>
      <c r="F3101"/>
    </row>
    <row r="3102" spans="3:6">
      <c r="C3102"/>
      <c r="D3102"/>
      <c r="E3102"/>
      <c r="F3102"/>
    </row>
    <row r="3103" spans="3:6">
      <c r="C3103"/>
      <c r="D3103"/>
      <c r="E3103"/>
      <c r="F3103"/>
    </row>
    <row r="3104" spans="3:6">
      <c r="C3104"/>
      <c r="D3104"/>
      <c r="E3104"/>
      <c r="F3104"/>
    </row>
    <row r="3105" spans="3:6">
      <c r="C3105"/>
      <c r="D3105"/>
      <c r="E3105"/>
      <c r="F3105"/>
    </row>
    <row r="3106" spans="3:6">
      <c r="C3106"/>
      <c r="D3106"/>
      <c r="E3106"/>
      <c r="F3106"/>
    </row>
    <row r="3107" spans="3:6">
      <c r="C3107"/>
      <c r="D3107"/>
      <c r="E3107"/>
      <c r="F3107"/>
    </row>
    <row r="3108" spans="3:6">
      <c r="C3108"/>
      <c r="D3108"/>
      <c r="E3108"/>
      <c r="F3108"/>
    </row>
    <row r="3109" spans="3:6">
      <c r="C3109"/>
      <c r="D3109"/>
      <c r="E3109"/>
      <c r="F3109"/>
    </row>
    <row r="3110" spans="3:6">
      <c r="C3110"/>
      <c r="D3110"/>
      <c r="E3110"/>
      <c r="F3110"/>
    </row>
    <row r="3111" spans="3:6">
      <c r="C3111"/>
      <c r="D3111"/>
      <c r="E3111"/>
      <c r="F3111"/>
    </row>
    <row r="3112" spans="3:6">
      <c r="C3112"/>
      <c r="D3112"/>
      <c r="E3112"/>
      <c r="F3112"/>
    </row>
    <row r="3113" spans="3:6">
      <c r="C3113"/>
      <c r="D3113"/>
      <c r="E3113"/>
      <c r="F3113"/>
    </row>
    <row r="3114" spans="3:6">
      <c r="C3114"/>
      <c r="D3114"/>
      <c r="E3114"/>
      <c r="F3114"/>
    </row>
    <row r="3115" spans="3:6">
      <c r="C3115"/>
      <c r="D3115"/>
      <c r="E3115"/>
      <c r="F3115"/>
    </row>
    <row r="3116" spans="3:6">
      <c r="C3116"/>
      <c r="D3116"/>
      <c r="E3116"/>
      <c r="F3116"/>
    </row>
    <row r="3117" spans="3:6">
      <c r="C3117"/>
      <c r="D3117"/>
      <c r="E3117"/>
      <c r="F3117"/>
    </row>
    <row r="3118" spans="3:6">
      <c r="C3118"/>
      <c r="D3118"/>
      <c r="E3118"/>
      <c r="F3118"/>
    </row>
    <row r="3119" spans="3:6">
      <c r="C3119"/>
      <c r="D3119"/>
      <c r="E3119"/>
      <c r="F3119"/>
    </row>
    <row r="3120" spans="3:6">
      <c r="C3120"/>
      <c r="D3120"/>
      <c r="E3120"/>
      <c r="F3120"/>
    </row>
    <row r="3121" spans="3:6">
      <c r="C3121"/>
      <c r="D3121"/>
      <c r="E3121"/>
      <c r="F3121"/>
    </row>
    <row r="3122" spans="3:6">
      <c r="C3122"/>
      <c r="D3122"/>
      <c r="E3122"/>
      <c r="F3122"/>
    </row>
    <row r="3123" spans="3:6">
      <c r="C3123"/>
      <c r="D3123"/>
      <c r="E3123"/>
      <c r="F3123"/>
    </row>
    <row r="3124" spans="3:6">
      <c r="C3124"/>
      <c r="D3124"/>
      <c r="E3124"/>
      <c r="F3124"/>
    </row>
    <row r="3125" spans="3:6">
      <c r="C3125"/>
      <c r="D3125"/>
      <c r="E3125"/>
      <c r="F3125"/>
    </row>
    <row r="3126" spans="3:6">
      <c r="C3126"/>
      <c r="D3126"/>
      <c r="E3126"/>
      <c r="F3126"/>
    </row>
    <row r="3127" spans="3:6">
      <c r="C3127"/>
      <c r="D3127"/>
      <c r="E3127"/>
      <c r="F3127"/>
    </row>
    <row r="3128" spans="3:6">
      <c r="C3128"/>
      <c r="D3128"/>
      <c r="E3128"/>
      <c r="F3128"/>
    </row>
    <row r="3129" spans="3:6">
      <c r="C3129"/>
      <c r="D3129"/>
      <c r="E3129"/>
      <c r="F3129"/>
    </row>
    <row r="3130" spans="3:6">
      <c r="C3130"/>
      <c r="D3130"/>
      <c r="E3130"/>
      <c r="F3130"/>
    </row>
    <row r="3131" spans="3:6">
      <c r="C3131"/>
      <c r="D3131"/>
      <c r="E3131"/>
      <c r="F3131"/>
    </row>
    <row r="3132" spans="3:6">
      <c r="C3132"/>
      <c r="D3132"/>
      <c r="E3132"/>
      <c r="F3132"/>
    </row>
    <row r="3133" spans="3:6">
      <c r="C3133"/>
      <c r="D3133"/>
      <c r="E3133"/>
      <c r="F3133"/>
    </row>
    <row r="3134" spans="3:6">
      <c r="C3134"/>
      <c r="D3134"/>
      <c r="E3134"/>
      <c r="F3134"/>
    </row>
    <row r="3135" spans="3:6">
      <c r="C3135"/>
      <c r="D3135"/>
      <c r="E3135"/>
      <c r="F3135"/>
    </row>
    <row r="3136" spans="3:6">
      <c r="C3136"/>
      <c r="D3136"/>
      <c r="E3136"/>
      <c r="F3136"/>
    </row>
    <row r="3137" spans="3:6">
      <c r="C3137"/>
      <c r="D3137"/>
      <c r="E3137"/>
      <c r="F3137"/>
    </row>
    <row r="3138" spans="3:6">
      <c r="C3138"/>
      <c r="D3138"/>
      <c r="E3138"/>
      <c r="F3138"/>
    </row>
    <row r="3139" spans="3:6">
      <c r="C3139"/>
      <c r="D3139"/>
      <c r="E3139"/>
      <c r="F3139"/>
    </row>
    <row r="3140" spans="3:6">
      <c r="C3140"/>
      <c r="D3140"/>
      <c r="E3140"/>
      <c r="F3140"/>
    </row>
    <row r="3141" spans="3:6">
      <c r="C3141"/>
      <c r="D3141"/>
      <c r="E3141"/>
      <c r="F3141"/>
    </row>
    <row r="3142" spans="3:6">
      <c r="C3142"/>
      <c r="D3142"/>
      <c r="E3142"/>
      <c r="F3142"/>
    </row>
    <row r="3143" spans="3:6">
      <c r="C3143"/>
      <c r="D3143"/>
      <c r="E3143"/>
      <c r="F3143"/>
    </row>
    <row r="3144" spans="3:6">
      <c r="C3144"/>
      <c r="D3144"/>
      <c r="E3144"/>
      <c r="F3144"/>
    </row>
    <row r="3145" spans="3:6">
      <c r="C3145"/>
      <c r="D3145"/>
      <c r="E3145"/>
      <c r="F3145"/>
    </row>
    <row r="3146" spans="3:6">
      <c r="C3146"/>
      <c r="D3146"/>
      <c r="E3146"/>
      <c r="F3146"/>
    </row>
    <row r="3147" spans="3:6">
      <c r="C3147"/>
      <c r="D3147"/>
      <c r="E3147"/>
      <c r="F3147"/>
    </row>
    <row r="3148" spans="3:6">
      <c r="C3148"/>
      <c r="D3148"/>
      <c r="E3148"/>
      <c r="F3148"/>
    </row>
    <row r="3149" spans="3:6">
      <c r="C3149"/>
      <c r="D3149"/>
      <c r="E3149"/>
      <c r="F3149"/>
    </row>
    <row r="3150" spans="3:6">
      <c r="C3150"/>
      <c r="D3150"/>
      <c r="E3150"/>
      <c r="F3150"/>
    </row>
    <row r="3151" spans="3:6">
      <c r="C3151"/>
      <c r="D3151"/>
      <c r="E3151"/>
      <c r="F3151"/>
    </row>
    <row r="3152" spans="3:6">
      <c r="C3152"/>
      <c r="D3152"/>
      <c r="E3152"/>
      <c r="F3152"/>
    </row>
    <row r="3153" spans="3:6">
      <c r="C3153"/>
      <c r="D3153"/>
      <c r="E3153"/>
      <c r="F3153"/>
    </row>
    <row r="3154" spans="3:6">
      <c r="C3154"/>
      <c r="D3154"/>
      <c r="E3154"/>
      <c r="F3154"/>
    </row>
    <row r="3155" spans="3:6">
      <c r="C3155"/>
      <c r="D3155"/>
      <c r="E3155"/>
      <c r="F3155"/>
    </row>
    <row r="3156" spans="3:6">
      <c r="C3156"/>
      <c r="D3156"/>
      <c r="E3156"/>
      <c r="F3156"/>
    </row>
    <row r="3157" spans="3:6">
      <c r="C3157"/>
      <c r="D3157"/>
      <c r="E3157"/>
      <c r="F3157"/>
    </row>
    <row r="3158" spans="3:6">
      <c r="C3158"/>
      <c r="D3158"/>
      <c r="E3158"/>
      <c r="F3158"/>
    </row>
    <row r="3159" spans="3:6">
      <c r="C3159"/>
      <c r="D3159"/>
      <c r="E3159"/>
      <c r="F3159"/>
    </row>
    <row r="3160" spans="3:6">
      <c r="C3160"/>
      <c r="D3160"/>
      <c r="E3160"/>
      <c r="F3160"/>
    </row>
    <row r="3161" spans="3:6">
      <c r="C3161"/>
      <c r="D3161"/>
      <c r="E3161"/>
      <c r="F3161"/>
    </row>
    <row r="3162" spans="3:6">
      <c r="C3162"/>
      <c r="D3162"/>
      <c r="E3162"/>
      <c r="F3162"/>
    </row>
    <row r="3163" spans="3:6">
      <c r="C3163"/>
      <c r="D3163"/>
      <c r="E3163"/>
      <c r="F3163"/>
    </row>
    <row r="3164" spans="3:6">
      <c r="C3164"/>
      <c r="D3164"/>
      <c r="E3164"/>
      <c r="F3164"/>
    </row>
    <row r="3165" spans="3:6">
      <c r="C3165"/>
      <c r="D3165"/>
      <c r="E3165"/>
      <c r="F3165"/>
    </row>
    <row r="3166" spans="3:6">
      <c r="C3166"/>
      <c r="D3166"/>
      <c r="E3166"/>
      <c r="F3166"/>
    </row>
    <row r="3167" spans="3:6">
      <c r="C3167"/>
      <c r="D3167"/>
      <c r="E3167"/>
      <c r="F3167"/>
    </row>
    <row r="3168" spans="3:6">
      <c r="C3168"/>
      <c r="D3168"/>
      <c r="E3168"/>
      <c r="F3168"/>
    </row>
    <row r="3169" spans="3:6">
      <c r="C3169"/>
      <c r="D3169"/>
      <c r="E3169"/>
      <c r="F3169"/>
    </row>
    <row r="3170" spans="3:6">
      <c r="C3170"/>
      <c r="D3170"/>
      <c r="E3170"/>
      <c r="F3170"/>
    </row>
    <row r="3171" spans="3:6">
      <c r="C3171"/>
      <c r="D3171"/>
      <c r="E3171"/>
      <c r="F3171"/>
    </row>
    <row r="3172" spans="3:6">
      <c r="C3172"/>
      <c r="D3172"/>
      <c r="E3172"/>
      <c r="F3172"/>
    </row>
    <row r="3173" spans="3:6">
      <c r="C3173"/>
      <c r="D3173"/>
      <c r="E3173"/>
      <c r="F3173"/>
    </row>
    <row r="3174" spans="3:6">
      <c r="C3174"/>
      <c r="D3174"/>
      <c r="E3174"/>
      <c r="F3174"/>
    </row>
    <row r="3175" spans="3:6">
      <c r="C3175"/>
      <c r="D3175"/>
      <c r="E3175"/>
      <c r="F3175"/>
    </row>
    <row r="3176" spans="3:6">
      <c r="C3176"/>
      <c r="D3176"/>
      <c r="E3176"/>
      <c r="F3176"/>
    </row>
    <row r="3177" spans="3:6">
      <c r="C3177"/>
      <c r="D3177"/>
      <c r="E3177"/>
      <c r="F3177"/>
    </row>
    <row r="3178" spans="3:6">
      <c r="C3178"/>
      <c r="D3178"/>
      <c r="E3178"/>
      <c r="F3178"/>
    </row>
    <row r="3179" spans="3:6">
      <c r="C3179"/>
      <c r="D3179"/>
      <c r="E3179"/>
      <c r="F3179"/>
    </row>
    <row r="3180" spans="3:6">
      <c r="C3180"/>
      <c r="D3180"/>
      <c r="E3180"/>
      <c r="F3180"/>
    </row>
    <row r="3181" spans="3:6">
      <c r="C3181"/>
      <c r="D3181"/>
      <c r="E3181"/>
      <c r="F3181"/>
    </row>
    <row r="3182" spans="3:6">
      <c r="C3182"/>
      <c r="D3182"/>
      <c r="E3182"/>
      <c r="F3182"/>
    </row>
    <row r="3183" spans="3:6">
      <c r="C3183"/>
      <c r="D3183"/>
      <c r="E3183"/>
      <c r="F3183"/>
    </row>
    <row r="3184" spans="3:6">
      <c r="C3184"/>
      <c r="D3184"/>
      <c r="E3184"/>
      <c r="F3184"/>
    </row>
    <row r="3185" spans="3:6">
      <c r="C3185"/>
      <c r="D3185"/>
      <c r="E3185"/>
      <c r="F3185"/>
    </row>
    <row r="3186" spans="3:6">
      <c r="C3186"/>
      <c r="D3186"/>
      <c r="E3186"/>
      <c r="F3186"/>
    </row>
    <row r="3187" spans="3:6">
      <c r="C3187"/>
      <c r="D3187"/>
      <c r="E3187"/>
      <c r="F3187"/>
    </row>
    <row r="3188" spans="3:6">
      <c r="C3188"/>
      <c r="D3188"/>
      <c r="E3188"/>
      <c r="F3188"/>
    </row>
    <row r="3189" spans="3:6">
      <c r="C3189"/>
      <c r="D3189"/>
      <c r="E3189"/>
      <c r="F3189"/>
    </row>
    <row r="3190" spans="3:6">
      <c r="C3190"/>
      <c r="D3190"/>
      <c r="E3190"/>
      <c r="F3190"/>
    </row>
    <row r="3191" spans="3:6">
      <c r="C3191"/>
      <c r="D3191"/>
      <c r="E3191"/>
      <c r="F3191"/>
    </row>
    <row r="3192" spans="3:6">
      <c r="C3192"/>
      <c r="D3192"/>
      <c r="E3192"/>
      <c r="F3192"/>
    </row>
    <row r="3193" spans="3:6">
      <c r="C3193"/>
      <c r="D3193"/>
      <c r="E3193"/>
      <c r="F3193"/>
    </row>
    <row r="3194" spans="3:6">
      <c r="C3194"/>
      <c r="D3194"/>
      <c r="E3194"/>
      <c r="F3194"/>
    </row>
    <row r="3195" spans="3:6">
      <c r="C3195"/>
      <c r="D3195"/>
      <c r="E3195"/>
      <c r="F3195"/>
    </row>
    <row r="3196" spans="3:6">
      <c r="C3196"/>
      <c r="D3196"/>
      <c r="E3196"/>
      <c r="F3196"/>
    </row>
    <row r="3197" spans="3:6">
      <c r="C3197"/>
      <c r="D3197"/>
      <c r="E3197"/>
      <c r="F3197"/>
    </row>
    <row r="3198" spans="3:6">
      <c r="C3198"/>
      <c r="D3198"/>
      <c r="E3198"/>
      <c r="F3198"/>
    </row>
    <row r="3199" spans="3:6">
      <c r="C3199"/>
      <c r="D3199"/>
      <c r="E3199"/>
      <c r="F3199"/>
    </row>
    <row r="3200" spans="3:6">
      <c r="C3200"/>
      <c r="D3200"/>
      <c r="E3200"/>
      <c r="F3200"/>
    </row>
    <row r="3201" spans="3:6">
      <c r="C3201"/>
      <c r="D3201"/>
      <c r="E3201"/>
      <c r="F3201"/>
    </row>
    <row r="3202" spans="3:6">
      <c r="C3202"/>
      <c r="D3202"/>
      <c r="E3202"/>
      <c r="F3202"/>
    </row>
    <row r="3203" spans="3:6">
      <c r="C3203"/>
      <c r="D3203"/>
      <c r="E3203"/>
      <c r="F3203"/>
    </row>
    <row r="3204" spans="3:6">
      <c r="C3204"/>
      <c r="D3204"/>
      <c r="E3204"/>
      <c r="F3204"/>
    </row>
    <row r="3205" spans="3:6">
      <c r="C3205"/>
      <c r="D3205"/>
      <c r="E3205"/>
      <c r="F3205"/>
    </row>
    <row r="3206" spans="3:6">
      <c r="C3206"/>
      <c r="D3206"/>
      <c r="E3206"/>
      <c r="F3206"/>
    </row>
    <row r="3207" spans="3:6">
      <c r="C3207"/>
      <c r="D3207"/>
      <c r="E3207"/>
      <c r="F3207"/>
    </row>
    <row r="3208" spans="3:6">
      <c r="C3208"/>
      <c r="D3208"/>
      <c r="E3208"/>
      <c r="F3208"/>
    </row>
    <row r="3209" spans="3:6">
      <c r="C3209"/>
      <c r="D3209"/>
      <c r="E3209"/>
      <c r="F3209"/>
    </row>
    <row r="3210" spans="3:6">
      <c r="C3210"/>
      <c r="D3210"/>
      <c r="E3210"/>
      <c r="F3210"/>
    </row>
    <row r="3211" spans="3:6">
      <c r="C3211"/>
      <c r="D3211"/>
      <c r="E3211"/>
      <c r="F3211"/>
    </row>
    <row r="3212" spans="3:6">
      <c r="C3212"/>
      <c r="D3212"/>
      <c r="E3212"/>
      <c r="F3212"/>
    </row>
    <row r="3213" spans="3:6">
      <c r="C3213"/>
      <c r="D3213"/>
      <c r="E3213"/>
      <c r="F3213"/>
    </row>
    <row r="3214" spans="3:6">
      <c r="C3214"/>
      <c r="D3214"/>
      <c r="E3214"/>
      <c r="F3214"/>
    </row>
    <row r="3215" spans="3:6">
      <c r="C3215"/>
      <c r="D3215"/>
      <c r="E3215"/>
      <c r="F3215"/>
    </row>
    <row r="3216" spans="3:6">
      <c r="C3216"/>
      <c r="D3216"/>
      <c r="E3216"/>
      <c r="F3216"/>
    </row>
    <row r="3217" spans="3:6">
      <c r="C3217"/>
      <c r="D3217"/>
      <c r="E3217"/>
      <c r="F3217"/>
    </row>
    <row r="3218" spans="3:6">
      <c r="C3218"/>
      <c r="D3218"/>
      <c r="E3218"/>
      <c r="F3218"/>
    </row>
    <row r="3219" spans="3:6">
      <c r="C3219"/>
      <c r="D3219"/>
      <c r="E3219"/>
      <c r="F3219"/>
    </row>
    <row r="3220" spans="3:6">
      <c r="C3220"/>
      <c r="D3220"/>
      <c r="E3220"/>
      <c r="F3220"/>
    </row>
    <row r="3221" spans="3:6">
      <c r="C3221"/>
      <c r="D3221"/>
      <c r="E3221"/>
      <c r="F3221"/>
    </row>
    <row r="3222" spans="3:6">
      <c r="C3222"/>
      <c r="D3222"/>
      <c r="E3222"/>
      <c r="F3222"/>
    </row>
    <row r="3223" spans="3:6">
      <c r="C3223"/>
      <c r="D3223"/>
      <c r="E3223"/>
      <c r="F3223"/>
    </row>
    <row r="3224" spans="3:6">
      <c r="C3224"/>
      <c r="D3224"/>
      <c r="E3224"/>
      <c r="F3224"/>
    </row>
    <row r="3225" spans="3:6">
      <c r="C3225"/>
      <c r="D3225"/>
      <c r="E3225"/>
      <c r="F3225"/>
    </row>
    <row r="3226" spans="3:6">
      <c r="C3226"/>
      <c r="D3226"/>
      <c r="E3226"/>
      <c r="F3226"/>
    </row>
    <row r="3227" spans="3:6">
      <c r="C3227"/>
      <c r="D3227"/>
      <c r="E3227"/>
      <c r="F3227"/>
    </row>
    <row r="3228" spans="3:6">
      <c r="C3228"/>
      <c r="D3228"/>
      <c r="E3228"/>
      <c r="F3228"/>
    </row>
    <row r="3229" spans="3:6">
      <c r="C3229"/>
      <c r="D3229"/>
      <c r="E3229"/>
      <c r="F3229"/>
    </row>
    <row r="3230" spans="3:6">
      <c r="C3230"/>
      <c r="D3230"/>
      <c r="E3230"/>
      <c r="F3230"/>
    </row>
    <row r="3231" spans="3:6">
      <c r="C3231"/>
      <c r="D3231"/>
      <c r="E3231"/>
      <c r="F3231"/>
    </row>
    <row r="3232" spans="3:6">
      <c r="C3232"/>
      <c r="D3232"/>
      <c r="E3232"/>
      <c r="F3232"/>
    </row>
    <row r="3233" spans="3:6">
      <c r="C3233"/>
      <c r="D3233"/>
      <c r="E3233"/>
      <c r="F3233"/>
    </row>
    <row r="3234" spans="3:6">
      <c r="C3234"/>
      <c r="D3234"/>
      <c r="E3234"/>
      <c r="F3234"/>
    </row>
    <row r="3235" spans="3:6">
      <c r="C3235"/>
      <c r="D3235"/>
      <c r="E3235"/>
      <c r="F3235"/>
    </row>
    <row r="3236" spans="3:6">
      <c r="C3236"/>
      <c r="D3236"/>
      <c r="E3236"/>
      <c r="F3236"/>
    </row>
    <row r="3237" spans="3:6">
      <c r="C3237"/>
      <c r="D3237"/>
      <c r="E3237"/>
      <c r="F3237"/>
    </row>
    <row r="3238" spans="3:6">
      <c r="C3238"/>
      <c r="D3238"/>
      <c r="E3238"/>
      <c r="F3238"/>
    </row>
    <row r="3239" spans="3:6">
      <c r="C3239"/>
      <c r="D3239"/>
      <c r="E3239"/>
      <c r="F3239"/>
    </row>
    <row r="3240" spans="3:6">
      <c r="C3240"/>
      <c r="D3240"/>
      <c r="E3240"/>
      <c r="F3240"/>
    </row>
    <row r="3241" spans="3:6">
      <c r="C3241"/>
      <c r="D3241"/>
      <c r="E3241"/>
      <c r="F3241"/>
    </row>
    <row r="3242" spans="3:6">
      <c r="C3242"/>
      <c r="D3242"/>
      <c r="E3242"/>
      <c r="F3242"/>
    </row>
    <row r="3243" spans="3:6">
      <c r="C3243"/>
      <c r="D3243"/>
      <c r="E3243"/>
      <c r="F3243"/>
    </row>
    <row r="3244" spans="3:6">
      <c r="C3244"/>
      <c r="D3244"/>
      <c r="E3244"/>
      <c r="F3244"/>
    </row>
    <row r="3245" spans="3:6">
      <c r="C3245"/>
      <c r="D3245"/>
      <c r="E3245"/>
      <c r="F3245"/>
    </row>
    <row r="3246" spans="3:6">
      <c r="C3246"/>
      <c r="D3246"/>
      <c r="E3246"/>
      <c r="F3246"/>
    </row>
    <row r="3247" spans="3:6">
      <c r="C3247"/>
      <c r="D3247"/>
      <c r="E3247"/>
      <c r="F3247"/>
    </row>
    <row r="3248" spans="3:6">
      <c r="C3248"/>
      <c r="D3248"/>
      <c r="E3248"/>
      <c r="F3248"/>
    </row>
    <row r="3249" spans="3:6">
      <c r="C3249"/>
      <c r="D3249"/>
      <c r="E3249"/>
      <c r="F3249"/>
    </row>
    <row r="3250" spans="3:6">
      <c r="C3250"/>
      <c r="D3250"/>
      <c r="E3250"/>
      <c r="F3250"/>
    </row>
    <row r="3251" spans="3:6">
      <c r="C3251"/>
      <c r="D3251"/>
      <c r="E3251"/>
      <c r="F3251"/>
    </row>
    <row r="3252" spans="3:6">
      <c r="C3252"/>
      <c r="D3252"/>
      <c r="E3252"/>
      <c r="F3252"/>
    </row>
    <row r="3253" spans="3:6">
      <c r="C3253"/>
      <c r="D3253"/>
      <c r="E3253"/>
      <c r="F3253"/>
    </row>
    <row r="3254" spans="3:6">
      <c r="C3254"/>
      <c r="D3254"/>
      <c r="E3254"/>
      <c r="F3254"/>
    </row>
    <row r="3255" spans="3:6">
      <c r="C3255"/>
      <c r="D3255"/>
      <c r="E3255"/>
      <c r="F3255"/>
    </row>
    <row r="3256" spans="3:6">
      <c r="C3256"/>
      <c r="D3256"/>
      <c r="E3256"/>
      <c r="F3256"/>
    </row>
    <row r="3257" spans="3:6">
      <c r="C3257"/>
      <c r="D3257"/>
      <c r="E3257"/>
      <c r="F3257"/>
    </row>
    <row r="3258" spans="3:6">
      <c r="C3258"/>
      <c r="D3258"/>
      <c r="E3258"/>
      <c r="F3258"/>
    </row>
    <row r="3259" spans="3:6">
      <c r="C3259"/>
      <c r="D3259"/>
      <c r="E3259"/>
      <c r="F3259"/>
    </row>
    <row r="3260" spans="3:6">
      <c r="C3260"/>
      <c r="D3260"/>
      <c r="E3260"/>
      <c r="F3260"/>
    </row>
    <row r="3261" spans="3:6">
      <c r="C3261"/>
      <c r="D3261"/>
      <c r="E3261"/>
      <c r="F3261"/>
    </row>
    <row r="3262" spans="3:6">
      <c r="C3262"/>
      <c r="D3262"/>
      <c r="E3262"/>
      <c r="F3262"/>
    </row>
    <row r="3263" spans="3:6">
      <c r="C3263"/>
      <c r="D3263"/>
      <c r="E3263"/>
      <c r="F3263"/>
    </row>
    <row r="3264" spans="3:6">
      <c r="C3264"/>
      <c r="D3264"/>
      <c r="E3264"/>
      <c r="F3264"/>
    </row>
    <row r="3265" spans="3:6">
      <c r="C3265"/>
      <c r="D3265"/>
      <c r="E3265"/>
      <c r="F3265"/>
    </row>
    <row r="3266" spans="3:6">
      <c r="C3266"/>
      <c r="D3266"/>
      <c r="E3266"/>
      <c r="F3266"/>
    </row>
    <row r="3267" spans="3:6">
      <c r="C3267"/>
      <c r="D3267"/>
      <c r="E3267"/>
      <c r="F3267"/>
    </row>
    <row r="3268" spans="3:6">
      <c r="C3268"/>
      <c r="D3268"/>
      <c r="E3268"/>
      <c r="F3268"/>
    </row>
    <row r="3269" spans="3:6">
      <c r="C3269"/>
      <c r="D3269"/>
      <c r="E3269"/>
      <c r="F3269"/>
    </row>
    <row r="3270" spans="3:6">
      <c r="C3270"/>
      <c r="D3270"/>
      <c r="E3270"/>
      <c r="F3270"/>
    </row>
    <row r="3271" spans="3:6">
      <c r="C3271"/>
      <c r="D3271"/>
      <c r="E3271"/>
      <c r="F3271"/>
    </row>
    <row r="3272" spans="3:6">
      <c r="C3272"/>
      <c r="D3272"/>
      <c r="E3272"/>
      <c r="F3272"/>
    </row>
    <row r="3273" spans="3:6">
      <c r="C3273"/>
      <c r="D3273"/>
      <c r="E3273"/>
      <c r="F3273"/>
    </row>
    <row r="3274" spans="3:6">
      <c r="C3274"/>
      <c r="D3274"/>
      <c r="E3274"/>
      <c r="F3274"/>
    </row>
    <row r="3275" spans="3:6">
      <c r="C3275"/>
      <c r="D3275"/>
      <c r="E3275"/>
      <c r="F3275"/>
    </row>
    <row r="3276" spans="3:6">
      <c r="C3276"/>
      <c r="D3276"/>
      <c r="E3276"/>
      <c r="F3276"/>
    </row>
    <row r="3277" spans="3:6">
      <c r="C3277"/>
      <c r="D3277"/>
      <c r="E3277"/>
      <c r="F3277"/>
    </row>
    <row r="3278" spans="3:6">
      <c r="C3278"/>
      <c r="D3278"/>
      <c r="E3278"/>
      <c r="F3278"/>
    </row>
    <row r="3279" spans="3:6">
      <c r="C3279"/>
      <c r="D3279"/>
      <c r="E3279"/>
      <c r="F3279"/>
    </row>
    <row r="3280" spans="3:6">
      <c r="C3280"/>
      <c r="D3280"/>
      <c r="E3280"/>
      <c r="F3280"/>
    </row>
    <row r="3281" spans="3:6">
      <c r="C3281"/>
      <c r="D3281"/>
      <c r="E3281"/>
      <c r="F3281"/>
    </row>
    <row r="3282" spans="3:6">
      <c r="C3282"/>
      <c r="D3282"/>
      <c r="E3282"/>
      <c r="F3282"/>
    </row>
    <row r="3283" spans="3:6">
      <c r="C3283"/>
      <c r="D3283"/>
      <c r="E3283"/>
      <c r="F3283"/>
    </row>
    <row r="3284" spans="3:6">
      <c r="C3284"/>
      <c r="D3284"/>
      <c r="E3284"/>
      <c r="F3284"/>
    </row>
    <row r="3285" spans="3:6">
      <c r="C3285"/>
      <c r="D3285"/>
      <c r="E3285"/>
      <c r="F3285"/>
    </row>
    <row r="3286" spans="3:6">
      <c r="C3286"/>
      <c r="D3286"/>
      <c r="E3286"/>
      <c r="F3286"/>
    </row>
    <row r="3287" spans="3:6">
      <c r="C3287"/>
      <c r="D3287"/>
      <c r="E3287"/>
      <c r="F3287"/>
    </row>
    <row r="3288" spans="3:6">
      <c r="C3288"/>
      <c r="D3288"/>
      <c r="E3288"/>
      <c r="F3288"/>
    </row>
    <row r="3289" spans="3:6">
      <c r="C3289"/>
      <c r="D3289"/>
      <c r="E3289"/>
      <c r="F3289"/>
    </row>
    <row r="3290" spans="3:6">
      <c r="C3290"/>
      <c r="D3290"/>
      <c r="E3290"/>
      <c r="F3290"/>
    </row>
    <row r="3291" spans="3:6">
      <c r="C3291"/>
      <c r="D3291"/>
      <c r="E3291"/>
      <c r="F3291"/>
    </row>
    <row r="3292" spans="3:6">
      <c r="C3292"/>
      <c r="D3292"/>
      <c r="E3292"/>
      <c r="F3292"/>
    </row>
    <row r="3293" spans="3:6">
      <c r="C3293"/>
      <c r="D3293"/>
      <c r="E3293"/>
      <c r="F3293"/>
    </row>
    <row r="3294" spans="3:6">
      <c r="C3294"/>
      <c r="D3294"/>
      <c r="E3294"/>
      <c r="F3294"/>
    </row>
    <row r="3295" spans="3:6">
      <c r="C3295"/>
      <c r="D3295"/>
      <c r="E3295"/>
      <c r="F3295"/>
    </row>
    <row r="3296" spans="3:6">
      <c r="C3296"/>
      <c r="D3296"/>
      <c r="E3296"/>
      <c r="F3296"/>
    </row>
    <row r="3297" spans="3:6">
      <c r="C3297"/>
      <c r="D3297"/>
      <c r="E3297"/>
      <c r="F3297"/>
    </row>
    <row r="3298" spans="3:6">
      <c r="C3298"/>
      <c r="D3298"/>
      <c r="E3298"/>
      <c r="F3298"/>
    </row>
    <row r="3299" spans="3:6">
      <c r="C3299"/>
      <c r="D3299"/>
      <c r="E3299"/>
      <c r="F3299"/>
    </row>
    <row r="3300" spans="3:6">
      <c r="C3300"/>
      <c r="D3300"/>
      <c r="E3300"/>
      <c r="F3300"/>
    </row>
    <row r="3301" spans="3:6">
      <c r="C3301"/>
      <c r="D3301"/>
      <c r="E3301"/>
      <c r="F3301"/>
    </row>
    <row r="3302" spans="3:6">
      <c r="C3302"/>
      <c r="D3302"/>
      <c r="E3302"/>
      <c r="F3302"/>
    </row>
    <row r="3303" spans="3:6">
      <c r="C3303"/>
      <c r="D3303"/>
      <c r="E3303"/>
      <c r="F3303"/>
    </row>
    <row r="3304" spans="3:6">
      <c r="C3304"/>
      <c r="D3304"/>
      <c r="E3304"/>
      <c r="F3304"/>
    </row>
    <row r="3305" spans="3:6">
      <c r="C3305"/>
      <c r="D3305"/>
      <c r="E3305"/>
      <c r="F3305"/>
    </row>
    <row r="3306" spans="3:6">
      <c r="C3306"/>
      <c r="D3306"/>
      <c r="E3306"/>
      <c r="F3306"/>
    </row>
    <row r="3307" spans="3:6">
      <c r="C3307"/>
      <c r="D3307"/>
      <c r="E3307"/>
      <c r="F3307"/>
    </row>
    <row r="3308" spans="3:6">
      <c r="C3308"/>
      <c r="D3308"/>
      <c r="E3308"/>
      <c r="F3308"/>
    </row>
    <row r="3309" spans="3:6">
      <c r="C3309"/>
      <c r="D3309"/>
      <c r="E3309"/>
      <c r="F3309"/>
    </row>
    <row r="3310" spans="3:6">
      <c r="C3310"/>
      <c r="D3310"/>
      <c r="E3310"/>
      <c r="F3310"/>
    </row>
    <row r="3311" spans="3:6">
      <c r="C3311"/>
      <c r="D3311"/>
      <c r="E3311"/>
      <c r="F3311"/>
    </row>
    <row r="3312" spans="3:6">
      <c r="C3312"/>
      <c r="D3312"/>
      <c r="E3312"/>
      <c r="F3312"/>
    </row>
    <row r="3313" spans="3:6">
      <c r="C3313"/>
      <c r="D3313"/>
      <c r="E3313"/>
      <c r="F3313"/>
    </row>
    <row r="3314" spans="3:6">
      <c r="C3314"/>
      <c r="D3314"/>
      <c r="E3314"/>
      <c r="F3314"/>
    </row>
    <row r="3315" spans="3:6">
      <c r="C3315"/>
      <c r="D3315"/>
      <c r="E3315"/>
      <c r="F3315"/>
    </row>
    <row r="3316" spans="3:6">
      <c r="C3316"/>
      <c r="D3316"/>
      <c r="E3316"/>
      <c r="F3316"/>
    </row>
    <row r="3317" spans="3:6">
      <c r="C3317"/>
      <c r="D3317"/>
      <c r="E3317"/>
      <c r="F3317"/>
    </row>
    <row r="3318" spans="3:6">
      <c r="C3318"/>
      <c r="D3318"/>
      <c r="E3318"/>
      <c r="F3318"/>
    </row>
    <row r="3319" spans="3:6">
      <c r="C3319"/>
      <c r="D3319"/>
      <c r="E3319"/>
      <c r="F3319"/>
    </row>
    <row r="3320" spans="3:6">
      <c r="C3320"/>
      <c r="D3320"/>
      <c r="E3320"/>
      <c r="F3320"/>
    </row>
    <row r="3321" spans="3:6">
      <c r="C3321"/>
      <c r="D3321"/>
      <c r="E3321"/>
      <c r="F3321"/>
    </row>
    <row r="3322" spans="3:6">
      <c r="C3322"/>
      <c r="D3322"/>
      <c r="E3322"/>
      <c r="F3322"/>
    </row>
    <row r="3323" spans="3:6">
      <c r="C3323"/>
      <c r="D3323"/>
      <c r="E3323"/>
      <c r="F3323"/>
    </row>
    <row r="3324" spans="3:6">
      <c r="C3324"/>
      <c r="D3324"/>
      <c r="E3324"/>
      <c r="F3324"/>
    </row>
    <row r="3325" spans="3:6">
      <c r="C3325"/>
      <c r="D3325"/>
      <c r="E3325"/>
      <c r="F3325"/>
    </row>
    <row r="3326" spans="3:6">
      <c r="C3326"/>
      <c r="D3326"/>
      <c r="E3326"/>
      <c r="F3326"/>
    </row>
    <row r="3327" spans="3:6">
      <c r="C3327"/>
      <c r="D3327"/>
      <c r="E3327"/>
      <c r="F3327"/>
    </row>
    <row r="3328" spans="3:6">
      <c r="C3328"/>
      <c r="D3328"/>
      <c r="E3328"/>
      <c r="F3328"/>
    </row>
    <row r="3329" spans="3:6">
      <c r="C3329"/>
      <c r="D3329"/>
      <c r="E3329"/>
      <c r="F3329"/>
    </row>
    <row r="3330" spans="3:6">
      <c r="C3330"/>
      <c r="D3330"/>
      <c r="E3330"/>
      <c r="F3330"/>
    </row>
    <row r="3331" spans="3:6">
      <c r="C3331"/>
      <c r="D3331"/>
      <c r="E3331"/>
      <c r="F3331"/>
    </row>
    <row r="3332" spans="3:6">
      <c r="C3332"/>
      <c r="D3332"/>
      <c r="E3332"/>
      <c r="F3332"/>
    </row>
    <row r="3333" spans="3:6">
      <c r="C3333"/>
      <c r="D3333"/>
      <c r="E3333"/>
      <c r="F3333"/>
    </row>
    <row r="3334" spans="3:6">
      <c r="C3334"/>
      <c r="D3334"/>
      <c r="E3334"/>
      <c r="F3334"/>
    </row>
    <row r="3335" spans="3:6">
      <c r="C3335"/>
      <c r="D3335"/>
      <c r="E3335"/>
      <c r="F3335"/>
    </row>
    <row r="3336" spans="3:6">
      <c r="C3336"/>
      <c r="D3336"/>
      <c r="E3336"/>
      <c r="F3336"/>
    </row>
    <row r="3337" spans="3:6">
      <c r="C3337"/>
      <c r="D3337"/>
      <c r="E3337"/>
      <c r="F3337"/>
    </row>
    <row r="3338" spans="3:6">
      <c r="C3338"/>
      <c r="D3338"/>
      <c r="E3338"/>
      <c r="F3338"/>
    </row>
    <row r="3339" spans="3:6">
      <c r="C3339"/>
      <c r="D3339"/>
      <c r="E3339"/>
      <c r="F3339"/>
    </row>
    <row r="3340" spans="3:6">
      <c r="C3340"/>
      <c r="D3340"/>
      <c r="E3340"/>
      <c r="F3340"/>
    </row>
    <row r="3341" spans="3:6">
      <c r="C3341"/>
      <c r="D3341"/>
      <c r="E3341"/>
      <c r="F3341"/>
    </row>
    <row r="3342" spans="3:6">
      <c r="C3342"/>
      <c r="D3342"/>
      <c r="E3342"/>
      <c r="F3342"/>
    </row>
    <row r="3343" spans="3:6">
      <c r="C3343"/>
      <c r="D3343"/>
      <c r="E3343"/>
      <c r="F3343"/>
    </row>
    <row r="3344" spans="3:6">
      <c r="C3344"/>
      <c r="D3344"/>
      <c r="E3344"/>
      <c r="F3344"/>
    </row>
    <row r="3345" spans="3:6">
      <c r="C3345"/>
      <c r="D3345"/>
      <c r="E3345"/>
      <c r="F3345"/>
    </row>
    <row r="3346" spans="3:6">
      <c r="C3346"/>
      <c r="D3346"/>
      <c r="E3346"/>
      <c r="F3346"/>
    </row>
    <row r="3347" spans="3:6">
      <c r="C3347"/>
      <c r="D3347"/>
      <c r="E3347"/>
      <c r="F3347"/>
    </row>
    <row r="3348" spans="3:6">
      <c r="C3348"/>
      <c r="D3348"/>
      <c r="E3348"/>
      <c r="F3348"/>
    </row>
    <row r="3349" spans="3:6">
      <c r="C3349"/>
      <c r="D3349"/>
      <c r="E3349"/>
      <c r="F3349"/>
    </row>
    <row r="3350" spans="3:6">
      <c r="C3350"/>
      <c r="D3350"/>
      <c r="E3350"/>
      <c r="F3350"/>
    </row>
    <row r="3351" spans="3:6">
      <c r="C3351"/>
      <c r="D3351"/>
      <c r="E3351"/>
      <c r="F3351"/>
    </row>
    <row r="3352" spans="3:6">
      <c r="C3352"/>
      <c r="D3352"/>
      <c r="E3352"/>
      <c r="F3352"/>
    </row>
    <row r="3353" spans="3:6">
      <c r="C3353"/>
      <c r="D3353"/>
      <c r="E3353"/>
      <c r="F3353"/>
    </row>
    <row r="3354" spans="3:6">
      <c r="C3354"/>
      <c r="D3354"/>
      <c r="E3354"/>
      <c r="F3354"/>
    </row>
    <row r="3355" spans="3:6">
      <c r="C3355"/>
      <c r="D3355"/>
      <c r="E3355"/>
      <c r="F3355"/>
    </row>
    <row r="3356" spans="3:6">
      <c r="C3356"/>
      <c r="D3356"/>
      <c r="E3356"/>
      <c r="F3356"/>
    </row>
    <row r="3357" spans="3:6">
      <c r="C3357"/>
      <c r="D3357"/>
      <c r="E3357"/>
      <c r="F3357"/>
    </row>
    <row r="3358" spans="3:6">
      <c r="C3358"/>
      <c r="D3358"/>
      <c r="E3358"/>
      <c r="F3358"/>
    </row>
    <row r="3359" spans="3:6">
      <c r="C3359"/>
      <c r="D3359"/>
      <c r="E3359"/>
      <c r="F3359"/>
    </row>
    <row r="3360" spans="3:6">
      <c r="C3360"/>
      <c r="D3360"/>
      <c r="E3360"/>
      <c r="F3360"/>
    </row>
    <row r="3361" spans="3:6">
      <c r="C3361"/>
      <c r="D3361"/>
      <c r="E3361"/>
      <c r="F3361"/>
    </row>
    <row r="3362" spans="3:6">
      <c r="C3362"/>
      <c r="D3362"/>
      <c r="E3362"/>
      <c r="F3362"/>
    </row>
    <row r="3363" spans="3:6">
      <c r="C3363"/>
      <c r="D3363"/>
      <c r="E3363"/>
      <c r="F3363"/>
    </row>
    <row r="3364" spans="3:6">
      <c r="C3364"/>
      <c r="D3364"/>
      <c r="E3364"/>
      <c r="F3364"/>
    </row>
    <row r="3365" spans="3:6">
      <c r="C3365"/>
      <c r="D3365"/>
      <c r="E3365"/>
      <c r="F3365"/>
    </row>
    <row r="3366" spans="3:6">
      <c r="C3366"/>
      <c r="D3366"/>
      <c r="E3366"/>
      <c r="F3366"/>
    </row>
    <row r="3367" spans="3:6">
      <c r="C3367"/>
      <c r="D3367"/>
      <c r="E3367"/>
      <c r="F3367"/>
    </row>
    <row r="3368" spans="3:6">
      <c r="C3368"/>
      <c r="D3368"/>
      <c r="E3368"/>
      <c r="F3368"/>
    </row>
    <row r="3369" spans="3:6">
      <c r="C3369"/>
      <c r="D3369"/>
      <c r="E3369"/>
      <c r="F3369"/>
    </row>
    <row r="3370" spans="3:6">
      <c r="C3370"/>
      <c r="D3370"/>
      <c r="E3370"/>
      <c r="F3370"/>
    </row>
    <row r="3371" spans="3:6">
      <c r="C3371"/>
      <c r="D3371"/>
      <c r="E3371"/>
      <c r="F3371"/>
    </row>
    <row r="3372" spans="3:6">
      <c r="C3372"/>
      <c r="D3372"/>
      <c r="E3372"/>
      <c r="F3372"/>
    </row>
    <row r="3373" spans="3:6">
      <c r="C3373"/>
      <c r="D3373"/>
      <c r="E3373"/>
      <c r="F3373"/>
    </row>
    <row r="3374" spans="3:6">
      <c r="C3374"/>
      <c r="D3374"/>
      <c r="E3374"/>
      <c r="F3374"/>
    </row>
    <row r="3375" spans="3:6">
      <c r="C3375"/>
      <c r="D3375"/>
      <c r="E3375"/>
      <c r="F3375"/>
    </row>
    <row r="3376" spans="3:6">
      <c r="C3376"/>
      <c r="D3376"/>
      <c r="E3376"/>
      <c r="F3376"/>
    </row>
    <row r="3377" spans="3:6">
      <c r="C3377"/>
      <c r="D3377"/>
      <c r="E3377"/>
      <c r="F3377"/>
    </row>
    <row r="3378" spans="3:6">
      <c r="C3378"/>
      <c r="D3378"/>
      <c r="E3378"/>
      <c r="F3378"/>
    </row>
    <row r="3379" spans="3:6">
      <c r="C3379"/>
      <c r="D3379"/>
      <c r="E3379"/>
      <c r="F3379"/>
    </row>
    <row r="3380" spans="3:6">
      <c r="C3380"/>
      <c r="D3380"/>
      <c r="E3380"/>
      <c r="F3380"/>
    </row>
    <row r="3381" spans="3:6">
      <c r="C3381"/>
      <c r="D3381"/>
      <c r="E3381"/>
      <c r="F3381"/>
    </row>
    <row r="3382" spans="3:6">
      <c r="C3382"/>
      <c r="D3382"/>
      <c r="E3382"/>
      <c r="F3382"/>
    </row>
    <row r="3383" spans="3:6">
      <c r="C3383"/>
      <c r="D3383"/>
      <c r="E3383"/>
      <c r="F3383"/>
    </row>
    <row r="3384" spans="3:6">
      <c r="C3384"/>
      <c r="D3384"/>
      <c r="E3384"/>
      <c r="F3384"/>
    </row>
    <row r="3385" spans="3:6">
      <c r="C3385"/>
      <c r="D3385"/>
      <c r="E3385"/>
      <c r="F3385"/>
    </row>
    <row r="3386" spans="3:6">
      <c r="C3386"/>
      <c r="D3386"/>
      <c r="E3386"/>
      <c r="F3386"/>
    </row>
    <row r="3387" spans="3:6">
      <c r="C3387"/>
      <c r="D3387"/>
      <c r="E3387"/>
      <c r="F3387"/>
    </row>
    <row r="3388" spans="3:6">
      <c r="C3388"/>
      <c r="D3388"/>
      <c r="E3388"/>
      <c r="F3388"/>
    </row>
    <row r="3389" spans="3:6">
      <c r="C3389"/>
      <c r="D3389"/>
      <c r="E3389"/>
      <c r="F3389"/>
    </row>
    <row r="3390" spans="3:6">
      <c r="C3390"/>
      <c r="D3390"/>
      <c r="E3390"/>
      <c r="F3390"/>
    </row>
    <row r="3391" spans="3:6">
      <c r="C3391"/>
      <c r="D3391"/>
      <c r="E3391"/>
      <c r="F3391"/>
    </row>
    <row r="3392" spans="3:6">
      <c r="C3392"/>
      <c r="D3392"/>
      <c r="E3392"/>
      <c r="F3392"/>
    </row>
    <row r="3393" spans="3:6">
      <c r="C3393"/>
      <c r="D3393"/>
      <c r="E3393"/>
      <c r="F3393"/>
    </row>
    <row r="3394" spans="3:6">
      <c r="C3394"/>
      <c r="D3394"/>
      <c r="E3394"/>
      <c r="F3394"/>
    </row>
    <row r="3395" spans="3:6">
      <c r="C3395"/>
      <c r="D3395"/>
      <c r="E3395"/>
      <c r="F3395"/>
    </row>
    <row r="3396" spans="3:6">
      <c r="C3396"/>
      <c r="D3396"/>
      <c r="E3396"/>
      <c r="F3396"/>
    </row>
    <row r="3397" spans="3:6">
      <c r="C3397"/>
      <c r="D3397"/>
      <c r="E3397"/>
      <c r="F3397"/>
    </row>
    <row r="3398" spans="3:6">
      <c r="C3398"/>
      <c r="D3398"/>
      <c r="E3398"/>
      <c r="F3398"/>
    </row>
    <row r="3399" spans="3:6">
      <c r="C3399"/>
      <c r="D3399"/>
      <c r="E3399"/>
      <c r="F3399"/>
    </row>
    <row r="3400" spans="3:6">
      <c r="C3400"/>
      <c r="D3400"/>
      <c r="E3400"/>
      <c r="F3400"/>
    </row>
    <row r="3401" spans="3:6">
      <c r="C3401"/>
      <c r="D3401"/>
      <c r="E3401"/>
      <c r="F3401"/>
    </row>
    <row r="3402" spans="3:6">
      <c r="C3402"/>
      <c r="D3402"/>
      <c r="E3402"/>
      <c r="F3402"/>
    </row>
    <row r="3403" spans="3:6">
      <c r="C3403"/>
      <c r="D3403"/>
      <c r="E3403"/>
      <c r="F3403"/>
    </row>
    <row r="3404" spans="3:6">
      <c r="C3404"/>
      <c r="D3404"/>
      <c r="E3404"/>
      <c r="F3404"/>
    </row>
    <row r="3405" spans="3:6">
      <c r="C3405"/>
      <c r="D3405"/>
      <c r="E3405"/>
      <c r="F3405"/>
    </row>
    <row r="3406" spans="3:6">
      <c r="C3406"/>
      <c r="D3406"/>
      <c r="E3406"/>
      <c r="F3406"/>
    </row>
    <row r="3407" spans="3:6">
      <c r="C3407"/>
      <c r="D3407"/>
      <c r="E3407"/>
      <c r="F3407"/>
    </row>
    <row r="3408" spans="3:6">
      <c r="C3408"/>
      <c r="D3408"/>
      <c r="E3408"/>
      <c r="F3408"/>
    </row>
    <row r="3409" spans="3:6">
      <c r="C3409"/>
      <c r="D3409"/>
      <c r="E3409"/>
      <c r="F3409"/>
    </row>
    <row r="3410" spans="3:6">
      <c r="C3410"/>
      <c r="D3410"/>
      <c r="E3410"/>
      <c r="F3410"/>
    </row>
    <row r="3411" spans="3:6">
      <c r="C3411"/>
      <c r="D3411"/>
      <c r="E3411"/>
      <c r="F3411"/>
    </row>
    <row r="3412" spans="3:6">
      <c r="C3412"/>
      <c r="D3412"/>
      <c r="E3412"/>
      <c r="F3412"/>
    </row>
    <row r="3413" spans="3:6">
      <c r="C3413"/>
      <c r="D3413"/>
      <c r="E3413"/>
      <c r="F3413"/>
    </row>
    <row r="3414" spans="3:6">
      <c r="C3414"/>
      <c r="D3414"/>
      <c r="E3414"/>
      <c r="F3414"/>
    </row>
    <row r="3415" spans="3:6">
      <c r="C3415"/>
      <c r="D3415"/>
      <c r="E3415"/>
      <c r="F3415"/>
    </row>
    <row r="3416" spans="3:6">
      <c r="C3416"/>
      <c r="D3416"/>
      <c r="E3416"/>
      <c r="F3416"/>
    </row>
    <row r="3417" spans="3:6">
      <c r="C3417"/>
      <c r="D3417"/>
      <c r="E3417"/>
      <c r="F3417"/>
    </row>
    <row r="3418" spans="3:6">
      <c r="C3418"/>
      <c r="D3418"/>
      <c r="E3418"/>
      <c r="F3418"/>
    </row>
    <row r="3419" spans="3:6">
      <c r="C3419"/>
      <c r="D3419"/>
      <c r="E3419"/>
      <c r="F3419"/>
    </row>
    <row r="3420" spans="3:6">
      <c r="C3420"/>
      <c r="D3420"/>
      <c r="E3420"/>
      <c r="F3420"/>
    </row>
    <row r="3421" spans="3:6">
      <c r="C3421"/>
      <c r="D3421"/>
      <c r="E3421"/>
      <c r="F3421"/>
    </row>
    <row r="3422" spans="3:6">
      <c r="C3422"/>
      <c r="D3422"/>
      <c r="E3422"/>
      <c r="F3422"/>
    </row>
    <row r="3423" spans="3:6">
      <c r="C3423"/>
      <c r="D3423"/>
      <c r="E3423"/>
      <c r="F3423"/>
    </row>
    <row r="3424" spans="3:6">
      <c r="C3424"/>
      <c r="D3424"/>
      <c r="E3424"/>
      <c r="F3424"/>
    </row>
    <row r="3425" spans="3:6">
      <c r="C3425"/>
      <c r="D3425"/>
      <c r="E3425"/>
      <c r="F3425"/>
    </row>
    <row r="3426" spans="3:6">
      <c r="C3426"/>
      <c r="D3426"/>
      <c r="E3426"/>
      <c r="F3426"/>
    </row>
    <row r="3427" spans="3:6">
      <c r="C3427"/>
      <c r="D3427"/>
      <c r="E3427"/>
      <c r="F3427"/>
    </row>
    <row r="3428" spans="3:6">
      <c r="C3428"/>
      <c r="D3428"/>
      <c r="E3428"/>
      <c r="F3428"/>
    </row>
    <row r="3429" spans="3:6">
      <c r="C3429"/>
      <c r="D3429"/>
      <c r="E3429"/>
      <c r="F3429"/>
    </row>
    <row r="3430" spans="3:6">
      <c r="C3430"/>
      <c r="D3430"/>
      <c r="E3430"/>
      <c r="F3430"/>
    </row>
    <row r="3431" spans="3:6">
      <c r="C3431"/>
      <c r="D3431"/>
      <c r="E3431"/>
      <c r="F3431"/>
    </row>
    <row r="3432" spans="3:6">
      <c r="C3432"/>
      <c r="D3432"/>
      <c r="E3432"/>
      <c r="F3432"/>
    </row>
    <row r="3433" spans="3:6">
      <c r="C3433"/>
      <c r="D3433"/>
      <c r="E3433"/>
      <c r="F3433"/>
    </row>
    <row r="3434" spans="3:6">
      <c r="C3434"/>
      <c r="D3434"/>
      <c r="E3434"/>
      <c r="F3434"/>
    </row>
    <row r="3435" spans="3:6">
      <c r="C3435"/>
      <c r="D3435"/>
      <c r="E3435"/>
      <c r="F3435"/>
    </row>
    <row r="3436" spans="3:6">
      <c r="C3436"/>
      <c r="D3436"/>
      <c r="E3436"/>
      <c r="F3436"/>
    </row>
    <row r="3437" spans="3:6">
      <c r="C3437"/>
      <c r="D3437"/>
      <c r="E3437"/>
      <c r="F3437"/>
    </row>
    <row r="3438" spans="3:6">
      <c r="C3438"/>
      <c r="D3438"/>
      <c r="E3438"/>
      <c r="F3438"/>
    </row>
    <row r="3439" spans="3:6">
      <c r="C3439"/>
      <c r="D3439"/>
      <c r="E3439"/>
      <c r="F3439"/>
    </row>
    <row r="3440" spans="3:6">
      <c r="C3440"/>
      <c r="D3440"/>
      <c r="E3440"/>
      <c r="F3440"/>
    </row>
    <row r="3441" spans="3:6">
      <c r="C3441"/>
      <c r="D3441"/>
      <c r="E3441"/>
      <c r="F3441"/>
    </row>
    <row r="3442" spans="3:6">
      <c r="C3442"/>
      <c r="D3442"/>
      <c r="E3442"/>
      <c r="F3442"/>
    </row>
    <row r="3443" spans="3:6">
      <c r="C3443"/>
      <c r="D3443"/>
      <c r="E3443"/>
      <c r="F3443"/>
    </row>
    <row r="3444" spans="3:6">
      <c r="C3444"/>
      <c r="D3444"/>
      <c r="E3444"/>
      <c r="F3444"/>
    </row>
    <row r="3445" spans="3:6">
      <c r="C3445"/>
      <c r="D3445"/>
      <c r="E3445"/>
      <c r="F3445"/>
    </row>
    <row r="3446" spans="3:6">
      <c r="C3446"/>
      <c r="D3446"/>
      <c r="E3446"/>
      <c r="F3446"/>
    </row>
    <row r="3447" spans="3:6">
      <c r="C3447"/>
      <c r="D3447"/>
      <c r="E3447"/>
      <c r="F3447"/>
    </row>
    <row r="3448" spans="3:6">
      <c r="C3448"/>
      <c r="D3448"/>
      <c r="E3448"/>
      <c r="F3448"/>
    </row>
    <row r="3449" spans="3:6">
      <c r="C3449"/>
      <c r="D3449"/>
      <c r="E3449"/>
      <c r="F3449"/>
    </row>
    <row r="3450" spans="3:6">
      <c r="C3450"/>
      <c r="D3450"/>
      <c r="E3450"/>
      <c r="F3450"/>
    </row>
    <row r="3451" spans="3:6">
      <c r="C3451"/>
      <c r="D3451"/>
      <c r="E3451"/>
      <c r="F3451"/>
    </row>
    <row r="3452" spans="3:6">
      <c r="C3452"/>
      <c r="D3452"/>
      <c r="E3452"/>
      <c r="F3452"/>
    </row>
    <row r="3453" spans="3:6">
      <c r="C3453"/>
      <c r="D3453"/>
      <c r="E3453"/>
      <c r="F3453"/>
    </row>
    <row r="3454" spans="3:6">
      <c r="C3454"/>
      <c r="D3454"/>
      <c r="E3454"/>
      <c r="F3454"/>
    </row>
    <row r="3455" spans="3:6">
      <c r="C3455"/>
      <c r="D3455"/>
      <c r="E3455"/>
      <c r="F3455"/>
    </row>
    <row r="3456" spans="3:6">
      <c r="C3456"/>
      <c r="D3456"/>
      <c r="E3456"/>
      <c r="F3456"/>
    </row>
    <row r="3457" spans="3:6">
      <c r="C3457"/>
      <c r="D3457"/>
      <c r="E3457"/>
      <c r="F3457"/>
    </row>
    <row r="3458" spans="3:6">
      <c r="C3458"/>
      <c r="D3458"/>
      <c r="E3458"/>
      <c r="F3458"/>
    </row>
    <row r="3459" spans="3:6">
      <c r="C3459"/>
      <c r="D3459"/>
      <c r="E3459"/>
      <c r="F3459"/>
    </row>
    <row r="3460" spans="3:6">
      <c r="C3460"/>
      <c r="D3460"/>
      <c r="E3460"/>
      <c r="F3460"/>
    </row>
    <row r="3461" spans="3:6">
      <c r="C3461"/>
      <c r="D3461"/>
      <c r="E3461"/>
      <c r="F3461"/>
    </row>
    <row r="3462" spans="3:6">
      <c r="C3462"/>
      <c r="D3462"/>
      <c r="E3462"/>
      <c r="F3462"/>
    </row>
    <row r="3463" spans="3:6">
      <c r="C3463"/>
      <c r="D3463"/>
      <c r="E3463"/>
      <c r="F3463"/>
    </row>
    <row r="3464" spans="3:6">
      <c r="C3464"/>
      <c r="D3464"/>
      <c r="E3464"/>
      <c r="F3464"/>
    </row>
    <row r="3465" spans="3:6">
      <c r="C3465"/>
      <c r="D3465"/>
      <c r="E3465"/>
      <c r="F3465"/>
    </row>
    <row r="3466" spans="3:6">
      <c r="C3466"/>
      <c r="D3466"/>
      <c r="E3466"/>
      <c r="F3466"/>
    </row>
    <row r="3467" spans="3:6">
      <c r="C3467"/>
      <c r="D3467"/>
      <c r="E3467"/>
      <c r="F3467"/>
    </row>
    <row r="3468" spans="3:6">
      <c r="C3468"/>
      <c r="D3468"/>
      <c r="E3468"/>
      <c r="F3468"/>
    </row>
    <row r="3469" spans="3:6">
      <c r="C3469"/>
      <c r="D3469"/>
      <c r="E3469"/>
      <c r="F3469"/>
    </row>
    <row r="3470" spans="3:6">
      <c r="C3470"/>
      <c r="D3470"/>
      <c r="E3470"/>
      <c r="F3470"/>
    </row>
    <row r="3471" spans="3:6">
      <c r="C3471"/>
      <c r="D3471"/>
      <c r="E3471"/>
      <c r="F3471"/>
    </row>
    <row r="3472" spans="3:6">
      <c r="C3472"/>
      <c r="D3472"/>
      <c r="E3472"/>
      <c r="F3472"/>
    </row>
    <row r="3473" spans="3:6">
      <c r="C3473"/>
      <c r="D3473"/>
      <c r="E3473"/>
      <c r="F3473"/>
    </row>
    <row r="3474" spans="3:6">
      <c r="C3474"/>
      <c r="D3474"/>
      <c r="E3474"/>
      <c r="F3474"/>
    </row>
    <row r="3475" spans="3:6">
      <c r="C3475"/>
      <c r="D3475"/>
      <c r="E3475"/>
      <c r="F3475"/>
    </row>
    <row r="3476" spans="3:6">
      <c r="C3476"/>
      <c r="D3476"/>
      <c r="E3476"/>
      <c r="F3476"/>
    </row>
    <row r="3477" spans="3:6">
      <c r="C3477"/>
      <c r="D3477"/>
      <c r="E3477"/>
      <c r="F3477"/>
    </row>
    <row r="3478" spans="3:6">
      <c r="C3478"/>
      <c r="D3478"/>
      <c r="E3478"/>
      <c r="F3478"/>
    </row>
    <row r="3479" spans="3:6">
      <c r="C3479"/>
      <c r="D3479"/>
      <c r="E3479"/>
      <c r="F3479"/>
    </row>
    <row r="3480" spans="3:6">
      <c r="C3480"/>
      <c r="D3480"/>
      <c r="E3480"/>
      <c r="F3480"/>
    </row>
    <row r="3481" spans="3:6">
      <c r="C3481"/>
      <c r="D3481"/>
      <c r="E3481"/>
      <c r="F3481"/>
    </row>
    <row r="3482" spans="3:6">
      <c r="C3482"/>
      <c r="D3482"/>
      <c r="E3482"/>
      <c r="F3482"/>
    </row>
    <row r="3483" spans="3:6">
      <c r="C3483"/>
      <c r="D3483"/>
      <c r="E3483"/>
      <c r="F3483"/>
    </row>
    <row r="3484" spans="3:6">
      <c r="C3484"/>
      <c r="D3484"/>
      <c r="E3484"/>
      <c r="F3484"/>
    </row>
    <row r="3485" spans="3:6">
      <c r="C3485"/>
      <c r="D3485"/>
      <c r="E3485"/>
      <c r="F3485"/>
    </row>
    <row r="3486" spans="3:6">
      <c r="C3486"/>
      <c r="D3486"/>
      <c r="E3486"/>
      <c r="F3486"/>
    </row>
    <row r="3487" spans="3:6">
      <c r="C3487"/>
      <c r="D3487"/>
      <c r="E3487"/>
      <c r="F3487"/>
    </row>
    <row r="3488" spans="3:6">
      <c r="C3488"/>
      <c r="D3488"/>
      <c r="E3488"/>
      <c r="F3488"/>
    </row>
    <row r="3489" spans="3:6">
      <c r="C3489"/>
      <c r="D3489"/>
      <c r="E3489"/>
      <c r="F3489"/>
    </row>
    <row r="3490" spans="3:6">
      <c r="C3490"/>
      <c r="D3490"/>
      <c r="E3490"/>
      <c r="F3490"/>
    </row>
    <row r="3491" spans="3:6">
      <c r="C3491"/>
      <c r="D3491"/>
      <c r="E3491"/>
      <c r="F3491"/>
    </row>
    <row r="3492" spans="3:6">
      <c r="C3492"/>
      <c r="D3492"/>
      <c r="E3492"/>
      <c r="F3492"/>
    </row>
    <row r="3493" spans="3:6">
      <c r="C3493"/>
      <c r="D3493"/>
      <c r="E3493"/>
      <c r="F3493"/>
    </row>
    <row r="3494" spans="3:6">
      <c r="C3494"/>
      <c r="D3494"/>
      <c r="E3494"/>
      <c r="F3494"/>
    </row>
    <row r="3495" spans="3:6">
      <c r="C3495"/>
      <c r="D3495"/>
      <c r="E3495"/>
      <c r="F3495"/>
    </row>
    <row r="3496" spans="3:6">
      <c r="C3496"/>
      <c r="D3496"/>
      <c r="E3496"/>
      <c r="F3496"/>
    </row>
    <row r="3497" spans="3:6">
      <c r="C3497"/>
      <c r="D3497"/>
      <c r="E3497"/>
      <c r="F3497"/>
    </row>
    <row r="3498" spans="3:6">
      <c r="C3498"/>
      <c r="D3498"/>
      <c r="E3498"/>
      <c r="F3498"/>
    </row>
    <row r="3499" spans="3:6">
      <c r="C3499"/>
      <c r="D3499"/>
      <c r="E3499"/>
      <c r="F3499"/>
    </row>
    <row r="3500" spans="3:6">
      <c r="C3500"/>
      <c r="D3500"/>
      <c r="E3500"/>
      <c r="F3500"/>
    </row>
    <row r="3501" spans="3:6">
      <c r="C3501"/>
      <c r="D3501"/>
      <c r="E3501"/>
      <c r="F3501"/>
    </row>
    <row r="3502" spans="3:6">
      <c r="C3502"/>
      <c r="D3502"/>
      <c r="E3502"/>
      <c r="F3502"/>
    </row>
    <row r="3503" spans="3:6">
      <c r="C3503"/>
      <c r="D3503"/>
      <c r="E3503"/>
      <c r="F3503"/>
    </row>
    <row r="3504" spans="3:6">
      <c r="C3504"/>
      <c r="D3504"/>
      <c r="E3504"/>
      <c r="F3504"/>
    </row>
    <row r="3505" spans="3:6">
      <c r="C3505"/>
      <c r="D3505"/>
      <c r="E3505"/>
      <c r="F3505"/>
    </row>
    <row r="3506" spans="3:6">
      <c r="C3506"/>
      <c r="D3506"/>
      <c r="E3506"/>
      <c r="F3506"/>
    </row>
    <row r="3507" spans="3:6">
      <c r="C3507"/>
      <c r="D3507"/>
      <c r="E3507"/>
      <c r="F3507"/>
    </row>
    <row r="3508" spans="3:6">
      <c r="C3508"/>
      <c r="D3508"/>
      <c r="E3508"/>
      <c r="F3508"/>
    </row>
    <row r="3509" spans="3:6">
      <c r="C3509"/>
      <c r="D3509"/>
      <c r="E3509"/>
      <c r="F3509"/>
    </row>
    <row r="3510" spans="3:6">
      <c r="C3510"/>
      <c r="D3510"/>
      <c r="E3510"/>
      <c r="F3510"/>
    </row>
    <row r="3511" spans="3:6">
      <c r="C3511"/>
      <c r="D3511"/>
      <c r="E3511"/>
      <c r="F3511"/>
    </row>
    <row r="3512" spans="3:6">
      <c r="C3512"/>
      <c r="D3512"/>
      <c r="E3512"/>
      <c r="F3512"/>
    </row>
    <row r="3513" spans="3:6">
      <c r="C3513"/>
      <c r="D3513"/>
      <c r="E3513"/>
      <c r="F3513"/>
    </row>
    <row r="3514" spans="3:6">
      <c r="C3514"/>
      <c r="D3514"/>
      <c r="E3514"/>
      <c r="F3514"/>
    </row>
    <row r="3515" spans="3:6">
      <c r="C3515"/>
      <c r="D3515"/>
      <c r="E3515"/>
      <c r="F3515"/>
    </row>
    <row r="3516" spans="3:6">
      <c r="C3516"/>
      <c r="D3516"/>
      <c r="E3516"/>
      <c r="F3516"/>
    </row>
    <row r="3517" spans="3:6">
      <c r="C3517"/>
      <c r="D3517"/>
      <c r="E3517"/>
      <c r="F3517"/>
    </row>
    <row r="3518" spans="3:6">
      <c r="C3518"/>
      <c r="D3518"/>
      <c r="E3518"/>
      <c r="F3518"/>
    </row>
    <row r="3519" spans="3:6">
      <c r="C3519"/>
      <c r="D3519"/>
      <c r="E3519"/>
      <c r="F3519"/>
    </row>
    <row r="3520" spans="3:6">
      <c r="C3520"/>
      <c r="D3520"/>
      <c r="E3520"/>
      <c r="F3520"/>
    </row>
    <row r="3521" spans="3:6">
      <c r="C3521"/>
      <c r="D3521"/>
      <c r="E3521"/>
      <c r="F3521"/>
    </row>
    <row r="3522" spans="3:6">
      <c r="C3522"/>
      <c r="D3522"/>
      <c r="E3522"/>
      <c r="F3522"/>
    </row>
    <row r="3523" spans="3:6">
      <c r="C3523"/>
      <c r="D3523"/>
      <c r="E3523"/>
      <c r="F3523"/>
    </row>
    <row r="3524" spans="3:6">
      <c r="C3524"/>
      <c r="D3524"/>
      <c r="E3524"/>
      <c r="F3524"/>
    </row>
    <row r="3525" spans="3:6">
      <c r="C3525"/>
      <c r="D3525"/>
      <c r="E3525"/>
      <c r="F3525"/>
    </row>
    <row r="3526" spans="3:6">
      <c r="C3526"/>
      <c r="D3526"/>
      <c r="E3526"/>
      <c r="F3526"/>
    </row>
    <row r="3527" spans="3:6">
      <c r="C3527"/>
      <c r="D3527"/>
      <c r="E3527"/>
      <c r="F3527"/>
    </row>
    <row r="3528" spans="3:6">
      <c r="C3528"/>
      <c r="D3528"/>
      <c r="E3528"/>
      <c r="F3528"/>
    </row>
    <row r="3529" spans="3:6">
      <c r="C3529"/>
      <c r="D3529"/>
      <c r="E3529"/>
      <c r="F3529"/>
    </row>
    <row r="3530" spans="3:6">
      <c r="C3530"/>
      <c r="D3530"/>
      <c r="E3530"/>
      <c r="F3530"/>
    </row>
    <row r="3531" spans="3:6">
      <c r="C3531"/>
      <c r="D3531"/>
      <c r="E3531"/>
      <c r="F3531"/>
    </row>
    <row r="3532" spans="3:6">
      <c r="C3532"/>
      <c r="D3532"/>
      <c r="E3532"/>
      <c r="F3532"/>
    </row>
    <row r="3533" spans="3:6">
      <c r="C3533"/>
      <c r="D3533"/>
      <c r="E3533"/>
      <c r="F3533"/>
    </row>
    <row r="3534" spans="3:6">
      <c r="C3534"/>
      <c r="D3534"/>
      <c r="E3534"/>
      <c r="F3534"/>
    </row>
    <row r="3535" spans="3:6">
      <c r="C3535"/>
      <c r="D3535"/>
      <c r="E3535"/>
      <c r="F3535"/>
    </row>
    <row r="3536" spans="3:6">
      <c r="C3536"/>
      <c r="D3536"/>
      <c r="E3536"/>
      <c r="F3536"/>
    </row>
    <row r="3537" spans="3:6">
      <c r="C3537"/>
      <c r="D3537"/>
      <c r="E3537"/>
      <c r="F3537"/>
    </row>
    <row r="3538" spans="3:6">
      <c r="C3538"/>
      <c r="D3538"/>
      <c r="E3538"/>
      <c r="F3538"/>
    </row>
    <row r="3539" spans="3:6">
      <c r="C3539"/>
      <c r="D3539"/>
      <c r="E3539"/>
      <c r="F3539"/>
    </row>
    <row r="3540" spans="3:6">
      <c r="C3540"/>
      <c r="D3540"/>
      <c r="E3540"/>
      <c r="F3540"/>
    </row>
    <row r="3541" spans="3:6">
      <c r="C3541"/>
      <c r="D3541"/>
      <c r="E3541"/>
      <c r="F3541"/>
    </row>
    <row r="3542" spans="3:6">
      <c r="C3542"/>
      <c r="D3542"/>
      <c r="E3542"/>
      <c r="F3542"/>
    </row>
    <row r="3543" spans="3:6">
      <c r="C3543"/>
      <c r="D3543"/>
      <c r="E3543"/>
      <c r="F3543"/>
    </row>
    <row r="3544" spans="3:6">
      <c r="C3544"/>
      <c r="D3544"/>
      <c r="E3544"/>
      <c r="F3544"/>
    </row>
    <row r="3545" spans="3:6">
      <c r="C3545"/>
      <c r="D3545"/>
      <c r="E3545"/>
      <c r="F3545"/>
    </row>
    <row r="3546" spans="3:6">
      <c r="C3546"/>
      <c r="D3546"/>
      <c r="E3546"/>
      <c r="F3546"/>
    </row>
    <row r="3547" spans="3:6">
      <c r="C3547"/>
      <c r="D3547"/>
      <c r="E3547"/>
      <c r="F3547"/>
    </row>
    <row r="3548" spans="3:6">
      <c r="C3548"/>
      <c r="D3548"/>
      <c r="E3548"/>
      <c r="F3548"/>
    </row>
    <row r="3549" spans="3:6">
      <c r="C3549"/>
      <c r="D3549"/>
      <c r="E3549"/>
      <c r="F3549"/>
    </row>
    <row r="3550" spans="3:6">
      <c r="C3550"/>
      <c r="D3550"/>
      <c r="E3550"/>
      <c r="F3550"/>
    </row>
    <row r="3551" spans="3:6">
      <c r="C3551"/>
      <c r="D3551"/>
      <c r="E3551"/>
      <c r="F3551"/>
    </row>
    <row r="3552" spans="3:6">
      <c r="C3552"/>
      <c r="D3552"/>
      <c r="E3552"/>
      <c r="F3552"/>
    </row>
    <row r="3553" spans="3:6">
      <c r="C3553"/>
      <c r="D3553"/>
      <c r="E3553"/>
      <c r="F3553"/>
    </row>
    <row r="3554" spans="3:6">
      <c r="C3554"/>
      <c r="D3554"/>
      <c r="E3554"/>
      <c r="F3554"/>
    </row>
    <row r="3555" spans="3:6">
      <c r="C3555"/>
      <c r="D3555"/>
      <c r="E3555"/>
      <c r="F3555"/>
    </row>
    <row r="3556" spans="3:6">
      <c r="C3556"/>
      <c r="D3556"/>
      <c r="E3556"/>
      <c r="F3556"/>
    </row>
    <row r="3557" spans="3:6">
      <c r="C3557"/>
      <c r="D3557"/>
      <c r="E3557"/>
      <c r="F3557"/>
    </row>
    <row r="3558" spans="3:6">
      <c r="C3558"/>
      <c r="D3558"/>
      <c r="E3558"/>
      <c r="F3558"/>
    </row>
    <row r="3559" spans="3:6">
      <c r="C3559"/>
      <c r="D3559"/>
      <c r="E3559"/>
      <c r="F3559"/>
    </row>
    <row r="3560" spans="3:6">
      <c r="C3560"/>
      <c r="D3560"/>
      <c r="E3560"/>
      <c r="F3560"/>
    </row>
    <row r="3561" spans="3:6">
      <c r="C3561"/>
      <c r="D3561"/>
      <c r="E3561"/>
      <c r="F3561"/>
    </row>
    <row r="3562" spans="3:6">
      <c r="C3562"/>
      <c r="D3562"/>
      <c r="E3562"/>
      <c r="F3562"/>
    </row>
    <row r="3563" spans="3:6">
      <c r="C3563"/>
      <c r="D3563"/>
      <c r="E3563"/>
      <c r="F3563"/>
    </row>
    <row r="3564" spans="3:6">
      <c r="C3564"/>
      <c r="D3564"/>
      <c r="E3564"/>
      <c r="F3564"/>
    </row>
    <row r="3565" spans="3:6">
      <c r="C3565"/>
      <c r="D3565"/>
      <c r="E3565"/>
      <c r="F3565"/>
    </row>
    <row r="3566" spans="3:6">
      <c r="C3566"/>
      <c r="D3566"/>
      <c r="E3566"/>
      <c r="F3566"/>
    </row>
    <row r="3567" spans="3:6">
      <c r="C3567"/>
      <c r="D3567"/>
      <c r="E3567"/>
      <c r="F3567"/>
    </row>
    <row r="3568" spans="3:6">
      <c r="C3568"/>
      <c r="D3568"/>
      <c r="E3568"/>
      <c r="F3568"/>
    </row>
    <row r="3569" spans="3:6">
      <c r="C3569"/>
      <c r="D3569"/>
      <c r="E3569"/>
      <c r="F3569"/>
    </row>
    <row r="3570" spans="3:6">
      <c r="C3570"/>
      <c r="D3570"/>
      <c r="E3570"/>
      <c r="F3570"/>
    </row>
    <row r="3571" spans="3:6">
      <c r="C3571"/>
      <c r="D3571"/>
      <c r="E3571"/>
      <c r="F3571"/>
    </row>
    <row r="3572" spans="3:6">
      <c r="C3572"/>
      <c r="D3572"/>
      <c r="E3572"/>
      <c r="F3572"/>
    </row>
    <row r="3573" spans="3:6">
      <c r="C3573"/>
      <c r="D3573"/>
      <c r="E3573"/>
      <c r="F3573"/>
    </row>
    <row r="3574" spans="3:6">
      <c r="C3574"/>
      <c r="D3574"/>
      <c r="E3574"/>
      <c r="F3574"/>
    </row>
    <row r="3575" spans="3:6">
      <c r="C3575"/>
      <c r="D3575"/>
      <c r="E3575"/>
      <c r="F3575"/>
    </row>
    <row r="3576" spans="3:6">
      <c r="C3576"/>
      <c r="D3576"/>
      <c r="E3576"/>
      <c r="F3576"/>
    </row>
    <row r="3577" spans="3:6">
      <c r="C3577"/>
      <c r="D3577"/>
      <c r="E3577"/>
      <c r="F3577"/>
    </row>
    <row r="3578" spans="3:6">
      <c r="C3578"/>
      <c r="D3578"/>
      <c r="E3578"/>
      <c r="F3578"/>
    </row>
    <row r="3579" spans="3:6">
      <c r="C3579"/>
      <c r="D3579"/>
      <c r="E3579"/>
      <c r="F3579"/>
    </row>
    <row r="3580" spans="3:6">
      <c r="C3580"/>
      <c r="D3580"/>
      <c r="E3580"/>
      <c r="F3580"/>
    </row>
    <row r="3581" spans="3:6">
      <c r="C3581"/>
      <c r="D3581"/>
      <c r="E3581"/>
      <c r="F3581"/>
    </row>
    <row r="3582" spans="3:6">
      <c r="C3582"/>
      <c r="D3582"/>
      <c r="E3582"/>
      <c r="F3582"/>
    </row>
    <row r="3583" spans="3:6">
      <c r="C3583"/>
      <c r="D3583"/>
      <c r="E3583"/>
      <c r="F3583"/>
    </row>
    <row r="3584" spans="3:6">
      <c r="C3584"/>
      <c r="D3584"/>
      <c r="E3584"/>
      <c r="F3584"/>
    </row>
    <row r="3585" spans="3:6">
      <c r="C3585"/>
      <c r="D3585"/>
      <c r="E3585"/>
      <c r="F3585"/>
    </row>
    <row r="3586" spans="3:6">
      <c r="C3586"/>
      <c r="D3586"/>
      <c r="E3586"/>
      <c r="F3586"/>
    </row>
    <row r="3587" spans="3:6">
      <c r="C3587"/>
      <c r="D3587"/>
      <c r="E3587"/>
      <c r="F3587"/>
    </row>
    <row r="3588" spans="3:6">
      <c r="C3588"/>
      <c r="D3588"/>
      <c r="E3588"/>
      <c r="F3588"/>
    </row>
    <row r="3589" spans="3:6">
      <c r="C3589"/>
      <c r="D3589"/>
      <c r="E3589"/>
      <c r="F3589"/>
    </row>
    <row r="3590" spans="3:6">
      <c r="C3590"/>
      <c r="D3590"/>
      <c r="E3590"/>
      <c r="F3590"/>
    </row>
    <row r="3591" spans="3:6">
      <c r="C3591"/>
      <c r="D3591"/>
      <c r="E3591"/>
      <c r="F3591"/>
    </row>
    <row r="3592" spans="3:6">
      <c r="C3592"/>
      <c r="D3592"/>
      <c r="E3592"/>
      <c r="F3592"/>
    </row>
    <row r="3593" spans="3:6">
      <c r="C3593"/>
      <c r="D3593"/>
      <c r="E3593"/>
      <c r="F3593"/>
    </row>
    <row r="3594" spans="3:6">
      <c r="C3594"/>
      <c r="D3594"/>
      <c r="E3594"/>
      <c r="F3594"/>
    </row>
    <row r="3595" spans="3:6">
      <c r="C3595"/>
      <c r="D3595"/>
      <c r="E3595"/>
      <c r="F3595"/>
    </row>
    <row r="3596" spans="3:6">
      <c r="C3596"/>
      <c r="D3596"/>
      <c r="E3596"/>
      <c r="F3596"/>
    </row>
    <row r="3597" spans="3:6">
      <c r="C3597"/>
      <c r="D3597"/>
      <c r="E3597"/>
      <c r="F3597"/>
    </row>
    <row r="3598" spans="3:6">
      <c r="C3598"/>
      <c r="D3598"/>
      <c r="E3598"/>
      <c r="F3598"/>
    </row>
    <row r="3599" spans="3:6">
      <c r="C3599"/>
      <c r="D3599"/>
      <c r="E3599"/>
      <c r="F3599"/>
    </row>
    <row r="3600" spans="3:6">
      <c r="C3600"/>
      <c r="D3600"/>
      <c r="E3600"/>
      <c r="F3600"/>
    </row>
    <row r="3601" spans="3:6">
      <c r="C3601"/>
      <c r="D3601"/>
      <c r="E3601"/>
      <c r="F3601"/>
    </row>
    <row r="3602" spans="3:6">
      <c r="C3602"/>
      <c r="D3602"/>
      <c r="E3602"/>
      <c r="F3602"/>
    </row>
    <row r="3603" spans="3:6">
      <c r="C3603"/>
      <c r="D3603"/>
      <c r="E3603"/>
      <c r="F3603"/>
    </row>
    <row r="3604" spans="3:6">
      <c r="C3604"/>
      <c r="D3604"/>
      <c r="E3604"/>
      <c r="F3604"/>
    </row>
    <row r="3605" spans="3:6">
      <c r="C3605"/>
      <c r="D3605"/>
      <c r="E3605"/>
      <c r="F3605"/>
    </row>
    <row r="3606" spans="3:6">
      <c r="C3606"/>
      <c r="D3606"/>
      <c r="E3606"/>
      <c r="F3606"/>
    </row>
    <row r="3607" spans="3:6">
      <c r="C3607"/>
      <c r="D3607"/>
      <c r="E3607"/>
      <c r="F3607"/>
    </row>
    <row r="3608" spans="3:6">
      <c r="C3608"/>
      <c r="D3608"/>
      <c r="E3608"/>
      <c r="F3608"/>
    </row>
    <row r="3609" spans="3:6">
      <c r="C3609"/>
      <c r="D3609"/>
      <c r="E3609"/>
      <c r="F3609"/>
    </row>
    <row r="3610" spans="3:6">
      <c r="C3610"/>
      <c r="D3610"/>
      <c r="E3610"/>
      <c r="F3610"/>
    </row>
    <row r="3611" spans="3:6">
      <c r="C3611"/>
      <c r="D3611"/>
      <c r="E3611"/>
      <c r="F3611"/>
    </row>
    <row r="3612" spans="3:6">
      <c r="C3612"/>
      <c r="D3612"/>
      <c r="E3612"/>
      <c r="F3612"/>
    </row>
    <row r="3613" spans="3:6">
      <c r="C3613"/>
      <c r="D3613"/>
      <c r="E3613"/>
      <c r="F3613"/>
    </row>
    <row r="3614" spans="3:6">
      <c r="C3614"/>
      <c r="D3614"/>
      <c r="E3614"/>
      <c r="F3614"/>
    </row>
    <row r="3615" spans="3:6">
      <c r="C3615"/>
      <c r="D3615"/>
      <c r="E3615"/>
      <c r="F3615"/>
    </row>
    <row r="3616" spans="3:6">
      <c r="C3616"/>
      <c r="D3616"/>
      <c r="E3616"/>
      <c r="F3616"/>
    </row>
    <row r="3617" spans="3:6">
      <c r="C3617"/>
      <c r="D3617"/>
      <c r="E3617"/>
      <c r="F3617"/>
    </row>
    <row r="3618" spans="3:6">
      <c r="C3618"/>
      <c r="D3618"/>
      <c r="E3618"/>
      <c r="F3618"/>
    </row>
    <row r="3619" spans="3:6">
      <c r="C3619"/>
      <c r="D3619"/>
      <c r="E3619"/>
      <c r="F3619"/>
    </row>
    <row r="3620" spans="3:6">
      <c r="C3620"/>
      <c r="D3620"/>
      <c r="E3620"/>
      <c r="F3620"/>
    </row>
    <row r="3621" spans="3:6">
      <c r="C3621"/>
      <c r="D3621"/>
      <c r="E3621"/>
      <c r="F3621"/>
    </row>
    <row r="3622" spans="3:6">
      <c r="C3622"/>
      <c r="D3622"/>
      <c r="E3622"/>
      <c r="F3622"/>
    </row>
    <row r="3623" spans="3:6">
      <c r="C3623"/>
      <c r="D3623"/>
      <c r="E3623"/>
      <c r="F3623"/>
    </row>
    <row r="3624" spans="3:6">
      <c r="C3624"/>
      <c r="D3624"/>
      <c r="E3624"/>
      <c r="F3624"/>
    </row>
    <row r="3625" spans="3:6">
      <c r="C3625"/>
      <c r="D3625"/>
      <c r="E3625"/>
      <c r="F3625"/>
    </row>
    <row r="3626" spans="3:6">
      <c r="C3626"/>
      <c r="D3626"/>
      <c r="E3626"/>
      <c r="F3626"/>
    </row>
    <row r="3627" spans="3:6">
      <c r="C3627"/>
      <c r="D3627"/>
      <c r="E3627"/>
      <c r="F3627"/>
    </row>
    <row r="3628" spans="3:6">
      <c r="C3628"/>
      <c r="D3628"/>
      <c r="E3628"/>
      <c r="F3628"/>
    </row>
    <row r="3629" spans="3:6">
      <c r="C3629"/>
      <c r="D3629"/>
      <c r="E3629"/>
      <c r="F3629"/>
    </row>
    <row r="3630" spans="3:6">
      <c r="C3630"/>
      <c r="D3630"/>
      <c r="E3630"/>
      <c r="F3630"/>
    </row>
    <row r="3631" spans="3:6">
      <c r="C3631"/>
      <c r="D3631"/>
      <c r="E3631"/>
      <c r="F3631"/>
    </row>
    <row r="3632" spans="3:6">
      <c r="C3632"/>
      <c r="D3632"/>
      <c r="E3632"/>
      <c r="F3632"/>
    </row>
    <row r="3633" spans="3:6">
      <c r="C3633"/>
      <c r="D3633"/>
      <c r="E3633"/>
      <c r="F3633"/>
    </row>
    <row r="3634" spans="3:6">
      <c r="C3634"/>
      <c r="D3634"/>
      <c r="E3634"/>
      <c r="F3634"/>
    </row>
    <row r="3635" spans="3:6">
      <c r="C3635"/>
      <c r="D3635"/>
      <c r="E3635"/>
      <c r="F3635"/>
    </row>
    <row r="3636" spans="3:6">
      <c r="C3636"/>
      <c r="D3636"/>
      <c r="E3636"/>
      <c r="F3636"/>
    </row>
    <row r="3637" spans="3:6">
      <c r="C3637"/>
      <c r="D3637"/>
      <c r="E3637"/>
      <c r="F3637"/>
    </row>
    <row r="3638" spans="3:6">
      <c r="C3638"/>
      <c r="D3638"/>
      <c r="E3638"/>
      <c r="F3638"/>
    </row>
    <row r="3639" spans="3:6">
      <c r="C3639"/>
      <c r="D3639"/>
      <c r="E3639"/>
      <c r="F3639"/>
    </row>
    <row r="3640" spans="3:6">
      <c r="C3640"/>
      <c r="D3640"/>
      <c r="E3640"/>
      <c r="F3640"/>
    </row>
    <row r="3641" spans="3:6">
      <c r="C3641"/>
      <c r="D3641"/>
      <c r="E3641"/>
      <c r="F3641"/>
    </row>
    <row r="3642" spans="3:6">
      <c r="C3642"/>
      <c r="D3642"/>
      <c r="E3642"/>
      <c r="F3642"/>
    </row>
    <row r="3643" spans="3:6">
      <c r="C3643"/>
      <c r="D3643"/>
      <c r="E3643"/>
      <c r="F3643"/>
    </row>
    <row r="3644" spans="3:6">
      <c r="C3644"/>
      <c r="D3644"/>
      <c r="E3644"/>
      <c r="F3644"/>
    </row>
    <row r="3645" spans="3:6">
      <c r="C3645"/>
      <c r="D3645"/>
      <c r="E3645"/>
      <c r="F3645"/>
    </row>
    <row r="3646" spans="3:6">
      <c r="C3646"/>
      <c r="D3646"/>
      <c r="E3646"/>
      <c r="F3646"/>
    </row>
    <row r="3647" spans="3:6">
      <c r="C3647"/>
      <c r="D3647"/>
      <c r="E3647"/>
      <c r="F3647"/>
    </row>
    <row r="3648" spans="3:6">
      <c r="C3648"/>
      <c r="D3648"/>
      <c r="E3648"/>
      <c r="F3648"/>
    </row>
    <row r="3649" spans="3:6">
      <c r="C3649"/>
      <c r="D3649"/>
      <c r="E3649"/>
      <c r="F3649"/>
    </row>
    <row r="3650" spans="3:6">
      <c r="C3650"/>
      <c r="D3650"/>
      <c r="E3650"/>
      <c r="F3650"/>
    </row>
    <row r="3651" spans="3:6">
      <c r="C3651"/>
      <c r="D3651"/>
      <c r="E3651"/>
      <c r="F3651"/>
    </row>
    <row r="3652" spans="3:6">
      <c r="C3652"/>
      <c r="D3652"/>
      <c r="E3652"/>
      <c r="F3652"/>
    </row>
    <row r="3653" spans="3:6">
      <c r="C3653"/>
      <c r="D3653"/>
      <c r="E3653"/>
      <c r="F3653"/>
    </row>
    <row r="3654" spans="3:6">
      <c r="C3654"/>
      <c r="D3654"/>
      <c r="E3654"/>
      <c r="F3654"/>
    </row>
    <row r="3655" spans="3:6">
      <c r="C3655"/>
      <c r="D3655"/>
      <c r="E3655"/>
      <c r="F3655"/>
    </row>
    <row r="3656" spans="3:6">
      <c r="C3656"/>
      <c r="D3656"/>
      <c r="E3656"/>
      <c r="F3656"/>
    </row>
    <row r="3657" spans="3:6">
      <c r="C3657"/>
      <c r="D3657"/>
      <c r="E3657"/>
      <c r="F3657"/>
    </row>
    <row r="3658" spans="3:6">
      <c r="C3658"/>
      <c r="D3658"/>
      <c r="E3658"/>
      <c r="F3658"/>
    </row>
    <row r="3659" spans="3:6">
      <c r="C3659"/>
      <c r="D3659"/>
      <c r="E3659"/>
      <c r="F3659"/>
    </row>
    <row r="3660" spans="3:6">
      <c r="C3660"/>
      <c r="D3660"/>
      <c r="E3660"/>
      <c r="F3660"/>
    </row>
    <row r="3661" spans="3:6">
      <c r="C3661"/>
      <c r="D3661"/>
      <c r="E3661"/>
      <c r="F3661"/>
    </row>
    <row r="3662" spans="3:6">
      <c r="C3662"/>
      <c r="D3662"/>
      <c r="E3662"/>
      <c r="F3662"/>
    </row>
    <row r="3663" spans="3:6">
      <c r="C3663"/>
      <c r="D3663"/>
      <c r="E3663"/>
      <c r="F3663"/>
    </row>
    <row r="3664" spans="3:6">
      <c r="C3664"/>
      <c r="D3664"/>
      <c r="E3664"/>
      <c r="F3664"/>
    </row>
    <row r="3665" spans="3:6">
      <c r="C3665"/>
      <c r="D3665"/>
      <c r="E3665"/>
      <c r="F3665"/>
    </row>
    <row r="3666" spans="3:6">
      <c r="C3666"/>
      <c r="D3666"/>
      <c r="E3666"/>
      <c r="F3666"/>
    </row>
    <row r="3667" spans="3:6">
      <c r="C3667"/>
      <c r="D3667"/>
      <c r="E3667"/>
      <c r="F3667"/>
    </row>
    <row r="3668" spans="3:6">
      <c r="C3668"/>
      <c r="D3668"/>
      <c r="E3668"/>
      <c r="F3668"/>
    </row>
    <row r="3669" spans="3:6">
      <c r="C3669"/>
      <c r="D3669"/>
      <c r="E3669"/>
      <c r="F3669"/>
    </row>
    <row r="3670" spans="3:6">
      <c r="C3670"/>
      <c r="D3670"/>
      <c r="E3670"/>
      <c r="F3670"/>
    </row>
    <row r="3671" spans="3:6">
      <c r="C3671"/>
      <c r="D3671"/>
      <c r="E3671"/>
      <c r="F3671"/>
    </row>
    <row r="3672" spans="3:6">
      <c r="C3672"/>
      <c r="D3672"/>
      <c r="E3672"/>
      <c r="F3672"/>
    </row>
    <row r="3673" spans="3:6">
      <c r="C3673"/>
      <c r="D3673"/>
      <c r="E3673"/>
      <c r="F3673"/>
    </row>
    <row r="3674" spans="3:6">
      <c r="C3674"/>
      <c r="D3674"/>
      <c r="E3674"/>
      <c r="F3674"/>
    </row>
    <row r="3675" spans="3:6">
      <c r="C3675"/>
      <c r="D3675"/>
      <c r="E3675"/>
      <c r="F3675"/>
    </row>
    <row r="3676" spans="3:6">
      <c r="C3676"/>
      <c r="D3676"/>
      <c r="E3676"/>
      <c r="F3676"/>
    </row>
    <row r="3677" spans="3:6">
      <c r="C3677"/>
      <c r="D3677"/>
      <c r="E3677"/>
      <c r="F3677"/>
    </row>
    <row r="3678" spans="3:6">
      <c r="C3678"/>
      <c r="D3678"/>
      <c r="E3678"/>
      <c r="F3678"/>
    </row>
    <row r="3679" spans="3:6">
      <c r="C3679"/>
      <c r="D3679"/>
      <c r="E3679"/>
      <c r="F3679"/>
    </row>
    <row r="3680" spans="3:6">
      <c r="C3680"/>
      <c r="D3680"/>
      <c r="E3680"/>
      <c r="F3680"/>
    </row>
    <row r="3681" spans="3:6">
      <c r="C3681"/>
      <c r="D3681"/>
      <c r="E3681"/>
      <c r="F3681"/>
    </row>
    <row r="3682" spans="3:6">
      <c r="C3682"/>
      <c r="D3682"/>
      <c r="E3682"/>
      <c r="F3682"/>
    </row>
    <row r="3683" spans="3:6">
      <c r="C3683"/>
      <c r="D3683"/>
      <c r="E3683"/>
      <c r="F3683"/>
    </row>
    <row r="3684" spans="3:6">
      <c r="C3684"/>
      <c r="D3684"/>
      <c r="E3684"/>
      <c r="F3684"/>
    </row>
    <row r="3685" spans="3:6">
      <c r="C3685"/>
      <c r="D3685"/>
      <c r="E3685"/>
      <c r="F3685"/>
    </row>
    <row r="3686" spans="3:6">
      <c r="C3686"/>
      <c r="D3686"/>
      <c r="E3686"/>
      <c r="F3686"/>
    </row>
    <row r="3687" spans="3:6">
      <c r="C3687"/>
      <c r="D3687"/>
      <c r="E3687"/>
      <c r="F3687"/>
    </row>
    <row r="3688" spans="3:6">
      <c r="C3688"/>
      <c r="D3688"/>
      <c r="E3688"/>
      <c r="F3688"/>
    </row>
    <row r="3689" spans="3:6">
      <c r="C3689"/>
      <c r="D3689"/>
      <c r="E3689"/>
      <c r="F3689"/>
    </row>
    <row r="3690" spans="3:6">
      <c r="C3690"/>
      <c r="D3690"/>
      <c r="E3690"/>
      <c r="F3690"/>
    </row>
    <row r="3691" spans="3:6">
      <c r="C3691"/>
      <c r="D3691"/>
      <c r="E3691"/>
      <c r="F3691"/>
    </row>
    <row r="3692" spans="3:6">
      <c r="C3692"/>
      <c r="D3692"/>
      <c r="E3692"/>
      <c r="F3692"/>
    </row>
    <row r="3693" spans="3:6">
      <c r="C3693"/>
      <c r="D3693"/>
      <c r="E3693"/>
      <c r="F3693"/>
    </row>
    <row r="3694" spans="3:6">
      <c r="C3694"/>
      <c r="D3694"/>
      <c r="E3694"/>
      <c r="F3694"/>
    </row>
    <row r="3695" spans="3:6">
      <c r="C3695"/>
      <c r="D3695"/>
      <c r="E3695"/>
      <c r="F3695"/>
    </row>
    <row r="3696" spans="3:6">
      <c r="C3696"/>
      <c r="D3696"/>
      <c r="E3696"/>
      <c r="F3696"/>
    </row>
    <row r="3697" spans="3:6">
      <c r="C3697"/>
      <c r="D3697"/>
      <c r="E3697"/>
      <c r="F3697"/>
    </row>
    <row r="3698" spans="3:6">
      <c r="C3698"/>
      <c r="D3698"/>
      <c r="E3698"/>
      <c r="F3698"/>
    </row>
    <row r="3699" spans="3:6">
      <c r="C3699"/>
      <c r="D3699"/>
      <c r="E3699"/>
      <c r="F3699"/>
    </row>
    <row r="3700" spans="3:6">
      <c r="C3700"/>
      <c r="D3700"/>
      <c r="E3700"/>
      <c r="F3700"/>
    </row>
    <row r="3701" spans="3:6">
      <c r="C3701"/>
      <c r="D3701"/>
      <c r="E3701"/>
      <c r="F3701"/>
    </row>
    <row r="3702" spans="3:6">
      <c r="C3702"/>
      <c r="D3702"/>
      <c r="E3702"/>
      <c r="F3702"/>
    </row>
    <row r="3703" spans="3:6">
      <c r="C3703"/>
      <c r="D3703"/>
      <c r="E3703"/>
      <c r="F3703"/>
    </row>
    <row r="3704" spans="3:6">
      <c r="C3704"/>
      <c r="D3704"/>
      <c r="E3704"/>
      <c r="F3704"/>
    </row>
    <row r="3705" spans="3:6">
      <c r="C3705"/>
      <c r="D3705"/>
      <c r="E3705"/>
      <c r="F3705"/>
    </row>
    <row r="3706" spans="3:6">
      <c r="C3706"/>
      <c r="D3706"/>
      <c r="E3706"/>
      <c r="F3706"/>
    </row>
    <row r="3707" spans="3:6">
      <c r="C3707"/>
      <c r="D3707"/>
      <c r="E3707"/>
      <c r="F3707"/>
    </row>
    <row r="3708" spans="3:6">
      <c r="C3708"/>
      <c r="D3708"/>
      <c r="E3708"/>
      <c r="F3708"/>
    </row>
    <row r="3709" spans="3:6">
      <c r="C3709"/>
      <c r="D3709"/>
      <c r="E3709"/>
      <c r="F3709"/>
    </row>
    <row r="3710" spans="3:6">
      <c r="C3710"/>
      <c r="D3710"/>
      <c r="E3710"/>
      <c r="F3710"/>
    </row>
    <row r="3711" spans="3:6">
      <c r="C3711"/>
      <c r="D3711"/>
      <c r="E3711"/>
      <c r="F3711"/>
    </row>
    <row r="3712" spans="3:6">
      <c r="C3712"/>
      <c r="D3712"/>
      <c r="E3712"/>
      <c r="F3712"/>
    </row>
    <row r="3713" spans="3:6">
      <c r="C3713"/>
      <c r="D3713"/>
      <c r="E3713"/>
      <c r="F3713"/>
    </row>
    <row r="3714" spans="3:6">
      <c r="C3714"/>
      <c r="D3714"/>
      <c r="E3714"/>
      <c r="F3714"/>
    </row>
    <row r="3715" spans="3:6">
      <c r="C3715"/>
      <c r="D3715"/>
      <c r="E3715"/>
      <c r="F3715"/>
    </row>
    <row r="3716" spans="3:6">
      <c r="C3716"/>
      <c r="D3716"/>
      <c r="E3716"/>
      <c r="F3716"/>
    </row>
    <row r="3717" spans="3:6">
      <c r="C3717"/>
      <c r="D3717"/>
      <c r="E3717"/>
      <c r="F3717"/>
    </row>
    <row r="3718" spans="3:6">
      <c r="C3718"/>
      <c r="D3718"/>
      <c r="E3718"/>
      <c r="F3718"/>
    </row>
    <row r="3719" spans="3:6">
      <c r="C3719"/>
      <c r="D3719"/>
      <c r="E3719"/>
      <c r="F3719"/>
    </row>
    <row r="3720" spans="3:6">
      <c r="C3720"/>
      <c r="D3720"/>
      <c r="E3720"/>
      <c r="F3720"/>
    </row>
    <row r="3721" spans="3:6">
      <c r="C3721"/>
      <c r="D3721"/>
      <c r="E3721"/>
      <c r="F3721"/>
    </row>
    <row r="3722" spans="3:6">
      <c r="C3722"/>
      <c r="D3722"/>
      <c r="E3722"/>
      <c r="F3722"/>
    </row>
    <row r="3723" spans="3:6">
      <c r="C3723"/>
      <c r="D3723"/>
      <c r="E3723"/>
      <c r="F3723"/>
    </row>
    <row r="3724" spans="3:6">
      <c r="C3724"/>
      <c r="D3724"/>
      <c r="E3724"/>
      <c r="F3724"/>
    </row>
    <row r="3725" spans="3:6">
      <c r="C3725"/>
      <c r="D3725"/>
      <c r="E3725"/>
      <c r="F3725"/>
    </row>
    <row r="3726" spans="3:6">
      <c r="C3726"/>
      <c r="D3726"/>
      <c r="E3726"/>
      <c r="F3726"/>
    </row>
    <row r="3727" spans="3:6">
      <c r="C3727"/>
      <c r="D3727"/>
      <c r="E3727"/>
      <c r="F3727"/>
    </row>
    <row r="3728" spans="3:6">
      <c r="C3728"/>
      <c r="D3728"/>
      <c r="E3728"/>
      <c r="F3728"/>
    </row>
    <row r="3729" spans="3:6">
      <c r="C3729"/>
      <c r="D3729"/>
      <c r="E3729"/>
      <c r="F3729"/>
    </row>
    <row r="3730" spans="3:6">
      <c r="C3730"/>
      <c r="D3730"/>
      <c r="E3730"/>
      <c r="F3730"/>
    </row>
    <row r="3731" spans="3:6">
      <c r="C3731"/>
      <c r="D3731"/>
      <c r="E3731"/>
      <c r="F3731"/>
    </row>
    <row r="3732" spans="3:6">
      <c r="C3732"/>
      <c r="D3732"/>
      <c r="E3732"/>
      <c r="F3732"/>
    </row>
    <row r="3733" spans="3:6">
      <c r="C3733"/>
      <c r="D3733"/>
      <c r="E3733"/>
      <c r="F3733"/>
    </row>
    <row r="3734" spans="3:6">
      <c r="C3734"/>
      <c r="D3734"/>
      <c r="E3734"/>
      <c r="F3734"/>
    </row>
    <row r="3735" spans="3:6">
      <c r="C3735"/>
      <c r="D3735"/>
      <c r="E3735"/>
      <c r="F3735"/>
    </row>
    <row r="3736" spans="3:6">
      <c r="C3736"/>
      <c r="D3736"/>
      <c r="E3736"/>
      <c r="F3736"/>
    </row>
    <row r="3737" spans="3:6">
      <c r="C3737"/>
      <c r="D3737"/>
      <c r="E3737"/>
      <c r="F3737"/>
    </row>
    <row r="3738" spans="3:6">
      <c r="C3738"/>
      <c r="D3738"/>
      <c r="E3738"/>
      <c r="F3738"/>
    </row>
    <row r="3739" spans="3:6">
      <c r="C3739"/>
      <c r="D3739"/>
      <c r="E3739"/>
      <c r="F3739"/>
    </row>
    <row r="3740" spans="3:6">
      <c r="C3740"/>
      <c r="D3740"/>
      <c r="E3740"/>
      <c r="F3740"/>
    </row>
    <row r="3741" spans="3:6">
      <c r="C3741"/>
      <c r="D3741"/>
      <c r="E3741"/>
      <c r="F3741"/>
    </row>
    <row r="3742" spans="3:6">
      <c r="C3742"/>
      <c r="D3742"/>
      <c r="E3742"/>
      <c r="F3742"/>
    </row>
    <row r="3743" spans="3:6">
      <c r="C3743"/>
      <c r="D3743"/>
      <c r="E3743"/>
      <c r="F3743"/>
    </row>
    <row r="3744" spans="3:6">
      <c r="C3744"/>
      <c r="D3744"/>
      <c r="E3744"/>
      <c r="F3744"/>
    </row>
    <row r="3745" spans="3:6">
      <c r="C3745"/>
      <c r="D3745"/>
      <c r="E3745"/>
      <c r="F3745"/>
    </row>
    <row r="3746" spans="3:6">
      <c r="C3746"/>
      <c r="D3746"/>
      <c r="E3746"/>
      <c r="F3746"/>
    </row>
    <row r="3747" spans="3:6">
      <c r="C3747"/>
      <c r="D3747"/>
      <c r="E3747"/>
      <c r="F3747"/>
    </row>
    <row r="3748" spans="3:6">
      <c r="C3748"/>
      <c r="D3748"/>
      <c r="E3748"/>
      <c r="F3748"/>
    </row>
    <row r="3749" spans="3:6">
      <c r="C3749"/>
      <c r="D3749"/>
      <c r="E3749"/>
      <c r="F3749"/>
    </row>
    <row r="3750" spans="3:6">
      <c r="C3750"/>
      <c r="D3750"/>
      <c r="E3750"/>
      <c r="F3750"/>
    </row>
    <row r="3751" spans="3:6">
      <c r="C3751"/>
      <c r="D3751"/>
      <c r="E3751"/>
      <c r="F3751"/>
    </row>
    <row r="3752" spans="3:6">
      <c r="C3752"/>
      <c r="D3752"/>
      <c r="E3752"/>
      <c r="F3752"/>
    </row>
    <row r="3753" spans="3:6">
      <c r="C3753"/>
      <c r="D3753"/>
      <c r="E3753"/>
      <c r="F3753"/>
    </row>
    <row r="3754" spans="3:6">
      <c r="C3754"/>
      <c r="D3754"/>
      <c r="E3754"/>
      <c r="F3754"/>
    </row>
    <row r="3755" spans="3:6">
      <c r="C3755"/>
      <c r="D3755"/>
      <c r="E3755"/>
      <c r="F3755"/>
    </row>
    <row r="3756" spans="3:6">
      <c r="C3756"/>
      <c r="D3756"/>
      <c r="E3756"/>
      <c r="F3756"/>
    </row>
    <row r="3757" spans="3:6">
      <c r="C3757"/>
      <c r="D3757"/>
      <c r="E3757"/>
      <c r="F3757"/>
    </row>
    <row r="3758" spans="3:6">
      <c r="C3758"/>
      <c r="D3758"/>
      <c r="E3758"/>
      <c r="F3758"/>
    </row>
    <row r="3759" spans="3:6">
      <c r="C3759"/>
      <c r="D3759"/>
      <c r="E3759"/>
      <c r="F3759"/>
    </row>
    <row r="3760" spans="3:6">
      <c r="C3760"/>
      <c r="D3760"/>
      <c r="E3760"/>
      <c r="F3760"/>
    </row>
    <row r="3761" spans="3:6">
      <c r="C3761"/>
      <c r="D3761"/>
      <c r="E3761"/>
      <c r="F3761"/>
    </row>
    <row r="3762" spans="3:6">
      <c r="C3762"/>
      <c r="D3762"/>
      <c r="E3762"/>
      <c r="F3762"/>
    </row>
    <row r="3763" spans="3:6">
      <c r="C3763"/>
      <c r="D3763"/>
      <c r="E3763"/>
      <c r="F3763"/>
    </row>
    <row r="3764" spans="3:6">
      <c r="C3764"/>
      <c r="D3764"/>
      <c r="E3764"/>
      <c r="F3764"/>
    </row>
    <row r="3765" spans="3:6">
      <c r="C3765"/>
      <c r="D3765"/>
      <c r="E3765"/>
      <c r="F3765"/>
    </row>
    <row r="3766" spans="3:6">
      <c r="C3766"/>
      <c r="D3766"/>
      <c r="E3766"/>
      <c r="F3766"/>
    </row>
    <row r="3767" spans="3:6">
      <c r="C3767"/>
      <c r="D3767"/>
      <c r="E3767"/>
      <c r="F3767"/>
    </row>
    <row r="3768" spans="3:6">
      <c r="C3768"/>
      <c r="D3768"/>
      <c r="E3768"/>
      <c r="F3768"/>
    </row>
    <row r="3769" spans="3:6">
      <c r="C3769"/>
      <c r="D3769"/>
      <c r="E3769"/>
      <c r="F3769"/>
    </row>
    <row r="3770" spans="3:6">
      <c r="C3770"/>
      <c r="D3770"/>
      <c r="E3770"/>
      <c r="F3770"/>
    </row>
    <row r="3771" spans="3:6">
      <c r="C3771"/>
      <c r="D3771"/>
      <c r="E3771"/>
      <c r="F3771"/>
    </row>
    <row r="3772" spans="3:6">
      <c r="C3772"/>
      <c r="D3772"/>
      <c r="E3772"/>
      <c r="F3772"/>
    </row>
    <row r="3773" spans="3:6">
      <c r="C3773"/>
      <c r="D3773"/>
      <c r="E3773"/>
      <c r="F3773"/>
    </row>
    <row r="3774" spans="3:6">
      <c r="C3774"/>
      <c r="D3774"/>
      <c r="E3774"/>
      <c r="F3774"/>
    </row>
    <row r="3775" spans="3:6">
      <c r="C3775"/>
      <c r="D3775"/>
      <c r="E3775"/>
      <c r="F3775"/>
    </row>
    <row r="3776" spans="3:6">
      <c r="C3776"/>
      <c r="D3776"/>
      <c r="E3776"/>
      <c r="F3776"/>
    </row>
    <row r="3777" spans="3:6">
      <c r="C3777"/>
      <c r="D3777"/>
      <c r="E3777"/>
      <c r="F3777"/>
    </row>
    <row r="3778" spans="3:6">
      <c r="C3778"/>
      <c r="D3778"/>
      <c r="E3778"/>
      <c r="F3778"/>
    </row>
    <row r="3779" spans="3:6">
      <c r="C3779"/>
      <c r="D3779"/>
      <c r="E3779"/>
      <c r="F3779"/>
    </row>
    <row r="3780" spans="3:6">
      <c r="C3780"/>
      <c r="D3780"/>
      <c r="E3780"/>
      <c r="F3780"/>
    </row>
    <row r="3781" spans="3:6">
      <c r="C3781"/>
      <c r="D3781"/>
      <c r="E3781"/>
      <c r="F3781"/>
    </row>
    <row r="3782" spans="3:6">
      <c r="C3782"/>
      <c r="D3782"/>
      <c r="E3782"/>
      <c r="F3782"/>
    </row>
    <row r="3783" spans="3:6">
      <c r="C3783"/>
      <c r="D3783"/>
      <c r="E3783"/>
      <c r="F3783"/>
    </row>
    <row r="3784" spans="3:6">
      <c r="C3784"/>
      <c r="D3784"/>
      <c r="E3784"/>
      <c r="F3784"/>
    </row>
    <row r="3785" spans="3:6">
      <c r="C3785"/>
      <c r="D3785"/>
      <c r="E3785"/>
      <c r="F3785"/>
    </row>
    <row r="3786" spans="3:6">
      <c r="C3786"/>
      <c r="D3786"/>
      <c r="E3786"/>
      <c r="F3786"/>
    </row>
    <row r="3787" spans="3:6">
      <c r="C3787"/>
      <c r="D3787"/>
      <c r="E3787"/>
      <c r="F3787"/>
    </row>
    <row r="3788" spans="3:6">
      <c r="C3788"/>
      <c r="D3788"/>
      <c r="E3788"/>
      <c r="F3788"/>
    </row>
    <row r="3789" spans="3:6">
      <c r="C3789"/>
      <c r="D3789"/>
      <c r="E3789"/>
      <c r="F3789"/>
    </row>
    <row r="3790" spans="3:6">
      <c r="C3790"/>
      <c r="D3790"/>
      <c r="E3790"/>
      <c r="F3790"/>
    </row>
    <row r="3791" spans="3:6">
      <c r="C3791"/>
      <c r="D3791"/>
      <c r="E3791"/>
      <c r="F3791"/>
    </row>
    <row r="3792" spans="3:6">
      <c r="C3792"/>
      <c r="D3792"/>
      <c r="E3792"/>
      <c r="F3792"/>
    </row>
    <row r="3793" spans="3:6">
      <c r="C3793"/>
      <c r="D3793"/>
      <c r="E3793"/>
      <c r="F3793"/>
    </row>
    <row r="3794" spans="3:6">
      <c r="C3794"/>
      <c r="D3794"/>
      <c r="E3794"/>
      <c r="F3794"/>
    </row>
    <row r="3795" spans="3:6">
      <c r="C3795"/>
      <c r="D3795"/>
      <c r="E3795"/>
      <c r="F3795"/>
    </row>
    <row r="3796" spans="3:6">
      <c r="C3796"/>
      <c r="D3796"/>
      <c r="E3796"/>
      <c r="F3796"/>
    </row>
    <row r="3797" spans="3:6">
      <c r="C3797"/>
      <c r="D3797"/>
      <c r="E3797"/>
      <c r="F3797"/>
    </row>
    <row r="3798" spans="3:6">
      <c r="C3798"/>
      <c r="D3798"/>
      <c r="E3798"/>
      <c r="F3798"/>
    </row>
    <row r="3799" spans="3:6">
      <c r="C3799"/>
      <c r="D3799"/>
      <c r="E3799"/>
      <c r="F3799"/>
    </row>
    <row r="3800" spans="3:6">
      <c r="C3800"/>
      <c r="D3800"/>
      <c r="E3800"/>
      <c r="F3800"/>
    </row>
    <row r="3801" spans="3:6">
      <c r="C3801"/>
      <c r="D3801"/>
      <c r="E3801"/>
      <c r="F3801"/>
    </row>
    <row r="3802" spans="3:6">
      <c r="C3802"/>
      <c r="D3802"/>
      <c r="E3802"/>
      <c r="F3802"/>
    </row>
    <row r="3803" spans="3:6">
      <c r="C3803"/>
      <c r="D3803"/>
      <c r="E3803"/>
      <c r="F3803"/>
    </row>
    <row r="3804" spans="3:6">
      <c r="C3804"/>
      <c r="D3804"/>
      <c r="E3804"/>
      <c r="F3804"/>
    </row>
    <row r="3805" spans="3:6">
      <c r="C3805"/>
      <c r="D3805"/>
      <c r="E3805"/>
      <c r="F3805"/>
    </row>
    <row r="3806" spans="3:6">
      <c r="C3806"/>
      <c r="D3806"/>
      <c r="E3806"/>
      <c r="F3806"/>
    </row>
    <row r="3807" spans="3:6">
      <c r="C3807"/>
      <c r="D3807"/>
      <c r="E3807"/>
      <c r="F3807"/>
    </row>
    <row r="3808" spans="3:6">
      <c r="C3808"/>
      <c r="D3808"/>
      <c r="E3808"/>
      <c r="F3808"/>
    </row>
    <row r="3809" spans="3:6">
      <c r="C3809"/>
      <c r="D3809"/>
      <c r="E3809"/>
      <c r="F3809"/>
    </row>
    <row r="3810" spans="3:6">
      <c r="C3810"/>
      <c r="D3810"/>
      <c r="E3810"/>
      <c r="F3810"/>
    </row>
    <row r="3811" spans="3:6">
      <c r="C3811"/>
      <c r="D3811"/>
      <c r="E3811"/>
      <c r="F3811"/>
    </row>
    <row r="3812" spans="3:6">
      <c r="C3812"/>
      <c r="D3812"/>
      <c r="E3812"/>
      <c r="F3812"/>
    </row>
    <row r="3813" spans="3:6">
      <c r="C3813"/>
      <c r="D3813"/>
      <c r="E3813"/>
      <c r="F3813"/>
    </row>
    <row r="3814" spans="3:6">
      <c r="C3814"/>
      <c r="D3814"/>
      <c r="E3814"/>
      <c r="F3814"/>
    </row>
    <row r="3815" spans="3:6">
      <c r="C3815"/>
      <c r="D3815"/>
      <c r="E3815"/>
      <c r="F3815"/>
    </row>
    <row r="3816" spans="3:6">
      <c r="C3816"/>
      <c r="D3816"/>
      <c r="E3816"/>
      <c r="F3816"/>
    </row>
    <row r="3817" spans="3:6">
      <c r="C3817"/>
      <c r="D3817"/>
      <c r="E3817"/>
      <c r="F3817"/>
    </row>
    <row r="3818" spans="3:6">
      <c r="C3818"/>
      <c r="D3818"/>
      <c r="E3818"/>
      <c r="F3818"/>
    </row>
    <row r="3819" spans="3:6">
      <c r="C3819"/>
      <c r="D3819"/>
      <c r="E3819"/>
      <c r="F3819"/>
    </row>
    <row r="3820" spans="3:6">
      <c r="C3820"/>
      <c r="D3820"/>
      <c r="E3820"/>
      <c r="F3820"/>
    </row>
    <row r="3821" spans="3:6">
      <c r="C3821"/>
      <c r="D3821"/>
      <c r="E3821"/>
      <c r="F3821"/>
    </row>
    <row r="3822" spans="3:6">
      <c r="C3822"/>
      <c r="D3822"/>
      <c r="E3822"/>
      <c r="F3822"/>
    </row>
    <row r="3823" spans="3:6">
      <c r="C3823"/>
      <c r="D3823"/>
      <c r="E3823"/>
      <c r="F3823"/>
    </row>
    <row r="3824" spans="3:6">
      <c r="C3824"/>
      <c r="D3824"/>
      <c r="E3824"/>
      <c r="F3824"/>
    </row>
    <row r="3825" spans="3:6">
      <c r="C3825"/>
      <c r="D3825"/>
      <c r="E3825"/>
      <c r="F3825"/>
    </row>
    <row r="3826" spans="3:6">
      <c r="C3826"/>
      <c r="D3826"/>
      <c r="E3826"/>
      <c r="F3826"/>
    </row>
    <row r="3827" spans="3:6">
      <c r="C3827"/>
      <c r="D3827"/>
      <c r="E3827"/>
      <c r="F3827"/>
    </row>
    <row r="3828" spans="3:6">
      <c r="C3828"/>
      <c r="D3828"/>
      <c r="E3828"/>
      <c r="F3828"/>
    </row>
    <row r="3829" spans="3:6">
      <c r="C3829"/>
      <c r="D3829"/>
      <c r="E3829"/>
      <c r="F3829"/>
    </row>
    <row r="3830" spans="3:6">
      <c r="C3830"/>
      <c r="D3830"/>
      <c r="E3830"/>
      <c r="F3830"/>
    </row>
    <row r="3831" spans="3:6">
      <c r="C3831"/>
      <c r="D3831"/>
      <c r="E3831"/>
      <c r="F3831"/>
    </row>
    <row r="3832" spans="3:6">
      <c r="C3832"/>
      <c r="D3832"/>
      <c r="E3832"/>
      <c r="F3832"/>
    </row>
    <row r="3833" spans="3:6">
      <c r="C3833"/>
      <c r="D3833"/>
      <c r="E3833"/>
      <c r="F3833"/>
    </row>
    <row r="3834" spans="3:6">
      <c r="C3834"/>
      <c r="D3834"/>
      <c r="E3834"/>
      <c r="F3834"/>
    </row>
    <row r="3835" spans="3:6">
      <c r="C3835"/>
      <c r="D3835"/>
      <c r="E3835"/>
      <c r="F3835"/>
    </row>
    <row r="3836" spans="3:6">
      <c r="C3836"/>
      <c r="D3836"/>
      <c r="E3836"/>
      <c r="F3836"/>
    </row>
    <row r="3837" spans="3:6">
      <c r="C3837"/>
      <c r="D3837"/>
      <c r="E3837"/>
      <c r="F3837"/>
    </row>
    <row r="3838" spans="3:6">
      <c r="C3838"/>
      <c r="D3838"/>
      <c r="E3838"/>
      <c r="F3838"/>
    </row>
    <row r="3839" spans="3:6">
      <c r="C3839"/>
      <c r="D3839"/>
      <c r="E3839"/>
      <c r="F3839"/>
    </row>
    <row r="3840" spans="3:6">
      <c r="C3840"/>
      <c r="D3840"/>
      <c r="E3840"/>
      <c r="F3840"/>
    </row>
    <row r="3841" spans="3:6">
      <c r="C3841"/>
      <c r="D3841"/>
      <c r="E3841"/>
      <c r="F3841"/>
    </row>
    <row r="3842" spans="3:6">
      <c r="C3842"/>
      <c r="D3842"/>
      <c r="E3842"/>
      <c r="F3842"/>
    </row>
    <row r="3843" spans="3:6">
      <c r="C3843"/>
      <c r="D3843"/>
      <c r="E3843"/>
      <c r="F3843"/>
    </row>
    <row r="3844" spans="3:6">
      <c r="C3844"/>
      <c r="D3844"/>
      <c r="E3844"/>
      <c r="F3844"/>
    </row>
    <row r="3845" spans="3:6">
      <c r="C3845"/>
      <c r="D3845"/>
      <c r="E3845"/>
      <c r="F3845"/>
    </row>
    <row r="3846" spans="3:6">
      <c r="C3846"/>
      <c r="D3846"/>
      <c r="E3846"/>
      <c r="F3846"/>
    </row>
    <row r="3847" spans="3:6">
      <c r="C3847"/>
      <c r="D3847"/>
      <c r="E3847"/>
      <c r="F3847"/>
    </row>
    <row r="3848" spans="3:6">
      <c r="C3848"/>
      <c r="D3848"/>
      <c r="E3848"/>
      <c r="F3848"/>
    </row>
    <row r="3849" spans="3:6">
      <c r="C3849"/>
      <c r="D3849"/>
      <c r="E3849"/>
      <c r="F3849"/>
    </row>
    <row r="3850" spans="3:6">
      <c r="C3850"/>
      <c r="D3850"/>
      <c r="E3850"/>
      <c r="F3850"/>
    </row>
    <row r="3851" spans="3:6">
      <c r="C3851"/>
      <c r="D3851"/>
      <c r="E3851"/>
      <c r="F3851"/>
    </row>
    <row r="3852" spans="3:6">
      <c r="C3852"/>
      <c r="D3852"/>
      <c r="E3852"/>
      <c r="F3852"/>
    </row>
    <row r="3853" spans="3:6">
      <c r="C3853"/>
      <c r="D3853"/>
      <c r="E3853"/>
      <c r="F3853"/>
    </row>
    <row r="3854" spans="3:6">
      <c r="C3854"/>
      <c r="D3854"/>
      <c r="E3854"/>
      <c r="F3854"/>
    </row>
    <row r="3855" spans="3:6">
      <c r="C3855"/>
      <c r="D3855"/>
      <c r="E3855"/>
      <c r="F3855"/>
    </row>
    <row r="3856" spans="3:6">
      <c r="C3856"/>
      <c r="D3856"/>
      <c r="E3856"/>
      <c r="F3856"/>
    </row>
    <row r="3857" spans="3:6">
      <c r="C3857"/>
      <c r="D3857"/>
      <c r="E3857"/>
      <c r="F3857"/>
    </row>
    <row r="3858" spans="3:6">
      <c r="C3858"/>
      <c r="D3858"/>
      <c r="E3858"/>
      <c r="F3858"/>
    </row>
    <row r="3859" spans="3:6">
      <c r="C3859"/>
      <c r="D3859"/>
      <c r="E3859"/>
      <c r="F3859"/>
    </row>
    <row r="3860" spans="3:6">
      <c r="C3860"/>
      <c r="D3860"/>
      <c r="E3860"/>
      <c r="F3860"/>
    </row>
    <row r="3861" spans="3:6">
      <c r="C3861"/>
      <c r="D3861"/>
      <c r="E3861"/>
      <c r="F3861"/>
    </row>
    <row r="3862" spans="3:6">
      <c r="C3862"/>
      <c r="D3862"/>
      <c r="E3862"/>
      <c r="F3862"/>
    </row>
    <row r="3863" spans="3:6">
      <c r="C3863"/>
      <c r="D3863"/>
      <c r="E3863"/>
      <c r="F3863"/>
    </row>
    <row r="3864" spans="3:6">
      <c r="C3864"/>
      <c r="D3864"/>
      <c r="E3864"/>
      <c r="F3864"/>
    </row>
    <row r="3865" spans="3:6">
      <c r="C3865"/>
      <c r="D3865"/>
      <c r="E3865"/>
      <c r="F3865"/>
    </row>
    <row r="3866" spans="3:6">
      <c r="C3866"/>
      <c r="D3866"/>
      <c r="E3866"/>
      <c r="F3866"/>
    </row>
    <row r="3867" spans="3:6">
      <c r="C3867"/>
      <c r="D3867"/>
      <c r="E3867"/>
      <c r="F3867"/>
    </row>
    <row r="3868" spans="3:6">
      <c r="C3868"/>
      <c r="D3868"/>
      <c r="E3868"/>
      <c r="F3868"/>
    </row>
    <row r="3869" spans="3:6">
      <c r="C3869"/>
      <c r="D3869"/>
      <c r="E3869"/>
      <c r="F3869"/>
    </row>
    <row r="3870" spans="3:6">
      <c r="C3870"/>
      <c r="D3870"/>
      <c r="E3870"/>
      <c r="F3870"/>
    </row>
    <row r="3871" spans="3:6">
      <c r="C3871"/>
      <c r="D3871"/>
      <c r="E3871"/>
      <c r="F3871"/>
    </row>
    <row r="3872" spans="3:6">
      <c r="C3872"/>
      <c r="D3872"/>
      <c r="E3872"/>
      <c r="F3872"/>
    </row>
    <row r="3873" spans="3:6">
      <c r="C3873"/>
      <c r="D3873"/>
      <c r="E3873"/>
      <c r="F3873"/>
    </row>
    <row r="3874" spans="3:6">
      <c r="C3874"/>
      <c r="D3874"/>
      <c r="E3874"/>
      <c r="F3874"/>
    </row>
    <row r="3875" spans="3:6">
      <c r="C3875"/>
      <c r="D3875"/>
      <c r="E3875"/>
      <c r="F3875"/>
    </row>
    <row r="3876" spans="3:6">
      <c r="C3876"/>
      <c r="D3876"/>
      <c r="E3876"/>
      <c r="F3876"/>
    </row>
    <row r="3877" spans="3:6">
      <c r="C3877"/>
      <c r="D3877"/>
      <c r="E3877"/>
      <c r="F3877"/>
    </row>
    <row r="3878" spans="3:6">
      <c r="C3878"/>
      <c r="D3878"/>
      <c r="E3878"/>
      <c r="F3878"/>
    </row>
    <row r="3879" spans="3:6">
      <c r="C3879"/>
      <c r="D3879"/>
      <c r="E3879"/>
      <c r="F3879"/>
    </row>
    <row r="3880" spans="3:6">
      <c r="C3880"/>
      <c r="D3880"/>
      <c r="E3880"/>
      <c r="F3880"/>
    </row>
    <row r="3881" spans="3:6">
      <c r="C3881"/>
      <c r="D3881"/>
      <c r="E3881"/>
      <c r="F3881"/>
    </row>
    <row r="3882" spans="3:6">
      <c r="C3882"/>
      <c r="D3882"/>
      <c r="E3882"/>
      <c r="F3882"/>
    </row>
    <row r="3883" spans="3:6">
      <c r="C3883"/>
      <c r="D3883"/>
      <c r="E3883"/>
      <c r="F3883"/>
    </row>
    <row r="3884" spans="3:6">
      <c r="C3884"/>
      <c r="D3884"/>
      <c r="E3884"/>
      <c r="F3884"/>
    </row>
    <row r="3885" spans="3:6">
      <c r="C3885"/>
      <c r="D3885"/>
      <c r="E3885"/>
      <c r="F3885"/>
    </row>
    <row r="3886" spans="3:6">
      <c r="C3886"/>
      <c r="D3886"/>
      <c r="E3886"/>
      <c r="F3886"/>
    </row>
    <row r="3887" spans="3:6">
      <c r="C3887"/>
      <c r="D3887"/>
      <c r="E3887"/>
      <c r="F3887"/>
    </row>
    <row r="3888" spans="3:6">
      <c r="C3888"/>
      <c r="D3888"/>
      <c r="E3888"/>
      <c r="F3888"/>
    </row>
    <row r="3889" spans="3:6">
      <c r="C3889"/>
      <c r="D3889"/>
      <c r="E3889"/>
      <c r="F3889"/>
    </row>
    <row r="3890" spans="3:6">
      <c r="C3890"/>
      <c r="D3890"/>
      <c r="E3890"/>
      <c r="F3890"/>
    </row>
    <row r="3891" spans="3:6">
      <c r="C3891"/>
      <c r="D3891"/>
      <c r="E3891"/>
      <c r="F3891"/>
    </row>
    <row r="3892" spans="3:6">
      <c r="C3892"/>
      <c r="D3892"/>
      <c r="E3892"/>
      <c r="F3892"/>
    </row>
    <row r="3893" spans="3:6">
      <c r="C3893"/>
      <c r="D3893"/>
      <c r="E3893"/>
      <c r="F3893"/>
    </row>
    <row r="3894" spans="3:6">
      <c r="C3894"/>
      <c r="D3894"/>
      <c r="E3894"/>
      <c r="F3894"/>
    </row>
    <row r="3895" spans="3:6">
      <c r="C3895"/>
      <c r="D3895"/>
      <c r="E3895"/>
      <c r="F3895"/>
    </row>
    <row r="3896" spans="3:6">
      <c r="C3896"/>
      <c r="D3896"/>
      <c r="E3896"/>
      <c r="F3896"/>
    </row>
    <row r="3897" spans="3:6">
      <c r="C3897"/>
      <c r="D3897"/>
      <c r="E3897"/>
      <c r="F3897"/>
    </row>
    <row r="3898" spans="3:6">
      <c r="C3898"/>
      <c r="D3898"/>
      <c r="E3898"/>
      <c r="F3898"/>
    </row>
    <row r="3899" spans="3:6">
      <c r="C3899"/>
      <c r="D3899"/>
      <c r="E3899"/>
      <c r="F3899"/>
    </row>
    <row r="3900" spans="3:6">
      <c r="C3900"/>
      <c r="D3900"/>
      <c r="E3900"/>
      <c r="F3900"/>
    </row>
    <row r="3901" spans="3:6">
      <c r="C3901"/>
      <c r="D3901"/>
      <c r="E3901"/>
      <c r="F3901"/>
    </row>
    <row r="3902" spans="3:6">
      <c r="C3902"/>
      <c r="D3902"/>
      <c r="E3902"/>
      <c r="F3902"/>
    </row>
    <row r="3903" spans="3:6">
      <c r="C3903"/>
      <c r="D3903"/>
      <c r="E3903"/>
      <c r="F3903"/>
    </row>
    <row r="3904" spans="3:6">
      <c r="C3904"/>
      <c r="D3904"/>
      <c r="E3904"/>
      <c r="F3904"/>
    </row>
    <row r="3905" spans="3:6">
      <c r="C3905"/>
      <c r="D3905"/>
      <c r="E3905"/>
      <c r="F3905"/>
    </row>
    <row r="3906" spans="3:6">
      <c r="C3906"/>
      <c r="D3906"/>
      <c r="E3906"/>
      <c r="F3906"/>
    </row>
    <row r="3907" spans="3:6">
      <c r="C3907"/>
      <c r="D3907"/>
      <c r="E3907"/>
      <c r="F3907"/>
    </row>
    <row r="3908" spans="3:6">
      <c r="C3908"/>
      <c r="D3908"/>
      <c r="E3908"/>
      <c r="F3908"/>
    </row>
    <row r="3909" spans="3:6">
      <c r="C3909"/>
      <c r="D3909"/>
      <c r="E3909"/>
      <c r="F3909"/>
    </row>
    <row r="3910" spans="3:6">
      <c r="C3910"/>
      <c r="D3910"/>
      <c r="E3910"/>
      <c r="F3910"/>
    </row>
    <row r="3911" spans="3:6">
      <c r="C3911"/>
      <c r="D3911"/>
      <c r="E3911"/>
      <c r="F3911"/>
    </row>
    <row r="3912" spans="3:6">
      <c r="C3912"/>
      <c r="D3912"/>
      <c r="E3912"/>
      <c r="F3912"/>
    </row>
    <row r="3913" spans="3:6">
      <c r="C3913"/>
      <c r="D3913"/>
      <c r="E3913"/>
      <c r="F3913"/>
    </row>
    <row r="3914" spans="3:6">
      <c r="C3914"/>
      <c r="D3914"/>
      <c r="E3914"/>
      <c r="F3914"/>
    </row>
    <row r="3915" spans="3:6">
      <c r="C3915"/>
      <c r="D3915"/>
      <c r="E3915"/>
      <c r="F3915"/>
    </row>
    <row r="3916" spans="3:6">
      <c r="C3916"/>
      <c r="D3916"/>
      <c r="E3916"/>
      <c r="F3916"/>
    </row>
    <row r="3917" spans="3:6">
      <c r="C3917"/>
      <c r="D3917"/>
      <c r="E3917"/>
      <c r="F3917"/>
    </row>
    <row r="3918" spans="3:6">
      <c r="C3918"/>
      <c r="D3918"/>
      <c r="E3918"/>
      <c r="F3918"/>
    </row>
    <row r="3919" spans="3:6">
      <c r="C3919"/>
      <c r="D3919"/>
      <c r="E3919"/>
      <c r="F3919"/>
    </row>
    <row r="3920" spans="3:6">
      <c r="C3920"/>
      <c r="D3920"/>
      <c r="E3920"/>
      <c r="F3920"/>
    </row>
    <row r="3921" spans="3:6">
      <c r="C3921"/>
      <c r="D3921"/>
      <c r="E3921"/>
      <c r="F3921"/>
    </row>
    <row r="3922" spans="3:6">
      <c r="C3922"/>
      <c r="D3922"/>
      <c r="E3922"/>
      <c r="F3922"/>
    </row>
    <row r="3923" spans="3:6">
      <c r="C3923"/>
      <c r="D3923"/>
      <c r="E3923"/>
      <c r="F3923"/>
    </row>
    <row r="3924" spans="3:6">
      <c r="C3924"/>
      <c r="D3924"/>
      <c r="E3924"/>
      <c r="F3924"/>
    </row>
    <row r="3925" spans="3:6">
      <c r="C3925"/>
      <c r="D3925"/>
      <c r="E3925"/>
      <c r="F3925"/>
    </row>
    <row r="3926" spans="3:6">
      <c r="C3926"/>
      <c r="D3926"/>
      <c r="E3926"/>
      <c r="F3926"/>
    </row>
    <row r="3927" spans="3:6">
      <c r="C3927"/>
      <c r="D3927"/>
      <c r="E3927"/>
      <c r="F3927"/>
    </row>
    <row r="3928" spans="3:6">
      <c r="C3928"/>
      <c r="D3928"/>
      <c r="E3928"/>
      <c r="F3928"/>
    </row>
    <row r="3929" spans="3:6">
      <c r="C3929"/>
      <c r="D3929"/>
      <c r="E3929"/>
      <c r="F3929"/>
    </row>
    <row r="3930" spans="3:6">
      <c r="C3930"/>
      <c r="D3930"/>
      <c r="E3930"/>
      <c r="F3930"/>
    </row>
    <row r="3931" spans="3:6">
      <c r="C3931"/>
      <c r="D3931"/>
      <c r="E3931"/>
      <c r="F3931"/>
    </row>
    <row r="3932" spans="3:6">
      <c r="C3932"/>
      <c r="D3932"/>
      <c r="E3932"/>
      <c r="F3932"/>
    </row>
    <row r="3933" spans="3:6">
      <c r="C3933"/>
      <c r="D3933"/>
      <c r="E3933"/>
      <c r="F3933"/>
    </row>
    <row r="3934" spans="3:6">
      <c r="C3934"/>
      <c r="D3934"/>
      <c r="E3934"/>
      <c r="F3934"/>
    </row>
    <row r="3935" spans="3:6">
      <c r="C3935"/>
      <c r="D3935"/>
      <c r="E3935"/>
      <c r="F3935"/>
    </row>
    <row r="3936" spans="3:6">
      <c r="C3936"/>
      <c r="D3936"/>
      <c r="E3936"/>
      <c r="F3936"/>
    </row>
    <row r="3937" spans="3:6">
      <c r="C3937"/>
      <c r="D3937"/>
      <c r="E3937"/>
      <c r="F3937"/>
    </row>
    <row r="3938" spans="3:6">
      <c r="C3938"/>
      <c r="D3938"/>
      <c r="E3938"/>
      <c r="F3938"/>
    </row>
    <row r="3939" spans="3:6">
      <c r="C3939"/>
      <c r="D3939"/>
      <c r="E3939"/>
      <c r="F3939"/>
    </row>
    <row r="3940" spans="3:6">
      <c r="C3940"/>
      <c r="D3940"/>
      <c r="E3940"/>
      <c r="F3940"/>
    </row>
    <row r="3941" spans="3:6">
      <c r="C3941"/>
      <c r="D3941"/>
      <c r="E3941"/>
      <c r="F3941"/>
    </row>
    <row r="3942" spans="3:6">
      <c r="C3942"/>
      <c r="D3942"/>
      <c r="E3942"/>
      <c r="F3942"/>
    </row>
    <row r="3943" spans="3:6">
      <c r="C3943"/>
      <c r="D3943"/>
      <c r="E3943"/>
      <c r="F3943"/>
    </row>
    <row r="3944" spans="3:6">
      <c r="C3944"/>
      <c r="D3944"/>
      <c r="E3944"/>
      <c r="F3944"/>
    </row>
    <row r="3945" spans="3:6">
      <c r="C3945"/>
      <c r="D3945"/>
      <c r="E3945"/>
      <c r="F3945"/>
    </row>
    <row r="3946" spans="3:6">
      <c r="C3946"/>
      <c r="D3946"/>
      <c r="E3946"/>
      <c r="F3946"/>
    </row>
    <row r="3947" spans="3:6">
      <c r="C3947"/>
      <c r="D3947"/>
      <c r="E3947"/>
      <c r="F3947"/>
    </row>
    <row r="3948" spans="3:6">
      <c r="C3948"/>
      <c r="D3948"/>
      <c r="E3948"/>
      <c r="F3948"/>
    </row>
    <row r="3949" spans="3:6">
      <c r="C3949"/>
      <c r="D3949"/>
      <c r="E3949"/>
      <c r="F3949"/>
    </row>
    <row r="3950" spans="3:6">
      <c r="C3950"/>
      <c r="D3950"/>
      <c r="E3950"/>
      <c r="F3950"/>
    </row>
    <row r="3951" spans="3:6">
      <c r="C3951"/>
      <c r="D3951"/>
      <c r="E3951"/>
      <c r="F3951"/>
    </row>
    <row r="3952" spans="3:6">
      <c r="C3952"/>
      <c r="D3952"/>
      <c r="E3952"/>
      <c r="F3952"/>
    </row>
    <row r="3953" spans="3:6">
      <c r="C3953"/>
      <c r="D3953"/>
      <c r="E3953"/>
      <c r="F3953"/>
    </row>
    <row r="3954" spans="3:6">
      <c r="C3954"/>
      <c r="D3954"/>
      <c r="E3954"/>
      <c r="F3954"/>
    </row>
    <row r="3955" spans="3:6">
      <c r="C3955"/>
      <c r="D3955"/>
      <c r="E3955"/>
      <c r="F3955"/>
    </row>
    <row r="3956" spans="3:6">
      <c r="C3956"/>
      <c r="D3956"/>
      <c r="E3956"/>
      <c r="F3956"/>
    </row>
    <row r="3957" spans="3:6">
      <c r="C3957"/>
      <c r="D3957"/>
      <c r="E3957"/>
      <c r="F3957"/>
    </row>
    <row r="3958" spans="3:6">
      <c r="C3958"/>
      <c r="D3958"/>
      <c r="E3958"/>
      <c r="F3958"/>
    </row>
    <row r="3959" spans="3:6">
      <c r="C3959"/>
      <c r="D3959"/>
      <c r="E3959"/>
      <c r="F3959"/>
    </row>
    <row r="3960" spans="3:6">
      <c r="C3960"/>
      <c r="D3960"/>
      <c r="E3960"/>
      <c r="F3960"/>
    </row>
    <row r="3961" spans="3:6">
      <c r="C3961"/>
      <c r="D3961"/>
      <c r="E3961"/>
      <c r="F3961"/>
    </row>
    <row r="3962" spans="3:6">
      <c r="C3962"/>
      <c r="D3962"/>
      <c r="E3962"/>
      <c r="F3962"/>
    </row>
    <row r="3963" spans="3:6">
      <c r="C3963"/>
      <c r="D3963"/>
      <c r="E3963"/>
      <c r="F3963"/>
    </row>
    <row r="3964" spans="3:6">
      <c r="C3964"/>
      <c r="D3964"/>
      <c r="E3964"/>
      <c r="F3964"/>
    </row>
    <row r="3965" spans="3:6">
      <c r="C3965"/>
      <c r="D3965"/>
      <c r="E3965"/>
      <c r="F3965"/>
    </row>
    <row r="3966" spans="3:6">
      <c r="C3966"/>
      <c r="D3966"/>
      <c r="E3966"/>
      <c r="F3966"/>
    </row>
    <row r="3967" spans="3:6">
      <c r="C3967"/>
      <c r="D3967"/>
      <c r="E3967"/>
      <c r="F3967"/>
    </row>
    <row r="3968" spans="3:6">
      <c r="C3968"/>
      <c r="D3968"/>
      <c r="E3968"/>
      <c r="F3968"/>
    </row>
    <row r="3969" spans="3:6">
      <c r="C3969"/>
      <c r="D3969"/>
      <c r="E3969"/>
      <c r="F3969"/>
    </row>
    <row r="3970" spans="3:6">
      <c r="C3970"/>
      <c r="D3970"/>
      <c r="E3970"/>
      <c r="F3970"/>
    </row>
    <row r="3971" spans="3:6">
      <c r="C3971"/>
      <c r="D3971"/>
      <c r="E3971"/>
      <c r="F3971"/>
    </row>
    <row r="3972" spans="3:6">
      <c r="C3972"/>
      <c r="D3972"/>
      <c r="E3972"/>
      <c r="F3972"/>
    </row>
    <row r="3973" spans="3:6">
      <c r="C3973"/>
      <c r="D3973"/>
      <c r="E3973"/>
      <c r="F3973"/>
    </row>
    <row r="3974" spans="3:6">
      <c r="C3974"/>
      <c r="D3974"/>
      <c r="E3974"/>
      <c r="F3974"/>
    </row>
    <row r="3975" spans="3:6">
      <c r="C3975"/>
      <c r="D3975"/>
      <c r="E3975"/>
      <c r="F3975"/>
    </row>
    <row r="3976" spans="3:6">
      <c r="C3976"/>
      <c r="D3976"/>
      <c r="E3976"/>
      <c r="F3976"/>
    </row>
    <row r="3977" spans="3:6">
      <c r="C3977"/>
      <c r="D3977"/>
      <c r="E3977"/>
      <c r="F3977"/>
    </row>
    <row r="3978" spans="3:6">
      <c r="C3978"/>
      <c r="D3978"/>
      <c r="E3978"/>
      <c r="F3978"/>
    </row>
    <row r="3979" spans="3:6">
      <c r="C3979"/>
      <c r="D3979"/>
      <c r="E3979"/>
      <c r="F3979"/>
    </row>
    <row r="3980" spans="3:6">
      <c r="C3980"/>
      <c r="D3980"/>
      <c r="E3980"/>
      <c r="F3980"/>
    </row>
    <row r="3981" spans="3:6">
      <c r="C3981"/>
      <c r="D3981"/>
      <c r="E3981"/>
      <c r="F3981"/>
    </row>
    <row r="3982" spans="3:6">
      <c r="C3982"/>
      <c r="D3982"/>
      <c r="E3982"/>
      <c r="F3982"/>
    </row>
    <row r="3983" spans="3:6">
      <c r="C3983"/>
      <c r="D3983"/>
      <c r="E3983"/>
      <c r="F3983"/>
    </row>
    <row r="3984" spans="3:6">
      <c r="C3984"/>
      <c r="D3984"/>
      <c r="E3984"/>
      <c r="F3984"/>
    </row>
    <row r="3985" spans="3:6">
      <c r="C3985"/>
      <c r="D3985"/>
      <c r="E3985"/>
      <c r="F3985"/>
    </row>
    <row r="3986" spans="3:6">
      <c r="C3986"/>
      <c r="D3986"/>
      <c r="E3986"/>
      <c r="F3986"/>
    </row>
    <row r="3987" spans="3:6">
      <c r="C3987"/>
      <c r="D3987"/>
      <c r="E3987"/>
      <c r="F3987"/>
    </row>
    <row r="3988" spans="3:6">
      <c r="C3988"/>
      <c r="D3988"/>
      <c r="E3988"/>
      <c r="F3988"/>
    </row>
    <row r="3989" spans="3:6">
      <c r="C3989"/>
      <c r="D3989"/>
      <c r="E3989"/>
      <c r="F3989"/>
    </row>
    <row r="3990" spans="3:6">
      <c r="C3990"/>
      <c r="D3990"/>
      <c r="E3990"/>
      <c r="F3990"/>
    </row>
    <row r="3991" spans="3:6">
      <c r="C3991"/>
      <c r="D3991"/>
      <c r="E3991"/>
      <c r="F3991"/>
    </row>
    <row r="3992" spans="3:6">
      <c r="C3992"/>
      <c r="D3992"/>
      <c r="E3992"/>
      <c r="F3992"/>
    </row>
    <row r="3993" spans="3:6">
      <c r="C3993"/>
      <c r="D3993"/>
      <c r="E3993"/>
      <c r="F3993"/>
    </row>
    <row r="3994" spans="3:6">
      <c r="C3994"/>
      <c r="D3994"/>
      <c r="E3994"/>
      <c r="F3994"/>
    </row>
    <row r="3995" spans="3:6">
      <c r="C3995"/>
      <c r="D3995"/>
      <c r="E3995"/>
      <c r="F3995"/>
    </row>
    <row r="3996" spans="3:6">
      <c r="C3996"/>
      <c r="D3996"/>
      <c r="E3996"/>
      <c r="F3996"/>
    </row>
    <row r="3997" spans="3:6">
      <c r="C3997"/>
      <c r="D3997"/>
      <c r="E3997"/>
      <c r="F3997"/>
    </row>
    <row r="3998" spans="3:6">
      <c r="C3998"/>
      <c r="D3998"/>
      <c r="E3998"/>
      <c r="F3998"/>
    </row>
    <row r="3999" spans="3:6">
      <c r="C3999"/>
      <c r="D3999"/>
      <c r="E3999"/>
      <c r="F3999"/>
    </row>
    <row r="4000" spans="3:6">
      <c r="C4000"/>
      <c r="D4000"/>
      <c r="E4000"/>
      <c r="F4000"/>
    </row>
    <row r="4001" spans="3:6">
      <c r="C4001"/>
      <c r="D4001"/>
      <c r="E4001"/>
      <c r="F4001"/>
    </row>
    <row r="4002" spans="3:6">
      <c r="C4002"/>
      <c r="D4002"/>
      <c r="E4002"/>
      <c r="F4002"/>
    </row>
    <row r="4003" spans="3:6">
      <c r="C4003"/>
      <c r="D4003"/>
      <c r="E4003"/>
      <c r="F4003"/>
    </row>
    <row r="4004" spans="3:6">
      <c r="C4004"/>
      <c r="D4004"/>
      <c r="E4004"/>
      <c r="F4004"/>
    </row>
    <row r="4005" spans="3:6">
      <c r="C4005"/>
      <c r="D4005"/>
      <c r="E4005"/>
      <c r="F4005"/>
    </row>
    <row r="4006" spans="3:6">
      <c r="C4006"/>
      <c r="D4006"/>
      <c r="E4006"/>
      <c r="F4006"/>
    </row>
    <row r="4007" spans="3:6">
      <c r="C4007"/>
      <c r="D4007"/>
      <c r="E4007"/>
      <c r="F4007"/>
    </row>
    <row r="4008" spans="3:6">
      <c r="C4008"/>
      <c r="D4008"/>
      <c r="E4008"/>
      <c r="F4008"/>
    </row>
    <row r="4009" spans="3:6">
      <c r="C4009"/>
      <c r="D4009"/>
      <c r="E4009"/>
      <c r="F4009"/>
    </row>
    <row r="4010" spans="3:6">
      <c r="C4010"/>
      <c r="D4010"/>
      <c r="E4010"/>
      <c r="F4010"/>
    </row>
    <row r="4011" spans="3:6">
      <c r="C4011"/>
      <c r="D4011"/>
      <c r="E4011"/>
      <c r="F4011"/>
    </row>
    <row r="4012" spans="3:6">
      <c r="C4012"/>
      <c r="D4012"/>
      <c r="E4012"/>
      <c r="F4012"/>
    </row>
    <row r="4013" spans="3:6">
      <c r="C4013"/>
      <c r="D4013"/>
      <c r="E4013"/>
      <c r="F4013"/>
    </row>
    <row r="4014" spans="3:6">
      <c r="C4014"/>
      <c r="D4014"/>
      <c r="E4014"/>
      <c r="F4014"/>
    </row>
    <row r="4015" spans="3:6">
      <c r="C4015"/>
      <c r="D4015"/>
      <c r="E4015"/>
      <c r="F4015"/>
    </row>
    <row r="4016" spans="3:6">
      <c r="C4016"/>
      <c r="D4016"/>
      <c r="E4016"/>
      <c r="F4016"/>
    </row>
    <row r="4017" spans="3:6">
      <c r="C4017"/>
      <c r="D4017"/>
      <c r="E4017"/>
      <c r="F4017"/>
    </row>
    <row r="4018" spans="3:6">
      <c r="C4018"/>
      <c r="D4018"/>
      <c r="E4018"/>
      <c r="F4018"/>
    </row>
    <row r="4019" spans="3:6">
      <c r="C4019"/>
      <c r="D4019"/>
      <c r="E4019"/>
      <c r="F4019"/>
    </row>
    <row r="4020" spans="3:6">
      <c r="C4020"/>
      <c r="D4020"/>
      <c r="E4020"/>
      <c r="F4020"/>
    </row>
    <row r="4021" spans="3:6">
      <c r="C4021"/>
      <c r="D4021"/>
      <c r="E4021"/>
      <c r="F4021"/>
    </row>
    <row r="4022" spans="3:6">
      <c r="C4022"/>
      <c r="D4022"/>
      <c r="E4022"/>
      <c r="F4022"/>
    </row>
    <row r="4023" spans="3:6">
      <c r="C4023"/>
      <c r="D4023"/>
      <c r="E4023"/>
      <c r="F4023"/>
    </row>
    <row r="4024" spans="3:6">
      <c r="C4024"/>
      <c r="D4024"/>
      <c r="E4024"/>
      <c r="F4024"/>
    </row>
    <row r="4025" spans="3:6">
      <c r="C4025"/>
      <c r="D4025"/>
      <c r="E4025"/>
      <c r="F4025"/>
    </row>
    <row r="4026" spans="3:6">
      <c r="C4026"/>
      <c r="D4026"/>
      <c r="E4026"/>
      <c r="F4026"/>
    </row>
    <row r="4027" spans="3:6">
      <c r="C4027"/>
      <c r="D4027"/>
      <c r="E4027"/>
      <c r="F4027"/>
    </row>
    <row r="4028" spans="3:6">
      <c r="C4028"/>
      <c r="D4028"/>
      <c r="E4028"/>
      <c r="F4028"/>
    </row>
    <row r="4029" spans="3:6">
      <c r="C4029"/>
      <c r="D4029"/>
      <c r="E4029"/>
      <c r="F4029"/>
    </row>
    <row r="4030" spans="3:6">
      <c r="C4030"/>
      <c r="D4030"/>
      <c r="E4030"/>
      <c r="F4030"/>
    </row>
    <row r="4031" spans="3:6">
      <c r="C4031"/>
      <c r="D4031"/>
      <c r="E4031"/>
      <c r="F4031"/>
    </row>
    <row r="4032" spans="3:6">
      <c r="C4032"/>
      <c r="D4032"/>
      <c r="E4032"/>
      <c r="F4032"/>
    </row>
    <row r="4033" spans="3:6">
      <c r="C4033"/>
      <c r="D4033"/>
      <c r="E4033"/>
      <c r="F4033"/>
    </row>
    <row r="4034" spans="3:6">
      <c r="C4034"/>
      <c r="D4034"/>
      <c r="E4034"/>
      <c r="F4034"/>
    </row>
    <row r="4035" spans="3:6">
      <c r="C4035"/>
      <c r="D4035"/>
      <c r="E4035"/>
      <c r="F4035"/>
    </row>
    <row r="4036" spans="3:6">
      <c r="C4036"/>
      <c r="D4036"/>
      <c r="E4036"/>
      <c r="F4036"/>
    </row>
    <row r="4037" spans="3:6">
      <c r="C4037"/>
      <c r="D4037"/>
      <c r="E4037"/>
      <c r="F4037"/>
    </row>
    <row r="4038" spans="3:6">
      <c r="C4038"/>
      <c r="D4038"/>
      <c r="E4038"/>
      <c r="F4038"/>
    </row>
    <row r="4039" spans="3:6">
      <c r="C4039"/>
      <c r="D4039"/>
      <c r="E4039"/>
      <c r="F4039"/>
    </row>
    <row r="4040" spans="3:6">
      <c r="C4040"/>
      <c r="D4040"/>
      <c r="E4040"/>
      <c r="F4040"/>
    </row>
    <row r="4041" spans="3:6">
      <c r="C4041"/>
      <c r="D4041"/>
      <c r="E4041"/>
      <c r="F4041"/>
    </row>
    <row r="4042" spans="3:6">
      <c r="C4042"/>
      <c r="D4042"/>
      <c r="E4042"/>
      <c r="F4042"/>
    </row>
    <row r="4043" spans="3:6">
      <c r="C4043"/>
      <c r="D4043"/>
      <c r="E4043"/>
      <c r="F4043"/>
    </row>
    <row r="4044" spans="3:6">
      <c r="C4044"/>
      <c r="D4044"/>
      <c r="E4044"/>
      <c r="F4044"/>
    </row>
    <row r="4045" spans="3:6">
      <c r="C4045"/>
      <c r="D4045"/>
      <c r="E4045"/>
      <c r="F4045"/>
    </row>
    <row r="4046" spans="3:6">
      <c r="C4046"/>
      <c r="D4046"/>
      <c r="E4046"/>
      <c r="F4046"/>
    </row>
    <row r="4047" spans="3:6">
      <c r="C4047"/>
      <c r="D4047"/>
      <c r="E4047"/>
      <c r="F4047"/>
    </row>
    <row r="4048" spans="3:6">
      <c r="C4048"/>
      <c r="D4048"/>
      <c r="E4048"/>
      <c r="F4048"/>
    </row>
    <row r="4049" spans="3:6">
      <c r="C4049"/>
      <c r="D4049"/>
      <c r="E4049"/>
      <c r="F4049"/>
    </row>
    <row r="4050" spans="3:6">
      <c r="C4050"/>
      <c r="D4050"/>
      <c r="E4050"/>
      <c r="F4050"/>
    </row>
    <row r="4051" spans="3:6">
      <c r="C4051"/>
      <c r="D4051"/>
      <c r="E4051"/>
      <c r="F4051"/>
    </row>
    <row r="4052" spans="3:6">
      <c r="C4052"/>
      <c r="D4052"/>
      <c r="E4052"/>
      <c r="F4052"/>
    </row>
    <row r="4053" spans="3:6">
      <c r="C4053"/>
      <c r="D4053"/>
      <c r="E4053"/>
      <c r="F4053"/>
    </row>
    <row r="4054" spans="3:6">
      <c r="C4054"/>
      <c r="D4054"/>
      <c r="E4054"/>
      <c r="F4054"/>
    </row>
    <row r="4055" spans="3:6">
      <c r="C4055"/>
      <c r="D4055"/>
      <c r="E4055"/>
      <c r="F4055"/>
    </row>
    <row r="4056" spans="3:6">
      <c r="C4056"/>
      <c r="D4056"/>
      <c r="E4056"/>
      <c r="F4056"/>
    </row>
    <row r="4057" spans="3:6">
      <c r="C4057"/>
      <c r="D4057"/>
      <c r="E4057"/>
      <c r="F4057"/>
    </row>
    <row r="4058" spans="3:6">
      <c r="C4058"/>
      <c r="D4058"/>
      <c r="E4058"/>
      <c r="F4058"/>
    </row>
    <row r="4059" spans="3:6">
      <c r="C4059"/>
      <c r="D4059"/>
      <c r="E4059"/>
      <c r="F4059"/>
    </row>
    <row r="4060" spans="3:6">
      <c r="C4060"/>
      <c r="D4060"/>
      <c r="E4060"/>
      <c r="F4060"/>
    </row>
    <row r="4061" spans="3:6">
      <c r="C4061"/>
      <c r="D4061"/>
      <c r="E4061"/>
      <c r="F4061"/>
    </row>
    <row r="4062" spans="3:6">
      <c r="C4062"/>
      <c r="D4062"/>
      <c r="E4062"/>
      <c r="F4062"/>
    </row>
    <row r="4063" spans="3:6">
      <c r="C4063"/>
      <c r="D4063"/>
      <c r="E4063"/>
      <c r="F4063"/>
    </row>
    <row r="4064" spans="3:6">
      <c r="C4064"/>
      <c r="D4064"/>
      <c r="E4064"/>
      <c r="F4064"/>
    </row>
    <row r="4065" spans="3:6">
      <c r="C4065"/>
      <c r="D4065"/>
      <c r="E4065"/>
      <c r="F4065"/>
    </row>
    <row r="4066" spans="3:6">
      <c r="C4066"/>
      <c r="D4066"/>
      <c r="E4066"/>
      <c r="F4066"/>
    </row>
    <row r="4067" spans="3:6">
      <c r="C4067"/>
      <c r="D4067"/>
      <c r="E4067"/>
      <c r="F4067"/>
    </row>
    <row r="4068" spans="3:6">
      <c r="C4068"/>
      <c r="D4068"/>
      <c r="E4068"/>
      <c r="F4068"/>
    </row>
    <row r="4069" spans="3:6">
      <c r="C4069"/>
      <c r="D4069"/>
      <c r="E4069"/>
      <c r="F4069"/>
    </row>
    <row r="4070" spans="3:6">
      <c r="C4070"/>
      <c r="D4070"/>
      <c r="E4070"/>
      <c r="F4070"/>
    </row>
    <row r="4071" spans="3:6">
      <c r="C4071"/>
      <c r="D4071"/>
      <c r="E4071"/>
      <c r="F4071"/>
    </row>
    <row r="4072" spans="3:6">
      <c r="C4072"/>
      <c r="D4072"/>
      <c r="E4072"/>
      <c r="F4072"/>
    </row>
    <row r="4073" spans="3:6">
      <c r="C4073"/>
      <c r="D4073"/>
      <c r="E4073"/>
      <c r="F4073"/>
    </row>
    <row r="4074" spans="3:6">
      <c r="C4074"/>
      <c r="D4074"/>
      <c r="E4074"/>
      <c r="F4074"/>
    </row>
    <row r="4075" spans="3:6">
      <c r="C4075"/>
      <c r="D4075"/>
      <c r="E4075"/>
      <c r="F4075"/>
    </row>
    <row r="4076" spans="3:6">
      <c r="C4076"/>
      <c r="D4076"/>
      <c r="E4076"/>
      <c r="F4076"/>
    </row>
    <row r="4077" spans="3:6">
      <c r="C4077"/>
      <c r="D4077"/>
      <c r="E4077"/>
      <c r="F4077"/>
    </row>
    <row r="4078" spans="3:6">
      <c r="C4078"/>
      <c r="D4078"/>
      <c r="E4078"/>
      <c r="F4078"/>
    </row>
    <row r="4079" spans="3:6">
      <c r="C4079"/>
      <c r="D4079"/>
      <c r="E4079"/>
      <c r="F4079"/>
    </row>
    <row r="4080" spans="3:6">
      <c r="C4080"/>
      <c r="D4080"/>
      <c r="E4080"/>
      <c r="F4080"/>
    </row>
    <row r="4081" spans="3:6">
      <c r="C4081"/>
      <c r="D4081"/>
      <c r="E4081"/>
      <c r="F4081"/>
    </row>
    <row r="4082" spans="3:6">
      <c r="C4082"/>
      <c r="D4082"/>
      <c r="E4082"/>
      <c r="F4082"/>
    </row>
    <row r="4083" spans="3:6">
      <c r="C4083"/>
      <c r="D4083"/>
      <c r="E4083"/>
      <c r="F4083"/>
    </row>
    <row r="4084" spans="3:6">
      <c r="C4084"/>
      <c r="D4084"/>
      <c r="E4084"/>
      <c r="F4084"/>
    </row>
    <row r="4085" spans="3:6">
      <c r="C4085"/>
      <c r="D4085"/>
      <c r="E4085"/>
      <c r="F4085"/>
    </row>
    <row r="4086" spans="3:6">
      <c r="C4086"/>
      <c r="D4086"/>
      <c r="E4086"/>
      <c r="F4086"/>
    </row>
    <row r="4087" spans="3:6">
      <c r="C4087"/>
      <c r="D4087"/>
      <c r="E4087"/>
      <c r="F4087"/>
    </row>
    <row r="4088" spans="3:6">
      <c r="C4088"/>
      <c r="D4088"/>
      <c r="E4088"/>
      <c r="F4088"/>
    </row>
    <row r="4089" spans="3:6">
      <c r="C4089"/>
      <c r="D4089"/>
      <c r="E4089"/>
      <c r="F4089"/>
    </row>
    <row r="4090" spans="3:6">
      <c r="C4090"/>
      <c r="D4090"/>
      <c r="E4090"/>
      <c r="F4090"/>
    </row>
    <row r="4091" spans="3:6">
      <c r="C4091"/>
      <c r="D4091"/>
      <c r="E4091"/>
      <c r="F4091"/>
    </row>
    <row r="4092" spans="3:6">
      <c r="C4092"/>
      <c r="D4092"/>
      <c r="E4092"/>
      <c r="F4092"/>
    </row>
    <row r="4093" spans="3:6">
      <c r="C4093"/>
      <c r="D4093"/>
      <c r="E4093"/>
      <c r="F4093"/>
    </row>
    <row r="4094" spans="3:6">
      <c r="C4094"/>
      <c r="D4094"/>
      <c r="E4094"/>
      <c r="F4094"/>
    </row>
    <row r="4095" spans="3:6">
      <c r="C4095"/>
      <c r="D4095"/>
      <c r="E4095"/>
      <c r="F4095"/>
    </row>
    <row r="4096" spans="3:6">
      <c r="C4096"/>
      <c r="D4096"/>
      <c r="E4096"/>
      <c r="F4096"/>
    </row>
    <row r="4097" spans="3:6">
      <c r="C4097"/>
      <c r="D4097"/>
      <c r="E4097"/>
      <c r="F4097"/>
    </row>
    <row r="4098" spans="3:6">
      <c r="C4098"/>
      <c r="D4098"/>
      <c r="E4098"/>
      <c r="F4098"/>
    </row>
    <row r="4099" spans="3:6">
      <c r="C4099"/>
      <c r="D4099"/>
      <c r="E4099"/>
      <c r="F4099"/>
    </row>
    <row r="4100" spans="3:6">
      <c r="C4100"/>
      <c r="D4100"/>
      <c r="E4100"/>
      <c r="F4100"/>
    </row>
    <row r="4101" spans="3:6">
      <c r="C4101"/>
      <c r="D4101"/>
      <c r="E4101"/>
      <c r="F4101"/>
    </row>
    <row r="4102" spans="3:6">
      <c r="C4102"/>
      <c r="D4102"/>
      <c r="E4102"/>
      <c r="F4102"/>
    </row>
    <row r="4103" spans="3:6">
      <c r="C4103"/>
      <c r="D4103"/>
      <c r="E4103"/>
      <c r="F4103"/>
    </row>
    <row r="4104" spans="3:6">
      <c r="C4104"/>
      <c r="D4104"/>
      <c r="E4104"/>
      <c r="F4104"/>
    </row>
    <row r="4105" spans="3:6">
      <c r="C4105"/>
      <c r="D4105"/>
      <c r="E4105"/>
      <c r="F4105"/>
    </row>
    <row r="4106" spans="3:6">
      <c r="C4106"/>
      <c r="D4106"/>
      <c r="E4106"/>
      <c r="F4106"/>
    </row>
    <row r="4107" spans="3:6">
      <c r="C4107"/>
      <c r="D4107"/>
      <c r="E4107"/>
      <c r="F4107"/>
    </row>
    <row r="4108" spans="3:6">
      <c r="C4108"/>
      <c r="D4108"/>
      <c r="E4108"/>
      <c r="F4108"/>
    </row>
    <row r="4109" spans="3:6">
      <c r="C4109"/>
      <c r="D4109"/>
      <c r="E4109"/>
      <c r="F4109"/>
    </row>
    <row r="4110" spans="3:6">
      <c r="C4110"/>
      <c r="D4110"/>
      <c r="E4110"/>
      <c r="F4110"/>
    </row>
    <row r="4111" spans="3:6">
      <c r="C4111"/>
      <c r="D4111"/>
      <c r="E4111"/>
      <c r="F4111"/>
    </row>
    <row r="4112" spans="3:6">
      <c r="C4112"/>
      <c r="D4112"/>
      <c r="E4112"/>
      <c r="F4112"/>
    </row>
    <row r="4113" spans="3:6">
      <c r="C4113"/>
      <c r="D4113"/>
      <c r="E4113"/>
      <c r="F4113"/>
    </row>
    <row r="4114" spans="3:6">
      <c r="C4114"/>
      <c r="D4114"/>
      <c r="E4114"/>
      <c r="F4114"/>
    </row>
    <row r="4115" spans="3:6">
      <c r="C4115"/>
      <c r="D4115"/>
      <c r="E4115"/>
      <c r="F4115"/>
    </row>
    <row r="4116" spans="3:6">
      <c r="C4116"/>
      <c r="D4116"/>
      <c r="E4116"/>
      <c r="F4116"/>
    </row>
    <row r="4117" spans="3:6">
      <c r="C4117"/>
      <c r="D4117"/>
      <c r="E4117"/>
      <c r="F4117"/>
    </row>
    <row r="4118" spans="3:6">
      <c r="C4118"/>
      <c r="D4118"/>
      <c r="E4118"/>
      <c r="F4118"/>
    </row>
    <row r="4119" spans="3:6">
      <c r="C4119"/>
      <c r="D4119"/>
      <c r="E4119"/>
      <c r="F4119"/>
    </row>
    <row r="4120" spans="3:6">
      <c r="C4120"/>
      <c r="D4120"/>
      <c r="E4120"/>
      <c r="F4120"/>
    </row>
    <row r="4121" spans="3:6">
      <c r="C4121"/>
      <c r="D4121"/>
      <c r="E4121"/>
      <c r="F4121"/>
    </row>
    <row r="4122" spans="3:6">
      <c r="C4122"/>
      <c r="D4122"/>
      <c r="E4122"/>
      <c r="F4122"/>
    </row>
    <row r="4123" spans="3:6">
      <c r="C4123"/>
      <c r="D4123"/>
      <c r="E4123"/>
      <c r="F4123"/>
    </row>
    <row r="4124" spans="3:6">
      <c r="C4124"/>
      <c r="D4124"/>
      <c r="E4124"/>
      <c r="F4124"/>
    </row>
    <row r="4125" spans="3:6">
      <c r="C4125"/>
      <c r="D4125"/>
      <c r="E4125"/>
      <c r="F4125"/>
    </row>
    <row r="4126" spans="3:6">
      <c r="C4126"/>
      <c r="D4126"/>
      <c r="E4126"/>
      <c r="F4126"/>
    </row>
    <row r="4127" spans="3:6">
      <c r="C4127"/>
      <c r="D4127"/>
      <c r="E4127"/>
      <c r="F4127"/>
    </row>
    <row r="4128" spans="3:6">
      <c r="C4128"/>
      <c r="D4128"/>
      <c r="E4128"/>
      <c r="F4128"/>
    </row>
    <row r="4129" spans="3:6">
      <c r="C4129"/>
      <c r="D4129"/>
      <c r="E4129"/>
      <c r="F4129"/>
    </row>
    <row r="4130" spans="3:6">
      <c r="C4130"/>
      <c r="D4130"/>
      <c r="E4130"/>
      <c r="F4130"/>
    </row>
    <row r="4131" spans="3:6">
      <c r="C4131"/>
      <c r="D4131"/>
      <c r="E4131"/>
      <c r="F4131"/>
    </row>
    <row r="4132" spans="3:6">
      <c r="C4132"/>
      <c r="D4132"/>
      <c r="E4132"/>
      <c r="F4132"/>
    </row>
    <row r="4133" spans="3:6">
      <c r="C4133"/>
      <c r="D4133"/>
      <c r="E4133"/>
      <c r="F4133"/>
    </row>
    <row r="4134" spans="3:6">
      <c r="C4134"/>
      <c r="D4134"/>
      <c r="E4134"/>
      <c r="F4134"/>
    </row>
    <row r="4135" spans="3:6">
      <c r="C4135"/>
      <c r="D4135"/>
      <c r="E4135"/>
      <c r="F4135"/>
    </row>
    <row r="4136" spans="3:6">
      <c r="C4136"/>
      <c r="D4136"/>
      <c r="E4136"/>
      <c r="F4136"/>
    </row>
    <row r="4137" spans="3:6">
      <c r="C4137"/>
      <c r="D4137"/>
      <c r="E4137"/>
      <c r="F4137"/>
    </row>
    <row r="4138" spans="3:6">
      <c r="C4138"/>
      <c r="D4138"/>
      <c r="E4138"/>
      <c r="F4138"/>
    </row>
    <row r="4139" spans="3:6">
      <c r="C4139"/>
      <c r="D4139"/>
      <c r="E4139"/>
      <c r="F4139"/>
    </row>
    <row r="4140" spans="3:6">
      <c r="C4140"/>
      <c r="D4140"/>
      <c r="E4140"/>
      <c r="F4140"/>
    </row>
    <row r="4141" spans="3:6">
      <c r="C4141"/>
      <c r="D4141"/>
      <c r="E4141"/>
      <c r="F4141"/>
    </row>
    <row r="4142" spans="3:6">
      <c r="C4142"/>
      <c r="D4142"/>
      <c r="E4142"/>
      <c r="F4142"/>
    </row>
    <row r="4143" spans="3:6">
      <c r="C4143"/>
      <c r="D4143"/>
      <c r="E4143"/>
      <c r="F4143"/>
    </row>
    <row r="4144" spans="3:6">
      <c r="C4144"/>
      <c r="D4144"/>
      <c r="E4144"/>
      <c r="F4144"/>
    </row>
    <row r="4145" spans="3:6">
      <c r="C4145"/>
      <c r="D4145"/>
      <c r="E4145"/>
      <c r="F4145"/>
    </row>
    <row r="4146" spans="3:6">
      <c r="C4146"/>
      <c r="D4146"/>
      <c r="E4146"/>
      <c r="F4146"/>
    </row>
    <row r="4147" spans="3:6">
      <c r="C4147"/>
      <c r="D4147"/>
      <c r="E4147"/>
      <c r="F4147"/>
    </row>
    <row r="4148" spans="3:6">
      <c r="C4148"/>
      <c r="D4148"/>
      <c r="E4148"/>
      <c r="F4148"/>
    </row>
    <row r="4149" spans="3:6">
      <c r="C4149"/>
      <c r="D4149"/>
      <c r="E4149"/>
      <c r="F4149"/>
    </row>
    <row r="4150" spans="3:6">
      <c r="C4150"/>
      <c r="D4150"/>
      <c r="E4150"/>
      <c r="F4150"/>
    </row>
    <row r="4151" spans="3:6">
      <c r="C4151"/>
      <c r="D4151"/>
      <c r="E4151"/>
      <c r="F4151"/>
    </row>
    <row r="4152" spans="3:6">
      <c r="C4152"/>
      <c r="D4152"/>
      <c r="E4152"/>
      <c r="F4152"/>
    </row>
    <row r="4153" spans="3:6">
      <c r="C4153"/>
      <c r="D4153"/>
      <c r="E4153"/>
      <c r="F4153"/>
    </row>
    <row r="4154" spans="3:6">
      <c r="C4154"/>
      <c r="D4154"/>
      <c r="E4154"/>
      <c r="F4154"/>
    </row>
    <row r="4155" spans="3:6">
      <c r="C4155"/>
      <c r="D4155"/>
      <c r="E4155"/>
      <c r="F4155"/>
    </row>
    <row r="4156" spans="3:6">
      <c r="C4156"/>
      <c r="D4156"/>
      <c r="E4156"/>
      <c r="F4156"/>
    </row>
    <row r="4157" spans="3:6">
      <c r="C4157"/>
      <c r="D4157"/>
      <c r="E4157"/>
      <c r="F4157"/>
    </row>
    <row r="4158" spans="3:6">
      <c r="C4158"/>
      <c r="D4158"/>
      <c r="E4158"/>
      <c r="F4158"/>
    </row>
    <row r="4159" spans="3:6">
      <c r="C4159"/>
      <c r="D4159"/>
      <c r="E4159"/>
      <c r="F4159"/>
    </row>
    <row r="4160" spans="3:6">
      <c r="C4160"/>
      <c r="D4160"/>
      <c r="E4160"/>
      <c r="F4160"/>
    </row>
    <row r="4161" spans="3:6">
      <c r="C4161"/>
      <c r="D4161"/>
      <c r="E4161"/>
      <c r="F4161"/>
    </row>
    <row r="4162" spans="3:6">
      <c r="C4162"/>
      <c r="D4162"/>
      <c r="E4162"/>
      <c r="F4162"/>
    </row>
    <row r="4163" spans="3:6">
      <c r="C4163"/>
      <c r="D4163"/>
      <c r="E4163"/>
      <c r="F4163"/>
    </row>
    <row r="4164" spans="3:6">
      <c r="C4164"/>
      <c r="D4164"/>
      <c r="E4164"/>
      <c r="F4164"/>
    </row>
    <row r="4165" spans="3:6">
      <c r="C4165"/>
      <c r="D4165"/>
      <c r="E4165"/>
      <c r="F4165"/>
    </row>
    <row r="4166" spans="3:6">
      <c r="C4166"/>
      <c r="D4166"/>
      <c r="E4166"/>
      <c r="F4166"/>
    </row>
    <row r="4167" spans="3:6">
      <c r="C4167"/>
      <c r="D4167"/>
      <c r="E4167"/>
      <c r="F4167"/>
    </row>
    <row r="4168" spans="3:6">
      <c r="C4168"/>
      <c r="D4168"/>
      <c r="E4168"/>
      <c r="F4168"/>
    </row>
    <row r="4169" spans="3:6">
      <c r="C4169"/>
      <c r="D4169"/>
      <c r="E4169"/>
      <c r="F4169"/>
    </row>
    <row r="4170" spans="3:6">
      <c r="C4170"/>
      <c r="D4170"/>
      <c r="E4170"/>
      <c r="F4170"/>
    </row>
    <row r="4171" spans="3:6">
      <c r="C4171"/>
      <c r="D4171"/>
      <c r="E4171"/>
      <c r="F4171"/>
    </row>
    <row r="4172" spans="3:6">
      <c r="C4172"/>
      <c r="D4172"/>
      <c r="E4172"/>
      <c r="F4172"/>
    </row>
    <row r="4173" spans="3:6">
      <c r="C4173"/>
      <c r="D4173"/>
      <c r="E4173"/>
      <c r="F4173"/>
    </row>
    <row r="4174" spans="3:6">
      <c r="C4174"/>
      <c r="D4174"/>
      <c r="E4174"/>
      <c r="F4174"/>
    </row>
    <row r="4175" spans="3:6">
      <c r="C4175"/>
      <c r="D4175"/>
      <c r="E4175"/>
      <c r="F4175"/>
    </row>
    <row r="4176" spans="3:6">
      <c r="C4176"/>
      <c r="D4176"/>
      <c r="E4176"/>
      <c r="F4176"/>
    </row>
    <row r="4177" spans="3:6">
      <c r="C4177"/>
      <c r="D4177"/>
      <c r="E4177"/>
      <c r="F4177"/>
    </row>
    <row r="4178" spans="3:6">
      <c r="C4178"/>
      <c r="D4178"/>
      <c r="E4178"/>
      <c r="F4178"/>
    </row>
    <row r="4179" spans="3:6">
      <c r="C4179"/>
      <c r="D4179"/>
      <c r="E4179"/>
      <c r="F4179"/>
    </row>
    <row r="4180" spans="3:6">
      <c r="C4180"/>
      <c r="D4180"/>
      <c r="E4180"/>
      <c r="F4180"/>
    </row>
    <row r="4181" spans="3:6">
      <c r="C4181"/>
      <c r="D4181"/>
      <c r="E4181"/>
      <c r="F4181"/>
    </row>
    <row r="4182" spans="3:6">
      <c r="C4182"/>
      <c r="D4182"/>
      <c r="E4182"/>
      <c r="F4182"/>
    </row>
    <row r="4183" spans="3:6">
      <c r="C4183"/>
      <c r="D4183"/>
      <c r="E4183"/>
      <c r="F4183"/>
    </row>
    <row r="4184" spans="3:6">
      <c r="C4184"/>
      <c r="D4184"/>
      <c r="E4184"/>
      <c r="F4184"/>
    </row>
    <row r="4185" spans="3:6">
      <c r="C4185"/>
      <c r="D4185"/>
      <c r="E4185"/>
      <c r="F4185"/>
    </row>
    <row r="4186" spans="3:6">
      <c r="C4186"/>
      <c r="D4186"/>
      <c r="E4186"/>
      <c r="F4186"/>
    </row>
    <row r="4187" spans="3:6">
      <c r="C4187"/>
      <c r="D4187"/>
      <c r="E4187"/>
      <c r="F4187"/>
    </row>
    <row r="4188" spans="3:6">
      <c r="C4188"/>
      <c r="D4188"/>
      <c r="E4188"/>
      <c r="F4188"/>
    </row>
    <row r="4189" spans="3:6">
      <c r="C4189"/>
      <c r="D4189"/>
      <c r="E4189"/>
      <c r="F4189"/>
    </row>
    <row r="4190" spans="3:6">
      <c r="C4190"/>
      <c r="D4190"/>
      <c r="E4190"/>
      <c r="F4190"/>
    </row>
    <row r="4191" spans="3:6">
      <c r="C4191"/>
      <c r="D4191"/>
      <c r="E4191"/>
      <c r="F4191"/>
    </row>
    <row r="4192" spans="3:6">
      <c r="C4192"/>
      <c r="D4192"/>
      <c r="E4192"/>
      <c r="F4192"/>
    </row>
    <row r="4193" spans="3:6">
      <c r="C4193"/>
      <c r="D4193"/>
      <c r="E4193"/>
      <c r="F4193"/>
    </row>
    <row r="4194" spans="3:6">
      <c r="C4194"/>
      <c r="D4194"/>
      <c r="E4194"/>
      <c r="F4194"/>
    </row>
    <row r="4195" spans="3:6">
      <c r="C4195"/>
      <c r="D4195"/>
      <c r="E4195"/>
      <c r="F4195"/>
    </row>
    <row r="4196" spans="3:6">
      <c r="C4196"/>
      <c r="D4196"/>
      <c r="E4196"/>
      <c r="F4196"/>
    </row>
    <row r="4197" spans="3:6">
      <c r="C4197"/>
      <c r="D4197"/>
      <c r="E4197"/>
      <c r="F4197"/>
    </row>
    <row r="4198" spans="3:6">
      <c r="C4198"/>
      <c r="D4198"/>
      <c r="E4198"/>
      <c r="F4198"/>
    </row>
    <row r="4199" spans="3:6">
      <c r="C4199"/>
      <c r="D4199"/>
      <c r="E4199"/>
      <c r="F4199"/>
    </row>
    <row r="4200" spans="3:6">
      <c r="C4200"/>
      <c r="D4200"/>
      <c r="E4200"/>
      <c r="F4200"/>
    </row>
    <row r="4201" spans="3:6">
      <c r="C4201"/>
      <c r="D4201"/>
      <c r="E4201"/>
      <c r="F4201"/>
    </row>
    <row r="4202" spans="3:6">
      <c r="C4202"/>
      <c r="D4202"/>
      <c r="E4202"/>
      <c r="F4202"/>
    </row>
    <row r="4203" spans="3:6">
      <c r="C4203"/>
      <c r="D4203"/>
      <c r="E4203"/>
      <c r="F4203"/>
    </row>
    <row r="4204" spans="3:6">
      <c r="C4204"/>
      <c r="D4204"/>
      <c r="E4204"/>
      <c r="F4204"/>
    </row>
    <row r="4205" spans="3:6">
      <c r="C4205"/>
      <c r="D4205"/>
      <c r="E4205"/>
      <c r="F4205"/>
    </row>
    <row r="4206" spans="3:6">
      <c r="C4206"/>
      <c r="D4206"/>
      <c r="E4206"/>
      <c r="F4206"/>
    </row>
    <row r="4207" spans="3:6">
      <c r="C4207"/>
      <c r="D4207"/>
      <c r="E4207"/>
      <c r="F4207"/>
    </row>
    <row r="4208" spans="3:6">
      <c r="C4208"/>
      <c r="D4208"/>
      <c r="E4208"/>
      <c r="F4208"/>
    </row>
    <row r="4209" spans="3:6">
      <c r="C4209"/>
      <c r="D4209"/>
      <c r="E4209"/>
      <c r="F4209"/>
    </row>
    <row r="4210" spans="3:6">
      <c r="C4210"/>
      <c r="D4210"/>
      <c r="E4210"/>
      <c r="F4210"/>
    </row>
    <row r="4211" spans="3:6">
      <c r="C4211"/>
      <c r="D4211"/>
      <c r="E4211"/>
      <c r="F4211"/>
    </row>
    <row r="4212" spans="3:6">
      <c r="C4212"/>
      <c r="D4212"/>
      <c r="E4212"/>
      <c r="F4212"/>
    </row>
    <row r="4213" spans="3:6">
      <c r="C4213"/>
      <c r="D4213"/>
      <c r="E4213"/>
      <c r="F4213"/>
    </row>
    <row r="4214" spans="3:6">
      <c r="C4214"/>
      <c r="D4214"/>
      <c r="E4214"/>
      <c r="F4214"/>
    </row>
    <row r="4215" spans="3:6">
      <c r="C4215"/>
      <c r="D4215"/>
      <c r="E4215"/>
      <c r="F4215"/>
    </row>
    <row r="4216" spans="3:6">
      <c r="C4216"/>
      <c r="D4216"/>
      <c r="E4216"/>
      <c r="F4216"/>
    </row>
    <row r="4217" spans="3:6">
      <c r="C4217"/>
      <c r="D4217"/>
      <c r="E4217"/>
      <c r="F4217"/>
    </row>
    <row r="4218" spans="3:6">
      <c r="C4218"/>
      <c r="D4218"/>
      <c r="E4218"/>
      <c r="F4218"/>
    </row>
    <row r="4219" spans="3:6">
      <c r="C4219"/>
      <c r="D4219"/>
      <c r="E4219"/>
      <c r="F4219"/>
    </row>
    <row r="4220" spans="3:6">
      <c r="C4220"/>
      <c r="D4220"/>
      <c r="E4220"/>
      <c r="F4220"/>
    </row>
    <row r="4221" spans="3:6">
      <c r="C4221"/>
      <c r="D4221"/>
      <c r="E4221"/>
      <c r="F4221"/>
    </row>
    <row r="4222" spans="3:6">
      <c r="C4222"/>
      <c r="D4222"/>
      <c r="E4222"/>
      <c r="F4222"/>
    </row>
    <row r="4223" spans="3:6">
      <c r="C4223"/>
      <c r="D4223"/>
      <c r="E4223"/>
      <c r="F4223"/>
    </row>
    <row r="4224" spans="3:6">
      <c r="C4224"/>
      <c r="D4224"/>
      <c r="E4224"/>
      <c r="F4224"/>
    </row>
    <row r="4225" spans="3:6">
      <c r="C4225"/>
      <c r="D4225"/>
      <c r="E4225"/>
      <c r="F4225"/>
    </row>
    <row r="4226" spans="3:6">
      <c r="C4226"/>
      <c r="D4226"/>
      <c r="E4226"/>
      <c r="F4226"/>
    </row>
    <row r="4227" spans="3:6">
      <c r="C4227"/>
      <c r="D4227"/>
      <c r="E4227"/>
      <c r="F4227"/>
    </row>
    <row r="4228" spans="3:6">
      <c r="C4228"/>
      <c r="D4228"/>
      <c r="E4228"/>
      <c r="F4228"/>
    </row>
    <row r="4229" spans="3:6">
      <c r="C4229"/>
      <c r="D4229"/>
      <c r="E4229"/>
      <c r="F4229"/>
    </row>
    <row r="4230" spans="3:6">
      <c r="C4230"/>
      <c r="D4230"/>
      <c r="E4230"/>
      <c r="F4230"/>
    </row>
    <row r="4231" spans="3:6">
      <c r="C4231"/>
      <c r="D4231"/>
      <c r="E4231"/>
      <c r="F4231"/>
    </row>
    <row r="4232" spans="3:6">
      <c r="C4232"/>
      <c r="D4232"/>
      <c r="E4232"/>
      <c r="F4232"/>
    </row>
    <row r="4233" spans="3:6">
      <c r="C4233"/>
      <c r="D4233"/>
      <c r="E4233"/>
      <c r="F4233"/>
    </row>
    <row r="4234" spans="3:6">
      <c r="C4234"/>
      <c r="D4234"/>
      <c r="E4234"/>
      <c r="F4234"/>
    </row>
    <row r="4235" spans="3:6">
      <c r="C4235"/>
      <c r="D4235"/>
      <c r="E4235"/>
      <c r="F4235"/>
    </row>
    <row r="4236" spans="3:6">
      <c r="C4236"/>
      <c r="D4236"/>
      <c r="E4236"/>
      <c r="F4236"/>
    </row>
    <row r="4237" spans="3:6">
      <c r="C4237"/>
      <c r="D4237"/>
      <c r="E4237"/>
      <c r="F4237"/>
    </row>
    <row r="4238" spans="3:6">
      <c r="C4238"/>
      <c r="D4238"/>
      <c r="E4238"/>
      <c r="F4238"/>
    </row>
    <row r="4239" spans="3:6">
      <c r="C4239"/>
      <c r="D4239"/>
      <c r="E4239"/>
      <c r="F4239"/>
    </row>
    <row r="4240" spans="3:6">
      <c r="C4240"/>
      <c r="D4240"/>
      <c r="E4240"/>
      <c r="F4240"/>
    </row>
    <row r="4241" spans="3:6">
      <c r="C4241"/>
      <c r="D4241"/>
      <c r="E4241"/>
      <c r="F4241"/>
    </row>
    <row r="4242" spans="3:6">
      <c r="C4242"/>
      <c r="D4242"/>
      <c r="E4242"/>
      <c r="F4242"/>
    </row>
    <row r="4243" spans="3:6">
      <c r="C4243"/>
      <c r="D4243"/>
      <c r="E4243"/>
      <c r="F4243"/>
    </row>
    <row r="4244" spans="3:6">
      <c r="C4244"/>
      <c r="D4244"/>
      <c r="E4244"/>
      <c r="F4244"/>
    </row>
    <row r="4245" spans="3:6">
      <c r="C4245"/>
      <c r="D4245"/>
      <c r="E4245"/>
      <c r="F4245"/>
    </row>
    <row r="4246" spans="3:6">
      <c r="C4246"/>
      <c r="D4246"/>
      <c r="E4246"/>
      <c r="F4246"/>
    </row>
    <row r="4247" spans="3:6">
      <c r="C4247"/>
      <c r="D4247"/>
      <c r="E4247"/>
      <c r="F4247"/>
    </row>
    <row r="4248" spans="3:6">
      <c r="C4248"/>
      <c r="D4248"/>
      <c r="E4248"/>
      <c r="F4248"/>
    </row>
    <row r="4249" spans="3:6">
      <c r="C4249"/>
      <c r="D4249"/>
      <c r="E4249"/>
      <c r="F4249"/>
    </row>
    <row r="4250" spans="3:6">
      <c r="C4250"/>
      <c r="D4250"/>
      <c r="E4250"/>
      <c r="F4250"/>
    </row>
    <row r="4251" spans="3:6">
      <c r="C4251"/>
      <c r="D4251"/>
      <c r="E4251"/>
      <c r="F4251"/>
    </row>
    <row r="4252" spans="3:6">
      <c r="C4252"/>
      <c r="D4252"/>
      <c r="E4252"/>
      <c r="F4252"/>
    </row>
    <row r="4253" spans="3:6">
      <c r="C4253"/>
      <c r="D4253"/>
      <c r="E4253"/>
      <c r="F4253"/>
    </row>
    <row r="4254" spans="3:6">
      <c r="C4254"/>
      <c r="D4254"/>
      <c r="E4254"/>
      <c r="F4254"/>
    </row>
    <row r="4255" spans="3:6">
      <c r="C4255"/>
      <c r="D4255"/>
      <c r="E4255"/>
      <c r="F4255"/>
    </row>
    <row r="4256" spans="3:6">
      <c r="C4256"/>
      <c r="D4256"/>
      <c r="E4256"/>
      <c r="F4256"/>
    </row>
    <row r="4257" spans="3:6">
      <c r="C4257"/>
      <c r="D4257"/>
      <c r="E4257"/>
      <c r="F4257"/>
    </row>
    <row r="4258" spans="3:6">
      <c r="C4258"/>
      <c r="D4258"/>
      <c r="E4258"/>
      <c r="F4258"/>
    </row>
    <row r="4259" spans="3:6">
      <c r="C4259"/>
      <c r="D4259"/>
      <c r="E4259"/>
      <c r="F4259"/>
    </row>
    <row r="4260" spans="3:6">
      <c r="C4260"/>
      <c r="D4260"/>
      <c r="E4260"/>
      <c r="F4260"/>
    </row>
    <row r="4261" spans="3:6">
      <c r="C4261"/>
      <c r="D4261"/>
      <c r="E4261"/>
      <c r="F4261"/>
    </row>
    <row r="4262" spans="3:6">
      <c r="C4262"/>
      <c r="D4262"/>
      <c r="E4262"/>
      <c r="F4262"/>
    </row>
    <row r="4263" spans="3:6">
      <c r="C4263"/>
      <c r="D4263"/>
      <c r="E4263"/>
      <c r="F4263"/>
    </row>
    <row r="4264" spans="3:6">
      <c r="C4264"/>
      <c r="D4264"/>
      <c r="E4264"/>
      <c r="F4264"/>
    </row>
    <row r="4265" spans="3:6">
      <c r="C4265"/>
      <c r="D4265"/>
      <c r="E4265"/>
      <c r="F4265"/>
    </row>
    <row r="4266" spans="3:6">
      <c r="C4266"/>
      <c r="D4266"/>
      <c r="E4266"/>
      <c r="F4266"/>
    </row>
    <row r="4267" spans="3:6">
      <c r="C4267"/>
      <c r="D4267"/>
      <c r="E4267"/>
      <c r="F4267"/>
    </row>
    <row r="4268" spans="3:6">
      <c r="C4268"/>
      <c r="D4268"/>
      <c r="E4268"/>
      <c r="F4268"/>
    </row>
    <row r="4269" spans="3:6">
      <c r="C4269"/>
      <c r="D4269"/>
      <c r="E4269"/>
      <c r="F4269"/>
    </row>
    <row r="4270" spans="3:6">
      <c r="C4270"/>
      <c r="D4270"/>
      <c r="E4270"/>
      <c r="F4270"/>
    </row>
    <row r="4271" spans="3:6">
      <c r="C4271"/>
      <c r="D4271"/>
      <c r="E4271"/>
      <c r="F4271"/>
    </row>
    <row r="4272" spans="3:6">
      <c r="C4272"/>
      <c r="D4272"/>
      <c r="E4272"/>
      <c r="F4272"/>
    </row>
    <row r="4273" spans="3:6">
      <c r="C4273"/>
      <c r="D4273"/>
      <c r="E4273"/>
      <c r="F4273"/>
    </row>
    <row r="4274" spans="3:6">
      <c r="C4274"/>
      <c r="D4274"/>
      <c r="E4274"/>
      <c r="F4274"/>
    </row>
    <row r="4275" spans="3:6">
      <c r="C4275"/>
      <c r="D4275"/>
      <c r="E4275"/>
      <c r="F4275"/>
    </row>
    <row r="4276" spans="3:6">
      <c r="C4276"/>
      <c r="D4276"/>
      <c r="E4276"/>
      <c r="F4276"/>
    </row>
    <row r="4277" spans="3:6">
      <c r="C4277"/>
      <c r="D4277"/>
      <c r="E4277"/>
      <c r="F4277"/>
    </row>
    <row r="4278" spans="3:6">
      <c r="C4278"/>
      <c r="D4278"/>
      <c r="E4278"/>
      <c r="F4278"/>
    </row>
    <row r="4279" spans="3:6">
      <c r="C4279"/>
      <c r="D4279"/>
      <c r="E4279"/>
      <c r="F4279"/>
    </row>
    <row r="4280" spans="3:6">
      <c r="C4280"/>
      <c r="D4280"/>
      <c r="E4280"/>
      <c r="F4280"/>
    </row>
    <row r="4281" spans="3:6">
      <c r="C4281"/>
      <c r="D4281"/>
      <c r="E4281"/>
      <c r="F4281"/>
    </row>
    <row r="4282" spans="3:6">
      <c r="C4282"/>
      <c r="D4282"/>
      <c r="E4282"/>
      <c r="F4282"/>
    </row>
    <row r="4283" spans="3:6">
      <c r="C4283"/>
      <c r="D4283"/>
      <c r="E4283"/>
      <c r="F4283"/>
    </row>
    <row r="4284" spans="3:6">
      <c r="C4284"/>
      <c r="D4284"/>
      <c r="E4284"/>
      <c r="F4284"/>
    </row>
    <row r="4285" spans="3:6">
      <c r="C4285"/>
      <c r="D4285"/>
      <c r="E4285"/>
      <c r="F4285"/>
    </row>
    <row r="4286" spans="3:6">
      <c r="C4286"/>
      <c r="D4286"/>
      <c r="E4286"/>
      <c r="F4286"/>
    </row>
    <row r="4287" spans="3:6">
      <c r="C4287"/>
      <c r="D4287"/>
      <c r="E4287"/>
      <c r="F4287"/>
    </row>
    <row r="4288" spans="3:6">
      <c r="C4288"/>
      <c r="D4288"/>
      <c r="E4288"/>
      <c r="F4288"/>
    </row>
    <row r="4289" spans="3:6">
      <c r="C4289"/>
      <c r="D4289"/>
      <c r="E4289"/>
      <c r="F4289"/>
    </row>
    <row r="4290" spans="3:6">
      <c r="C4290"/>
      <c r="D4290"/>
      <c r="E4290"/>
      <c r="F4290"/>
    </row>
    <row r="4291" spans="3:6">
      <c r="C4291"/>
      <c r="D4291"/>
      <c r="E4291"/>
      <c r="F4291"/>
    </row>
    <row r="4292" spans="3:6">
      <c r="C4292"/>
      <c r="D4292"/>
      <c r="E4292"/>
      <c r="F4292"/>
    </row>
    <row r="4293" spans="3:6">
      <c r="C4293"/>
      <c r="D4293"/>
      <c r="E4293"/>
      <c r="F4293"/>
    </row>
    <row r="4294" spans="3:6">
      <c r="C4294"/>
      <c r="D4294"/>
      <c r="E4294"/>
      <c r="F4294"/>
    </row>
    <row r="4295" spans="3:6">
      <c r="C4295"/>
      <c r="D4295"/>
      <c r="E4295"/>
      <c r="F4295"/>
    </row>
    <row r="4296" spans="3:6">
      <c r="C4296"/>
      <c r="D4296"/>
      <c r="E4296"/>
      <c r="F4296"/>
    </row>
    <row r="4297" spans="3:6">
      <c r="C4297"/>
      <c r="D4297"/>
      <c r="E4297"/>
      <c r="F4297"/>
    </row>
    <row r="4298" spans="3:6">
      <c r="C4298"/>
      <c r="D4298"/>
      <c r="E4298"/>
      <c r="F4298"/>
    </row>
    <row r="4299" spans="3:6">
      <c r="C4299"/>
      <c r="D4299"/>
      <c r="E4299"/>
      <c r="F4299"/>
    </row>
    <row r="4300" spans="3:6">
      <c r="C4300"/>
      <c r="D4300"/>
      <c r="E4300"/>
      <c r="F4300"/>
    </row>
    <row r="4301" spans="3:6">
      <c r="C4301"/>
      <c r="D4301"/>
      <c r="E4301"/>
      <c r="F4301"/>
    </row>
    <row r="4302" spans="3:6">
      <c r="C4302"/>
      <c r="D4302"/>
      <c r="E4302"/>
      <c r="F4302"/>
    </row>
    <row r="4303" spans="3:6">
      <c r="C4303"/>
      <c r="D4303"/>
      <c r="E4303"/>
      <c r="F4303"/>
    </row>
    <row r="4304" spans="3:6">
      <c r="C4304"/>
      <c r="D4304"/>
      <c r="E4304"/>
      <c r="F4304"/>
    </row>
    <row r="4305" spans="3:6">
      <c r="C4305"/>
      <c r="D4305"/>
      <c r="E4305"/>
      <c r="F4305"/>
    </row>
    <row r="4306" spans="3:6">
      <c r="C4306"/>
      <c r="D4306"/>
      <c r="E4306"/>
      <c r="F4306"/>
    </row>
    <row r="4307" spans="3:6">
      <c r="C4307"/>
      <c r="D4307"/>
      <c r="E4307"/>
      <c r="F4307"/>
    </row>
    <row r="4308" spans="3:6">
      <c r="C4308"/>
      <c r="D4308"/>
      <c r="E4308"/>
      <c r="F4308"/>
    </row>
    <row r="4309" spans="3:6">
      <c r="C4309"/>
      <c r="D4309"/>
      <c r="E4309"/>
      <c r="F4309"/>
    </row>
    <row r="4310" spans="3:6">
      <c r="C4310"/>
      <c r="D4310"/>
      <c r="E4310"/>
      <c r="F4310"/>
    </row>
    <row r="4311" spans="3:6">
      <c r="C4311"/>
      <c r="D4311"/>
      <c r="E4311"/>
      <c r="F4311"/>
    </row>
    <row r="4312" spans="3:6">
      <c r="C4312"/>
      <c r="D4312"/>
      <c r="E4312"/>
      <c r="F4312"/>
    </row>
    <row r="4313" spans="3:6">
      <c r="C4313"/>
      <c r="D4313"/>
      <c r="E4313"/>
      <c r="F4313"/>
    </row>
    <row r="4314" spans="3:6">
      <c r="C4314"/>
      <c r="D4314"/>
      <c r="E4314"/>
      <c r="F4314"/>
    </row>
    <row r="4315" spans="3:6">
      <c r="C4315"/>
      <c r="D4315"/>
      <c r="E4315"/>
      <c r="F4315"/>
    </row>
    <row r="4316" spans="3:6">
      <c r="C4316"/>
      <c r="D4316"/>
      <c r="E4316"/>
      <c r="F4316"/>
    </row>
    <row r="4317" spans="3:6">
      <c r="C4317"/>
      <c r="D4317"/>
      <c r="E4317"/>
      <c r="F4317"/>
    </row>
    <row r="4318" spans="3:6">
      <c r="C4318"/>
      <c r="D4318"/>
      <c r="E4318"/>
      <c r="F4318"/>
    </row>
    <row r="4319" spans="3:6">
      <c r="C4319"/>
      <c r="D4319"/>
      <c r="E4319"/>
      <c r="F4319"/>
    </row>
    <row r="4320" spans="3:6">
      <c r="C4320"/>
      <c r="D4320"/>
      <c r="E4320"/>
      <c r="F4320"/>
    </row>
    <row r="4321" spans="3:6">
      <c r="C4321"/>
      <c r="D4321"/>
      <c r="E4321"/>
      <c r="F4321"/>
    </row>
    <row r="4322" spans="3:6">
      <c r="C4322"/>
      <c r="D4322"/>
      <c r="E4322"/>
      <c r="F4322"/>
    </row>
    <row r="4323" spans="3:6">
      <c r="C4323"/>
      <c r="D4323"/>
      <c r="E4323"/>
      <c r="F4323"/>
    </row>
    <row r="4324" spans="3:6">
      <c r="C4324"/>
      <c r="D4324"/>
      <c r="E4324"/>
      <c r="F4324"/>
    </row>
    <row r="4325" spans="3:6">
      <c r="C4325"/>
      <c r="D4325"/>
      <c r="E4325"/>
      <c r="F4325"/>
    </row>
    <row r="4326" spans="3:6">
      <c r="C4326"/>
      <c r="D4326"/>
      <c r="E4326"/>
      <c r="F4326"/>
    </row>
    <row r="4327" spans="3:6">
      <c r="C4327"/>
      <c r="D4327"/>
      <c r="E4327"/>
      <c r="F4327"/>
    </row>
    <row r="4328" spans="3:6">
      <c r="C4328"/>
      <c r="D4328"/>
      <c r="E4328"/>
      <c r="F4328"/>
    </row>
    <row r="4329" spans="3:6">
      <c r="C4329"/>
      <c r="D4329"/>
      <c r="E4329"/>
      <c r="F4329"/>
    </row>
    <row r="4330" spans="3:6">
      <c r="C4330"/>
      <c r="D4330"/>
      <c r="E4330"/>
      <c r="F4330"/>
    </row>
    <row r="4331" spans="3:6">
      <c r="C4331"/>
      <c r="D4331"/>
      <c r="E4331"/>
      <c r="F4331"/>
    </row>
    <row r="4332" spans="3:6">
      <c r="C4332"/>
      <c r="D4332"/>
      <c r="E4332"/>
      <c r="F4332"/>
    </row>
    <row r="4333" spans="3:6">
      <c r="C4333"/>
      <c r="D4333"/>
      <c r="E4333"/>
      <c r="F4333"/>
    </row>
    <row r="4334" spans="3:6">
      <c r="C4334"/>
      <c r="D4334"/>
      <c r="E4334"/>
      <c r="F4334"/>
    </row>
    <row r="4335" spans="3:6">
      <c r="C4335"/>
      <c r="D4335"/>
      <c r="E4335"/>
      <c r="F4335"/>
    </row>
    <row r="4336" spans="3:6">
      <c r="C4336"/>
      <c r="D4336"/>
      <c r="E4336"/>
      <c r="F4336"/>
    </row>
    <row r="4337" spans="3:6">
      <c r="C4337"/>
      <c r="D4337"/>
      <c r="E4337"/>
      <c r="F4337"/>
    </row>
    <row r="4338" spans="3:6">
      <c r="C4338"/>
      <c r="D4338"/>
      <c r="E4338"/>
      <c r="F4338"/>
    </row>
    <row r="4339" spans="3:6">
      <c r="C4339"/>
      <c r="D4339"/>
      <c r="E4339"/>
      <c r="F4339"/>
    </row>
    <row r="4340" spans="3:6">
      <c r="C4340"/>
      <c r="D4340"/>
      <c r="E4340"/>
      <c r="F4340"/>
    </row>
    <row r="4341" spans="3:6">
      <c r="C4341"/>
      <c r="D4341"/>
      <c r="E4341"/>
      <c r="F4341"/>
    </row>
    <row r="4342" spans="3:6">
      <c r="C4342"/>
      <c r="D4342"/>
      <c r="E4342"/>
      <c r="F4342"/>
    </row>
    <row r="4343" spans="3:6">
      <c r="C4343"/>
      <c r="D4343"/>
      <c r="E4343"/>
      <c r="F4343"/>
    </row>
    <row r="4344" spans="3:6">
      <c r="C4344"/>
      <c r="D4344"/>
      <c r="E4344"/>
      <c r="F4344"/>
    </row>
    <row r="4345" spans="3:6">
      <c r="C4345"/>
      <c r="D4345"/>
      <c r="E4345"/>
      <c r="F4345"/>
    </row>
    <row r="4346" spans="3:6">
      <c r="C4346"/>
      <c r="D4346"/>
      <c r="E4346"/>
      <c r="F4346"/>
    </row>
    <row r="4347" spans="3:6">
      <c r="C4347"/>
      <c r="D4347"/>
      <c r="E4347"/>
      <c r="F4347"/>
    </row>
    <row r="4348" spans="3:6">
      <c r="C4348"/>
      <c r="D4348"/>
      <c r="E4348"/>
      <c r="F4348"/>
    </row>
    <row r="4349" spans="3:6">
      <c r="C4349"/>
      <c r="D4349"/>
      <c r="E4349"/>
      <c r="F4349"/>
    </row>
    <row r="4350" spans="3:6">
      <c r="C4350"/>
      <c r="D4350"/>
      <c r="E4350"/>
      <c r="F4350"/>
    </row>
    <row r="4351" spans="3:6">
      <c r="C4351"/>
      <c r="D4351"/>
      <c r="E4351"/>
      <c r="F4351"/>
    </row>
    <row r="4352" spans="3:6">
      <c r="C4352"/>
      <c r="D4352"/>
      <c r="E4352"/>
      <c r="F4352"/>
    </row>
    <row r="4353" spans="3:6">
      <c r="C4353"/>
      <c r="D4353"/>
      <c r="E4353"/>
      <c r="F4353"/>
    </row>
    <row r="4354" spans="3:6">
      <c r="C4354"/>
      <c r="D4354"/>
      <c r="E4354"/>
      <c r="F4354"/>
    </row>
    <row r="4355" spans="3:6">
      <c r="C4355"/>
      <c r="D4355"/>
      <c r="E4355"/>
      <c r="F4355"/>
    </row>
    <row r="4356" spans="3:6">
      <c r="C4356"/>
      <c r="D4356"/>
      <c r="E4356"/>
      <c r="F4356"/>
    </row>
    <row r="4357" spans="3:6">
      <c r="C4357"/>
      <c r="D4357"/>
      <c r="E4357"/>
      <c r="F4357"/>
    </row>
    <row r="4358" spans="3:6">
      <c r="C4358"/>
      <c r="D4358"/>
      <c r="E4358"/>
      <c r="F4358"/>
    </row>
    <row r="4359" spans="3:6">
      <c r="C4359"/>
      <c r="D4359"/>
      <c r="E4359"/>
      <c r="F4359"/>
    </row>
    <row r="4360" spans="3:6">
      <c r="C4360"/>
      <c r="D4360"/>
      <c r="E4360"/>
      <c r="F4360"/>
    </row>
    <row r="4361" spans="3:6">
      <c r="C4361"/>
      <c r="D4361"/>
      <c r="E4361"/>
      <c r="F4361"/>
    </row>
    <row r="4362" spans="3:6">
      <c r="C4362"/>
      <c r="D4362"/>
      <c r="E4362"/>
      <c r="F4362"/>
    </row>
    <row r="4363" spans="3:6">
      <c r="C4363"/>
      <c r="D4363"/>
      <c r="E4363"/>
      <c r="F4363"/>
    </row>
    <row r="4364" spans="3:6">
      <c r="C4364"/>
      <c r="D4364"/>
      <c r="E4364"/>
      <c r="F4364"/>
    </row>
    <row r="4365" spans="3:6">
      <c r="C4365"/>
      <c r="D4365"/>
      <c r="E4365"/>
      <c r="F4365"/>
    </row>
    <row r="4366" spans="3:6">
      <c r="C4366"/>
      <c r="D4366"/>
      <c r="E4366"/>
      <c r="F4366"/>
    </row>
    <row r="4367" spans="3:6">
      <c r="C4367"/>
      <c r="D4367"/>
      <c r="E4367"/>
      <c r="F4367"/>
    </row>
    <row r="4368" spans="3:6">
      <c r="C4368"/>
      <c r="D4368"/>
      <c r="E4368"/>
      <c r="F4368"/>
    </row>
    <row r="4369" spans="3:6">
      <c r="C4369"/>
      <c r="D4369"/>
      <c r="E4369"/>
      <c r="F4369"/>
    </row>
    <row r="4370" spans="3:6">
      <c r="C4370"/>
      <c r="D4370"/>
      <c r="E4370"/>
      <c r="F4370"/>
    </row>
    <row r="4371" spans="3:6">
      <c r="C4371"/>
      <c r="D4371"/>
      <c r="E4371"/>
      <c r="F4371"/>
    </row>
    <row r="4372" spans="3:6">
      <c r="C4372"/>
      <c r="D4372"/>
      <c r="E4372"/>
      <c r="F4372"/>
    </row>
    <row r="4373" spans="3:6">
      <c r="C4373"/>
      <c r="D4373"/>
      <c r="E4373"/>
      <c r="F4373"/>
    </row>
    <row r="4374" spans="3:6">
      <c r="C4374"/>
      <c r="D4374"/>
      <c r="E4374"/>
      <c r="F4374"/>
    </row>
    <row r="4375" spans="3:6">
      <c r="C4375"/>
      <c r="D4375"/>
      <c r="E4375"/>
      <c r="F4375"/>
    </row>
    <row r="4376" spans="3:6">
      <c r="C4376"/>
      <c r="D4376"/>
      <c r="E4376"/>
      <c r="F4376"/>
    </row>
    <row r="4377" spans="3:6">
      <c r="C4377"/>
      <c r="D4377"/>
      <c r="E4377"/>
      <c r="F4377"/>
    </row>
    <row r="4378" spans="3:6">
      <c r="C4378"/>
      <c r="D4378"/>
      <c r="E4378"/>
      <c r="F4378"/>
    </row>
    <row r="4379" spans="3:6">
      <c r="C4379"/>
      <c r="D4379"/>
      <c r="E4379"/>
      <c r="F4379"/>
    </row>
    <row r="4380" spans="3:6">
      <c r="C4380"/>
      <c r="D4380"/>
      <c r="E4380"/>
      <c r="F4380"/>
    </row>
    <row r="4381" spans="3:6">
      <c r="C4381"/>
      <c r="D4381"/>
      <c r="E4381"/>
      <c r="F4381"/>
    </row>
  </sheetData>
  <autoFilter ref="A1:J402" xr:uid="{C4779D6B-7D59-4962-A104-EA37839DB87D}">
    <filterColumn colId="0">
      <filters>
        <filter val="DEHP"/>
        <filter val="MEHP"/>
      </filters>
    </filterColumn>
    <filterColumn colId="6">
      <filters>
        <filter val="BLTK1"/>
        <filter val="MA-10"/>
        <filter val="mLTC1"/>
        <filter val="Primary LCs"/>
        <filter val="R2C"/>
        <filter val="Testis explants/organ culture"/>
        <filter val="TM3"/>
      </filters>
    </filterColumn>
  </autoFilter>
  <sortState xmlns:xlrd2="http://schemas.microsoft.com/office/spreadsheetml/2017/richdata2" ref="A2:AE4381">
    <sortCondition ref="A2:A4381"/>
    <sortCondition ref="G2:G4381"/>
    <sortCondition ref="H2:H4381"/>
    <sortCondition ref="B2:B4381"/>
  </sortState>
  <conditionalFormatting sqref="C9:C11">
    <cfRule type="dataBar" priority="2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{886F1F53-B1CE-4D44-AE8D-F838098B095C}</x14:id>
        </ext>
      </extLst>
    </cfRule>
  </conditionalFormatting>
  <conditionalFormatting sqref="C62">
    <cfRule type="dataBar" priority="2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{4D0D33AB-BFA9-46FE-94E5-ABC3C03ED202}</x14:id>
        </ext>
      </extLst>
    </cfRule>
  </conditionalFormatting>
  <conditionalFormatting sqref="C121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{5B193D9E-558F-4AF0-B601-8115FF79A7D3}</x14:id>
        </ext>
      </extLst>
    </cfRule>
  </conditionalFormatting>
  <conditionalFormatting sqref="C281">
    <cfRule type="dataBar" priority="2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{3D42EAB1-D3C9-43A3-B494-78E55099E07D}</x14:id>
        </ext>
      </extLst>
    </cfRule>
  </conditionalFormatting>
  <conditionalFormatting sqref="C325">
    <cfRule type="dataBar" priority="15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{73153A9C-2034-4F67-BEAC-03EB3EDC8179}</x14:id>
        </ext>
      </extLst>
    </cfRule>
  </conditionalFormatting>
  <conditionalFormatting sqref="C326">
    <cfRule type="dataBar" priority="1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{E4CD0CF5-F750-44AD-B99F-A2C1F7EFEED5}</x14:id>
        </ext>
      </extLst>
    </cfRule>
  </conditionalFormatting>
  <conditionalFormatting sqref="C327">
    <cfRule type="dataBar" priority="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{04D1837B-301B-47F5-9198-35A9E38A6B89}</x14:id>
        </ext>
      </extLst>
    </cfRule>
  </conditionalFormatting>
  <conditionalFormatting sqref="C334">
    <cfRule type="dataBar" priority="1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{E964749B-8805-46EB-9725-EF0DBEE4CF03}</x14:id>
        </ext>
      </extLst>
    </cfRule>
  </conditionalFormatting>
  <conditionalFormatting sqref="C365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{D0E60AA9-8F38-495F-844C-5C4709DF44AD}</x14:id>
        </ext>
      </extLst>
    </cfRule>
  </conditionalFormatting>
  <conditionalFormatting sqref="C382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{8BBB226A-2208-4DDD-AF36-6A24921A27B4}</x14:id>
        </ext>
      </extLst>
    </cfRule>
  </conditionalFormatting>
  <conditionalFormatting sqref="C402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{909F8100-7F03-4198-8DE0-DD778980F86D}</x14:id>
        </ext>
      </extLst>
    </cfRule>
  </conditionalFormatting>
  <conditionalFormatting sqref="E310">
    <cfRule type="dataBar" priority="1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{B259235F-6009-470B-85E3-C948C609AC1B}</x14:id>
        </ext>
      </extLst>
    </cfRule>
  </conditionalFormatting>
  <conditionalFormatting sqref="F11">
    <cfRule type="dataBar" priority="2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{615D62A6-61F4-4D40-B333-4DA7439FE9A0}</x14:id>
        </ext>
      </extLst>
    </cfRule>
  </conditionalFormatting>
  <conditionalFormatting sqref="F121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{07DC3B08-E82E-4FE5-8AC7-ABFC801012D3}</x14:id>
        </ext>
      </extLst>
    </cfRule>
  </conditionalFormatting>
  <conditionalFormatting sqref="F269">
    <cfRule type="dataBar" priority="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{FA1898D9-7420-4DAA-AFFE-D83CA9737C31}</x14:id>
        </ext>
      </extLst>
    </cfRule>
  </conditionalFormatting>
  <conditionalFormatting sqref="F303">
    <cfRule type="dataBar" priority="1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{5AEE5FCB-C356-44DB-B89A-337FE4984680}</x14:id>
        </ext>
      </extLst>
    </cfRule>
  </conditionalFormatting>
  <conditionalFormatting sqref="F310">
    <cfRule type="dataBar" priority="1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{47818C8B-6B8B-4751-8A55-F52EC809FCAF}</x14:id>
        </ext>
      </extLst>
    </cfRule>
  </conditionalFormatting>
  <conditionalFormatting sqref="F319">
    <cfRule type="dataBar" priority="16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{1BA383B8-5295-491C-8C05-1C2C1D1B53F4}</x14:id>
        </ext>
      </extLst>
    </cfRule>
  </conditionalFormatting>
  <conditionalFormatting sqref="F327">
    <cfRule type="dataBar" priority="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{0DE55AFA-845E-4369-BF69-4062968A32AE}</x14:id>
        </ext>
      </extLst>
    </cfRule>
  </conditionalFormatting>
  <conditionalFormatting sqref="F330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{7476DE76-17B6-45DD-BC18-1F12B7863D86}</x14:id>
        </ext>
      </extLst>
    </cfRule>
  </conditionalFormatting>
  <conditionalFormatting sqref="F334">
    <cfRule type="dataBar" priority="1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{56B2FDDF-203C-4D70-B28F-85E3B12B4397}</x14:id>
        </ext>
      </extLst>
    </cfRule>
  </conditionalFormatting>
  <conditionalFormatting sqref="F350">
    <cfRule type="dataBar" priority="1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{6757F78B-0941-4B7F-B221-9B04699111B9}</x14:id>
        </ext>
      </extLst>
    </cfRule>
  </conditionalFormatting>
  <hyperlinks>
    <hyperlink ref="B40" r:id="rId1" display="https://pubmed.ncbi.nlm.nih.gov/37296657/" xr:uid="{CA0C4E78-20CD-4F5E-BD75-8FB7653BA3D0}"/>
    <hyperlink ref="B73" r:id="rId2" display="6320571" xr:uid="{74804BCE-8448-4209-9F01-D58CF58CF36B}"/>
  </hyperlinks>
  <pageMargins left="0.7" right="0.7" top="0.75" bottom="0.75" header="0.3" footer="0.3"/>
  <pageSetup paperSize="9" orientation="portrait" horizontalDpi="90" verticalDpi="90"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86F1F53-B1CE-4D44-AE8D-F838098B09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C9:C11</xm:sqref>
        </x14:conditionalFormatting>
        <x14:conditionalFormatting xmlns:xm="http://schemas.microsoft.com/office/excel/2006/main">
          <x14:cfRule type="dataBar" id="{4D0D33AB-BFA9-46FE-94E5-ABC3C03ED2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C62</xm:sqref>
        </x14:conditionalFormatting>
        <x14:conditionalFormatting xmlns:xm="http://schemas.microsoft.com/office/excel/2006/main">
          <x14:cfRule type="dataBar" id="{5B193D9E-558F-4AF0-B601-8115FF79A7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C121</xm:sqref>
        </x14:conditionalFormatting>
        <x14:conditionalFormatting xmlns:xm="http://schemas.microsoft.com/office/excel/2006/main">
          <x14:cfRule type="dataBar" id="{3D42EAB1-D3C9-43A3-B494-78E55099E0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C281</xm:sqref>
        </x14:conditionalFormatting>
        <x14:conditionalFormatting xmlns:xm="http://schemas.microsoft.com/office/excel/2006/main">
          <x14:cfRule type="dataBar" id="{73153A9C-2034-4F67-BEAC-03EB3EDC817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C325</xm:sqref>
        </x14:conditionalFormatting>
        <x14:conditionalFormatting xmlns:xm="http://schemas.microsoft.com/office/excel/2006/main">
          <x14:cfRule type="dataBar" id="{E4CD0CF5-F750-44AD-B99F-A2C1F7EFEED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C326</xm:sqref>
        </x14:conditionalFormatting>
        <x14:conditionalFormatting xmlns:xm="http://schemas.microsoft.com/office/excel/2006/main">
          <x14:cfRule type="dataBar" id="{04D1837B-301B-47F5-9198-35A9E38A6B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C327</xm:sqref>
        </x14:conditionalFormatting>
        <x14:conditionalFormatting xmlns:xm="http://schemas.microsoft.com/office/excel/2006/main">
          <x14:cfRule type="dataBar" id="{E964749B-8805-46EB-9725-EF0DBEE4CF0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C334</xm:sqref>
        </x14:conditionalFormatting>
        <x14:conditionalFormatting xmlns:xm="http://schemas.microsoft.com/office/excel/2006/main">
          <x14:cfRule type="dataBar" id="{D0E60AA9-8F38-495F-844C-5C4709DF44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C365</xm:sqref>
        </x14:conditionalFormatting>
        <x14:conditionalFormatting xmlns:xm="http://schemas.microsoft.com/office/excel/2006/main">
          <x14:cfRule type="dataBar" id="{8BBB226A-2208-4DDD-AF36-6A24921A27B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C382</xm:sqref>
        </x14:conditionalFormatting>
        <x14:conditionalFormatting xmlns:xm="http://schemas.microsoft.com/office/excel/2006/main">
          <x14:cfRule type="dataBar" id="{909F8100-7F03-4198-8DE0-DD778980F8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C402</xm:sqref>
        </x14:conditionalFormatting>
        <x14:conditionalFormatting xmlns:xm="http://schemas.microsoft.com/office/excel/2006/main">
          <x14:cfRule type="dataBar" id="{B259235F-6009-470B-85E3-C948C609AC1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E310</xm:sqref>
        </x14:conditionalFormatting>
        <x14:conditionalFormatting xmlns:xm="http://schemas.microsoft.com/office/excel/2006/main">
          <x14:cfRule type="dataBar" id="{615D62A6-61F4-4D40-B333-4DA7439FE9A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F11</xm:sqref>
        </x14:conditionalFormatting>
        <x14:conditionalFormatting xmlns:xm="http://schemas.microsoft.com/office/excel/2006/main">
          <x14:cfRule type="dataBar" id="{07DC3B08-E82E-4FE5-8AC7-ABFC801012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F121</xm:sqref>
        </x14:conditionalFormatting>
        <x14:conditionalFormatting xmlns:xm="http://schemas.microsoft.com/office/excel/2006/main">
          <x14:cfRule type="dataBar" id="{FA1898D9-7420-4DAA-AFFE-D83CA9737C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F269</xm:sqref>
        </x14:conditionalFormatting>
        <x14:conditionalFormatting xmlns:xm="http://schemas.microsoft.com/office/excel/2006/main">
          <x14:cfRule type="dataBar" id="{5AEE5FCB-C356-44DB-B89A-337FE49846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F303</xm:sqref>
        </x14:conditionalFormatting>
        <x14:conditionalFormatting xmlns:xm="http://schemas.microsoft.com/office/excel/2006/main">
          <x14:cfRule type="dataBar" id="{47818C8B-6B8B-4751-8A55-F52EC809FC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F310</xm:sqref>
        </x14:conditionalFormatting>
        <x14:conditionalFormatting xmlns:xm="http://schemas.microsoft.com/office/excel/2006/main">
          <x14:cfRule type="dataBar" id="{1BA383B8-5295-491C-8C05-1C2C1D1B53F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F319</xm:sqref>
        </x14:conditionalFormatting>
        <x14:conditionalFormatting xmlns:xm="http://schemas.microsoft.com/office/excel/2006/main">
          <x14:cfRule type="dataBar" id="{0DE55AFA-845E-4369-BF69-4062968A32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F327</xm:sqref>
        </x14:conditionalFormatting>
        <x14:conditionalFormatting xmlns:xm="http://schemas.microsoft.com/office/excel/2006/main">
          <x14:cfRule type="dataBar" id="{7476DE76-17B6-45DD-BC18-1F12B7863D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F330</xm:sqref>
        </x14:conditionalFormatting>
        <x14:conditionalFormatting xmlns:xm="http://schemas.microsoft.com/office/excel/2006/main">
          <x14:cfRule type="dataBar" id="{56B2FDDF-203C-4D70-B28F-85E3B12B43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F334</xm:sqref>
        </x14:conditionalFormatting>
        <x14:conditionalFormatting xmlns:xm="http://schemas.microsoft.com/office/excel/2006/main">
          <x14:cfRule type="dataBar" id="{6757F78B-0941-4B7F-B221-9B04699111B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F350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3dff7f-fab8-4b40-8561-5a1eac610509">
      <Terms xmlns="http://schemas.microsoft.com/office/infopath/2007/PartnerControls"/>
    </lcf76f155ced4ddcb4097134ff3c332f>
    <TaxCatchAll xmlns="08d0d9d9-bfec-444c-af98-ba0b3fcb3a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B2ED4E4CDE9445AD3E34FB123F9833" ma:contentTypeVersion="20" ma:contentTypeDescription="Create a new document." ma:contentTypeScope="" ma:versionID="37e0be0acb96992369f6f275a602d569">
  <xsd:schema xmlns:xsd="http://www.w3.org/2001/XMLSchema" xmlns:xs="http://www.w3.org/2001/XMLSchema" xmlns:p="http://schemas.microsoft.com/office/2006/metadata/properties" xmlns:ns2="523dff7f-fab8-4b40-8561-5a1eac610509" xmlns:ns3="08d0d9d9-bfec-444c-af98-ba0b3fcb3aa9" targetNamespace="http://schemas.microsoft.com/office/2006/metadata/properties" ma:root="true" ma:fieldsID="cbcab6a923a245b10cc7451dff22e706" ns2:_="" ns3:_="">
    <xsd:import namespace="523dff7f-fab8-4b40-8561-5a1eac610509"/>
    <xsd:import namespace="08d0d9d9-bfec-444c-af98-ba0b3fcb3a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3dff7f-fab8-4b40-8561-5a1eac610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5144c32-5194-445f-8fa8-b47f4d440b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0d9d9-bfec-444c-af98-ba0b3fcb3aa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2ffee0c2-f598-4fcb-86aa-a7ebd7d849ce}" ma:internalName="TaxCatchAll" ma:showField="CatchAllData" ma:web="08d0d9d9-bfec-444c-af98-ba0b3fcb3a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E9D9CE-7DAC-4C91-B3D9-F1917BA717CB}"/>
</file>

<file path=customXml/itemProps2.xml><?xml version="1.0" encoding="utf-8"?>
<ds:datastoreItem xmlns:ds="http://schemas.openxmlformats.org/officeDocument/2006/customXml" ds:itemID="{63D76EE6-C150-44D0-9A9F-4FA4204E1F6F}"/>
</file>

<file path=customXml/itemProps3.xml><?xml version="1.0" encoding="utf-8"?>
<ds:datastoreItem xmlns:ds="http://schemas.openxmlformats.org/officeDocument/2006/customXml" ds:itemID="{5296D769-477C-4D3B-AA13-DC34FDC94133}"/>
</file>

<file path=docMetadata/LabelInfo.xml><?xml version="1.0" encoding="utf-8"?>
<clbl:labelList xmlns:clbl="http://schemas.microsoft.com/office/2020/mipLabelMetadata">
  <clbl:label id="{11904f23-f0db-4cdc-96f7-390bd55fcee8}" enabled="0" method="" siteId="{11904f23-f0db-4cdc-96f7-390bd55fcee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Lola Murielle Bajard ép.Esner</dc:creator>
  <cp:keywords/>
  <dc:description/>
  <cp:lastModifiedBy>Lola Murielle Bajard ép.Esner</cp:lastModifiedBy>
  <cp:revision/>
  <dcterms:created xsi:type="dcterms:W3CDTF">2025-05-26T08:59:56Z</dcterms:created>
  <dcterms:modified xsi:type="dcterms:W3CDTF">2026-03-13T12:33:28Z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0x01010075B2ED4E4CDE9445AD3E34FB123F9833</vt:lpwstr>
  </property>
  <property fmtid="{D5CDD505-2E9C-101B-9397-08002B2CF9AE}" pid="3" name="MediaServiceImageTags">
    <vt:lpwstr/>
  </property>
</Properties>
</file>