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Z:\Storage2\Catharina Capitain\Schüßler et al. 2024\Manuskript\Revisions\"/>
    </mc:Choice>
  </mc:AlternateContent>
  <xr:revisionPtr revIDLastSave="0" documentId="13_ncr:1_{353ECA9B-F19E-4F89-BDAC-D645C0DECDFB}" xr6:coauthVersionLast="36" xr6:coauthVersionMax="47" xr10:uidLastSave="{00000000-0000-0000-0000-000000000000}"/>
  <bookViews>
    <workbookView xWindow="0" yWindow="0" windowWidth="25200" windowHeight="11775" xr2:uid="{00000000-000D-0000-FFFF-FFFF00000000}"/>
  </bookViews>
  <sheets>
    <sheet name="All compound Names" sheetId="3" r:id="rId1"/>
    <sheet name="All compounds CL" sheetId="4" r:id="rId2"/>
  </sheets>
  <externalReferences>
    <externalReference r:id="rId3"/>
  </externalReferences>
  <calcPr calcId="191029"/>
</workbook>
</file>

<file path=xl/calcChain.xml><?xml version="1.0" encoding="utf-8"?>
<calcChain xmlns="http://schemas.openxmlformats.org/spreadsheetml/2006/main">
  <c r="I83" i="4" l="1"/>
  <c r="I14" i="4" l="1"/>
  <c r="I138" i="4" l="1"/>
  <c r="I114" i="4" l="1"/>
  <c r="K114" i="4" s="1"/>
  <c r="I113" i="4"/>
  <c r="K113" i="4" s="1"/>
  <c r="I164" i="4"/>
  <c r="I108" i="4"/>
  <c r="I80" i="4" l="1"/>
  <c r="I8" i="4" l="1"/>
  <c r="K198" i="4" l="1"/>
  <c r="I188" i="4"/>
  <c r="K188" i="4" s="1"/>
  <c r="I131" i="4"/>
  <c r="K187" i="4"/>
  <c r="K200" i="4"/>
  <c r="K185" i="4"/>
  <c r="K184" i="4"/>
  <c r="K199" i="4"/>
  <c r="I177" i="4"/>
  <c r="I180" i="4"/>
  <c r="K180" i="4" s="1"/>
  <c r="I183" i="4" l="1"/>
  <c r="I182" i="4"/>
  <c r="I181" i="4"/>
  <c r="K181" i="4" s="1"/>
  <c r="I133" i="4" l="1"/>
  <c r="K133" i="4" s="1"/>
  <c r="I147" i="4" l="1"/>
  <c r="K147" i="4" s="1"/>
  <c r="I146" i="4"/>
  <c r="K146" i="4" s="1"/>
  <c r="I144" i="4"/>
  <c r="K144" i="4" l="1"/>
  <c r="I145" i="4"/>
  <c r="I143" i="4"/>
  <c r="K143" i="4" s="1"/>
  <c r="I165" i="4"/>
  <c r="I134" i="4"/>
  <c r="K134" i="4" s="1"/>
  <c r="I178" i="4"/>
  <c r="I85" i="4" l="1"/>
  <c r="K85" i="4" s="1"/>
  <c r="I135" i="4" l="1"/>
  <c r="I190" i="4" l="1"/>
  <c r="K190" i="4" s="1"/>
  <c r="I189" i="4"/>
  <c r="K189" i="4" s="1"/>
  <c r="I136" i="4"/>
  <c r="K136" i="4" s="1"/>
  <c r="I153" i="4" l="1"/>
  <c r="K153" i="4" s="1"/>
  <c r="I151" i="4"/>
  <c r="I149" i="4"/>
  <c r="K149" i="4" s="1"/>
  <c r="K67" i="4" l="1"/>
  <c r="K66" i="4"/>
  <c r="K154" i="4"/>
  <c r="K155" i="4"/>
  <c r="K195" i="4"/>
  <c r="K74" i="4" l="1"/>
  <c r="K71" i="4"/>
  <c r="K160" i="4"/>
  <c r="I179" i="4"/>
  <c r="K179" i="4" s="1"/>
  <c r="K178" i="4"/>
  <c r="K165" i="4"/>
  <c r="I110" i="4"/>
  <c r="I109" i="4"/>
  <c r="K109" i="4" s="1"/>
  <c r="I137" i="4"/>
  <c r="I120" i="4"/>
  <c r="I119" i="4"/>
  <c r="I106" i="4"/>
  <c r="K106" i="4" s="1"/>
  <c r="I186" i="4"/>
  <c r="K186" i="4" s="1"/>
  <c r="I111" i="4"/>
  <c r="I76" i="4"/>
  <c r="K76" i="4" s="1"/>
  <c r="I52" i="4"/>
  <c r="K52" i="4" s="1"/>
  <c r="I48" i="4"/>
  <c r="I60" i="4"/>
  <c r="K60" i="4" s="1"/>
  <c r="I59" i="4"/>
  <c r="I57" i="4"/>
  <c r="I55" i="4"/>
  <c r="K55" i="4" s="1"/>
  <c r="I54" i="4"/>
  <c r="I36" i="4"/>
  <c r="K36" i="4" s="1"/>
  <c r="I35" i="4"/>
  <c r="K35" i="4" s="1"/>
  <c r="I28" i="4"/>
  <c r="K28" i="4" s="1"/>
  <c r="I47" i="4"/>
  <c r="K47" i="4" s="1"/>
  <c r="I42" i="4"/>
  <c r="K42" i="4" s="1"/>
  <c r="I5" i="4"/>
  <c r="K5" i="4" s="1"/>
  <c r="I3" i="4"/>
  <c r="K3" i="4" s="1"/>
  <c r="I37" i="4"/>
  <c r="K37" i="4" s="1"/>
  <c r="I168" i="4"/>
  <c r="K168" i="4" s="1"/>
  <c r="I125" i="4"/>
  <c r="K125" i="4" s="1"/>
  <c r="I122" i="4"/>
  <c r="K122" i="4" s="1"/>
  <c r="I150" i="4"/>
  <c r="K150" i="4" s="1"/>
  <c r="I148" i="4"/>
  <c r="K148" i="4" s="1"/>
  <c r="I97" i="4"/>
  <c r="I96" i="4"/>
  <c r="I95" i="4"/>
  <c r="K95" i="4" s="1"/>
  <c r="I93" i="4"/>
  <c r="K93" i="4" s="1"/>
  <c r="I89" i="4"/>
  <c r="I88" i="4"/>
  <c r="K88" i="4" s="1"/>
  <c r="I81" i="4"/>
  <c r="K80" i="4"/>
  <c r="I26" i="4"/>
  <c r="K26" i="4" s="1"/>
  <c r="I27" i="4"/>
  <c r="K27" i="4" s="1"/>
  <c r="I24" i="4"/>
  <c r="I23" i="4"/>
  <c r="I22" i="4"/>
  <c r="K22" i="4" s="1"/>
  <c r="I21" i="4"/>
  <c r="K21" i="4" s="1"/>
  <c r="I19" i="4"/>
  <c r="K19" i="4" s="1"/>
  <c r="I17" i="4"/>
  <c r="I18" i="4"/>
  <c r="I16" i="4"/>
  <c r="K16" i="4" s="1"/>
  <c r="K8" i="4"/>
  <c r="I11" i="4"/>
  <c r="I10" i="4"/>
  <c r="K10" i="4" s="1"/>
  <c r="I9" i="4"/>
  <c r="K9" i="4" s="1"/>
  <c r="I7" i="4"/>
  <c r="K7" i="4" s="1"/>
  <c r="I6" i="4"/>
  <c r="K6" i="4" s="1"/>
  <c r="I130" i="4"/>
  <c r="K130" i="4" s="1"/>
  <c r="I2" i="4" l="1"/>
  <c r="K2" i="4" s="1"/>
  <c r="I4" i="4"/>
  <c r="K4" i="4" s="1"/>
  <c r="I56" i="4"/>
  <c r="K56" i="4" s="1"/>
  <c r="I29" i="4"/>
  <c r="K29" i="4" s="1"/>
  <c r="I31" i="4"/>
  <c r="K31" i="4" s="1"/>
  <c r="I30" i="4"/>
  <c r="K30" i="4" s="1"/>
  <c r="I32" i="4"/>
  <c r="K32" i="4" s="1"/>
  <c r="I163" i="4"/>
  <c r="K163" i="4" s="1"/>
  <c r="I112" i="4"/>
  <c r="K112" i="4" s="1"/>
  <c r="I65" i="4"/>
  <c r="K65" i="4" s="1"/>
  <c r="I140" i="4"/>
  <c r="K140" i="4" s="1"/>
  <c r="I33" i="4"/>
  <c r="K33" i="4" s="1"/>
  <c r="K141" i="4"/>
  <c r="K72" i="4"/>
  <c r="I91" i="4"/>
  <c r="K91" i="4" s="1"/>
  <c r="K138" i="4"/>
  <c r="I58" i="4"/>
  <c r="K58" i="4" s="1"/>
  <c r="I63" i="4"/>
  <c r="K63" i="4" s="1"/>
  <c r="I107" i="4"/>
  <c r="K107" i="4" s="1"/>
  <c r="I38" i="4"/>
  <c r="K38" i="4" s="1"/>
  <c r="I49" i="4"/>
  <c r="K49" i="4" s="1"/>
  <c r="K73" i="4"/>
  <c r="I61" i="4"/>
  <c r="K61" i="4" s="1"/>
  <c r="K108" i="4"/>
  <c r="I41" i="4"/>
  <c r="K41" i="4" s="1"/>
  <c r="I50" i="4"/>
  <c r="K50" i="4" s="1"/>
  <c r="I62" i="4"/>
  <c r="K62" i="4" s="1"/>
  <c r="K156" i="4"/>
  <c r="K177" i="4"/>
  <c r="I51" i="4"/>
  <c r="K51" i="4" s="1"/>
  <c r="I103" i="4"/>
  <c r="K103" i="4" s="1"/>
  <c r="I53" i="4"/>
  <c r="K53" i="4" s="1"/>
  <c r="I79" i="4"/>
  <c r="K79" i="4" s="1"/>
  <c r="I40" i="4"/>
  <c r="K40" i="4" s="1"/>
  <c r="I90" i="4"/>
  <c r="K90" i="4" s="1"/>
  <c r="I118" i="4"/>
  <c r="K118" i="4" s="1"/>
  <c r="I117" i="4"/>
  <c r="K117" i="4" s="1"/>
  <c r="I128" i="4"/>
  <c r="K128" i="4" s="1"/>
  <c r="I129" i="4"/>
  <c r="K129" i="4" s="1"/>
  <c r="I116" i="4"/>
  <c r="I46" i="4"/>
  <c r="K46" i="4" s="1"/>
  <c r="I39" i="4"/>
  <c r="K39" i="4" s="1"/>
  <c r="K70" i="4"/>
  <c r="I105" i="4"/>
  <c r="K105" i="4" s="1"/>
  <c r="I127" i="4"/>
  <c r="K127" i="4" s="1"/>
  <c r="K69" i="4"/>
  <c r="K68" i="4"/>
  <c r="I77" i="4"/>
  <c r="K77" i="4" s="1"/>
  <c r="K142" i="4"/>
  <c r="I44" i="4"/>
  <c r="K44" i="4" s="1"/>
  <c r="I34" i="4"/>
  <c r="K34" i="4" s="1"/>
  <c r="K183" i="4"/>
  <c r="I64" i="4"/>
  <c r="K64" i="4" s="1"/>
  <c r="I126" i="4" l="1"/>
  <c r="K126" i="4" s="1"/>
  <c r="I45" i="4"/>
  <c r="K45" i="4" s="1"/>
  <c r="I78" i="4"/>
  <c r="K78" i="4" s="1"/>
  <c r="I92" i="4"/>
  <c r="K92" i="4" s="1"/>
  <c r="I43" i="4"/>
  <c r="K43" i="4" s="1"/>
  <c r="I132" i="4"/>
  <c r="K132" i="4" s="1"/>
  <c r="K131" i="4"/>
  <c r="I121" i="4"/>
  <c r="K121" i="4" s="1"/>
  <c r="I139" i="4"/>
  <c r="K139" i="4" s="1"/>
  <c r="K116" i="4"/>
  <c r="K169" i="4"/>
  <c r="I115" i="4"/>
  <c r="K115" i="4" s="1"/>
  <c r="K182" i="4"/>
  <c r="I104" i="4"/>
  <c r="K104" i="4" s="1"/>
  <c r="I166" i="4"/>
  <c r="K166" i="4" s="1"/>
  <c r="I123" i="4"/>
  <c r="K123" i="4" s="1"/>
  <c r="I13" i="4"/>
  <c r="K13" i="4" s="1"/>
  <c r="I98" i="4"/>
  <c r="K98" i="4" s="1"/>
  <c r="I100" i="4"/>
  <c r="K100" i="4" s="1"/>
  <c r="I102" i="4"/>
  <c r="K102" i="4" s="1"/>
  <c r="I152" i="4"/>
  <c r="K152" i="4" s="1"/>
  <c r="I25" i="4"/>
  <c r="K25" i="4" s="1"/>
  <c r="I12" i="4"/>
  <c r="K12" i="4" s="1"/>
  <c r="I167" i="4"/>
  <c r="K167" i="4" s="1"/>
  <c r="I87" i="4"/>
  <c r="K87" i="4" s="1"/>
  <c r="I101" i="4"/>
  <c r="K101" i="4" s="1"/>
  <c r="I20" i="4"/>
  <c r="K20" i="4" s="1"/>
  <c r="K14" i="4"/>
  <c r="I124" i="4"/>
  <c r="K124" i="4" s="1"/>
  <c r="K18" i="4"/>
  <c r="I94" i="4"/>
  <c r="K94" i="4" s="1"/>
  <c r="I99" i="4"/>
  <c r="K99" i="4" s="1"/>
  <c r="I86" i="4"/>
  <c r="K86" i="4" s="1"/>
  <c r="I15" i="4"/>
  <c r="K15" i="4" s="1"/>
  <c r="I82" i="4"/>
  <c r="K82" i="4" s="1"/>
  <c r="I84" i="4"/>
  <c r="K84"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Catharina</author>
  </authors>
  <commentList>
    <comment ref="D4" authorId="0" shapeId="0" xr:uid="{8A639A9B-5D9F-41A7-AC7B-E7C514C23641}">
      <text>
        <r>
          <rPr>
            <sz val="9"/>
            <color indexed="81"/>
            <rFont val="Tahoma"/>
            <family val="2"/>
          </rPr>
          <t>QzhGMTVPMi18UGljdHVyZSA3fFZtcERSREF4TURBRUF3SUJBQUFBQUFBQUFBQUFBQUNBQUFBQUFBTUFGZ0FBQUVOb1pXMUVjbUYzSURJeUxqSXVNQzR6TXpBd0NBQVRBQUFBVlc1MGFYUnNaV1FnUkc5amRXMWxiblFFQWhBQXF0b1BBVm5Ca3dBUkFXVUJSdW1JQVFFSkNBQUFnRUFBQUlCQUFBSUpDQUFBd0NFQUFNQzFBZzBJQVFBQkNBY0JBQUU2QkFFQUFUc0VBUUFBUlFRQkFBRThCQUVBQUVvRUFRQUFEQVlCQUFFUEJnRUFBUTBHQVFBQVFnUUJBQUJEQkFFQUFFUUVBUUFBRGdnQ0FNd1h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LTU9BQUFFQWhBQUFBQUFBQUFBQUFEOEdhWUIxQnJMRnhZSUJBQUFBQ1FBR0FnRUFBQUFKQUFaQ0FBQUVBZ0NBQUVBRHdnQ0FBRUFBNEJ2RGdBQUJBSVFBS3JhRHdGWndaTUFFUUZsQVVicGlBRUtBQUlBeWhBRWdIQU9BQUFBQWdnQTNrMHpBVE5FWndFS0FBSUF5eEEzQkFFQUFRQUFCSUJ4RGdBQUFBSUlBTjVORlFFelJHY0JDZ0FDQU13UUFnUUNBQWdBS3dRQ0FBQUFTQVFBQURjRUFRQUJCb0FBQUFBQUFBSUlBQkVCR2dGem1XSUJCQUlRQUtyYUR3RnptV0lCZHljYUFmUHVhd0VqQ0FFQUFBSUhBZ0FBQUFBSERRQUJBQUFBQXdCZ0FQQUFBQUJQQ1FjTkFBRUFBQUFEQUdBQThBQUFBRThBQUFBQUJJQnlEZ0FBQUFJSUFONU5RZ0VnU1UwQkNnQUNBTTBRTndRQkFBRUFBQVNBY3c0QUFBQUNDQURlVFRNQkRFNHpBUW9BQWdET0VEY0VBUUFCQUFBRWdIUU9BQUFBQWdnQTNrMUNBZmxTR1FFS0FBSUF6eEEzQkFFQUFRQUFCSUIxRGdBQUFBSUlBTjVOTXdIbVYvOEFDZ0FDQU5BUU53UUJBQUVBQUFTQWRnNEFBQUFDQ0FEZVRVSUIwMXpsQUFvQUFnRFJFRGNFQVFBQkFBQUVnSGNPQUFBQUFnZ0EzazB6QWI5aHl3QUtBQUlBMGhBM0JBRUFBUUFBQklCNERnQUFBQUlJQU41TlFnR3NackVBQ2dBQ0FOTVFOd1FCQUFFQUFBU0FlUTRBQUFBQ0NBRGVUVkVCbVd1WEFBb0FBZ0RVRUFJRUFnQUpBQ3NFQWdBQUFFZ0VBQUEzQkFFQUFRYUFBQUFBQUFBQ0NBQVJBVllCV2NHVEFBUUNFQUIzQjB3QldjR1RBQkVCVmdIWkZac0FJd2dCQUFBQ0J3SUFBQUFBQncwQUFRQUFBQU1BWUFEd0FBQUFSZ2tIRFFBQkFBQUFBd0JnQVBBQUFBQkdBQUFBQUFTQWVnNEFBQUFDQ0FEZVRXQUJyR2F4QUFvQUFnRFZFQUlFQWdBSkFDc0VBZ0FBQUVnRUFBQTNCQUVBQVFhQUFBQUFBQUFDQ0FBUkFXVUJiTHl0QUFRQ0VBQjNCMXNCYkx5dEFCRUJaUUhzRUxVQUl3Z0JBQUFDQndJQUFBQUFCdzBBQVFBQUFBTUFZQUR3QUFBQVJna0hEUUFCQUFBQUF3QmdBUEFBQUFCR0FBQUFBQVNBZXc0QUFBQUNDQURlVFRNQm1XdVhBQW9BQWdEV0VBSUVBZ0FKQUNzRUFnQUFBRWdFQUFBM0JBRUFBUWFBQUFBQUFBQUNDQUFSQVRnQldjR1RBQVFDRUFCM0J5NEJXY0dUQUJFQk9BSFpGWnNBSXdnQkFBQUNCd0lBQUFBQUJ3MEFBUUFBQUFNQVlBRHdBQUFBUmdrSERRQUJBQUFBQXdCZ0FQQUFBQUJHQUFBQUFBU0FmQTRBQUFBQ0NBRExVaGtCdjJIYUFBb0FBZ0RYRUFJRUFnQUpBQ3NFQWdBQUFFZ0VBQUEzQkFFQUFRYUFBQUFBQUFBQ0NBRCtCUjRCZjdmV0FBUUNFQUJrREJRQmY3ZldBUDRGSGdIL0M5NEFJd2dCQUFBQ0J3SUFBQUFBQncwQUFRQUFBQU1BWUFEd0FBQUFSZ2tIRFFBQkFBQUFBd0JnQVBBQUFBQkdBQUFBQUFTQWZRNEFBQUFDQ0FETFVoa0J2Mkc4QUFvQUFnRFlFQUlFQWdBSkFDc0VBZ0FBQUVnRUFBQTNCQUVBQVFhQUFBQUFBQUFDQ0FEK0JSNEJmN2U0QUFRQ0VBQmtEQlFCZjdlNEFQNEZIZ0gvQzhBQUl3Z0JBQUFDQndJQUFBQUFCdzBBQVFBQUFBTUFZQUR3QUFBQVJna0hEUUFCQUFBQUF3QmdBUEFBQUFCR0FBQUFBQVNBZmc0QUFBQUNDQUR4U0Z3QjAxeldBQW9BQWdEWkVBSUVBZ0FKQUNzRUFnQUFBRWdFQUFBM0JBRUFBUWFBQUFBQUFBQUNDQUFrL0dBQms3TFNBQVFDRUFDS0FsY0JrN0xTQUNUOFlBRVRCOW9BSXdnQkFBQUNCd0lBQUFBQUJ3MEFBUUFBQUFNQVlBRHdBQUFBUmdrSERRQUJBQUFBQXdCZ0FQQUFBQUJHQUFBQUFBU0FmdzRBQUFBQ0NBRHhTRndCMDF6MEFBb0FBZ0RhRUFJRUFnQUpBQ3NFQWdBQUFFZ0VBQUEzQkFFQUFRYUFBQUFBQUFBQ0NBQWsvR0FCazdMd0FBUUNFQUNLQWxjQms3THdBQ1Q4WUFFVEIvZ0FJd2dCQUFBQ0J3SUFBQUFBQncwQUFRQUFBQU1BWUFEd0FBQUFSZ2tIRFFBQkFBQUFBd0JnQVBBQUFBQkdBQUFBQUFTQWdBNEFBQUFDQ0FETFVoa0I1bGNPQVFvQUFnRGJFQUlFQWdBSkFDc0VBZ0FBQUVnRUFBQTNCQUVBQVFhQUFBQUFBQUFDQ0FEK0JSNEJwcTBLQVFRQ0VBQmtEQlFCcHEwS0FmNEZIZ0VtQWhJQkl3Z0JBQUFDQndJQUFBQUFCdzBBQVFBQUFBTUFZQUR3QUFBQVJna0hEUUFCQUFBQUF3QmdBUEFBQUFCR0FBQUFBQVNBZ1E0QUFBQUNDQURMVWhrQjVsZndBQW9BQWdEY0VBSUVBZ0FKQUNzRUFnQUFBRWdFQUFBM0JBRUFBUWFBQUFBQUFBQUNDQUQrQlI0QnBxM3NBQVFDRUFCa0RCUUJwcTNzQVA0RkhnRW1BdlFBSXdnQkFBQUNCd0lBQUFBQUJ3MEFBUUFBQUFNQVlBRHdBQUFBUmdrSERRQUJBQUFBQXdCZ0FQQUFBQUJHQUFBQUFBU0FnZzRBQUFBQ0NBRHhTRndCK1ZJS0FRb0FBZ0RkRUFJRUFnQUpBQ3NFQWdBQUFFZ0VBQUEzQkFFQUFRYUFBQUFBQUFBQ0NBQWsvR0FCdWFnR0FRUUNFQUNLQWxjQnVhZ0dBU1Q4WUFFNS9RMEJJd2dCQUFBQ0J3SUFBQUFBQncwQUFRQUFBQU1BWUFEd0FBQUFSZ2tIRFFBQkFBQUFBd0JnQVBBQUFBQkdBQUFBQUFTQWd3NEFBQUFDQ0FEeFNGd0IrVklvQVFvQUFnRGVFQUlFQWdBSkFDc0VBZ0FBQUVnRUFBQTNCQUVBQVFhQUFBQUFBQUFDQ0FBay9HQUJ1YWdrQVFRQ0VBQ0tBbGNCdWFna0FTVDhZQUU1L1NzQkl3Z0JBQUFDQndJQUFBQUFCdzBBQVFBQUFBTUFZQUR3QUFBQVJna0hEUUFCQUFBQUF3QmdBUEFBQUFCR0FBQUFBQVNBaEE0QUFBQUNDQURMVWhrQkRFNUNBUW9BQWdEZkVBSUVBZ0FKQUNzRUFnQUFBRWdFQUFBM0JBRUFBUWFBQUFBQUFBQUNDQUQrQlI0QnpLTStBUVFDRUFCa0RCUUJ6S00rQWY0RkhnRk0rRVVCSXdnQkFBQUNCd0lBQUFBQUJ3MEFBUUFBQUFNQVlBRHdBQUFBUmdrSERRQUJBQUFBQXdCZ0FQQUFBQUJHQUFBQUFBU0FoUTRBQUFBQ0NBRExVaGtCREU0a0FRb0FBZ0RnRUFJRUFnQUpBQ3NFQWdBQUFFZ0VBQUEzQkFFQUFRYUFBQUFBQUFBQ0NBRCtCUjRCektNZ0FRUUNFQUJrREJRQnpLTWdBZjRGSGdGTStDY0JJd2dCQUFBQ0J3SUFBQUFBQncwQUFRQUFBQU1BWUFEd0FBQUFSZ2tIRFFBQkFBQUFBd0JnQVBBQUFBQkdBQUFBQUFTQWhnNEFBQUFDQ0FEeFNGd0JJRWsrQVFvQUFnRGhFQUlFQWdBSkFDc0VBZ0FBQUVnRUFBQTNCQUVBQVFhQUFBQUFBQUFDQ0FBay9HQUI0SjQ2QVFRQ0VBQ0tBbGNCNEo0NkFTVDhZQUZnODBFQkl3Z0JBQUFDQndJQUFBQUFCdzBBQVFBQUFBTUFZQUR3QUFBQVJna0hEUUFCQUFBQUF3QmdBUEFBQUFCR0FBQUFBQVNBaHc0QUFBQUNDQUR4U0Z3QklFbGNBUW9BQWdEaUVBSUVBZ0FKQUNzRUFnQUFBRWdFQUFBM0JBRUFBUWFBQUFBQUFBQUNDQUFrL0dBQjRKNVlBUVFDRUFDS0FsY0I0SjVZQVNUOFlBRmc4MThCSXdnQkFBQUNCd0lBQUFBQUJ3MEFBUUFBQUFNQVlBRHdBQUFBUmdrSERRQUJBQUFBQXdCZ0FQQUFBQUJHQUFBQUFBU0FpQTRBQUFBQ0NBRGVUVUlCUmorQkFRb0FBZ0RqRUFJRUFnQUlBQ3NFQWdBQUFDRUVBUUQvU0FRQUFEY0VBUUFCQm9BQUFBQUFBQUlJQUJFQlJ3R0dsSHdCQkFJUUFLcmFQQUdHbEh3QmR5ZEhBVWJwaUFFakNBRUFBQUlIQWdBQUFBVUhBUUFCQUFjT0FBRUFBQUFEQUdBQThBQUFBRTh0Q1FjT0FBRUFBQUFEQUdBQThBQUFBRTh0QUFBQUFBV0FpUTRBQUFvQUFnRGtFQVFHQkFCd0RnQUFCUVlFQUhFT0FBQUFCZ0lBQWdBS0JnRUFBUUFBQllDS0RnQUFDZ0FDQU9VUUJBWUVBSEFPQUFBRkJnUUFjZzRBQUFvR0FRQUJBQUFGZ0lzT0FBQUtBQUlBNWhBRUJnUUFjZzRBQUFVR0JBQnpEZ0FBQ2dZQkFBRUFBQVdBakE0QUFBb0FBZ0RuRUFRR0JBQnpEZ0FBQlFZRUFIUU9BQUFLQmdFQUFRQUFCWUNORGdBQUNnQUNBT2dRQkFZRUFIUU9BQUFGQmdRQWRRNEFBQW9HQVFBQkFBQUZnSTRPQUFBS0FBSUE2UkFFQmdRQWRRNEFBQVVHQkFCMkRnQUFDZ1lCQUFFQUFBV0FqdzRBQUFvQUFnRHFFQVFHQkFCMkRnQUFCUVlFQUhjT0FBQUtCZ0VBQVFBQUJZQ1FEZ0FBQ2dBQ0FPc1FCQVlFQUhjT0FBQUZCZ1FBZUE0QUFBb0dBUUFCQUFBRmdKRU9BQUFLQUFJQTdCQUVCZ1FBZUE0QUFBVUdCQUI1RGdBQUNnWUJBQUVBQUFXQWtnNEFBQW9BQWdEdEVBUUdCQUI0RGdBQUJRWUVBSG9PQUFBS0JnRUFBUUFBQllDVERnQUFDZ0FDQU80UUJBWUVBSGdPQUFBRkJnUUFldzRBQUFvR0FRQUJBQUFGZ0pRT0FBQUtBQUlBN3hBRUJnUUFkdzRBQUFVR0JBQjhEZ0FBQ2dZQkFBRUFBQVdBbFE0QUFBb0FBZ0R3RUFRR0JBQjNEZ0FBQlFZRUFIME9BQUFLQmdFQUFRQUFCWUNXRGdBQUNnQUNBUEVRQkFZRUFIWU9BQUFGQmdRQWZnNEFBQW9HQVFBQkFBQUZnSmNPQUFBS0FBSUE4aEFFQmdRQWRnNEFBQVVHQkFCL0RnQUFDZ1lCQUFFQUFBV0FtQTRBQUFvQUFnRHpFQVFHQkFCMURnQUFCUVlFQUlBT0FBQUtCZ0VBQVFBQUJZQ1pEZ0FBQ2dBQ0FQUVFCQVlFQUhVT0FBQUZCZ1FBZ1E0QUFBb0dBUUFCQUFBRmdKb09BQUFLQUFJQTlSQUVCZ1FBZEE0QUFBVUdCQUNDRGdBQUNnWUJBQUVBQUFXQW13NEFBQW9BQWdEMkVBUUdCQUIwRGdBQUJRWUVBSU1PQUFBS0JnRUFBUUFBQllDY0RnQUFDZ0FDQVBjUUJBWUVBSE1PQUFBRkJnUUFoQTRBQUFvR0FRQUJBQUFGZ0owT0FBQUtBQUlBK0JBRUJnUUFjdzRBQUFVR0JBQ0ZEZ0FBQ2dZQkFBRUFBQVdBbmc0QUFBb0FBZ0Q1RUFRR0JBQnlEZ0FBQlFZRUFJWU9BQUFLQmdFQUFRQUFCWUNmRGdBQUNnQUNBUG9RQkFZRUFISU9BQUFGQmdRQWh3NEFBQW9HQVFBQkFBQUZnS0FPQUFBS0FBSUEreEFFQmdRQWNBNEFBQVVHQkFDSURnQUFDZ1lCQUFFQUFBQUFBQUFBQUFBQQ==</t>
        </r>
      </text>
    </comment>
    <comment ref="D5" authorId="0" shapeId="0" xr:uid="{7811755E-CC28-47DB-A97E-919CB23D3D0D}">
      <text>
        <r>
          <rPr>
            <sz val="9"/>
            <color indexed="81"/>
            <rFont val="Tahoma"/>
            <family val="2"/>
          </rPr>
          <t>QzhGMTdPM1MtfFBpY3R1cmUgNXxWbXBEUkRBeE1EQUVBd0lCQUFBQUFBQUFBQUFBQUFDQUFBQUFBQU1BRmdBQUFFTm9aVzFFY21GM0lESXlMakl1TUM0ek16QXdDQUFUQUFBQVZXNTBhWFJzWldRZ1JHOWpkVzFsYm5RRUFoQUEvdm9SQWMvRGhnQ3I3MklCME9hVkFRRUpDQUFBZ0VBQUFJQkFBQUlKQ0FBQXdDRUFBTUMxQWcwSUFRQUJDQWNCQUFFNkJBRUFBVHNFQVFBQVJRUUJBQUU4QkFFQUFFb0VBUUFBREFZQkFBRVBCZ0VBQVEwR0FRQUFRZ1FCQUFCREJBRUFBRVFFQVFBQURnZ0NBUFlXQ2dnSUFBTUFZQUR3QUFNQUN3Z0lBQU1BQUFEd0FBTUFDUWdFQUFDYUFnQUlDQVFBQUFBQ0FBY0lCQUFBd0FBQUJnZ0VBQUNhQWdBRkNBUUFBQUFSQUFRSUFnQzBBQU1JQkFBQUFIZ0FJd2dCQUFVTUNBRUFBQ2dJQVFBQktRZ0JBQUVxQ0FFQUFUSUlBUUFBS3dnQkFDZ3NDQUVBQ2dJSUVBQUFBQ1FBQUFBa0FBQUFKQUFBQUNRQUFRTUNBQUFBQWdNQ0FBRUFBQU15QUFnQS8vLy8vLy8vQUFBQUFBQUEvLzhBQUFBQS8vLy8vd0FBQUFELy93QUFBQUQvLy8vL0FBQUFBUC8vLy84QUFQLy9BQUVQQUFBQUFRQURBT1FFQlFCQmNtbGhiTF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QkFDQUFBRUFoQUFBQUFBQUFBQUFBQTlmNklCRGh3TEZoWUlCQUFBQUNRQUdBZ0VBQUFBSkFBWkNBQUFFQWdDQUFFQUR3Z0NBQUVBQTREVUFRQUFCQUlRQVA3NkVRSFB3NFlBcSs5aUFkRG1sUUVLQUFJQWRnRUVnTlVCQUFBQUFnZ0FlRHd4QVZ4YThnQUtBQUlBZHdFM0JBRUFBUUFBQklEV0FRQUFBQUlJQUhnOFFBRndWUXdCQ2dBQ0FIZ0JOd1FCQUFFQUFBU0Exd0VBQUFBQ0NBQjRQREVCZzFBbUFRb0FBZ0I1QVRjRUFRQUJBQUFFZ05nQkFBQUFBZ2dBZUR4QUFaWkxRQUVLQUFJQWVnRTNCQUVBQVFBQUJJRFpBUUFBQUFJSUFIZzhNUUdwUmxvQkNnQUNBSHNCTndRQkFBRUFBQVNBMmdFQUFBQUNDQUJsUVJjQnFVWkxBUW9BQWdCOEFRSUVBZ0FKQUNzRUFnQUFBRWdFQUFBM0JBRUFBUWFBQUFBQUFBQUNDQUNZOUJzQmFaeEhBUVFDRUFEKytoRUJhWnhIQVpqMEd3SHA4RTRCSXdnQkFBQUNCd0lBQUFBQUJ3MEFBUUFBQUFNQVlBRHdBQUFBUmdrSERRQUJBQUFBQXdCZ0FQQUFBQUJHQUFBQUFBU0Eyd0VBQUFBQ0NBQmxRUmNCcVVacEFRb0FBZ0I5QVFJRUFnQUpBQ3NFQWdBQUFFZ0VBQUEzQkFFQUFRYUFBQUFBQUFBQ0NBQ1k5QnNCYVp4bEFRUUNFQUQrK2hFQmFaeGxBWmowR3dIcDhHd0JJd2dCQUFBQ0J3SUFBQUFBQncwQUFRQUFBQU1BWUFEd0FBQUFSZ2tIRFFBQkFBQUFBd0JnQVBBQUFBQkdBQUFBQUFTQTNBRUFBQUFDQ0FCNFBFQUJ2RUYwQVFvQUFnQitBUUlFQWdBUUFDc0VBZ0FBQUVnRUFBQTNCQUVBQVFhQUFBQUFBQUFDQ0FDcjcwUUJQRUZ3QVFRQ0VBQkV5VG9CUEVGd0FSRVdSUUU4UW5nQkl3Z0JBQUFDQndJQUFBQUFCdzBBQVFBQUFBTUFZQUR3QUFBQVV3a0hEUUFCQUFBQUF3QmdBUEFBQUFCVEFBQUFBQVNBM1FFQUFBQUNDQUJsUVNZQnZFR0RBUW9BQWdCL0FRSUVBZ0FJQUNzRUFnQUFBRWdFQUFBM0JBRUFBUWFBQUFBQUFBQUNDQUNZOUNvQi9KWitBUVFDRUFBeHppQUIvSlorQWY0YUt3Rjg3SWNCSXdnQkFBQUNCd0lBQUFBQUJ3MEFBUUFBQUFNQVlBRHdBQUFBVHdrSERRQUJBQUFBQXdCZ0FQQUFBQUJQQUFBQUFBU0EzZ0VBQUFBQ0NBQ01OMW9CdkVGbEFRb0FBZ0NBQVFJRUFnQUlBQ3NFQWdBQUFFZ0VBQUEzQkFFQUFRYUFBQUFBQUFBQ0NBQy82bDRCL0paZ0FRUUNFQUJZeEZRQi9KWmdBU1VSWHdGODdHa0JJd2dCQUFBQ0J3SUFBQUFBQncwQUFRQUFBQU1BWUFEd0FBQUFUd2tIRFFBQkFBQUFBd0JnQVBBQUFBQlBBQUFBQUFTQTN3RUFBQUFDQ0FCNFBFOEIwRHlPQVFvQUFnQ0JBUUlFQWdBSUFDc0VBZ0FBQUNFRUFRRC9TQVFBQURjRUFRQUJCb0FBQUFBQUFBSUlBS3Z2VXdFUWtva0JCQUlRQUVUSlNRRVFrb2tCRVJaVUFkRG1sUUVqQ0FFQUFBSUhBZ0FBQUFVSEFRQUJBQWNPQUFFQUFBQURBR0FBOEFBQUFFOHRDUWNPQUFFQUFBQURBR0FBOEFBQUFFOHRBQUFBQUFTQTRBRUFBQUFDQ0FDTU4xb0Jsa3RQQVFvQUFnQ0NBUUlFQWdBSkFDc0VBZ0FBQUVnRUFBQTNCQUVBQVFhQUFBQUFBQUFDQ0FDLzZsNEJWcUZMQVFRQ0VBQWw4VlFCVnFGTEFiL3FYZ0hXOVZJQkl3Z0JBQUFDQndJQUFBQUFCdzBBQVFBQUFBTUFZQUR3QUFBQVJna0hEUUFCQUFBQUF3QmdBUEFBQUFCR0FBQUFBQVNBNFFFQUFBQUNDQUNNTjFvQmxrc3hBUW9BQWdDREFRSUVBZ0FKQUNzRUFnQUFBRWdFQUFBM0JBRUFBUWFBQUFBQUFBQUNDQUMvNmw0QlZxRXRBUVFDRUFBbDhWUUJWcUV0QWIvcVhnSFc5VFFCSXdnQkFBQUNCd0lBQUFBQUJ3MEFBUUFBQUFNQVlBRHdBQUFBUmdrSERRQUJBQUFBQXdCZ0FQQUFBQUJHQUFBQUFBU0E0Z0VBQUFBQ0NBQmxRUmNCZzFBWEFRb0FBZ0NFQVFJRUFnQUpBQ3NFQWdBQUFFZ0VBQUEzQkFFQUFRYUFBQUFBQUFBQ0NBQ1k5QnNCUTZZVEFRUUNFQUQrK2hFQlE2WVRBWmowR3dIRCtob0JJd2dCQUFBQ0J3SUFBQUFBQncwQUFRQUFBQU1BWUFEd0FBQUFSZ2tIRFFBQkFBQUFBd0JnQVBBQUFBQkdBQUFBQUFTQTR3RUFBQUFDQ0FCbFFSY0JnMUExQVFvQUFnQ0ZBUUlFQWdBSkFDc0VBZ0FBQUVnRUFBQTNCQUVBQVFhQUFBQUFBQUFDQ0FDWTlCc0JRNll4QVFRQ0VBRCsraEVCUTZZeEFaajBHd0hEK2pnQkl3Z0JBQUFDQndJQUFBQUFCdzBBQVFBQUFBTUFZQUR3QUFBQVJna0hEUUFCQUFBQUF3QmdBUEFBQUFCR0FBQUFBQVNBNUFFQUFBQUNDQUNNTjFvQmNGVWJBUW9BQWdDR0FRSUVBZ0FKQUNzRUFnQUFBRWdFQUFBM0JBRUFBUWFBQUFBQUFBQUNDQUMvNmw0Qk1Lc1hBUVFDRUFBbDhWUUJNS3NYQWIvcVhnR3cveDRCSXdnQkFBQUNCd0lBQUFBQUJ3MEFBUUFBQUFNQVlBRHdBQUFBUmdrSERRQUJBQUFBQXdCZ0FQQUFBQUJHQUFBQUFBU0E1UUVBQUFBQ0NBQ01OMW9CY0ZYOUFBb0FBZ0NIQVFJRUFnQUpBQ3NFQWdBQUFFZ0VBQUEzQkFFQUFRYUFBQUFBQUFBQ0NBQy82bDRCTUt2NUFBUUNFQUFsOFZRQk1LdjVBTC9xWGdHdy93QUJJd2dCQUFBQ0J3SUFBQUFBQncwQUFRQUFBQU1BWUFEd0FBQUFSZ2tIRFFBQkFBQUFBd0JnQVBBQUFBQkdBQUFBQUFTQTVnRUFBQUFDQ0FCNFBFQUJTVi9ZQUFvQUFnQ0lBVGNFQVFBQkFBQUVnT2NCQUFBQUFnZ0FlRHd4QVRaa3ZnQUtBQUlBaVFFM0JBRUFBUUFBQklEb0FRQUFBQUlJQUhnOFFBRWphYVFBQ2dBQ0FJb0JOd1FCQUFFQUFBU0E2UUVBQUFBQ0NBQjRQRjRCSTJta0FBb0FBZ0NMQVFJRUFnQUpBQ3NFQWdBQUFFZ0VBQUEzQkFFQUFRYUFBQUFBQUFBQ0NBQ3I3MklCNDc2Z0FBUUNFQUFSOWxnQjQ3NmdBS3Z2WWdGakU2Z0FJd2dCQUFBQ0J3SUFBQUFBQncwQUFRQUFBQU1BWUFEd0FBQUFSZ2tIRFFBQkFBQUFBd0JnQVBBQUFBQkdBQUFBQUFTQTZnRUFBQUFDQ0FCNFBFOEJEMjZLQUFvQUFnQ01BUUlFQWdBSkFDc0VBZ0FBQUVnRUFBQTNCQUVBQVFhQUFBQUFBQUFDQ0FDcjcxTUJ6OE9HQUFRQ0VBQVI5a2tCejhPR0FLdnZVd0ZQR0k0QUl3Z0JBQUFDQndJQUFBQUFCdzBBQVFBQUFBTUFZQUR3QUFBQVJna0hEUUFCQUFBQUF3QmdBUEFBQUFCR0FBQUFBQVNBNndFQUFBQUNDQUI0UERFQkQyNktBQW9BQWdDTkFRSUVBZ0FKQUNzRUFnQUFBRWdFQUFBM0JBRUFBUWFBQUFBQUFBQUNDQUNyN3pVQno4T0dBQVFDRUFBUjlpc0J6OE9HQUt2dk5RRlBHSTRBSXdnQkFBQUNCd0lBQUFBQUJ3MEFBUUFBQUFNQVlBRHdBQUFBUmdrSERRQUJBQUFBQXdCZ0FQQUFBQUJHQUFBQUFBU0E3QUVBQUFBQ0NBQmxRUmNCTm1TdkFBb0FBZ0NPQVFJRUFnQUpBQ3NFQWdBQUFFZ0VBQUEzQkFFQUFRYUFBQUFBQUFBQ0NBQ1k5QnNCOXJtckFBUUNFQUQrK2hFQjlybXJBSmowR3dGMkRyTUFJd2dCQUFBQ0J3SUFBQUFBQncwQUFRQUFBQU1BWUFEd0FBQUFSZ2tIRFFBQkFBQUFBd0JnQVBBQUFBQkdBQUFBQUFTQTdRRUFBQUFDQ0FCbFFSY0JObVROQUFvQUFnQ1BBUUlFQWdBSkFDc0VBZ0FBQUVnRUFBQTNCQUVBQVFhQUFBQUFBQUFDQ0FDWTlCc0I5cm5KQUFRQ0VBRCsraEVCOXJuSkFKajBHd0YyRHRFQUl3Z0JBQUFDQndJQUFBQUFCdzBBQVFBQUFBTUFZQUR3QUFBQVJna0hEUUFCQUFBQUF3QmdBUEFBQUFCR0FBQUFBQVNBN2dFQUFBQUNDQUNNTjFvQlNWL25BQW9BQWdDUUFRSUVBZ0FKQUNzRUFnQUFBRWdFQUFBM0JBRUFBUWFBQUFBQUFBQUNDQUMvNmw0QkNiWGpBQVFDRUFBbDhWUUJDYlhqQUwvcVhnR0pDZXNBSXdnQkFBQUNCd0lBQUFBQUJ3MEFBUUFBQUFNQVlBRHdBQUFBUmdrSERRQUJBQUFBQXdCZ0FQQUFBQUJHQUFBQUFBU0E3d0VBQUFBQ0NBQ01OMW9CU1YvSkFBb0FBZ0NSQVFJRUFnQUpBQ3NFQWdBQUFFZ0VBQUEzQkFFQUFRYUFBQUFBQUFBQ0NBQy82bDRCQ2JYRkFBUUNFQUFsOFZRQkNiWEZBTC9xWGdHSkNjMEFJd2dCQUFBQ0J3SUFBQUFBQncwQUFRQUFBQU1BWUFEd0FBQUFSZ2tIRFFBQkFBQUFBd0JnQVBBQUFBQkdBQUFBQUFTQThBRUFBQUFDQ0FCbFFSY0JYRnJqQUFvQUFnQ1NBUUlFQWdBSkFDc0VBZ0FBQUVnRUFBQTNCQUVBQVFhQUFBQUFBQUFDQ0FDWTlCc0JITERmQUFRQ0VBRCsraEVCSExEZkFKajBHd0djQk9jQUl3Z0JBQUFDQndJQUFBQUFCdzBBQVFBQUFBTUFZQUR3QUFBQVJna0hEUUFCQUFBQUF3QmdBUEFBQUFCR0FBQUFBQVNBOFFFQUFBQUNDQUJsUVJjQlhGb0JBUW9BQWdDVEFRSUVBZ0FKQUNzRUFnQUFBRWdFQUFBM0JBRUFBUWFBQUFBQUFBQUNDQUNZOUJzQkhMRDlBQVFDRUFEKytoRUJITEQ5QUpqMEd3R2NCQVVCSXdnQkFBQUNCd0lBQUFBQUJ3MEFBUUFBQUFNQVlBRHdBQUFBUmdrSERRQUJBQUFBQXdCZ0FQQUFBQUJHQUFBQUFBV0E4Z0VBQUFvQUFnQ1VBUVFHQkFEVkFRQUFCUVlFQU5ZQkFBQUtCZ0VBQVFBQUJZRHpBUUFBQ2dBQ0FKVUJCQVlFQU5ZQkFBQUZCZ1FBMXdFQUFBb0dBUUFCQUFBRmdQUUJBQUFLQUFJQWxnRUVCZ1FBMXdFQUFBVUdCQURZQVFBQUNnWUJBQUVBQUFXQTlRRUFBQW9BQWdDWEFRUUdCQURZQVFBQUJRWUVBTmtCQUFBS0JnRUFBUUFBQllEMkFRQUFDZ0FDQUpnQkJBWUVBTmtCQUFBRkJnUUEyZ0VBQUFvR0FRQUJBQUFGZ1BjQkFBQUtBQUlBbVFFRUJnUUEyUUVBQUFVR0JBRGJBUUFBQ2dZQkFBRUFBQVdBK0FFQUFBb0FBZ0NhQVFRR0JBRFpBUUFBQlFZRUFOd0JBQUFLQmdFQUFRQUFCWUQ1QVFBQUNnQUNBSnNCQkFZRUFOd0JBQUFGQmdRQTNRRUFBQUFHQWdBQ0FBb0dBUUFCQUFBRmdQb0JBQUFLQUFJQW5BRUVCZ1FBM0FFQUFBVUdCQURlQVFBQUFBWUNBQUlBQ2dZQkFBRUFBQVdBK3dFQUFBb0FBZ0NkQVFRR0JBRGNBUUFBQlFZRUFOOEJBQUFLQmdFQUFRQUFCWUQ4QVFBQUNnQUNBSjRCQkFZRUFOZ0JBQUFGQmdRQTRBRUFBQW9HQVFBQkFBQUZnUDBCQUFBS0FBSUFud0VFQmdRQTJBRUFBQVVHQkFEaEFRQUFDZ1lCQUFFQUFBV0EvZ0VBQUFvQUFnQ2dBUVFHQkFEWEFRQUFCUVlFQU9JQkFBQUtCZ0VBQVFBQUJZRC9BUUFBQ2dBQ0FLRUJCQVlFQU5jQkFBQUZCZ1FBNHdFQUFBb0dBUUFCQUFBRmdBQUNBQUFLQUFJQW9nRUVCZ1FBMWdFQUFBVUdCQURrQVFBQUNnWUJBQUVBQUFXQUFRSUFBQW9BQWdDakFRUUdCQURXQVFBQUJRWUVBT1VCQUFBS0JnRUFBUUFBQllBQ0FnQUFDZ0FDQUtRQkJBWUVBTlVCQUFBRkJnUUE1Z0VBQUFvR0FRQUJBQUFGZ0FNQ0FBQUtBQUlBcFFFRUJnUUE1Z0VBQUFVR0JBRG5BUUFBQ2dZQkFBRUFBQVdBQkFJQUFBb0FBZ0NtQVFRR0JBRG5BUUFBQlFZRUFPZ0JBQUFLQmdFQUFRQUFCWUFGQWdBQUNnQUNBS2NCQkFZRUFPZ0JBQUFGQmdRQTZRRUFBQW9HQVFBQkFBQUZnQVlDQUFBS0FBSUFxQUVFQmdRQTZBRUFBQVVHQkFEcUFRQUFDZ1lCQUFFQUFBV0FCd0lBQUFvQUFnQ3BBUVFHQkFEb0FRQUFCUVlFQU9zQkFBQUtCZ0VBQVFBQUJZQUlBZ0FBQ2dBQ0FLb0JCQVlFQU9jQkFBQUZCZ1FBN0FFQUFBb0dBUUFCQUFBRmdBa0NBQUFLQUFJQXF3RUVCZ1FBNXdFQUFBVUdCQUR0QVFBQUNnWUJBQUVBQUFXQUNnSUFBQW9BQWdDc0FRUUdCQURtQVFBQUJRWUVBTzRCQUFBS0JnRUFBUUFBQllBTEFnQUFDZ0FDQUswQkJBWUVBT1lCQUFBRkJnUUE3d0VBQUFvR0FRQUJBQUFGZ0F3Q0FBQUtBQUlBcmdFRUJnUUExUUVBQUFVR0JBRHdBUUFBQ2dZQkFBRUFBQVdBRFFJQUFBb0FBZ0N2QVFRR0JBRFZBUUFBQlFZRUFQRUJBQUFLQmdFQUFRQUFBQUFBQUFBQUFBQT0=</t>
        </r>
      </text>
    </comment>
    <comment ref="D7" authorId="0" shapeId="0" xr:uid="{DEFBD87F-AAF0-46C0-B7DC-B631989C5627}">
      <text>
        <r>
          <rPr>
            <sz val="9"/>
            <color indexed="81"/>
            <rFont val="Tahoma"/>
            <family val="2"/>
          </rPr>
          <t>QzhGMTVPM1MtfFBpY3R1cmUgODZ8Vm1wRFJEQXhNREFFQXdJQkFBQUFBQUFBQUFBQUFBQ0FBQUFBQUFNQUZnQUFBRU5vWlcxRWNtRjNJREl5TGpJdU1DNHpNekF3Q0FBVEFBQUFWVzUwYVhSc1pXUWdSRzlqZFcxbGJuUUVBaEFBaUFnUUFUMzdoZ0FpNG1RQlk2K1ZBUUVKQ0FBQWdFQUFBSUJBQUFJSkNBQUF3Q0VBQU1DMUFnMElBUUFCQ0FjQkFBRTZCQUVBQVRzRUFRQUFSUVFCQUFFOEJBRUFBRW9FQVFBQURBWUJBQUVQQmdFQUFRMEdBUUFBUWdRQkFBQkRCQUVBQUVRRUFRQUFEZ2dDQU5vWE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lrREFBQUVBaEFBQUFBQUFBQUFBQUNIUktVQmhRanVGaFlJQkFBQUFDUUFHQWdFQUFBQUpBQVpDQUFBRUFnQ0FBRUFEd2dDQUFFQUE0QlJBd0FBQkFJUUFJZ0lFQUU5KzRZQUl1SmtBV092bFFFS0FBSUFiQUlFZ0ZJREFBQUFBZ2dBdXp0Q0FXczFRQUVLQUFJQWJRSTNCQUVBQVFBQUJJQlRBd0FBQUFJSUFDSkNNd0ZwSlZvQkNnQUNBRzRDTndRQkFBRUFBQVNBVkFNQUFBQUNDQUFrVWhrQnp5dExBUW9BQWdCdkFnSUVBZ0FKQUNzRUFnQUFBRWdFQUFBM0JBRUFBUWFBQUFBQUFBQUNDQUJYQlI0Qmo0RkhBUVFDRUFDOUN4UUJqNEZIQVZjRkhnRVAxazRCSXdnQkFBQUNCd0lBQUFBQUJ3MEFBUUFBQUFNQVlBRHdBQUFBUmdrSERRQUJBQUFBQXdCZ0FQQUFBQUJHQUFBQUFBU0FWUU1BQUFBQ0NBQzdPMElCWmhWMEFRb0FBZ0J3QWdJRUFnQVFBQ3NFQWdBQUFFZ0VBQUEzQkFFQUFRYUFBQUFBQUFBQ0NBRHU3a1lCNWhSd0FRUUNFQUNIeUR3QjVoUndBVlFWUndIbUZYZ0JJd2dCQUFBQ0J3SUFBQUFBQncwQUFRQUFBQU1BWUFEd0FBQUFVd2tIRFFBQkFBQUFBd0JnQVBBQUFBQlRBQUFBQUFTQVZnTUFBQUFDQ0FDK1N5Z0JBQStEQVFvQUFnQnhBZ0lFQWdBSUFDc0VBZ0FBQUVnRUFBQTNCQUVBQVFhQUFBQUFBQUFDQ0FEeC9pd0JRR1IrQVFRQ0VBQ0syQ0lCUUdSK0FWY2xMUUhBdVljQkl3Z0JBQUFDQndJQUFBQUFCdzBBQVFBQUFBTUFZQUR3QUFBQVR3a0hEUUFCQUFBQUF3QmdBUEFBQUFCUEFBQUFBQVNBVndNQUFBQUNDQUM1SzF3QnpCdGxBUW9BQWdCeUFnSUVBZ0FJQUNzRUFnQUFBRWdFQUFBM0JBRUFBUWFBQUFBQUFBQUNDQURzM21BQkRIRmdBUVFDRUFDRnVGWUJESEZnQVZJRllRR014bWtCSXdnQkFBQUNCd0lBQUFBQUJ3MEFBUUFBQUFNQVlBRHdBQUFBVHdrSERRQUJBQUFBQXdCZ0FQQUFBQUJQQUFBQUFBU0FXQU1BQUFBQ0NBQlZOVkVCWXdXT0FRb0FBZ0J6QWdJRUFnQUlBQ3NFQWdBQUFDRUVBUUQvU0FRQUFEY0VBUUFCQm9BQUFBQUFBQUlJQUlqb1ZRR2pXb2tCQkFJUUFDSENTd0dqV29rQjdnNVdBV092bFFFakNBRUFBQUlIQWdBQUFBVUhBUUFCQUFjT0FBRUFBQUFEQUdBQThBQUFBRTh0Q1FjT0FBRUFBQUFEQUdBQThBQUFBRTh0QUFBQUFBU0FXUU1BQUFBQ0NBQWlRak1CYmtVbUFRb0FBZ0IwQWpjRUFRQUJBQUFFZ0ZvREFBQUFBZ2dBdXp0Q0FYQlZEQUVLQUFJQWRRSTNCQUVBQVFBQUJJQmJBd0FBQUFJSUFDSkNNd0Z6WmZJQUNnQUNBSFlDTndRQkFBRUFBQVNBWEFNQUFBQUNDQUM3TzBJQmRYWFlBQW9BQWdCM0FqY0VBUUFCQUFBRWdGMERBQUFBQWdnQUlrSXpBWGlGdmdBS0FBSUFlQUkzQkFFQUFRQUFCSUJlQXdBQUFBSUlBTHM3UWdGNmxhUUFDZ0FDQUhrQ053UUJBQUVBQUFTQVh3TUFBQUFDQ0FEdkxtQUJlcFdrQUFvQUFnQjZBZ0lFQWdBSkFDc0VBZ0FBQUVnRUFBQTNCQUVBQVFhQUFBQUFBQUFDQ0FBaTRtUUJPdXVnQUFRQ0VBQ0k2Rm9CT3V1Z0FDTGlaQUc2UDZnQUl3Z0JBQUFDQndJQUFBQUFCdzBBQVFBQUFBTUFZQUR3QUFBQVJna0hEUUFCQUFBQUF3QmdBUEFBQUFCR0FBQUFBQVNBWUFNQUFBQUNDQUJWTlZFQmZhV0tBQW9BQWdCN0FnSUVBZ0FKQUNzRUFnQUFBRWdFQUFBM0JBRUFBUWFBQUFBQUFBQUNDQUNJNkZVQlBmdUdBQVFDRUFEdTdrc0JQZnVHQUlqb1ZRRzlUNDRBSXdnQkFBQUNCd0lBQUFBQUJ3MEFBUUFBQUFNQVlBRHdBQUFBUmdrSERRQUJBQUFBQXdCZ0FQQUFBQUJHQUFBQUFBU0FZUU1BQUFBQ0NBQWlRak1CZmFXS0FBb0FBZ0I4QWdJRUFnQUpBQ3NFQWdBQUFFZ0VBQUEzQkFFQUFRYUFBQUFBQUFBQ0NBQlY5VGNCUGZ1R0FBUUNFQUM3K3kwQlBmdUdBRlgxTndHOVQ0NEFJd2dCQUFBQ0J3SUFBQUFBQncwQUFRQUFBQU1BWUFEd0FBQUFSZ2tIRFFBQkFBQUFBd0JnQVBBQUFBQkdBQUFBQUFTQVlnTUFBQUFDQ0FEdlRoVUJlSVcrQUFvQUFnQjlBZ0lFQWdBSkFDc0VBZ0FBQUVnRUFBQTNCQUVBQVFhQUFBQUFBQUFDQ0FBaUFob0JPTnU2QUFRQ0VBQ0lDQkFCT051NkFDSUNHZ0c0TDhJQUl3Z0JBQUFDQndJQUFBQUZCd0VBQXdBSERRQUJBQUFBQXdCZ0FQQUFBQUJHQ1FjTkFBRUFBQUFEQUdBQThBQUFBRVlBQUFBQUJJQmpBd0FBQUFJSUFPOHVZQUYxZGRnQUNnQUNBSDRDQWdRQ0FBa0FLd1FDQUFBQVNBUUFBRGNFQVFBQkJvQUFBQUFBQUFJSUFDTGlaQUUxeTlRQUJBSVFBSWpvV2dFMXk5UUFJdUprQWJVZjNBQWpDQUVBQUFJSEFnQUFBQUFIRFFBQkFBQUFBd0JnQVBBQUFBQkdDUWNOQUFFQUFBQURBR0FBOEFBQUFFWUFBQUFBQklCa0F3QUFBQUlJQUNSU0dRSFphK01BQ2dBQ0FIOENBZ1FDQUFrQUt3UUNBQUFBU0FRQUFEY0VBUUFCQm9BQUFBQUFBQUlJQUZjRkhnR1p3ZDhBQkFJUUFMMExGQUdad2Q4QVZ3VWVBUmtXNXdBakNBRUFBQUlIQWdBQUFBQUhEUUFCQUFBQUF3QmdBUEFBQUFCR0NRY05BQUVBQUFBREFHQUE4QUFBQUVZQUFBQUFCSUJsQXdBQUFBSUlBTGtyWEFFS1R4c0JDZ0FDQUlBQ0FnUUNBQWtBS3dRQ0FBQUFTQVFBQURjRUFRQUJCb0FBQUFBQUFBSUlBT3plWUFIS3BCY0JCQUlRQUZMbFZnSEtwQmNCN041Z0FVcjVIZ0VqQ0FFQUFBSUhBZ0FBQUFBSERRQUJBQUFBQXdCZ0FQQUFBQUJHQ1FjTkFBRUFBQUFEQUdBQThBQUFBRVlBQUFBQUJJQm1Bd0FBQUFJSUFMa3JYQUhYVy8wQUNnQUNBSUVDQWdRQ0FBa0FLd1FDQUFBQVNBUUFBRGNFQVFBQkJvQUFBQUFBQUFJSUFPemVZQUdYc2ZrQUJBSVFBRkxsVmdHWHNma0E3TjVnQVJjR0FRRWpDQUVBQUFJSEFnQUFBQUFIRFFBQkFBQUFBd0JnQVBBQUFBQkdDUWNOQUFFQUFBQURBR0FBOEFBQUFFWUFBQUFBQklCbkF3QUFBQUlJQUNSU0dRSFVTeGNCQ2dBQ0FJSUNBZ1FDQUFrQUt3UUNBQUFBU0FRQUFEY0VBUUFCQm9BQUFBQUFBQUlJQUZjRkhnR1VvUk1CQkFJUUFMMExGQUdVb1JNQlZ3VWVBUlQyR2dFakNBRUFBQUlIQWdBQUFBQUhEUUFCQUFBQUF3QmdBUEFBQUFCR0NRY05BQUVBQUFBREFHQUE4QUFBQUVZQUFBQUFCSUJvQXdBQUFBSUlBQ1JTR1FFSFB6VUJDZ0FDQUlNQ0FnUUNBQWtBS3dRQ0FBQUFTQVFBQURjRUFRQUJCb0FBQUFBQUFBSUlBRmNGSGdISGxERUJCQUlRQUwwTEZBSEhsREVCVndVZUFVZnBPQUVqQ0FFQUFBSUhBZ0FBQUFBSERRQUJBQUFBQXdCZ0FQQUFBQUJHQ1FjTkFBRUFBQUFEQUdBQThBQUFBRVlBQUFBQUJJQnBBd0FBQUFJSUFMa3JYQUVGTDA4QkNnQUNBSVFDQWdRQ0FBa0FLd1FDQUFBQVNBUUFBRGNFQVFBQkJvQUFBQUFBQUFJSUFPemVZQUhGaEVzQkJBSVFBRkxsVmdIRmhFc0I3TjVnQVVYWlVnRWpDQUVBQUFJSEFnQUFBQUFIRFFBQkFBQUFBd0JnQVBBQUFBQkdDUWNOQUFFQUFBQURBR0FBOEFBQUFFWUFBQUFBQklCcUF3QUFBQUlJQUNSU0dRRUNIMmtCQ2dBQ0FKMENBZ1FDQUFrQUt3UUNBQUFBU0FRQUFEY0VBUUFCQm9BQUFBQUFBQUlJQUZjRkhnSENkR1VCQkFJUUFMMExGQUhDZEdVQlZ3VWVBVUxKYkFFakNBRUFBQUlIQWdBQUFBQUhEUUFCQUFBQUF3QmdBUEFBQUFCR0NRY05BQUVBQUFBREFHQUE4QUFBQUVZQUFBQUFCSUJyQXdBQUFBSUlBTGtyWEFIUk96RUJDZ0FDQUo4Q0FnUUNBQWtBS3dRQ0FBQUFTQVFBQURjRUFRQUJCb0FBQUFBQUFBSUlBT3plWUFHUmtTMEJCQUlRQUZMbFZnR1JrUzBCN041Z0FSSG1OQUVqQ0FFQUFBSUhBZ0FBQUFBSERRQUJBQUFBQXdCZ0FQQUFBQUJHQ1FjTkFBRUFBQUFEQUdBQThBQUFBRVlBQUFBQUJJQnNBd0FBQUFJSUFDUlNHUUVNWHdFQkNnQUNBS0VDQWdRQ0FBa0FLd1FDQUFBQVNBUUFBRGNFQVFBQkJvQUFBQUFBQUFJSUFGY0ZIZ0hNdFAwQUJBSVFBTDBMRkFITXRQMEFWd1VlQVV3SkJRRWpDQUVBQUFJSEFnQUFBQUFIRFFBQkFBQUFBd0JnQVBBQUFBQkdDUWNOQUFFQUFBQURBR0FBOEFBQUFFWUFBQUFBQllCdEF3QUFDZ0FDQUlVQ0JBWUVBRklEQUFBRkJnUUFVd01BQUFvR0FRQUJBQUFGZ0c0REFBQUtBQUlBaGdJRUJnUUFVd01BQUFVR0JBQlVBd0FBQ2dZQkFBRUFBQVdBYndNQUFBb0FBZ0NIQWdRR0JBQlRBd0FBQlFZRUFGVURBQUFLQmdFQUFRQUFCWUJ3QXdBQUNnQUNBSWdDQkFZRUFGVURBQUFGQmdRQVZnTUFBQUFHQWdBQ0FBb0dBUUFCQUFBRmdIRURBQUFLQUFJQWlRSUVCZ1FBVlFNQUFBVUdCQUJYQXdBQUFBWUNBQUlBQ2dZQkFBRUFBQVdBY2dNQUFBb0FBZ0NLQWdRR0JBQlZBd0FBQlFZRUFGZ0RBQUFLQmdFQUFRQUFCWUJ6QXdBQUNnQUNBSXNDQkFZRUFGSURBQUFGQmdRQVdRTUFBQW9HQVFBQkFBQUZnSFFEQUFBS0FBSUFqQUlFQmdRQVdRTUFBQVVHQkFCYUF3QUFDZ1lCQUFFQUFBV0FkUU1BQUFvQUFnQ05BZ1FHQkFCYUF3QUFCUVlFQUZzREFBQUtCZ0VBQVFBQUJZQjJBd0FBQ2dBQ0FJNENCQVlFQUZzREFBQUZCZ1FBWEFNQUFBb0dBUUFCQUFBRmdIY0RBQUFLQUFJQWp3SUVCZ1FBWEFNQUFBVUdCQUJkQXdBQUFBWUNBQUlBQXdZQ0FBRUFDZ1lCQUFJTEJoQUFmUU1BQUhZREFBQjhBd0FBZUFNQUFBQUFCWUI0QXdBQUNnQUNBSkFDQkFZRUFGMERBQUFGQmdRQVhnTUFBQW9HQVFBQkFBQUZnSGtEQUFBS0FBSUFrUUlFQmdRQVhnTUFBQVVHQkFCZkF3QUFDZ1lCQUFFQUFBV0FlZ01BQUFvQUFnQ1NBZ1FHQkFCZUF3QUFCUVlFQUdBREFBQUtCZ0VBQVFBQUJZQjdBd0FBQ2dBQ0FKTUNCQVlFQUY0REFBQUZCZ1FBWVFNQUFBb0dBUUFCQUFBRmdId0RBQUFLQUFJQWxBSUVCZ1FBWFFNQUFBVUdCQUJpQXdBQUNnWUJBQUVBQUFXQWZRTUFBQW9BQWdDVkFnUUdCQUJjQXdBQUJRWUVBR01EQUFBS0JnRUFBUUFBQllCK0F3QUFDZ0FDQUpZQ0JBWUVBRnNEQUFBRkJnUUFaQU1BQUFvR0FRQUJBQUFGZ0g4REFBQUtBQUlBbHdJRUJnUUFXZ01BQUFVR0JBQmxBd0FBQ2dZQkFBRUFBQVdBZ0FNQUFBb0FBZ0NZQWdRR0JBQmFBd0FBQlFZRUFHWURBQUFLQmdFQUFRQUFCWUNCQXdBQUNnQUNBSmtDQkFZRUFGa0RBQUFGQmdRQVp3TUFBQW9HQVFBQkFBQUZnSUlEQUFBS0FBSUFtZ0lFQmdRQVdRTUFBQVVHQkFCb0F3QUFDZ1lCQUFFQUFBV0Fnd01BQUFvQUFnQ2JBZ1FHQkFCU0F3QUFCUVlFQUdrREFBQUtCZ0VBQVFBQUJZQ0VBd0FBQ2dBQ0FKNENCQVlFQUZNREFBQUZCZ1FBYWdNQUFBb0dBUUFCQUFBRmdJVURBQUFLQUFJQW9BSUVCZ1FBVWdNQUFBVUdCQUJyQXdBQUNnWUJBQUVBQUFXQWhnTUFBQW9BQWdDaUFnUUdCQUJiQXdBQUJRWUVBR3dEQUFBS0JnRUFBUUFBQUFBQUFBQUFBQUE9</t>
        </r>
      </text>
    </comment>
    <comment ref="D9" authorId="0" shapeId="0" xr:uid="{43273B3D-86E0-4C3D-A2C9-C7454B033109}">
      <text>
        <r>
          <rPr>
            <sz val="9"/>
            <color indexed="81"/>
            <rFont val="Tahoma"/>
            <family val="2"/>
          </rPr>
          <t>QzhGMTdPMlMtfFBpY3R1cmUgNzJ8Vm1wRFJEQXhNREFFQXdJQkFBQUFBQUFBQUFBQUFBQ0FBQUFBQUFNQUZnQUFBRU5vWlcxRWNtRjNJREl5TGpJdU1DNHpNekF3Q0FBVEFBQUFWVzUwYVhSc1pXUWdSRzlqZFcxbGJuUUVBaEFBSU4wUkFjL0RoZ0NhL21JQjBPYVZBUUVKQ0FBQWdFQUFBSUJBQUFJSkNBQUF3Q0VBQU1DMUFnMElBUUFCQ0FjQkFBRTZCQUVBQVRzRUFRQUFSUVFCQUFFOEJBRUFBRW9FQVFBQURBWUJBQUVQQmdFQUFRMEdBUUFBUWdRQkFBQkRCQUVBQUVRRUFRQUFEZ2dDQVBZV0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djQ0FBQUVBaEFBQUFBQUFBQUFBQUFzanFJQkRod0xGaFlJQkFBQUFDUUFHQWdFQUFBQUpBQVpDQUFBRUFnQ0FBRUFEd2dDQUFFQUE0QXRBZ0FBQkFJUUFDRGRFUUhQdzRZQW12NWlBZERtbFFFS0FBSUFud0VFZ0M0Q0FBQUFBZ2dBVkZCRUFWeGE4Z0FLQUFJQW9BRTNCQUVBQVFBQUJJQXZBZ0FBQUFJSUFGUlFOUUZ3VlF3QkNnQUNBS0VCTndRQkFBRUFBQVNBTUFJQUFBQUNDQUJVVUVRQmcxQW1BUW9BQWdDaUFUY0VBUUFCQUFBRWdERUNBQUFBQWdnQVZGQTFBWlpMUUFFS0FBSUFvd0UzQkFFQUFRQUFCSUF5QWdBQUFBSUlBRlJRUkFHcFJsb0JDZ0FDQUtRQk53UUJBQUVBQUFTQU13SUFBQUFDQ0FCblMxNEJxVVpMQVFvQUFnQ2xBUUlFQWdBSkFDc0VBZ0FBQUVnRUFBQTNCQUVBQVFhQUFBQUFBQUFDQ0FDYS9tSUJhWnhIQVFRQ0VBQUFCVmtCYVp4SEFacitZZ0hwOEU0Qkl3Z0JBQUFDQndJQUFBQUFCdzBBQVFBQUFBTUFZQUR3QUFBQVJna0hEUUFCQUFBQUF3QmdBUEFBQUFCR0FBQUFBQVNBTkFJQUFBQUNDQUJuUzE0QnFVWnBBUW9BQWdDbUFRSUVBZ0FKQUNzRUFnQUFBRWdFQUFBM0JBRUFBUWFBQUFBQUFBQUNDQUNhL21JQmFaeGxBUVFDRUFBQUJWa0JhWnhsQVpyK1lnSHA4R3dCSXdnQkFBQUNCd0lBQUFBQUJ3MEFBUUFBQUFNQVlBRHdBQUFBUmdrSERRQUJBQUFBQXdCZ0FQQUFBQUJHQUFBQUFBU0FOUUlBQUFBQ0NBQlVVRFVCdkVGMEFRb0FBZ0NuQVFJRUFnQVFBQ3NFQWdBQUFFZ0VBQUEzQkFFQUFRYUFBQUFBQUFBQ0NBQ0hBem9CUEVGd0FRUUNFQUFnM1M4QlBFRndBZTBwT2dFOFFuZ0JJd2dCQUFBQ0J3SUFBQUFBQncwQUFRQUFBQU1BWUFEd0FBQUFVd2tIRFFBQkFBQUFBd0JnQVBBQUFBQlRBQUFBQUFTQU5nSUFBQUFDQ0FCVVVCY0J2RUYwQVFvQUFnQ29BUUlFQWdBSUFDc0VBZ0FBQUVnRUFBQTNCQUVBQVFhQUFBQUFBQUFDQ0FDSEF4d0IvSlp2QVFRQ0VBQWczUkVCL0padkFlMHBIQUY4N0hnQkl3Z0JBQUFDQndJQUFBQUFCdzBBQVFBQUFBTUFZQUR3QUFBQVR3a0hEUUFCQUFBQUF3QmdBUEFBQUFCUEFBQUFBQVNBTndJQUFBQUNDQUJVVUVRQjBEeU9BUW9BQWdDcEFRSUVBZ0FJQUNzRUFnQUFBQ0VFQVFEL1NBUUFBRGNFQVFBQkJvQUFBQUFBQUFJSUFJY0RTUUVRa29rQkJBSVFBQ0RkUGdFUWtva0I3U2xKQWREbWxRRWpDQUVBQUFJSEFnQUFBQVVIQVFBQkFBY09BQUVBQUFBREFHQUE4QUFBQUU4dENRY09BQUVBQUFBREFHQUE4QUFBQUU4dEFBQUFBQVNBT0FJQUFBQUNDQUJCVlJzQmxrdFBBUW9BQWdDcUFRSUVBZ0FKQUNzRUFnQUFBRWdFQUFBM0JBRUFBUWFBQUFBQUFBQUNDQUIwQ0NBQlZxRkxBUVFDRUFEYURoWUJWcUZMQVhRSUlBSFc5VklCSXdnQkFBQUNCd0lBQUFBQUJ3MEFBUUFBQUFNQVlBRHdBQUFBUmdrSERRQUJBQUFBQXdCZ0FQQUFBQUJHQUFBQUFBU0FPUUlBQUFBQ0NBQkJWUnNCbGtzeEFRb0FBZ0NyQVFJRUFnQUpBQ3NFQWdBQUFFZ0VBQUEzQkFFQUFRYUFBQUFBQUFBQ0NBQjBDQ0FCVnFFdEFRUUNFQURhRGhZQlZxRXRBWFFJSUFIVzlUUUJJd2dCQUFBQ0J3SUFBQUFBQncwQUFRQUFBQU1BWUFEd0FBQUFSZ2tIRFFBQkFBQUFBd0JnQVBBQUFBQkdBQUFBQUFTQU9nSUFBQUFDQ0FCblMxNEJnMUFYQVFvQUFnQ3NBUUlFQWdBSkFDc0VBZ0FBQUVnRUFBQTNCQUVBQVFhQUFBQUFBQUFDQ0FDYS9tSUJRNllUQVFRQ0VBQUFCVmtCUTZZVEFacitZZ0hEK2hvQkl3Z0JBQUFDQndJQUFBQUFCdzBBQVFBQUFBTUFZQUR3QUFBQVJna0hEUUFCQUFBQUF3QmdBUEFBQUFCR0FBQUFBQVNBT3dJQUFBQUNDQUJuUzE0QmcxQTFBUW9BQWdDdEFRSUVBZ0FKQUNzRUFnQUFBRWdFQUFBM0JBRUFBUWFBQUFBQUFBQUNDQUNhL21JQlE2WXhBUVFDRUFBQUJWa0JRNll4QVpyK1lnSEQramdCSXdnQkFBQUNCd0lBQUFBQUJ3MEFBUUFBQUFNQVlBRHdBQUFBUmdrSERRQUJBQUFBQXdCZ0FQQUFBQUJHQUFBQUFBU0FQQUlBQUFBQ0NBQkJWUnNCY0ZVYkFRb0FBZ0N1QVFJRUFnQUpBQ3NFQWdBQUFFZ0VBQUEzQkFFQUFRYUFBQUFBQUFBQ0NBQjBDQ0FCTUtzWEFRUUNFQURhRGhZQk1Lc1hBWFFJSUFHdy94NEJJd2dCQUFBQ0J3SUFBQUFBQncwQUFRQUFBQU1BWUFEd0FBQUFSZ2tIRFFBQkFBQUFBd0JnQVBBQUFBQkdBQUFBQUFTQVBRSUFBQUFDQ0FCQlZSc0JjRlg5QUFvQUFnQ3ZBUUlFQWdBSkFDc0VBZ0FBQUVnRUFBQTNCQUVBQVFhQUFBQUFBQUFDQ0FCMENDQUJNS3Y1QUFRQ0VBRGFEaFlCTUt2NUFIUUlJQUd3L3dBQkl3Z0JBQUFDQndJQUFBQUFCdzBBQVFBQUFBTUFZQUR3QUFBQVJna0hEUUFCQUFBQUF3QmdBUEFBQUFCR0FBQUFBQVNBUGdJQUFBQUNDQUJVVURVQlNWL1lBQW9BQWdDd0FUY0VBUUFCQUFBRWdEOENBQUFBQWdnQVZGQkVBVFprdmdBS0FBSUFzUUUzQkFFQUFRQUFCSUJBQWdBQUFBSUlBRlJRTlFFamFhUUFDZ0FDQUxJQk53UUJBQUVBQUFTQVFRSUFBQUFDQ0FCVVVFUUJEMjZLQUFvQUFnQ3pBUUlFQWdBSkFDc0VBZ0FBQUVnRUFBQTNCQUVBQVFhQUFBQUFBQUFDQ0FDSEEwa0J6OE9HQUFRQ0VBRHRDVDhCejhPR0FJY0RTUUZQR0k0QUl3Z0JBQUFDQndJQUFBQUFCdzBBQVFBQUFBTUFZQUR3QUFBQVJna0hEUUFCQUFBQUF3QmdBUEFBQUFCR0FBQUFBQVNBUWdJQUFBQUNDQUJVVUJjQkkybWtBQW9BQWdDMEFRSUVBZ0FKQUNzRUFnQUFBRWdFQUFBM0JBRUFBUWFBQUFBQUFBQUNDQUNIQXh3QjQ3NmdBQVFDRUFEdENSSUI0NzZnQUljREhBRmpFNmdBSXdnQkFBQUNCd0lBQUFBQUJ3MEFBUUFBQUFNQVlBRHdBQUFBUmdrSERRQUJBQUFBQXdCZ0FQQUFBQUJHQUFBQUFBU0FRd0lBQUFBQ0NBQlVVQ1lCRDI2S0FBb0FBZ0MxQVFJRUFnQUpBQ3NFQWdBQUFFZ0VBQUEzQkFFQUFRYUFBQUFBQUFBQ0NBQ0hBeXNCejhPR0FBUUNFQUR0Q1NFQno4T0dBSWNES3dGUEdJNEFJd2dCQUFBQ0J3SUFBQUFBQncwQUFRQUFBQU1BWUFEd0FBQUFSZ2tIRFFBQkFBQUFBd0JnQVBBQUFBQkdBQUFBQUFTQVJBSUFBQUFDQ0FCblMxNEJObVN2QUFvQUFnQzJBUUlFQWdBSkFDc0VBZ0FBQUVnRUFBQTNCQUVBQVFhQUFBQUFBQUFDQ0FDYS9tSUI5cm1yQUFRQ0VBQUFCVmtCOXJtckFKcitZZ0YyRHJNQUl3Z0JBQUFDQndJQUFBQUFCdzBBQVFBQUFBTUFZQUR3QUFBQVJna0hEUUFCQUFBQUF3QmdBUEFBQUFCR0FBQUFBQVNBUlFJQUFBQUNDQUJuUzE0Qk5tVE5BQW9BQWdDM0FRSUVBZ0FKQUNzRUFnQUFBRWdFQUFBM0JBRUFBUWFBQUFBQUFBQUNDQUNhL21JQjlybkpBQVFDRUFBQUJWa0I5cm5KQUpyK1lnRjJEdEVBSXdnQkFBQUNCd0lBQUFBQUJ3MEFBUUFBQUFNQVlBRHdBQUFBUmdrSERRQUJBQUFBQXdCZ0FQQUFBQUJHQUFBQUFBU0FSZ0lBQUFBQ0NBQkJWUnNCU1YvbkFBb0FBZ0M0QVFJRUFnQUpBQ3NFQWdBQUFFZ0VBQUEzQkFFQUFRYUFBQUFBQUFBQ0NBQjBDQ0FCQ2JYakFBUUNFQURhRGhZQkNiWGpBSFFJSUFHSkNlc0FJd2dCQUFBQ0J3SUFBQUFBQncwQUFRQUFBQU1BWUFEd0FBQUFSZ2tIRFFBQkFBQUFBd0JnQVBBQUFBQkdBQUFBQUFTQVJ3SUFBQUFDQ0FCQlZSc0JTVi9KQUFvQUFnQzVBUUlFQWdBSkFDc0VBZ0FBQUVnRUFBQTNCQUVBQVFhQUFBQUFBQUFDQ0FCMENDQUJDYlhGQUFRQ0VBRGFEaFlCQ2JYRkFIUUlJQUdKQ2MwQUl3Z0JBQUFDQndJQUFBQUFCdzBBQVFBQUFBTUFZQUR3QUFBQVJna0hEUUFCQUFBQUF3QmdBUEFBQUFCR0FBQUFBQVNBU0FJQUFBQUNDQUJuUzE0QlhGcmpBQW9BQWdDNkFRSUVBZ0FKQUNzRUFnQUFBRWdFQUFBM0JBRUFBUWFBQUFBQUFBQUNDQUNhL21JQkhMRGZBQVFDRUFBQUJWa0JITERmQUpyK1lnR2NCT2NBSXdnQkFBQUNCd0lBQUFBQUJ3MEFBUUFBQUFNQVlBRHdBQUFBUmdrSERRQUJBQUFBQXdCZ0FQQUFBQUJHQUFBQUFBU0FTUUlBQUFBQ0NBQm5TMTRCWEZvQkFRb0FBZ0M3QVFJRUFnQUpBQ3NFQWdBQUFFZ0VBQUEzQkFFQUFRYUFBQUFBQUFBQ0NBQ2EvbUlCSExEOUFBUUNFQUFBQlZrQkhMRDlBSnIrWWdHY0JBVUJJd2dCQUFBQ0J3SUFBQUFBQncwQUFRQUFBQU1BWUFEd0FBQUFSZ2tIRFFBQkFBQUFBd0JnQVBBQUFBQkdBQUFBQUFXQVNnSUFBQW9BQWdDOEFRUUdCQUF1QWdBQUJRWUVBQzhDQUFBS0JnRUFBUUFBQllCTEFnQUFDZ0FDQUwwQkJBWUVBQzhDQUFBRkJnUUFNQUlBQUFvR0FRQUJBQUFGZ0V3Q0FBQUtBQUlBdmdFRUJnUUFNQUlBQUFVR0JBQXhBZ0FBQ2dZQkFBRUFBQVdBVFFJQUFBb0FBZ0MvQVFRR0JBQXhBZ0FBQlFZRUFESUNBQUFLQmdFQUFRQUFCWUJPQWdBQUNnQUNBTUFCQkFZRUFESUNBQUFGQmdRQU13SUFBQW9HQVFBQkFBQUZnRThDQUFBS0FBSUF3UUVFQmdRQU1nSUFBQVVHQkFBMEFnQUFDZ1lCQUFFQUFBV0FVQUlBQUFvQUFnRENBUVFHQkFBeUFnQUFCUVlFQURVQ0FBQUtCZ0VBQVFBQUJZQlJBZ0FBQ2dBQ0FNTUJCQVlFQURVQ0FBQUZCZ1FBTmdJQUFBQUdBZ0FDQUFvR0FRQUJBQUFGZ0ZJQ0FBQUtBQUlBeEFFRUJnUUFOUUlBQUFVR0JBQTNBZ0FBQ2dZQkFBRUFBQVdBVXdJQUFBb0FBZ0RGQVFRR0JBQXhBZ0FBQlFZRUFEZ0NBQUFLQmdFQUFRQUFCWUJVQWdBQUNnQUNBTVlCQkFZRUFERUNBQUFGQmdRQU9RSUFBQW9HQVFBQkFBQUZnRlVDQUFBS0FBSUF4d0VFQmdRQU1BSUFBQVVHQkFBNkFnQUFDZ1lCQUFFQUFBV0FWZ0lBQUFvQUFnRElBUVFHQkFBd0FnQUFCUVlFQURzQ0FBQUtCZ0VBQVFBQUJZQlhBZ0FBQ2dBQ0FNa0JCQVlFQUM4Q0FBQUZCZ1FBUEFJQUFBb0dBUUFCQUFBRmdGZ0NBQUFLQUFJQXlnRUVCZ1FBTHdJQUFBVUdCQUE5QWdBQUNnWUJBQUVBQUFXQVdRSUFBQW9BQWdETEFRUUdCQUF1QWdBQUJRWUVBRDRDQUFBS0JnRUFBUUFBQllCYUFnQUFDZ0FDQU13QkJBWUVBRDRDQUFBRkJnUUFQd0lBQUFvR0FRQUJBQUFGZ0ZzQ0FBQUtBQUlBelFFRUJnUUFQd0lBQUFVR0JBQkFBZ0FBQ2dZQkFBRUFBQVdBWEFJQUFBb0FBZ0RPQVFRR0JBQkFBZ0FBQlFZRUFFRUNBQUFLQmdFQUFRQUFCWUJkQWdBQUNnQUNBTThCQkFZRUFFQUNBQUFGQmdRQVFnSUFBQW9HQVFBQkFBQUZnRjRDQUFBS0FBSUEwQUVFQmdRQVFBSUFBQVVHQkFCREFnQUFDZ1lCQUFFQUFBV0FYd0lBQUFvQUFnRFJBUVFHQkFBL0FnQUFCUVlFQUVRQ0FBQUtCZ0VBQVFBQUJZQmdBZ0FBQ2dBQ0FOSUJCQVlFQUQ4Q0FBQUZCZ1FBUlFJQUFBb0dBUUFCQUFBRmdHRUNBQUFLQUFJQTB3RUVCZ1FBUGdJQUFBVUdCQUJHQWdBQUNnWUJBQUVBQUFXQVlnSUFBQW9BQWdEVUFRUUdCQUErQWdBQUJRWUVBRWNDQUFBS0JnRUFBUUFBQllCakFnQUFDZ0FDQU5VQkJBWUVBQzRDQUFBRkJnUUFTQUlBQUFvR0FRQUJBQUFGZ0dRQ0FBQUtBQUlBMWdFRUJnUUFMZ0lBQUFVR0JBQkpBZ0FBQ2dZQkFBRUFBQUFBQUFBQUFBQUE=</t>
        </r>
      </text>
    </comment>
    <comment ref="D10" authorId="0" shapeId="0" xr:uid="{A89C4FC8-A3F9-4FD0-8FEC-AAD990B14737}">
      <text>
        <r>
          <rPr>
            <sz val="9"/>
            <color indexed="81"/>
            <rFont val="Tahoma"/>
            <family val="2"/>
          </rPr>
          <t>QzhGMjFPM1MyLXxQaWN0dXJlIDIzfFZtcERSREF4TURBRUF3SUJBQUFBQUFBQUFBQUFBQUNBQUFBQUFBTUFGZ0FBQUVOb1pXMUVjbUYzSURJeUxqSXVNQzR6TXpBd0NBQVRBQUFBVlc1MGFYUnNaV1FnUkc5amRXMWxiblFFQWhBQU1lNFJBVWJHZVFCRUNXTUJXdVNpQVFFSkNBQUFnRUFBQUlCQUFBSUpDQUFBd0NFQUFNQzFBZzBJQVFBQkNBY0JBQUU2QkFFQUFUc0VBUUFBUlFRQkFBRThCQUVBQUVvRUFRQUFEQVlCQUFFUEJnRUFBUTBHQVFBQVFnUUJBQUJEQkFFQUFFUUVBUUFBRGdnQ0FQWVd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PRUNBQUFFQWhBQUFBQUFBQUFBQUFBS2pLSUJEaHdMRmhZSUJBQUFBQ1FBR0FnRUFBQUFKQUFaQ0FBQUVBZ0NBQUVBRHdnQ0FBRUFBNENiQWdBQUJBSVFBREh1RVFGR3hua0FSQWxqQVZya29nRUtBQUlBU0FJRWdKd0NBQUFBQWdnQW1EUkVBZE5jNVFBS0FBSUFSd0kzQkFFQUFRQUFCSUNkQWdBQUFBSUlBSmcwTlFIbVYvOEFDZ0FDQUVrQ053UUJBQUVBQUFTQW5nSUFBQUFDQ0FDWU5FUUIrVklaQVFvQUFnQkxBamNFQVFBQkFBQUVnSjhDQUFBQUFnZ0FtRFExQVExT013RUtBQUlBVFFJM0JBRUFBUUFBQklDZ0FnQUFBQUlJQUpnMFJBRWdTVTBCQ2dBQ0FFOENOd1FCQUFFQUFBU0FvUUlBQUFBQ0NBQ1lORFVCTTBSbkFRb0FBZ0JSQWpjRUFRQUJBQUFFZ0tJQ0FBQUFBZ2dBbURSRUFVWS9nUUVLQUFJQVV3SUNCQUlBRUFBckJBSUFBQUJJQkFBQU53UUJBQUVHZ0FBQUFBQUFBZ2dBeStkSUFjWStmUUVFQWhBQVpNRStBY1krZlFFeERra0J4aitGQVNNSUFRQUFBZ2NDQUFBQUJRY0JBQU1BQncwQUFRQUFBQU1BWUFEd0FBQUFVd2tIRFFBQkFBQUFBd0JnQVBBQUFBQlRBQUFBQUFTQW93SUFBQUFDQ0FDckwxNEIrVklvQVFvQUFnQlZBZ0lFQWdBSkFDc0VBZ0FBQUVnRUFBQTNCQUVBQVFhQUFBQUFBQUFDQ0FEZTRtSUJ1YWdrQVFRQ0VBQkU2VmdCdWFna0FkN2lZZ0U1L1NzQkl3Z0JBQUFDQndJQUFBQUFCdzBBQVFBQUFBTUFZQUR3QUFBQVJna0hEUUFCQUFBQUF3QmdBUEFBQUFCR0FBQUFBQVNBcEFJQUFBQUNDQUNZTkRVQndHSExBQW9BQWdCWEFqY0VBUUFCQUFBRWdLVUNBQUFBQWdnQXF5OWVBZE5jOUFBS0FBSUFXUUlDQkFJQUNRQXJCQUlBQUFCSUJBQUFOd1FCQUFFR2dBQUFBQUFBQWdnQTN1SmlBWk95OEFBRUFoQUFST2xZQVpPeThBRGU0bUlCRXdmNEFDTUlBUUFBQWdjQ0FBQUFBQWNOQUFFQUFBQURBR0FBOEFBQUFFWUpCdzBBQVFBQUFBTUFZQUR3QUFBQVJnQUFBQUFFZ0tZQ0FBQUFBZ2dBaERrYkFlWlg4QUFLQUFJQVd3SUNCQUlBQ1FBckJBSUFBQUJJQkFBQU53UUJBQUVHZ0FBQUFBQUFBZ2dBdCt3ZkFhYXQ3QUFFQWhBQUhmTVZBYWF0N0FDMzdCOEJKZ0wwQUNNSUFRQUFBZ2NDQUFBQUFBY05BQUVBQUFBREFHQUE4QUFBQUVZSkJ3MEFBUUFBQUFNQVlBRHdBQUFBUmdBQUFBQUVnS2NDQUFBQUFnZ0FoRGtiQWVaWERnRUtBQUlBWFFJQ0JBSUFDUUFyQkFJQUFBQklCQUFBTndRQkFBRUdnQUFBQUFBQUFnZ0F0K3dmQWFhdENnRUVBaEFBSGZNVkFhYXRDZ0czN0I4QkpnSVNBU01JQVFBQUFnY0NBQUFBQUFjTkFBRUFBQUFEQUdBQThBQUFBRVlKQncwQUFRQUFBQU1BWUFEd0FBQUFSZ0FBQUFBRWdLZ0NBQUFBQWdnQXF5OWVBZmxTQ2dFS0FBSUFYd0lDQkFJQUNRQXJCQUlBQUFCSUJBQUFOd1FCQUFFR2dBQUFBQUFBQWdnQTN1SmlBYm1vQmdFRUFoQUFST2xZQWJtb0JnSGU0bUlCT2YwTkFTTUlBUUFBQWdjQ0FBQUFBQWNOQUFFQUFBQURBR0FBOEFBQUFFWUpCdzBBQVFBQUFBTUFZQUR3QUFBQVJnQUFBQUFFZ0trQ0FBQUFBZ2dBaERrYkFRMU9KQUVLQUFJQVlRSUNCQUlBQ1FBckJBSUFBQUJJQkFBQU53UUJBQUVHZ0FBQUFBQUFBZ2dBdCt3ZkFjMmpJQUVFQWhBQUhmTVZBYzJqSUFHMzdCOEJUZmduQVNNSUFRQUFBZ2NDQUFBQUFBY05BQUVBQUFBREFHQUE4QUFBQUVZSkJ3MEFBUUFBQUFNQVlBRHdBQUFBUmdBQUFBQUVnS29DQUFBQUFnZ0FoRGtiQVExT1FnRUtBQUlBWXdJQ0JBSUFDUUFyQkFJQUFBQklCQUFBTndRQkFBRUdnQUFBQUFBQUFnZ0F0K3dmQWMyalBnRUVBaEFBSGZNVkFjMmpQZ0czN0I4QlRmaEZBU01JQVFBQUFnY0NBQUFBQUFjTkFBRUFBQUFEQUdBQThBQUFBRVlKQncwQUFRQUFBQU1BWUFEd0FBQUFSZ0FBQUFBRWdLc0NBQUFBQWdnQXF5OWVBU0JKUGdFS0FBSUFaUUlDQkFJQUNRQXJCQUlBQUFCSUJBQUFOd1FCQUFFR2dBQUFBQUFBQWdnQTN1SmlBZUNlT2dFRUFoQUFST2xZQWVDZU9nSGU0bUlCWVBOQkFTTUlBUUFBQWdjQ0FBQUFBQWNOQUFFQUFBQURBR0FBOEFBQUFFWUpCdzBBQVFBQUFBTUFZQUR3QUFBQVJnQUFBQUFFZ0t3Q0FBQUFBZ2dBcXk5ZUFTQkpYQUVLQUFJQVp3SUNCQUlBQ1FBckJBSUFBQUJJQkFBQU53UUJBQUVHZ0FBQUFBQUFBZ2dBM3VKaUFlQ2VXQUVFQWhBQVJPbFlBZUNlV0FIZTRtSUJZUE5mQVNNSUFRQUFBZ2NDQUFBQUFBY05BQUVBQUFBREFHQUE4QUFBQUVZSkJ3MEFBUUFBQUFNQVlBRHdBQUFBUmdBQUFBQUVnSzBDQUFBQUFnZ0FtRFJFQWExbXNRQUtBQUlBYVFJM0JBRUFBUUFBQklDdUFnQUFBQUlJQUtzdlhnR3NacUlBQ2dBQ0FHc0NBZ1FDQUFrQUt3UUNBQUFBU0FRQUFEY0VBUUFCQm9BQUFBQUFBQUlJQU43aVlnRnN2SjRBQkFJUUFFVHBXQUZzdko0QTN1SmlBZXdRcGdBakNBRUFBQUlIQWdBQUFBQUhEUUFCQUFBQUF3QmdBUEFBQUFCR0NRY05BQUVBQUFBREFHQUE4QUFBQUVZQUFBQUFCSUN2QWdBQUFBSUlBSVE1R3dIQVlid0FDZ0FDQUcwQ0FnUUNBQWtBS3dRQ0FBQUFTQVFBQURjRUFRQUJCb0FBQUFBQUFBSUlBTGZzSHdHQXQ3Z0FCQUlRQUIzekZRR0F0N2dBdCt3ZkFRQU13QUFqQ0FFQUFBSUhBZ0FBQUFBSERRQUJBQUFBQXdCZ0FQQUFBQUJHQ1FjTkFBRUFBQUFEQUdBQThBQUFBRVlBQUFBQUJJQ3dBZ0FBQUFJSUFJUTVHd0hBWWRvQUNnQUNBRzhDQWdRQ0FBa0FLd1FDQUFBQVNBUUFBRGNFQVFBQkJvQUFBQUFBQUFJSUFMZnNId0dBdDlZQUJBSVFBQjN6RlFHQXQ5WUF0K3dmQVFBTTNnQWpDQUVBQUFJSEFnQUFBQUFIRFFBQkFBQUFBd0JnQVBBQUFBQkdDUWNOQUFFQUFBQURBR0FBOEFBQUFFWUFBQUFBQklDeEFnQUFBQUlJQUtzdlhnSFRYTllBQ2dBQ0FIRUNBZ1FDQUFrQUt3UUNBQUFBU0FRQUFEY0VBUUFCQm9BQUFBQUFBQUlJQU43aVlnR1RzdElBQkFJUUFFVHBXQUdUc3RJQTN1SmlBUk1IMmdBakNBRUFBQUlIQWdBQUFBQUhEUUFCQUFBQUF3QmdBUEFBQUFCR0NRY05BQUVBQUFBREFHQUE4QUFBQUVZQUFBQUFCSUN5QWdBQUFBSUlBSVE1R3dFelJGZ0JDZ0FDQUhNQ0FnUUNBQWtBS3dRQ0FBQUFTQVFBQURjRUFRQUJCb0FBQUFBQUFBSUlBTGZzSHdIem1WUUJCQUlRQUIzekZRSHptVlFCdCt3ZkFYUHVXd0VqQ0FFQUFBSUhBZ0FBQUFBSERRQUJBQUFBQXdCZ0FQQUFBQUJHQ1FjTkFBRUFBQUFEQUdBQThBQUFBRVlBQUFBQUJJQ3pBZ0FBQUFJSUFJUTVHd0V6UkhZQkNnQUNBSFVDQWdRQ0FBa0FLd1FDQUFBQVNBUUFBRGNFQVFBQkJvQUFBQUFBQUFJSUFMZnNId0h6bVhJQkJBSVFBQjN6RlFIem1YSUJ0K3dmQVhQdWVRRWpDQUVBQUFJSEFnQUFBQUFIRFFBQkFBQUFBd0JnQVBBQUFBQkdDUWNOQUFFQUFBQURBR0FBOEFBQUFFWUFBQUFBQklDMEFnQUFBQUlJQUlRNUtnRkdQNUFCQ2dBQ0FIY0NBZ1FDQUFnQUt3UUNBQUFBU0FRQUFEY0VBUUFCQm9BQUFBQUFBQUlJQUxmc0xnR0dsSXNCQkFJUUFGREdKQUdHbElzQkhSTXZBUWJxbEFFakNBRUFBQUlIQWdBQUFBQUhEUUFCQUFBQUF3QmdBUEFBQUFCUENRY05BQUVBQUFBREFHQUE4QUFBQUU4QUFBQUFCSUMxQWdBQUFBSUlBS3N2WGdGR1AzSUJDZ0FDQUhrQ0FnUUNBQWdBS3dRQ0FBQUFTQVFBQURjRUFRQUJCb0FBQUFBQUFBSUlBTjdpWWdHR2xHMEJCQUlRQUhlOFdBR0dsRzBCUkFsakFRYnFkZ0VqQ0FFQUFBSUhBZ0FBQUFBSERRQUJBQUFBQXdCZ0FQQUFBQUJQQ1FjTkFBRUFBQUFEQUdBQThBQUFBRThBQUFBQUJJQzJBZ0FBQUFJSUFKZzBVd0ZhT3BzQkNnQUNBSHNDQWdRQ0FBZ0FLd1FDQUFBQUlRUUJBUDlJQkFBQU53UUJBQUVHZ0FBQUFBQUFBZ2dBeStkWEFacVBsZ0VFQWhBQVpNRk5BWnFQbGdFeERsZ0JXdVNpQVNNSUFRQUFBZ2NDQUFBQUJRY0JBQUVBQnc0QUFRQUFBQU1BWUFEd0FBQUFUeTBKQnc0QUFRQUFBQU1BWUFEd0FBQUFUeTBBQUFBQUJJQzNBZ0FBQUFJSUFLc3ZYZ0dzWnNBQUNnQUNBSDBDQWdRQ0FBa0FLd1FDQUFBQVNBUUFBRGNFQVFBQkJvQUFBQUFBQUFJSUFON2lZZ0Zzdkx3QUJBSVFBRVRwV0FGc3ZMd0EzdUppQWV3UXhBQWpDQUVBQUFJSEFnQUFBQUFIRFFBQkFBQUFBd0JnQVBBQUFBQkdDUWNOQUFFQUFBQURBR0FBOEFBQUFFWUFBQUFBQklDNEFnQUFBQUlJQUpnME5RR1phNWNBQ2dBQ0FIOENBZ1FDQUJBQUt3UUNBQUFBU0FRQUFEY0VBUUFCQm9BQUFBQUFBQUlJQU12bk9RRVphNU1BQkFJUUFHVEJMd0VaYTVNQU1RNDZBUmxzbXdBakNBRUFBQUlIQWdBQUFBVUhBUUFEQUFjTkFBRUFBQUFEQUdBQThBQUFBRk1KQncwQUFRQUFBQU1BWUFEd0FBQUFVd0FBQUFBRWdMa0NBQUFBQWdnQW1EUkVBWVp3ZlFBS0FBSUFnUUlDQkFJQUNRQXJCQUlBQUFCSUJBQUFOd1FCQUFFR2dBQUFBQUFBQWdnQXkrZElBVWJHZVFBRUFoQUFNZTQrQVViR2VRREw1MGdCeGhxQkFDTUlBUUFBQWdjQ0FBQUFBQWNOQUFFQUFBQURBR0FBOEFBQUFFWUpCdzBBQVFBQUFBTUFZQUR3QUFBQVJnQUFBQUFFZ0xvQ0FBQUFBZ2dBbURRWEFabHJsd0FLQUFJQWd3SUNCQUlBQ1FBckJBSUFBQUJJQkFBQU53UUJBQUVHZ0FBQUFBQUFBZ2dBeStjYkFWbkJrd0FFQWhBQU1lNFJBVm5Ca3dETDV4c0IyUldiQUNNSUFRQUFBZ2NDQUFBQUFBY05BQUVBQUFBREFHQUE4QUFBQUVZSkJ3MEFBUUFBQUFNQVlBRHdBQUFBUmdBQUFBQUVnTHNDQUFBQUFnZ0FtRFJUQVpscmx3QUtBQUlBaFFJQ0JBSUFDUUFyQkFJQUFBQklCQUFBTndRQkFBRUdnQUFBQUFBQUFnZ0F5K2RYQVZuQmt3QUVBaEFBTWU1TkFWbkJrd0RMNTFjQjJSV2JBQ01JQVFBQUFnY0NBQUFBQUFjTkFBRUFBQUFEQUdBQThBQUFBRVlKQncwQUFRQUFBQU1BWUFEd0FBQUFSZ0FBQUFBRWdMd0NBQUFBQWdnQW1EUW1BYTFtc1FBS0FBSUFod0lDQkFJQUNRQXJCQUlBQUFCSUJBQUFOd1FCQUFFR2dBQUFBQUFBQWdnQXkrY3FBVzI4clFBRUFoQUFNZTRnQVcyOHJRREw1eW9CN1JDMUFDTUlBUUFBQWdjQ0FBQUFBQWNOQUFFQUFBQURBR0FBOEFBQUFFWUpCdzBBQVFBQUFBTUFZQUR3QUFBQVJnQUFBQUFFZ0wwQ0FBQUFBZ2dBbURRbUFZWndmUUFLQUFJQWlRSUNCQUlBQ1FBckJBSUFBQUJJQkFBQU53UUJBQUVHZ0FBQUFBQUFBZ2dBeStjcUFVYkdlUUFFQWhBQU1lNGdBVWJHZVFETDV5b0J4aHFCQUNNSUFRQUFBZ2NDQUFBQUFBY05BQUVBQUFBREFHQUE4QUFBQUVZSkJ3MEFBUUFBQUFNQVlBRHdBQUFBUmdBQUFBQUZnTDRDQUFBS0FBSUFTZ0lFQmdRQW5BSUFBQVVHQkFDZEFnQUFDZ1lCQUFFQUFBV0F2d0lBQUFvQUFnQk1BZ1FHQkFDZEFnQUFCUVlFQUo0Q0FBQUtCZ0VBQVFBQUJZREFBZ0FBQ2dBQ0FFNENCQVlFQUo0Q0FBQUZCZ1FBbndJQUFBb0dBUUFCQUFBRmdNRUNBQUFLQUFJQVVBSUVCZ1FBbndJQUFBVUdCQUNnQWdBQUNnWUJBQUVBQUFXQXdnSUFBQW9BQWdCU0FnUUdCQUNnQWdBQUJRWUVBS0VDQUFBS0JnRUFBUUFBQllEREFnQUFDZ0FDQUZRQ0JBWUVBS0VDQUFBRkJnUUFvZ0lBQUFvR0FRQUJBQUFGZ01RQ0FBQUtBQUlBVmdJRUJnUUFuZ0lBQUFVR0JBQ2pBZ0FBQ2dZQkFBRUFBQVdBeFFJQUFBb0FBZ0JZQWdRR0JBQ2NBZ0FBQlFZRUFLUUNBQUFLQmdFQUFRQUFCWURHQWdBQUNnQUNBRm9DQkFZRUFKd0NBQUFGQmdRQXBRSUFBQW9HQVFBQkFBQUZnTWNDQUFBS0FBSUFYQUlFQmdRQW5RSUFBQVVHQkFDbUFnQUFDZ1lCQUFFQUFBV0F5QUlBQUFvQUFnQmVBZ1FHQkFDZEFnQUFCUVlFQUtjQ0FBQUtCZ0VBQVFBQUJZREpBZ0FBQ2dBQ0FHQUNCQVlFQUo0Q0FBQUZCZ1FBcUFJQUFBb0dBUUFCQUFBRmdNb0NBQUFLQUFJQVlnSUVCZ1FBbndJQUFBVUdCQUNwQWdBQUNnWUJBQUVBQUFXQXl3SUFBQW9BQWdCa0FnUUdCQUNmQWdBQUJRWUVBS29DQUFBS0JnRUFBUUFBQllETUFnQUFDZ0FDQUdZQ0JBWUVBS0FDQUFBRkJnUUFxd0lBQUFvR0FRQUJBQUFGZ00wQ0FBQUtBQUlBYUFJRUJnUUFvQUlBQUFVR0JBQ3NBZ0FBQ2dZQkFBRUFBQVdBemdJQUFBb0FBZ0JxQWdRR0JBQ2tBZ0FBQlFZRUFLMENBQUFLQmdFQUFRQUFCWURQQWdBQUNnQUNBR3dDQkFZRUFLMENBQUFGQmdRQXJnSUFBQW9HQVFBQkFBQUZnTkFDQUFBS0FBSUFiZ0lFQmdRQXBBSUFBQVVHQkFDdkFnQUFDZ1lCQUFFQUFBV0EwUUlBQUFvQUFnQndBZ1FHQkFDa0FnQUFCUVlFQUxBQ0FBQUtCZ0VBQVFBQUJZRFNBZ0FBQ2dBQ0FISUNCQVlFQUp3Q0FBQUZCZ1FBc1FJQUFBb0dBUUFCQUFBRmdOTUNBQUFLQUFJQWRBSUVCZ1FBb1FJQUFBVUdCQUN5QWdBQUNnWUJBQUVBQUFXQTFBSUFBQW9BQWdCMkFnUUdCQUNoQWdBQUJRWUVBTE1DQUFBS0JnRUFBUUFBQllEVkFnQUFDZ0FDQUhnQ0JBWUVBS0lDQUFBRkJnUUF0QUlBQUFBR0FnQUNBQW9HQVFBQkFBQUZnTllDQUFBS0FBSUFlZ0lFQmdRQW9nSUFBQVVHQkFDMUFnQUFBQVlDQUFJQUNnWUJBQUVBQUFXQTF3SUFBQW9BQWdCOEFnUUdCQUNpQWdBQUJRWUVBTFlDQUFBS0JnRUFBUUFBQllEWUFnQUFDZ0FDQUg0Q0JBWUVBSzBDQUFBRkJnUUF0d0lBQUFvR0FRQUJBQUFGZ05rQ0FBQUtBQUlBZ0FJRUJnUUFyUUlBQUFVR0JBQzRBZ0FBQ2dZQkFBRUFBQVdBMmdJQUFBb0FBZ0NDQWdRR0JBQzRBZ0FBQlFZRUFMa0NBQUFLQmdFQUFRQUFCWURiQWdBQUNnQUNBSVFDQkFZRUFMZ0NBQUFGQmdRQXVnSUFBQW9HQVFBQkFBQUZnTndDQUFBS0FBSUFoZ0lFQmdRQXVBSUFBQVVHQkFDN0FnQUFDZ1lCQUFFQUFBV0EzUUlBQUFvQUFnQ0lBZ1FHQkFDNEFnQUFCUVlFQUx3Q0FBQUtCZ0VBQVFBQUJZRGVBZ0FBQ2dBQ0FJb0NCQVlFQUxnQ0FBQUZCZ1FBdlFJQUFBb0dBUUFCQUFBQUFBQUFBQUFBQUE9PQ==</t>
        </r>
      </text>
    </comment>
    <comment ref="D12" authorId="0" shapeId="0" xr:uid="{028159ED-36B4-435E-AE2C-F60B1B576A10}">
      <text>
        <r>
          <rPr>
            <sz val="9"/>
            <color indexed="81"/>
            <rFont val="Tahoma"/>
            <family val="2"/>
          </rPr>
          <t>QzhDbEYxNk8zUy18UGljdHVyZSAyN3xWbXBEUkRBeE1EQUVBd0lCQUFBQUFBQUFBQUFBQUFDQUFBQUFBQU1BRmdBQUFFTm9aVzFFY21GM0lESXlMakl1TUM0ek16QXdDQUFUQUFBQVZXNTBhWFJzWldRZ1JHOWpkVzFsYm5RRUFoQUFJTjBSQWMvRGhnQ2EvbUlCME9hVkFRRUpDQUFBZ0VBQUFJQkFBQUlKQ0FBQXdDRUFBTUMxQWcwSUFRQUJDQWNCQUFFNkJBRUFBVHNFQVFBQVJRUUJBQUU4QkFFQUFFb0VBUUFBREFZQkFBRVBCZ0VBQVEwR0FRQUFRZ1FCQUFCREJBRUFBRVFFQVFBQURnZ0NBUFlXQ2dnSUFBTUFZQUR3QUFNQUN3Z0lBQU1BQUFEd0FBTUFDUWdFQUFDYUFnQUlDQVFBQUFBQ0FBY0lCQUFBd0FBQUJnZ0VBQUNhQWdBRkNBUUFBQUFSQUFRSUFnQzBBQU1JQkFBQUFIZ0FJd2dCQUFVTUNBRUFBQ2dJQVFBQktRZ0JBQUVxQ0FFQUFUSUlBUUFBS3dnQkFDZ3NDQUVBQ2dJSUVBQUFBQ1FBQUFBa0FBQUFKQUFBQUNRQUFRTUNBQUFBQWdNQ0FBRUFBQU15QUFnQS8vLy8vLy8vQUFBQUFBQUEvLzhBQUFBQS8vLy8vd0FBQUFELy93QUFBQUQvLy8vL0FBQUFBUC8vLy84QUFQLy9BQUVQQUFBQUFRQURBT1FFQlFCQmNtbGhiTF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RVFCQUFBRUFoQUFBQUFBQUFBQUFBQXRqcUlCRGh3TEZoWUlCQUFBQUNRQUdBZ0VBQUFBSkFBWkNBQUFFQWdDQUFFQUR3Z0NBQUVBQTRBSUFRQUFCQUlRQUNEZEVRSFB3NFlBbXY1aUFkRG1sUUVLQUFJQUJnRUVnQWtCQUFBQUFnZ0FaMHRBQVc5VkRBRUtBQUlBQndFM0JBRUFBUUFBQklBS0FRQUFBQUlJQUdkTE1RRmNXdklBQ2dBQ0FBZ0JOd1FCQUFFQUFBU0FDd0VBQUFBQ0NBQm5TMEFCU1YvWUFBb0FBZ0FKQVRjRUFRQUJBQUFFZ0F3QkFBQUFBZ2dBWjBzeEFUWmt2Z0FLQUFJQUNnRTNCQUVBQVFBQUJJQU5BUUFBQUFJSUFHZExRQUVqYWFRQUNnQUNBQXNCTndRQkFBRUFBQVNBRGdFQUFBQUNDQUJuUzE0QkkybWtBQW9BQWdBTUFRSUVBZ0FKQUNzRUFnQUFBRWdFQUFBM0JBRUFBUWFBQUFBQUFBQUNDQUNhL21JQjQ3NmdBQVFDRUFBQUJWa0I0NzZnQUpyK1lnRmpFNmdBSXdnQkFBQUNCd0lBQUFBQUJ3MEFBUUFBQUFNQVlBRHdBQUFBUmdrSERRQUJBQUFBQXdCZ0FQQUFBQUJHQUFBQUFBU0FEd0VBQUFBQ0NBQm5TMDhCRDI2S0FBb0FBZ0FOQVFJRUFnQUpBQ3NFQWdBQUFFZ0VBQUEzQkFFQUFRYUFBQUFBQUFBQ0NBQ2EvbE1CejhPR0FBUUNFQUFBQlVvQno4T0dBSnIrVXdGUEdJNEFJd2dCQUFBQ0J3SUFBQUFBQncwQUFRQUFBQU1BWUFEd0FBQUFSZ2tIRFFBQkFBQUFBd0JnQVBBQUFBQkdBQUFBQUFTQUVBRUFBQUFDQ0FCblN6RUJEMjZLQUFvQUFnQU9BUUlFQWdBSkFDc0VBZ0FBQUVnRUFBQTNCQUVBQVFhQUFBQUFBQUFDQ0FDYS9qVUJ6OE9HQUFRQ0VBQUFCU3dCejhPR0FKcitOUUZQR0k0QUl3Z0JBQUFDQndJQUFBQUFCdzBBQVFBQUFBTUFZQUR3QUFBQVJna0hEUUFCQUFBQUF3QmdBUEFBQUFCR0FBQUFBQVNBRVFFQUFBQUNDQUJVVUJjQk5tU3ZBQW9BQWdBUEFRSUVBZ0FKQUNzRUFnQUFBRWdFQUFBM0JBRUFBUWFBQUFBQUFBQUNDQUNIQXh3QjlybXJBQVFDRUFEdENSSUI5cm1yQUljREhBRjJEck1BSXdnQkFBQUNCd0lBQUFBQUJ3MEFBUUFBQUFNQVlBRHdBQUFBUmdrSERRQUJBQUFBQXdCZ0FQQUFBQUJHQUFBQUFBU0FFZ0VBQUFBQ0NBQlVVQmNCTm1UTkFBb0FBZ0FRQVFJRUFnQUpBQ3NFQWdBQUFFZ0VBQUEzQkFFQUFRYUFBQUFBQUFBQ0NBQ0hBeHdCOXJuSkFBUUNFQUR0Q1JJQjlybkpBSWNESEFGMkR0RUFJd2dCQUFBQ0J3SUFBQUFBQncwQUFRQUFBQU1BWUFEd0FBQUFSZ2tIRFFBQkFBQUFBd0JnQVBBQUFBQkdBQUFBQUFTQUV3RUFBQUFDQ0FCN1Jsb0JTVi9uQUFvQUFnQVJBUUlFQWdBSkFDc0VBZ0FBQUVnRUFBQTNCQUVBQVFhQUFBQUFBQUFDQ0FDdStWNEJDYlhqQUFRQ0VBQVVBRlVCQ2JYakFLNzVYZ0dKQ2VzQUl3Z0JBQUFDQndJQUFBQUFCdzBBQVFBQUFBTUFZQUR3QUFBQVJna0hEUUFCQUFBQUF3QmdBUEFBQUFCR0FBQUFBQVNBRkFFQUFBQUNDQUI3UmxvQlNWL0pBQW9BQWdBU0FRSUVBZ0FKQUNzRUFnQUFBRWdFQUFBM0JBRUFBUWFBQUFBQUFBQUNDQUN1K1Y0QkNiWEZBQVFDRUFBVUFGVUJDYlhGQUs3NVhnR0pDYzBBSXdnQkFBQUNCd0lBQUFBQUJ3MEFBUUFBQUFNQVlBRHdBQUFBUmdrSERRQUJBQUFBQXdCZ0FQQUFBQUJHQUFBQUFBU0FGUUVBQUFBQ0NBQlVVQmNCWEZyakFBb0FBZ0FUQVFJRUFnQUpBQ3NFQWdBQUFFZ0VBQUEzQkFFQUFRYUFBQUFBQUFBQ0NBQ0hBeHdCSExEZkFBUUNFQUR0Q1JJQkhMRGZBSWNESEFHY0JPY0FJd2dCQUFBQ0J3SUFBQUFBQncwQUFRQUFBQU1BWUFEd0FBQUFSZ2tIRFFBQkFBQUFBd0JnQVBBQUFBQkdBQUFBQUFTQUZnRUFBQUFDQ0FCVVVCY0JYRm9CQVFvQUFnQVVBUUlFQWdBSkFDc0VBZ0FBQUVnRUFBQTNCQUVBQVFhQUFBQUFBQUFDQ0FDSEF4d0JITEQ5QUFRQ0VBRHRDUklCSExEOUFJY0RIQUdjQkFVQkl3Z0JBQUFDQndJQUFBQUFCdzBBQVFBQUFBTUFZQUR3QUFBQVJna0hEUUFCQUFBQUF3QmdBUEFBQUFCR0FBQUFBQVNBRndFQUFBQUNDQUJuU3pFQmcxQW1BUW9BQWdBVkFUY0VBUUFCQUFBRWdCZ0JBQUFBQWdnQVowdEFBWlpMUUFFS0FBSUFGZ0UzQkFFQUFRQUFCSUFaQVFBQUFBSUlBR2RMTVFHcFJsb0JDZ0FDQUJjQk53UUJBQUVBQUFTQUdnRUFBQUFDQ0FCVVVCY0JxVVpMQVFvQUFnQVlBUUlFQWdBUkFDc0VBZ0FBQUVnRUFBQTNCQUVBQVFhQUFBQUFBQUFDQ0FDSEF4d0I2WnRNQVFRQ0VBQWczUkVCNlVaQkFlMHBIQUhwbTB3Qkl3Z0JBUDhCQndFQS93SUhBZ0FBQUFVSEFRQURBQWNPQUFFQUFBQURBR0FBOEFBQUFFTnNDUWNPQUFFQUFBQURBR0FBOEFBQUFFTnNBQUFBQUFTQUd3RUFBQUFDQ0FCVVVCY0JxVVpwQVFvQUFnQVpBUUlFQWdBSkFDc0VBZ0FBQUVnRUFBQTNCQUVBQVFhQUFBQUFBQUFDQ0FDSEF4d0JhWnhsQVFRQ0VBRHRDUklCYVp4bEFZY0RIQUhwOEd3Qkl3Z0JBQUFDQndJQUFBQUFCdzBBQVFBQUFBTUFZQUR3QUFBQVJna0hEUUFCQUFBQUF3QmdBUEFBQUFCR0FBQUFBQVNBSEFFQUFBQUNDQUJuUzBBQnZFRjBBUW9BQWdBYUFRSUVBZ0FRQUNzRUFnQUFBRWdFQUFBM0JBRUFBUWFBQUFBQUFBQUNDQUNhL2tRQlBFRndBUVFDRUFBejJEb0JQRUZ3QVFBbFJRRThRbmdCSXdnQkFBQUNCd0lBQUFBQUJ3MEFBUUFBQUFNQVlBRHdBQUFBVXdrSERRQUJBQUFBQXdCZ0FQQUFBQUJUQUFBQUFBU0FIUUVBQUFBQ0NBQlVVQ1lCdkVHREFRb0FBZ0FiQVFJRUFnQUlBQ3NFQWdBQUFFZ0VBQUEzQkFFQUFRYUFBQUFBQUFBQ0NBQ0hBeXNCL0paK0FRUUNFQUFnM1NBQi9KWitBZTBwS3dGODdJY0JJd2dCQUFBQ0J3SUFBQUFBQncwQUFRQUFBQU1BWUFEd0FBQUFUd2tIRFFBQkFBQUFBd0JnQVBBQUFBQlBBQUFBQUFTQUhnRUFBQUFDQ0FCN1Jsb0J2RUZsQVFvQUFnQWNBUUlFQWdBSUFDc0VBZ0FBQUVnRUFBQTNCQUVBQVFhQUFBQUFBQUFDQ0FDdStWNEIvSlpnQVFRQ0VBQkgwMVFCL0paZ0FSUWdYd0Y4N0drQkl3Z0JBQUFDQndJQUFBQUFCdzBBQVFBQUFBTUFZQUR3QUFBQVR3a0hEUUFCQUFBQUF3QmdBUEFBQUFCUEFBQUFBQVNBSHdFQUFBQUNDQUJuUzA4QjBEeU9BUW9BQWdBZEFRSUVBZ0FJQUNzRUFnQUFBQ0VFQVFEL1NBUUFBRGNFQVFBQkJvQUFBQUFBQUFJSUFKcitVd0VRa29rQkJBSVFBRFBZU1FFUWtva0JBQ1ZVQWREbWxRRWpDQUVBQUFJSEFnQUFBQVVIQVFBQkFBY09BQUVBQUFBREFHQUE4QUFBQUU4dENRY09BQUVBQUFBREFHQUE4QUFBQUU4dEFBQUFBQVNBSUFFQUFBQUNDQUI3UmxvQmxrdFBBUW9BQWdBZUFRSUVBZ0FKQUNzRUFnQUFBRWdFQUFBM0JBRUFBUWFBQUFBQUFBQUNDQUN1K1Y0QlZxRkxBUVFDRUFBVUFGVUJWcUZMQWE3NVhnSFc5VklCSXdnQkFBQUNCd0lBQUFBQUJ3MEFBUUFBQUFNQVlBRHdBQUFBUmdrSERRQUJBQUFBQXdCZ0FQQUFBQUJHQUFBQUFBU0FJUUVBQUFBQ0NBQjdSbG9CbGtzeEFRb0FBZ0FmQVFJRUFnQUpBQ3NFQWdBQUFFZ0VBQUEzQkFFQUFRYUFBQUFBQUFBQ0NBQ3UrVjRCVnFFdEFRUUNFQUFVQUZVQlZxRXRBYTc1WGdIVzlUUUJJd2dCQUFBQ0J3SUFBQUFBQncwQUFRQUFBQU1BWUFEd0FBQUFSZ2tIRFFBQkFBQUFBd0JnQVBBQUFBQkdBQUFBQUFTQUlnRUFBQUFDQ0FCVVVCY0JnMUFYQVFvQUFnQWdBUUlFQWdBSkFDc0VBZ0FBQUVnRUFBQTNCQUVBQVFhQUFBQUFBQUFDQ0FDSEF4d0JRNllUQVFRQ0VBRHRDUklCUTZZVEFZY0RIQUhEK2hvQkl3Z0JBQUFDQndJQUFBQUFCdzBBQVFBQUFBTUFZQUR3QUFBQVJna0hEUUFCQUFBQUF3QmdBUEFBQUFCR0FBQUFBQVNBSXdFQUFBQUNDQUJVVUJjQmcxQTFBUW9BQWdBaEFRSUVBZ0FKQUNzRUFnQUFBRWdFQUFBM0JBRUFBUWFBQUFBQUFBQUNDQUNIQXh3QlE2WXhBUVFDRUFEdENSSUJRNll4QVljREhBSEQramdCSXdnQkFBQUNCd0lBQUFBQUJ3MEFBUUFBQUFNQVlBRHdBQUFBUmdrSERRQUJBQUFBQXdCZ0FQQUFBQUJHQUFBQUFBU0FKQUVBQUFBQ0NBQjdSbG9CYjFVYkFRb0FBZ0FpQVFJRUFnQUpBQ3NFQWdBQUFFZ0VBQUEzQkFFQUFRYUFBQUFBQUFBQ0NBQ3UrVjRCTDZzWEFRUUNFQUFVQUZVQkw2c1hBYTc1WGdHdi94NEJJd2dCQUFBQ0J3SUFBQUFBQncwQUFRQUFBQU1BWUFEd0FBQUFSZ2tIRFFBQkFBQUFBd0JnQVBBQUFBQkdBQUFBQUFTQUpRRUFBQUFDQ0FCN1Jsb0JiMVg5QUFvQUFnQWpBUUlFQWdBSkFDc0VBZ0FBQUVnRUFBQTNCQUVBQVFhQUFBQUFBQUFDQ0FDdStWNEJMNnY1QUFRQ0VBQVVBRlVCTDZ2NUFLNzVYZ0d2L3dBQkl3Z0JBQUFDQndJQUFBQUFCdzBBQVFBQUFBTUFZQUR3QUFBQVJna0hEUUFCQUFBQUF3QmdBUEFBQUFCR0FBQUFBQVdBSmdFQUFBb0FBZ0FrQVFRR0JBQUpBUUFBQlFZRUFBb0JBQUFLQmdFQUFRQUFCWUFuQVFBQUNnQUNBQ1VCQkFZRUFBb0JBQUFGQmdRQUN3RUFBQW9HQVFBQkFBQUZnQ2dCQUFBS0FBSUFKZ0VFQmdRQUN3RUFBQVVHQkFBTUFRQUFDZ1lCQUFFQUFBV0FLUUVBQUFvQUFnQW5BUVFHQkFBTUFRQUFCUVlFQUEwQkFBQUtCZ0VBQVFBQUJZQXFBUUFBQ2dBQ0FDZ0JCQVlFQUEwQkFBQUZCZ1FBRGdFQUFBb0dBUUFCQUFBRmdDc0JBQUFLQUFJQUtRRUVCZ1FBRFFFQUFBVUdCQUFQQVFBQUNnWUJBQUVBQUFXQUxBRUFBQW9BQWdBcUFRUUdCQUFOQVFBQUJRWUVBQkFCQUFBS0JnRUFBUUFBQllBdEFRQUFDZ0FDQUNzQkJBWUVBQXdCQUFBRkJnUUFFUUVBQUFvR0FRQUJBQUFGZ0M0QkFBQUtBQUlBTEFFRUJnUUFEQUVBQUFVR0JBQVNBUUFBQ2dZQkFBRUFBQVdBTHdFQUFBb0FBZ0F0QVFRR0JBQUxBUUFBQlFZRUFCTUJBQUFLQmdFQUFRQUFCWUF3QVFBQUNnQUNBQzRCQkFZRUFBc0JBQUFGQmdRQUZBRUFBQW9HQVFBQkFBQUZnREVCQUFBS0FBSUFMd0VFQmdRQUNnRUFBQVVHQkFBVkFRQUFDZ1lCQUFFQUFBV0FNZ0VBQUFvQUFnQXdBUVFHQkFBS0FRQUFCUVlFQUJZQkFBQUtCZ0VBQVFBQUJZQXpBUUFBQ2dBQ0FERUJCQVlFQUFrQkFBQUZCZ1FBRndFQUFBb0dBUUFCQUFBRmdEUUJBQUFLQUFJQU1nRUVCZ1FBRndFQUFBVUdCQUFZQVFBQUNnWUJBQUVBQUFXQU5RRUFBQW9BQWdBekFRUUdCQUFZQVFBQUJRWUVBQmtCQUFBS0JnRUFBUUFBQllBMkFRQUFDZ0FDQURRQkJBWUVBQmtCQUFBRkJnUUFHZ0VBQUFvR0FRQUJBQUFGZ0RjQkFBQUtBQUlBTlFFRUJnUUFHUUVBQUFVR0JBQWJBUUFBQ2dZQkFBRUFBQVdBT0FFQUFBb0FBZ0EyQVFRR0JBQVpBUUFBQlFZRUFCd0JBQUFLQmdFQUFRQUFCWUE1QVFBQUNnQUNBRGNCQkFZRUFCd0JBQUFGQmdRQUhRRUFBQUFHQWdBQ0FBb0dBUUFCQUFBRmdEb0JBQUFLQUFJQU9BRUVCZ1FBSEFFQUFBVUdCQUFlQVFBQUFBWUNBQUlBQ2dZQkFBRUFBQVdBT3dFQUFBb0FBZ0E1QVFRR0JBQWNBUUFBQlFZRUFCOEJBQUFLQmdFQUFRQUFCWUE4QVFBQUNnQUNBRG9CQkFZRUFCZ0JBQUFGQmdRQUlBRUFBQW9HQVFBQkFBQUZnRDBCQUFBS0FBSUFPd0VFQmdRQUdBRUFBQVVHQkFBaEFRQUFDZ1lCQUFFQUFBV0FQZ0VBQUFvQUFnQThBUVFHQkFBWEFRQUFCUVlFQUNJQkFBQUtCZ0VBQVFBQUJZQS9BUUFBQ2dBQ0FEMEJCQVlFQUJjQkFBQUZCZ1FBSXdFQUFBb0dBUUFCQUFBRmdFQUJBQUFLQUFJQVBnRUVCZ1FBQ1FFQUFBVUdCQUFrQVFBQUNnWUJBQUVBQUFXQVFRRUFBQW9BQWdBL0FRUUdCQUFKQVFBQUJRWUVBQ1VCQUFBS0JnRUFBUUFBQUFBQUFBQUFBQUE9</t>
        </r>
      </text>
    </comment>
    <comment ref="D14" authorId="0" shapeId="0" xr:uid="{D39D74F1-0CEB-4496-851D-7A58C8C01A6F}">
      <text>
        <r>
          <rPr>
            <sz val="9"/>
            <color indexed="81"/>
            <rFont val="Tahoma"/>
            <family val="2"/>
          </rPr>
          <t>QzlGMTlPNFMtfFBpY3R1cmUgOTB8Vm1wRFJEQXhNREFFQXdJQkFBQUFBQUFBQUFBQUFBQ0FBQUFBQUFNQUZnQUFBRU5vWlcxRWNtRjNJREl5TGpJdU1DNHpNekF3Q0FBVEFBQUFWVzUwYVhSc1pXUWdSRzlqZFcxbGJuUUVBaEFBL3ZvUkFiekliQUNyNzJJQjQrR3ZBUUVKQ0FBQWdFQUFBSUJBQUFJSkNBQUF3Q0VBQU1DMUFnMElBUUFCQ0FjQkFBRTZCQUVBQVRzRUFRQUFSUVFCQUFFOEJBRUFBRW9FQVFBQURBWUJBQUVQQmdFQUFRMEdBUUFBUWdRQkFBQkRCQUVBQUVRRUFRQUFEZ2dDQVBZV0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05jQ0FBQUVBaEFBQUFBQUFBQUFBQUE5ZjZJQkRod0xGaFlJQkFBQUFDUUFHQWdFQUFBQUpBQVpDQUFBRUFnQ0FBRUFEd2dDQUFFQUE0Q1RBZ0FBQkFJUUFQNzZFUUc4eUd3QXErOWlBZVBocndFS0FBSUE2Z0VFZ0pRQ0FBQUFBZ2dBZUR4QUFWeGE4Z0FLQUFJQTZ3RTNCQUVBQVFBQUJJQ1ZBZ0FBQUFJSUFIZzhNUUZ2VlF3QkNnQUNBT3dCQWdRQ0FBZ0FLd1FDQUFBQVNBUUFBRGNFQVFBQkJvQUFBQUFBQUFJSUFLdnZOUUd2cWdjQkJBSVFBRVRKS3dHdnFnY0JFUlkyQVM4QUVRRWpDQUVBQUFJSEFnQUFBQUFIRFFBQkFBQUFBd0JnQVBBQUFBQlBDUWNOQUFFQUFBQURBR0FBOEFBQUFFOEFBQUFBQklDV0FnQUFBQUlJQUhnOFFBR0RVQ1lCQ2dBQ0FPMEJOd1FCQUFFQUFBU0Fsd0lBQUFBQ0NBQjRQREVCbGt0QUFRb0FBZ0R1QVRjRUFRQUJBQUFFZ0pnQ0FBQUFBZ2dBZUR4QUFhbEdXZ0VLQUFJQTd3RTNCQUVBQVFBQUJJQ1pBZ0FBQUFJSUFIZzhNUUc4UVhRQkNnQUNBUEFCTndRQkFBRUFBQVNBbWdJQUFBQUNDQUJsUVJjQnZFRmxBUW9BQWdEeEFRSUVBZ0FKQUNzRUFnQUFBRWdFQUFBM0JBRUFBUWFBQUFBQUFBQUNDQUNZOUJzQmZKZGhBUVFDRUFEKytoRUJmSmRoQVpqMEd3SDg2MmdCSXdnQkFBQUNCd0lBQUFBQUJ3MEFBUUFBQUFNQVlBRHdBQUFBUmdrSERRQUJBQUFBQXdCZ0FQQUFBQUJHQUFBQUFBU0Ftd0lBQUFBQ0NBQmxRUmNCdkVHREFRb0FBZ0R5QVFJRUFnQUpBQ3NFQWdBQUFFZ0VBQUEzQkFFQUFRYUFBQUFBQUFBQ0NBQ1k5QnNCZkpkL0FRUUNFQUQrK2hFQmZKZC9BWmowR3dIODY0WUJJd2dCQUFBQ0J3SUFBQUFBQncwQUFRQUFBQU1BWUFEd0FBQUFSZ2tIRFFBQkFBQUFBd0JnQVBBQUFBQkdBQUFBQUFTQW5BSUFBQUFDQ0FCNFBFQUIwRHlPQVFvQUFnRHpBUUlFQWdBUUFDc0VBZ0FBQUVnRUFBQTNCQUVBQVFhQUFBQUFBQUFDQ0FDcjcwUUJVRHlLQVFRQ0VBQkV5VG9CVUR5S0FSRVdSUUZRUFpJQkl3Z0JBQUFDQndJQUFBQUFCdzBBQVFBQUFBTUFZQUR3QUFBQVV3a0hEUUFCQUFBQUF3QmdBUEFBQUFCVEFBQUFBQVNBblFJQUFBQUNDQUJsUVNZQjBEeWRBUW9BQWdEMEFRSUVBZ0FJQUNzRUFnQUFBRWdFQUFBM0JBRUFBUWFBQUFBQUFBQUNDQUNZOUNvQkVKS1lBUVFDRUFBeHppQUJFSktZQWY0YUt3R1E1NkVCSXdnQkFBQUNCd0lBQUFBQUJ3MEFBUUFBQUFNQVlBRHdBQUFBVHdrSERRQUJBQUFBQXdCZ0FQQUFBQUJQQUFBQUFBU0FuZ0lBQUFBQ0NBQ01OMW9CMER4L0FRb0FBZ0QxQVFJRUFnQUlBQ3NFQWdBQUFFZ0VBQUEzQkFFQUFRYUFBQUFBQUFBQ0NBQy82bDRCRUpKNkFRUUNFQUJZeEZRQkVKSjZBU1VSWHdHUTU0TUJJd2dCQUFBQ0J3SUFBQUFBQncwQUFRQUFBQU1BWUFEd0FBQUFUd2tIRFFBQkFBQUFBd0JnQVBBQUFBQlBBQUFBQUFTQW53SUFBQUFDQ0FCNFBFOEI0emVvQVFvQUFnRDJBUUlFQWdBSUFDc0VBZ0FBQUNFRUFRRC9TQVFBQURjRUFRQUJCb0FBQUFBQUFBSUlBS3Z2VXdFamphTUJCQUlRQUVUSlNRRWpqYU1CRVJaVUFlUGhyd0VqQ0FFQUFBSUhBZ0FBQUFVSEFRQUJBQWNPQUFFQUFBQURBR0FBOEFBQUFFOHRDUWNPQUFFQUFBQURBR0FBOEFBQUFFOHRBQUFBQUFTQW9BSUFBQUFDQ0FDTU4xb0JxVVpwQVFvQUFnRDNBUUlFQWdBSkFDc0VBZ0FBQUVnRUFBQTNCQUVBQVFhQUFBQUFBQUFDQ0FDLzZsNEJhWnhsQVFRQ0VBQWw4VlFCYVp4bEFiL3FYZ0hwOEd3Qkl3Z0JBQUFDQndJQUFBQUFCdzBBQVFBQUFBTUFZQUR3QUFBQVJna0hEUUFCQUFBQUF3QmdBUEFBQUFCR0FBQUFBQVNBb1FJQUFBQUNDQUNNTjFvQnFVWkxBUW9BQWdENEFRSUVBZ0FKQUNzRUFnQUFBRWdFQUFBM0JBRUFBUWFBQUFBQUFBQUNDQUMvNmw0QmFaeEhBUVFDRUFBbDhWUUJhWnhIQWIvcVhnSHA4RTRCSXdnQkFBQUNCd0lBQUFBQUJ3MEFBUUFBQUFNQVlBRHdBQUFBUmdrSERRQUJBQUFBQXdCZ0FQQUFBQUJHQUFBQUFBU0FvZ0lBQUFBQ0NBQmxRUmNCbGtzeEFRb0FBZ0Q1QVFJRUFnQUpBQ3NFQWdBQUFFZ0VBQUEzQkFFQUFRYUFBQUFBQUFBQ0NBQ1k5QnNCVnFFdEFRUUNFQUQrK2hFQlZxRXRBWmowR3dIVzlUUUJJd2dCQUFBQ0J3SUFBQUFBQncwQUFRQUFBQU1BWUFEd0FBQUFSZ2tIRFFBQkFBQUFBd0JnQVBBQUFBQkdBQUFBQUFTQW93SUFBQUFDQ0FCbFFSY0Jsa3RQQVFvQUFnRDZBUUlFQWdBSkFDc0VBZ0FBQUVnRUFBQTNCQUVBQVFhQUFBQUFBQUFDQ0FDWTlCc0JWcUZMQVFRQ0VBRCsraEVCVnFGTEFaajBHd0hXOVZJQkl3Z0JBQUFDQndJQUFBQUFCdzBBQVFBQUFBTUFZQUR3QUFBQVJna0hEUUFCQUFBQUF3QmdBUEFBQUFCR0FBQUFBQVNBcEFJQUFBQUNDQUNNTjFvQmcxQTFBUW9BQWdEN0FRSUVBZ0FKQUNzRUFnQUFBRWdFQUFBM0JBRUFBUWFBQUFBQUFBQUNDQUMvNmw0QlE2WXhBUVFDRUFBbDhWUUJRNll4QWIvcVhnSEQramdCSXdnQkFBQUNCd0lBQUFBQUJ3MEFBUUFBQUFNQVlBRHdBQUFBUmdrSERRQUJBQUFBQXdCZ0FQQUFBQUJHQUFBQUFBU0FwUUlBQUFBQ0NBQ01OMW9CZzFBWEFRb0FBZ0Q4QVFJRUFnQUpBQ3NFQWdBQUFFZ0VBQUEzQkFFQUFRYUFBQUFBQUFBQ0NBQy82bDRCUTZZVEFRUUNFQUFsOFZRQlE2WVRBYi9xWGdIRCtob0JJd2dCQUFBQ0J3SUFBQUFBQncwQUFRQUFBQU1BWUFEd0FBQUFSZ2tIRFFBQkFBQUFBd0JnQVBBQUFBQkdBQUFBQUFTQXBnSUFBQUFDQ0FCNFBERUJTVi9ZQUFvQUFnRDlBVGNFQVFBQkFBQUVnS2NDQUFBQUFnZ0FlRHhBQVRaa3ZnQUtBQUlBL2dFM0JBRUFBUUFBQklDb0FnQUFBQUlJQUhnOE1RRWphYVFBQ2dBQ0FQOEJOd1FCQUFFQUFBU0FxUUlBQUFBQ0NBQjRQRUFCRDI2S0FBb0FBZ0FBQWpjRUFRQUJBQUFFZ0tvQ0FBQUFBZ2dBZUR4ZUFROXVpZ0FLQUFJQUFRSUNCQUlBQ1FBckJBSUFBQUJJQkFBQU53UUJBQUVHZ0FBQUFBQUFBZ2dBcSs5aUFjL0RoZ0FFQWhBQUVmWllBYy9EaGdDcjcySUJUeGlPQUNNSUFRQUFBZ2NDQUFBQUFBY05BQUVBQUFBREFHQUE4QUFBQUVZSkJ3MEFBUUFBQUFNQVlBRHdBQUFBUmdBQUFBQUVnS3NDQUFBQUFnZ0FlRHhQQWZ4eWNBQUtBQUlBQWdJQ0JBSUFDUUFyQkFJQUFBQklCQUFBTndRQkFBRUdnQUFBQUFBQUFnZ0FxKzlUQWJ6SWJBQUVBaEFBRWZaSkFiekliQUNyNzFNQlBCMTBBQ01JQVFBQUFnY0NBQUFBQUFjTkFBRUFBQUFEQUdBQThBQUFBRVlKQncwQUFRQUFBQU1BWUFEd0FBQUFSZ0FBQUFBRWdLd0NBQUFBQWdnQWVEd3hBZnh5Y0FBS0FBSUFBd0lDQkFJQUNRQXJCQUlBQUFCSUJBQUFOd1FCQUFFR2dBQUFBQUFBQWdnQXErODFBYnpJYkFBRUFoQUFFZllyQWJ6SWJBQ3I3elVCUEIxMEFDTUlBUUFBQWdjQ0FBQUFBQWNOQUFFQUFBQURBR0FBOEFBQUFFWUpCdzBBQVFBQUFBTUFZQUR3QUFBQVJnQUFBQUFFZ0swQ0FBQUFBZ2dBWlVFWEFTTnBsUUFLQUFJQUJBSUNCQUlBQ1FBckJBSUFBQUJJQkFBQU53UUJBQUVHZ0FBQUFBQUFBZ2dBbVBRYkFlTytrUUFFQWhBQS92b1JBZU8ra1FDWTlCc0JZeE9aQUNNSUFRQUFBZ2NDQUFBQUFBY05BQUVBQUFBREFHQUE4QUFBQUVZSkJ3MEFBUUFBQUFNQVlBRHdBQUFBUmdBQUFBQUVnSzRDQUFBQUFnZ0FaVUVYQVNOcHN3QUtBQUlBQlFJQ0JBSUFDUUFyQkFJQUFBQklCQUFBTndRQkFBRUdnQUFBQUFBQUFnZ0FtUFFiQWVPK3J3QUVBaEFBL3ZvUkFlTytyd0NZOUJzQll4TzNBQ01JQVFBQUFnY0NBQUFBQUFjTkFBRUFBQUFEQUdBQThBQUFBRVlKQncwQUFRQUFBQU1BWUFEd0FBQUFSZ0FBQUFBRWdLOENBQUFBQWdnQWpEZGFBVFprelFBS0FBSUFCZ0lDQkFJQUNRQXJCQUlBQUFCSUJBQUFOd1FCQUFFR2dBQUFBQUFBQWdnQXYrcGVBZmE1eVFBRUFoQUFKZkZVQWZhNXlRQy82bDRCZGc3UkFDTUlBUUFBQWdjQ0FBQUFBQWNOQUFFQUFBQURBR0FBOEFBQUFFWUpCdzBBQVFBQUFBTUFZQUR3QUFBQVJnQUFBQUFFZ0xBQ0FBQUFBZ2dBakRkYUFUWmtyd0FLQUFJQUJ3SUNCQUlBQ1FBckJBSUFBQUJJQkFBQU53UUJBQUVHZ0FBQUFBQUFBZ2dBditwZUFmYTVxd0FFQWhBQUpmRlVBZmE1cXdDLzZsNEJkZzZ6QUNNSUFRQUFBZ2NDQUFBQUFBY05BQUVBQUFBREFHQUE4QUFBQUVZSkJ3MEFBUUFBQUFNQVlBRHdBQUFBUmdBQUFBQUVnTEVDQUFBQUFnZ0FaVUVYQVVsZnlRQUtBQUlBQ0FJQ0JBSUFDUUFyQkFJQUFBQklCQUFBTndRQkFBRUdnQUFBQUFBQUFnZ0FtUFFiQVFtMXhRQUVBaEFBL3ZvUkFRbTF4UUNZOUJzQmlRbk5BQ01JQVFBQUFnY0NBQUFBQUFjTkFBRUFBQUFEQUdBQThBQUFBRVlKQncwQUFRQUFBQU1BWUFEd0FBQUFSZ0FBQUFBRWdMSUNBQUFBQWdnQVpVRVhBVWxmNXdBS0FBSUFDUUlDQkFJQUNRQXJCQUlBQUFCSUJBQUFOd1FCQUFFR2dBQUFBQUFBQWdnQW1QUWJBUW0xNHdBRUFoQUEvdm9SQVFtMTR3Q1k5QnNCaVFuckFDTUlBUUFBQWdjQ0FBQUFBQWNOQUFFQUFBQURBR0FBOEFBQUFFWUpCdzBBQVFBQUFBTUFZQUR3QUFBQVJnQUFBQUFFZ0xNQ0FBQUFBZ2dBakRkYUFWeGFBUUVLQUFJQUNnSUNCQUlBQ1FBckJBSUFBQUJJQkFBQU53UUJBQUVHZ0FBQUFBQUFBZ2dBditwZUFSeXcvUUFFQWhBQUpmRlVBUnl3L1FDLzZsNEJuQVFGQVNNSUFRQUFBZ2NDQUFBQUFBY05BQUVBQUFBREFHQUE4QUFBQUVZSkJ3MEFBUUFBQUFNQVlBRHdBQUFBUmdBQUFBQUVnTFFDQUFBQUFnZ0FqRGRhQVZ4YTR3QUtBQUlBQ3dJQ0JBSUFDUUFyQkFJQUFBQklCQUFBTndRQkFBRUdnQUFBQUFBQUFnZ0F2K3BlQVJ5dzN3QUVBaEFBSmZGVUFSeXczd0MvNmw0Qm5BVG5BQ01JQVFBQUFnY0NBQUFBQUFjTkFBRUFBQUFEQUdBQThBQUFBRVlKQncwQUFRQUFBQU1BWUFEd0FBQUFSZ0FBQUFBRmdMVUNBQUFLQUFJQURBSUVCZ1FBbEFJQUFBVUdCQUNWQWdBQUNnWUJBQUVBQUFXQXRnSUFBQW9BQWdBTkFnUUdCQUNWQWdBQUJRWUVBSllDQUFBS0JnRUFBUUFBQllDM0FnQUFDZ0FDQUE0Q0JBWUVBSllDQUFBRkJnUUFsd0lBQUFvR0FRQUJBQUFGZ0xnQ0FBQUtBQUlBRHdJRUJnUUFsd0lBQUFVR0JBQ1lBZ0FBQ2dZQkFBRUFBQVdBdVFJQUFBb0FBZ0FRQWdRR0JBQ1lBZ0FBQlFZRUFKa0NBQUFLQmdFQUFRQUFCWUM2QWdBQUNnQUNBQkVDQkFZRUFKa0NBQUFGQmdRQW1nSUFBQW9HQVFBQkFBQUZnTHNDQUFBS0FBSUFFZ0lFQmdRQW1RSUFBQVVHQkFDYkFnQUFDZ1lCQUFFQUFBV0F2QUlBQUFvQUFnQVRBZ1FHQkFDWkFnQUFCUVlFQUp3Q0FBQUtCZ0VBQVFBQUJZQzlBZ0FBQ2dBQ0FCUUNCQVlFQUp3Q0FBQUZCZ1FBblFJQUFBQUdBZ0FDQUFvR0FRQUJBQUFGZ0w0Q0FBQUtBQUlBRlFJRUJnUUFuQUlBQUFVR0JBQ2VBZ0FBQUFZQ0FBSUFDZ1lCQUFFQUFBV0F2d0lBQUFvQUFnQVdBZ1FHQkFDY0FnQUFCUVlFQUo4Q0FBQUtCZ0VBQVFBQUJZREFBZ0FBQ2dBQ0FCY0NCQVlFQUpnQ0FBQUZCZ1FBb0FJQUFBb0dBUUFCQUFBRmdNRUNBQUFLQUFJQUdBSUVCZ1FBbUFJQUFBVUdCQUNoQWdBQUNnWUJBQUVBQUFXQXdnSUFBQW9BQWdBWkFnUUdCQUNYQWdBQUJRWUVBS0lDQUFBS0JnRUFBUUFBQllEREFnQUFDZ0FDQUJvQ0JBWUVBSmNDQUFBRkJnUUFvd0lBQUFvR0FRQUJBQUFGZ01RQ0FBQUtBQUlBR3dJRUJnUUFsZ0lBQUFVR0JBQ2tBZ0FBQ2dZQkFBRUFBQVdBeFFJQUFBb0FBZ0FjQWdRR0JBQ1dBZ0FBQlFZRUFLVUNBQUFLQmdFQUFRQUFCWURHQWdBQUNnQUNBQjBDQkFZRUFKUUNBQUFGQmdRQXBnSUFBQW9HQVFBQkFBQUZnTWNDQUFBS0FBSUFIZ0lFQmdRQXBnSUFBQVVHQkFDbkFnQUFDZ1lCQUFFQUFBV0F5QUlBQUFvQUFnQWZBZ1FHQkFDbkFnQUFCUVlFQUtnQ0FBQUtCZ0VBQVFBQUJZREpBZ0FBQ2dBQ0FDQUNCQVlFQUtnQ0FBQUZCZ1FBcVFJQUFBb0dBUUFCQUFBRmdNb0NBQUFLQUFJQUlRSUVCZ1FBcVFJQUFBVUdCQUNxQWdBQUNnWUJBQUVBQUFXQXl3SUFBQW9BQWdBaUFnUUdCQUNwQWdBQUJRWUVBS3NDQUFBS0JnRUFBUUFBQllETUFnQUFDZ0FDQUNNQ0JBWUVBS2tDQUFBRkJnUUFyQUlBQUFvR0FRQUJBQUFGZ00wQ0FBQUtBQUlBSkFJRUJnUUFxQUlBQUFVR0JBQ3RBZ0FBQ2dZQkFBRUFBQVdBemdJQUFBb0FBZ0FsQWdRR0JBQ29BZ0FBQlFZRUFLNENBQUFLQmdFQUFRQUFCWURQQWdBQUNnQUNBQ1lDQkFZRUFLY0NBQUFGQmdRQXJ3SUFBQW9HQVFBQkFBQUZnTkFDQUFBS0FBSUFKd0lFQmdRQXB3SUFBQVVHQkFDd0FnQUFDZ1lCQUFFQUFBV0EwUUlBQUFvQUFnQW9BZ1FHQkFDbUFnQUFCUVlFQUxFQ0FBQUtCZ0VBQVFBQUJZRFNBZ0FBQ2dBQ0FDa0NCQVlFQUtZQ0FBQUZCZ1FBc2dJQUFBb0dBUUFCQUFBRmdOTUNBQUFLQUFJQUtnSUVCZ1FBbEFJQUFBVUdCQUN6QWdBQUNnWUJBQUVBQUFXQTFBSUFBQW9BQWdBckFnUUdCQUNVQWdBQUJRWUVBTFFDQUFBS0JnRUFBUUFBQUFBQUFBQUFBQUE9</t>
        </r>
      </text>
    </comment>
    <comment ref="D15" authorId="0" shapeId="0" xr:uid="{60F83010-0008-4342-87A3-FA424E2238E8}">
      <text>
        <r>
          <rPr>
            <sz val="9"/>
            <color indexed="81"/>
            <rFont val="Tahoma"/>
            <family val="2"/>
          </rPr>
          <t>QzhGMTVPNFMtfFBpY3R1cmUgODB8Vm1wRFJEQXhNREFFQXdJQkFBQUFBQUFBQUFBQUFBQ0FBQUFBQUFNQUZnQUFBRU5vWlcxRWNtRjNJREl5TGpJdU1DNHpNekF3Q0FBVEFBQUFWVzUwYVhSc1pXUWdSRzlqZFcxbGJuUUVBaEFBaVBnUEFmWUZld0FpOG1RQnlpU2hBUUVKQ0FBQWdFQUFBSUJBQUFJSkNBQUF3Q0VBQU1DMUFnMElBUUFCQ0FjQkFBRTZCQUVBQVRzRUFRQUFSUVFCQUFFOEJBRUFBRW9FQVFBQURBWUJBQUVQQmdFQUFRMEdBUUFBUWdRQkFBQkRCQUVBQUVRRUFRQUFEZ2dDQUl3WE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01NQ0FBQUVBaEFBQUFBQUFBQUFBQUNHemFVQjQrWnZGeFlJQkFBQUFDUUFHQWdFQUFBQUpBQVpDQUFBRUFnQ0FBRUFEd2dDQUFFQUE0Q0pBZ0FBQkFJUUFJajREd0gyQlhzQUl2SmtBY29rb1FFS0FBSUFoQUlFZ0lvQ0FBQUFBZ2dBN3o1Q0FVbXJtQUFLQUFJQWd3STNCQUVBQVFBQUJJQ0xBZ0FBQUFJSUFPOCtNd0ZkcHJJQUNnQUNBSVVDTndRQkFBRUFBQVNBakFJQUFBQUNDQUR2UGtJQmNLSE1BQW9BQWdDSEFnSUVBZ0FJQUNzRUFnQUFBRWdFQUFBM0JBRUFBUWFBQUFBQUFBQUNDQUFpOGtZQnNQYkhBQVFDRUFDN3l6d0JzUGJIQUlnWVJ3RXdUTkVBSXdnQkFBQUNCd0lBQUFBQUJ3MEFBUUFBQUFNQVlBRHdBQUFBVHdrSERRQUJBQUFBQXdCZ0FQQUFBQUJQQUFBQUFBU0FqUUlBQUFBQ0NBRHZQak1CZzV6bUFBb0FBZ0NKQWpjRUFRQUJBQUFFZ0k0Q0FBQUFBZ2dBN3o1Q0FaYVhBQUVLQUFJQWl3STNCQUVBQVFBQUJJQ1BBZ0FBQUFJSUFPOCtNd0dxa2hvQkNnQUNBSTBDTndRQkFBRUFBQVNBa0FJQUFBQUNDQUR2UGtJQnZZMDBBUW9BQWdDUEFqY0VBUUFCQUFBRWdKRUNBQUFBQWdnQTd6NHpBZENJVGdFS0FBSUFrUUkzQkFFQUFRQUFCSUNTQWdBQUFBSUlBTzgrTXdIM2ZvSUJDZ0FDQUpNQ0FnUUNBQkFBS3dRQ0FBQUFTQVFBQURjRUFRQUJCb0FBQUFBQUFBSUlBQ0x5TndGM2ZuNEJCQUlRQUx2TExRRjNmbjRCaUJnNEFYZC9oZ0VqQ0FFQUFBSUhBZ0FBQUFVSEFRQURBQWNOQUFFQUFBQURBR0FBOEFBQUFGTUpCdzBBQVFBQUFBTUFZQUR3QUFBQVV3QUFBQUFFZ0pNQ0FBQUFBZ2dBMjBNWkFmZCtjd0VLQUFJQWxBSUNCQUlBQ0FBckJBSUFBQUJJQkFBQU53UUJBQUVHZ0FBQUFBQUFBZ2dBRHZjZEFUZlViZ0VFQWhBQXA5QVRBVGZVYmdGMEhSNEJ0eWw0QVNNSUFRQUFBZ2NDQUFBQUFBY05BQUVBQUFBREFHQUE4QUFBQUU4SkJ3MEFBUUFBQUFNQVlBRHdBQUFBVHdBQUFBQUVnSlFDQUFBQUFnZ0E3ejRrQVFwNm5BRUtBQUlBbGdJQ0JBSUFDQUFyQkFJQUFBQklCQUFBTndRQkFBRUdnQUFBQUFBQUFnZ0FJdklvQVVyUGx3RUVBaEFBdThzZUFVclBsd0dJR0NrQnlpU2hBU01JQVFBQUFnY0NBQUFBQUFjTkFBRUFBQUFEQUdBQThBQUFBRThKQncwQUFRQUFBQU1BWUFEd0FBQUFUd0FBQUFBRWdKVUNBQUFBQWdnQUFqcE5BZmQra1FFS0FBSUFtQUlDQkFJQUNBQXJCQUlBQUFBaEJBRUEvMGdFQUFBM0JBRUFBUWFBQUFBQUFBQUNDQUExN1ZFQk45U01BUVFDRUFET3hrY0JOOVNNQVpzVFVnSDNLSmtCSXdnQkFBQUNCd0lBQUFBRkJ3RUFBUUFIRGdBQkFBQUFBd0JnQVBBQUFBQlBMUWtIRGdBQkFBQUFBd0JnQVBBQUFBQlBMUUFBQUFBRWdKWUNBQUFBQWdnQTd6NWdBVW1ybUFBS0FBSUFtZ0lDQkFJQUNRQXJCQUlBQUFCSUJBQUFOd1FCQUFFR2dBQUFBQUFBQWdnQUl2SmtBUWtCbFFBRUFoQUFpUGhhQVFrQmxRQWk4bVFCaVZXY0FDTUlBUUFBQWdjQ0FBQUFBQWNOQUFFQUFBQURBR0FBOEFBQUFFWUpCdzBBQVFBQUFBTUFZQUR3QUFBQVJnQUFBQUFFZ0pjQ0FBQUFBZ2dBN3o0ekFUYXdmZ0FLQUFJQW5BSUNCQUlBQ1FBckJBSUFBQUJJQkFBQU53UUJBQUVHZ0FBQUFBQUFBZ2dBSXZJM0FmWUZld0FFQWhBQWlQZ3RBZllGZXdBaThqY0JkbHFDQUNNSUFRQUFBZ2NDQUFBQUFBY05BQUVBQUFBREFHQUE4QUFBQUVZSkJ3MEFBUUFBQUFNQVlBRHdBQUFBUmdBQUFBQUVnSmdDQUFBQUFnZ0EyME1aQVlPYzF3QUtBQUlBbmdJQ0JBSUFDUUFyQkFJQUFBQklCQUFBTndRQkFBRUdnQUFBQUFBQUFnZ0FEdmNkQVVQeTB3QUVBaEFBZFAwVEFVUHkwd0FPOXgwQncwYmJBQ01JQVFBQUFnY0NBQUFBQUFjTkFBRUFBQUFEQUdBQThBQUFBRVlKQncwQUFRQUFBQU1BWUFEd0FBQUFSZ0FBQUFBRWdKa0NBQUFBQWdnQTIwTVpBWU9jOVFBS0FBSUFvQUlDQkFJQUNRQXJCQUlBQUFCSUJBQUFOd1FCQUFFR2dBQUFBQUFBQWdnQUR2Y2RBVVB5OFFBRUFoQUFkUDBUQVVQeThRQU85eDBCdzBiNUFDTUlBUUFBQWdjQ0FBQUFBQWNOQUFFQUFBQURBR0FBOEFBQUFFWUpCdzBBQVFBQUFBTUFZQUR3QUFBQVJnQUFBQUFFZ0pvQ0FBQUFBZ2dBQWpwY0FaYVg4UUFLQUFJQW9nSUNCQUlBQ1FBckJBSUFBQUJJQkFBQU53UUJBQUVHZ0FBQUFBQUFBZ2dBTmUxZ0FWYnQ3UUFFQWhBQW0vTldBVmJ0N1FBMTdXQUIxa0gxQUNNSUFRQUFBZ2NDQUFBQUFBY05BQUVBQUFBREFHQUE4QUFBQUVZSkJ3MEFBUUFBQUFNQVlBRHdBQUFBUmdBQUFBQUVnSnNDQUFBQUFnZ0FBanBjQVphWER3RUtBQUlBcEFJQ0JBSUFDUUFyQkFJQUFBQklCQUFBTndRQkFBRUdnQUFBQUFBQUFnZ0FOZTFnQVZidEN3RUVBaEFBbS9OV0FWYnRDd0UxN1dBQjFrRVRBU01JQVFBQUFnY0NBQUFBQUFjTkFBRUFBQUFEQUdBQThBQUFBRVlKQncwQUFRQUFBQU1BWUFEd0FBQUFSZ0FBQUFBRWdKd0NBQUFBQWdnQTIwTVpBYXFTQ3dFS0FBSUFwZ0lDQkFJQUNRQXJCQUlBQUFCSUJBQUFOd1FCQUFFR2dBQUFBQUFBQWdnQUR2Y2RBV3JvQndFRUFoQUFkUDBUQVdyb0J3RU85eDBCNmp3UEFTTUlBUUFBQWdjQ0FBQUFBQWNOQUFFQUFBQURBR0FBOEFBQUFFWUpCdzBBQVFBQUFBTUFZQUR3QUFBQVJnQUFBQUFFZ0owQ0FBQUFBZ2dBMjBNWkFhcVNLUUVLQUFJQXFBSUNCQUlBQ1FBckJBSUFBQUJJQkFBQU53UUJBQUVHZ0FBQUFBQUFBZ2dBRHZjZEFXcm9KUUVFQWhBQWRQMFRBV3JvSlFFTzl4MEI2and0QVNNSUFRQUFBZ2NDQUFBQUFBY05BQUVBQUFBREFHQUE4QUFBQUVZSkJ3MEFBUUFBQUFNQVlBRHdBQUFBUmdBQUFBQUVnSjRDQUFBQUFnZ0FBanBjQWIyTlF3RUtBQUlBcWdJQ0JBSUFDUUFyQkFJQUFBQklCQUFBTndRQkFBRUdnQUFBQUFBQUFnZ0FOZTFnQVgzalB3RUVBaEFBbS9OV0FYM2pQd0UxN1dBQi9UZEhBU01JQVFBQUFnY0NBQUFBQUFjTkFBRUFBQUFEQUdBQThBQUFBRVlKQncwQUFRQUFBQU1BWUFEd0FBQUFSZ0FBQUFBRWdKOENBQUFBQWdnQUFqcGNBYjJOSlFFS0FBSUFyQUlDQkFJQUNRQXJCQUlBQUFCSUJBQUFOd1FCQUFFR2dBQUFBQUFBQWdnQU5lMWdBWDNqSVFFRUFoQUFtL05XQVgzaklRRTE3V0FCL1RjcEFTTUlBUUFBQWdjQ0FBQUFBQWNOQUFFQUFBQURBR0FBOEFBQUFFWUpCdzBBQVFBQUFBTUFZQUR3QUFBQVJnQUFBQUFFZ0tBQ0FBQUFBZ2dBMjBNWkFkQ0lQd0VLQUFJQXJnSUNCQUlBQ1FBckJBSUFBQUJJQkFBQU53UUJBQUVHZ0FBQUFBQUFBZ2dBRHZjZEFaRGVPd0VFQWhBQWRQMFRBWkRlT3dFTzl4MEJFRE5EQVNNSUFRQUFBZ2NDQUFBQUFBY05BQUVBQUFBREFHQUE4QUFBQUVZSkJ3MEFBUUFBQUFNQVlBRHdBQUFBUmdBQUFBQUVnS0VDQUFBQUFnZ0EyME1aQWRDSVhRRUtBQUlBc0FJQ0JBSUFDUUFyQkFJQUFBQklCQUFBTndRQkFBRUdnQUFBQUFBQUFnZ0FEdmNkQVpEZVdRRUVBaEFBZFAwVEFaRGVXUUVPOXgwQkVETmhBU01JQVFBQUFnY0NBQUFBQUFjTkFBRUFBQUFEQUdBQThBQUFBRVlKQncwQUFRQUFBQU1BWUFEd0FBQUFSZ0FBQUFBRWdLSUNBQUFBQWdnQTd6NFZBVjJtc2dBS0FBSUFzd0lDQkFJQUNRQXJCQUlBQUFCSUJBQUFOd1FCQUFFR2dBQUFBQUFBQWdnQUl2SVpBUjM4cmdBRUFoQUFpUGdQQVIzOHJnQWk4aGtCblZDMkFDTUlBUUFBQWdjQ0FBQUFBQWNOQUFFQUFBQURBR0FBOEFBQUFFWUpCdzBBQVFBQUFBTUFZQUR3QUFBQVJnQUFBQUFFZ0tNQ0FBQUFBZ2dBN3o1Q0FlT0RhQUVLQUFJQXRRSTNCQUVBQVFBQUJJQ2tBZ0FBQUFJSUFBSTZYQUhqZzFrQkNnQUNBTGNDQWdRQ0FBa0FLd1FDQUFBQVNBUUFBRGNFQVFBQkJvQUFBQUFBQUFJSUFEWHRZQUdqMlZVQkJBSVFBSnZ6VmdHajJWVUJOZTFnQVNNdVhRRWpDQUVBQUFJSEFnQUFBQUFIRFFBQkFBQUFBd0JnQVBBQUFBQkdDUWNOQUFFQUFBQURBR0FBOEFBQUFFWUFBQUFBQklDbEFnQUFBQUlJQUFJNlhBSGpnM2NCQ2dBQ0FMa0NBZ1FDQUFrQUt3UUNBQUFBU0FRQUFEY0VBUUFCQm9BQUFBQUFBQUlJQURYdFlBR2oyWE1CQkFJUUFKdnpWZ0dqMlhNQk5lMWdBU011ZXdFakNBRUFBQUlIQWdBQUFBQUhEUUFCQUFBQUF3QmdBUEFBQUFCR0NRY05BQUVBQUFBREFHQUE4QUFBQUVZQUFBQUFCWUNtQWdBQUNnQUNBSVlDQkFZRUFJb0NBQUFGQmdRQWl3SUFBQUFHQWdBQ0FBTUdBZ0FDQUFvR0FRQUJDd1lRQUxFQ0FBQ3dBZ0FBcHdJQUFMd0NBQUFBQUFXQXB3SUFBQW9BQWdDSUFnUUdCQUNMQWdBQUJRWUVBSXdDQUFBS0JnRUFBUUFBQllDb0FnQUFDZ0FDQUlvQ0JBWUVBSXdDQUFBRkJnUUFqUUlBQUFvR0FRQUJBQUFGZ0trQ0FBQUtBQUlBakFJRUJnUUFqUUlBQUFVR0JBQ09BZ0FBQ2dZQkFBRUFBQVdBcWdJQUFBb0FBZ0NPQWdRR0JBQ09BZ0FBQlFZRUFJOENBQUFLQmdFQUFRQUFCWUNyQWdBQUNnQUNBSkFDQkFZRUFJOENBQUFGQmdRQWtBSUFBQW9HQVFBQkFBQUZnS3dDQUFBS0FBSUFrZ0lFQmdRQWtBSUFBQVVHQkFDUkFnQUFDZ1lCQUFFQUFBV0FyUUlBQUFvQUFnQ1ZBZ1FHQkFDU0FnQUFCUVlFQUpNQ0FBQUFCZ0lBQWdBS0JnRUFBUUFBQllDdUFnQUFDZ0FDQUpjQ0JBWUVBSklDQUFBRkJnUUFsQUlBQUFBR0FnQUNBQW9HQVFBQkFBQUZnSzhDQUFBS0FBSUFtUUlFQmdRQWtnSUFBQVVHQkFDVkFnQUFDZ1lCQUFFQUFBV0FzQUlBQUFvQUFnQ2JBZ1FHQkFDS0FnQUFCUVlFQUpZQ0FBQUtCZ0VBQVFBQUJZQ3hBZ0FBQ2dBQ0FKMENCQVlFQUlvQ0FBQUZCZ1FBbHdJQUFBb0dBUUFCQUFBRmdMSUNBQUFLQUFJQW53SUVCZ1FBalFJQUFBVUdCQUNZQWdBQUNnWUJBQUVBQUFXQXN3SUFBQW9BQWdDaEFnUUdCQUNOQWdBQUJRWUVBSmtDQUFBS0JnRUFBUUFBQllDMEFnQUFDZ0FDQUtNQ0JBWUVBSTRDQUFBRkJnUUFtZ0lBQUFvR0FRQUJBQUFGZ0xVQ0FBQUtBQUlBcFFJRUJnUUFqZ0lBQUFVR0JBQ2JBZ0FBQ2dZQkFBRUFBQVdBdGdJQUFBb0FBZ0NuQWdRR0JBQ1BBZ0FBQlFZRUFKd0NBQUFLQmdFQUFRQUFCWUMzQWdBQUNnQUNBS2tDQkFZRUFJOENBQUFGQmdRQW5RSUFBQW9HQVFBQkFBQUZnTGdDQUFBS0FBSUFxd0lFQmdRQWtBSUFBQVVHQkFDZUFnQUFDZ1lCQUFFQUFBV0F1UUlBQUFvQUFnQ3RBZ1FHQkFDUUFnQUFCUVlFQUo4Q0FBQUtCZ0VBQVFBQUJZQzZBZ0FBQ2dBQ0FLOENCQVlFQUpFQ0FBQUZCZ1FBb0FJQUFBb0dBUUFCQUFBRmdMc0NBQUFLQUFJQXNRSUVCZ1FBa1FJQUFBVUdCQUNoQWdBQUNnWUJBQUVBQUFXQXZBSUFBQW9BQWdDMEFnUUdCQUNMQWdBQUJRWUVBS0lDQUFBS0JnRUFBUUFBQllDOUFnQUFDZ0FDQUxZQ0JBWUVBSkVDQUFBRkJnUUFvd0lBQUFvR0FRQUJBQUFGZ0w0Q0FBQUtBQUlBdUFJRUJnUUFvd0lBQUFVR0JBQ2tBZ0FBQ2dZQkFBRUFBQVdBdndJQUFBb0FBZ0M2QWdRR0JBQ2pBZ0FBQlFZRUFLVUNBQUFLQmdFQUFRQUFCWURBQWdBQUNnQUNBTHNDQkFZRUFKSUNBQUFGQmdRQW93SUFBQW9HQVFBQkFBQUFBQUFBQUFBQUFBPT0=</t>
        </r>
      </text>
    </comment>
    <comment ref="D16" authorId="0" shapeId="0" xr:uid="{45BE2AF8-11D3-4EC7-ABBD-FB33287988B1}">
      <text>
        <r>
          <rPr>
            <b/>
            <sz val="9"/>
            <color indexed="81"/>
            <rFont val="Tahoma"/>
            <family val="2"/>
          </rPr>
          <t>QzEwSEYyME8zUy18UGljdHVyZSA3N3xWbXBEUkRBeE1EQUVBd0lCQUFBQUFBQUFBQUFBQUFDQUFBQUFBQU1BRmdBQUFFTm9aVzFFY21GM0lESXlMakl1TUM0ek16QXdDQUFUQUFBQVZXNTBhWFJzWldRZ1JHOWpkVzFsYm5RRUFoQUFJem1iQUVkazBnQ3ZhODBBMTJPT0FRRUpDQUFBZ0JrQUFJQzVCUUlKQ0FBQXdDRUFBTUMxQWcwSUFRQUJDQWNCQUFFNkJBRUFBVHNFQVFBQVJRUUJBQUU4QkFFQUFFb0VBUUFBREFZQkFBRVBCZ0VBQVEwR0FRQUFRZ1FCQUFCREJBRUFBRVFFQVFBQURnZ0NBSEFKQ2dnSUFBTUFZQUR3QUFNQUN3Z0lBQU1BQUFEd0FBTUFDUWdFQUFDYUFnQUlDQVFBQUFBQ0FBY0lCQUFBd0FBQUJnZ0VBQUNhQWdBRkNBUUFBQUFSQUFRSUFnQzBBQU1JQkFBQUFIZ0FJd2dCQUFVTUNBRUFBQ2dJQVFBQktRZ0JBQUVxQ0FFQUFUSUlBUUFBS3dnQkFDZ3NDQUVBQ2dJSUVBQUFBQ1FBQUFBa0FBQUFKQUFBQUNRQUFRTUNBQUFBQWdNQ0FBRUFBQU15QUFnQS8vLy8vLy8vQUFBQUFBQUEvLzhBQUFBQS8vLy8vd0FBQUFELy93QUFBQUQvLy8vL0FBQUFBUC8vLy84QUFQLy9BQUVQQUFBQUFRQURBT1FFQlFCQmNtbGhiTF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SWtHQUFBRUFoQUFBQUFBQUFBQUFBQzJKOWNBcUtGY0NSWUlCQUFBQUNRQUdBZ0VBQUFBSkFBWkNBQUFFQWdDQUFNQUR3Z0NBQUVBQTRCRUJnQUFCQUlRQUNNNW13QkhaTklBcjJ2TkFOZGpqZ0VLQUFJQVFBWUVnRVVHQUFBQUFnZ0FmTGkzQUhqSDVBQUtBQUlBUHdZM0JBRUFBUUFBQklCR0JnQUFBQUlJQUh3NHJ3QnFnUE1BQ2dBQ0FFRUdOd1FCQUFFQUFBU0FSd1lBQUFBQ0NBQjh1TGNBV3prQ0FRb0FBZ0JEQmpjRUFRQUJBQUFFZ0VnR0FBQUFBZ2dBZkRpdkFFenlFQUVLQUFJQVJRWTNCQUVBQVFBQUJJQkpCZ0FBQUFJSUFIeTR0d0ErcXg4QkNnQUNBRWNHTndRQkFBRUFBQVNBU2dZQUFBQUNDQUI4T0s4QUwyUXVBUW9BQWdCSkJqY0VBUUFCQUFBRWdFc0dBQUFBQWdnQWZMaTNBQ0FkUFFFS0FBSUFTd1kzQkFFQUFRQUFCSUJNQmdBQUFBSUlBSHc0cndBUzFrc0JDZ0FDQUUwR053UUJBQUVBQUFTQVRRWUFBQUFDQ0FCOHVMY0FBNDlhQVFvQUFnQlBCamNFQVFBQkFBQUVnRTRHQUFBQUFnZ0FmRGl2QVBSSGFRRUtBQUlBVUFZM0JBRUFBUUFBQklCUEJnQUFBQUlJQUh5NHR3RGxBSGdCQ2dBQ0FGSUdBZ1FDQUJBQUt3UUNBQUFBU0FRQUFEY0VBUUFCQm9BQUFBQUFBQUlJQUs5cnZBQmxBSFFCQkFJUUFFaEZzZ0JsQUhRQkZaSzhBR1VCZkFFakNBRUFBQUlIQWdBQUFBVUhBUUFGQUFjTkFBRUFBQUFEQUdBQThBQUFBRk1KQncwQUFRQUFBQU1BWUFEd0FBQUFVd0FBQUFBRWdGQUdBQUFBQWdnQWl2K29BT1dBZ0FFS0FBSUFWQVlDQkFJQUNBQXJCQUlBQUFCSUJBQUFOd1FCQUFFR2dBQUFBQUFBQWdnQXZiS3RBQ1hXZXdFRUFoQUFWb3lqQUNYV2V3RWoyYTBBcFN1RkFTTUlBUUFBQWdjQ0FBQUFBQWNOQUFFQUFBQURBR0FBOEFBQUFFOEpCdzBBQVFBQUFBTUFZQUR3QUFBQVR3QUFBQUFFZ0ZFR0FBQUFBZ2dBYlhIR0FPV0Fid0VLQUFJQVZnWUNCQUlBQ0FBckJBSUFBQUJJQkFBQU53UUJBQUVHZ0FBQUFBQUFBZ2dBb0NUTEFDWFdhZ0VFQWhBQU9mN0FBQ1hXYWdFR1M4c0FwU3QwQVNNSUFRQUFBZ2NDQUFBQUFBY05BQUVBQUFBREFHQUE4QUFBQUU4SkJ3MEFBUUFBQUFNQVlBRHdBQUFBVHdBQUFBQUVnRklHQUFBQUFnZ0FmRGpBQU5lNWhnRUtBQUlBV0FZQ0JBSUFDQUFyQkFJQUFBQWhCQUVBLzBnRUFBQTNCQUVBQVFhQUFBQUFBQUFDQ0FDdjY4UUFGdytDQVFRQ0VBQkl4Ym9BRncrQ0FSVVN4UURYWTQ0Qkl3Z0JBQUFDQndJQUFBQUZCd0VBQVFBSERnQUJBQUFBQXdCZ0FQQUFBQUJQTFFrSERnQUJBQUFBQXdCZ0FQQUFBQUJQTFFBQUFBQUVnRk1HQUFBQUFnZ0FmTGpJQUhqSDVBQUtBQUlBV2dZQ0JBSUFDUUFyQkFJQUFBQklCQUFBTndRQkFBRUdnQUFBQUFBQUFnZ0FyMnZOQURnZDRRQUVBaEFBRlhMREFEZ2Q0UUN2YTgwQXVISG9BQ01JQVFBQUFnY0NBQUFBQUFjTkFBRUFBQUFEQUdBQThBQUFBRVlKQncwQUFRQUFBQU1BWUFEd0FBQUFSZ0FBQUFBRWdGUUdBQUFBQWdnQWZEaXZBSWNPMWdBS0FBSUFYQVlDQkFJQUNRQXJCQUlBQUFCSUJBQUFOd1FCQUFFR2dBQUFBQUFBQWdnQXIrdXpBRWRrMGdBRUFoQUFGZktwQUVkazBnQ3Y2N01BeDdqWkFDTUlBUUFBQWdjQ0FBQUFBQWNOQUFFQUFBQURBR0FBOEFBQUFFWUpCdzBBQVFBQUFBTUFZQUR3QUFBQVJnQUFBQUFFZ0ZVR0FBQUFBZ2dBaW4rZ0FHb0E2d0FLQUFJQVhnWUNCQUlBQ1FBckJBSUFBQUJJQkFBQU53UUJBQUVHZ0FBQUFBQUFBZ2dBdlRLbEFDcFc1d0FFQWhBQUl6bWJBQ3BXNXdDOU1xVUFxcXJ1QUNNSUFRQUFBZ2NDQUFBQUFBY05BQUVBQUFBREFHQUE4QUFBQUVZSkJ3MEFBUUFBQUFNQVlBRHdBQUFBUmdBQUFBQUVnRllHQUFBQUFnZ0FpbitnQUdvQS9BQUtBQUlBWUFZQ0JBSUFDUUFyQkFJQUFBQklCQUFBTndRQkFBRUdnQUFBQUFBQUFnZ0F2VEtsQUNwVytBQUVBaEFBSXptYkFDcFcrQUM5TXFVQXFxci9BQ01JQVFBQUFnY0NBQUFBQUFjTkFBRUFBQUFEQUdBQThBQUFBRVlKQncwQUFRQUFBQU1BWUFEd0FBQUFSZ0FBQUFBRWdGY0dBQUFBQWdnQWJYSEdBRnU1Q2dFS0FBSUFZZ1lDQkFJQUNRQXJCQUlBQUFCSUJBQUFOd1FCQUFFR2dBQUFBQUFBQWdnQW9DVExBQnNQQndFRUFoQUFCaXZCQUJzUEJ3R2dKTXNBbTJNT0FTTUlBUUFBQWdjQ0FBQUFBQWNOQUFFQUFBQURBR0FBOEFBQUFFWUpCdzBBQVFBQUFBTUFZQUR3QUFBQVJnQUFBQUFFZ0ZnR0FBQUFBZ2dBYlhIR0FGdTUrUUFLQUFJQVpBWUNCQUlBQ1FBckJBSUFBQUJJQkFBQU53UUJBQUVHZ0FBQUFBQUFBZ2dBb0NUTEFCc1A5Z0FFQWhBQUJpdkJBQnNQOWdDZ0pNc0FtMlA5QUNNSUFRQUFBZ2NDQUFBQUFBY05BQUVBQUFBREFHQUE4QUFBQUVZSkJ3MEFBUUFBQUFNQVlBRHdBQUFBUmdBQUFBQUVnRmtHQUFBQUFnZ0FpbitnQUV4eUNBRUtBQUlBWmdZQ0JBSUFDUUFyQkFJQUFBQklCQUFBTndRQkFBRUdnQUFBQUFBQUFnZ0F2VEtsQUF6SUJBRUVBaEFBSXptYkFBeklCQUc5TXFVQWpCd01BU01JQVFBQUFnY0NBQUFBQUFjTkFBRUFBQUFEQUdBQThBQUFBRVlKQncwQUFRQUFBQU1BWUFEd0FBQUFSZ0FBQUFBRWdGb0dBQUFBQWdnQWluK2dBRXh5R1FFS0FBSUFhQVlDQkFJQUNRQXJCQUlBQUFCSUJBQUFOd1FCQUFFR2dBQUFBQUFBQWdnQXZUS2xBQXpJRlFFRUFoQUFJem1iQUF6SUZRRzlNcVVBakJ3ZEFTTUlBUUFBQWdjQ0FBQUFBQWNOQUFFQUFBQURBR0FBOEFBQUFFWUpCdzBBQVFBQUFBTUFZQUR3QUFBQVJnQUFBQUFFZ0ZzR0FBQUFBZ2dBYlhIR0FENHJLQUVLQUFJQWFnWUNCQUlBQ1FBckJBSUFBQUJJQkFBQU53UUJBQUVHZ0FBQUFBQUFBZ2dBb0NUTEFQNkFKQUVFQWhBQUJpdkJBUDZBSkFHZ0pNc0FmdFVyQVNNSUFRQUFBZ2NDQUFBQUFBY05BQUVBQUFBREFHQUE4QUFBQUVZSkJ3MEFBUUFBQUFNQVlBRHdBQUFBUmdBQUFBQUVnRndHQUFBQUFnZ0FiWEhHQUQ0ckZ3RUtBQUlBYkFZQ0JBSUFDUUFyQkFJQUFBQklCQUFBTndRQkFBRUdnQUFBQUFBQUFnZ0FvQ1RMQVA2QUV3RUVBaEFBQml2QkFQNkFFd0dnSk1zQWZ0VWFBU01JQVFBQUFnY0NBQUFBQUFjTkFBRUFBQUFEQUdBQThBQUFBRVlKQncwQUFRQUFBQU1BWUFEd0FBQUFSZ0FBQUFBRWdGMEdBQUFBQWdnQWluK2dBQy9rSlFFS0FBSUFiZ1lDQkFJQUNRQXJCQUlBQUFCSUJBQUFOd1FCQUFFR2dBQUFBQUFBQWdnQXZUS2xBTzg1SWdFRUFoQUFJem1iQU84NUlnRzlNcVVBYjQ0cEFTTUlBUUFBQWdjQ0FBQUFBQWNOQUFFQUFBQURBR0FBOEFBQUFFWUpCdzBBQVFBQUFBTUFZQUR3QUFBQVJnQUFBQUFFZ0Y0R0FBQUFBZ2dBaW4rZ0FDL2tOZ0VLQUFJQWNBWUNCQUlBQ1FBckJBSUFBQUJJQkFBQU53UUJBQUVHZ0FBQUFBQUFBZ2dBdlRLbEFPODVNd0VFQWhBQUl6bWJBTzg1TXdHOU1xVUFiNDQ2QVNNSUFRQUFBZ2NDQUFBQUFBY05BQUVBQUFBREFHQUE4QUFBQUVZSkJ3MEFBUUFBQUFNQVlBRHdBQUFBUmdBQUFBQUVnRjhHQUFBQUFnZ0FiWEhHQUNDZFJRRUtBQUlBY2dZQ0JBSUFDUUFyQkFJQUFBQklCQUFBTndRQkFBRUdnQUFBQUFBQUFnZ0FvQ1RMQU9EeVFRRUVBaEFBQml2QkFPRHlRUUdnSk1zQVlFZEpBU01JQVFBQUFnY0NBQUFBQUFjTkFBRUFBQUFEQUdBQThBQUFBRVlKQncwQUFRQUFBQU1BWUFEd0FBQUFSZ0FBQUFBRWdHQUdBQUFBQWdnQWJYSEdBQ0NkTkFFS0FBSUFkQVlDQkFJQUNRQXJCQUlBQUFCSUJBQUFOd1FCQUFFR2dBQUFBQUFBQWdnQW9DVExBT0R5TUFFRUFoQUFCaXZCQU9EeU1BR2dKTXNBWUVjNEFTTUlBUUFBQWdjQ0FBQUFBQWNOQUFFQUFBQURBR0FBOEFBQUFFWUpCdzBBQVFBQUFBTUFZQUR3QUFBQVJnQUFBQUFFZ0dFR0FBQUFBZ2dBaW4rZ0FCSldRd0VLQUFJQWRnWUNCQUlBQ1FBckJBSUFBQUJJQkFBQU53UUJBQUVHZ0FBQUFBQUFBZ2dBdlRLbEFOS3JQd0VFQWhBQUl6bWJBTktyUHdHOU1xVUFVZ0JIQVNNSUFRQUFBZ2NDQUFBQUFBY05BQUVBQUFBREFHQUE4QUFBQUVZSkJ3MEFBUUFBQUFNQVlBRHdBQUFBUmdBQUFBQUVnR0lHQUFBQUFnZ0FpbitnQUJKV1ZBRUtBQUlBZUFZQ0JBSUFDUUFyQkFJQUFBQklCQUFBTndRQkFBRUdnQUFBQUFBQUFnZ0F2VEtsQU5LclVBRUVBaEFBSXptYkFOS3JVQUc5TXFVQVVnQllBU01JQVFBQUFnY0NBQUFBQUFjTkFBRUFBQUFEQUdBQThBQUFBRVlKQncwQUFRQUFBQU1BWUFEd0FBQUFSZ0FBQUFBRWdHTUdBQUFBQWdnQWJYSEdBQU1QWXdFS0FBSUFlZ1lDQkFJQUNRQXJCQUlBQUFCSUJBQUFOd1FCQUFFR2dBQUFBQUFBQWdnQW9DVExBTU5rWHdFRUFoQUFCaXZCQU1Oa1h3R2dKTXNBUTdsbUFTTUlBUUFBQWdjQ0FBQUFBQWNOQUFFQUFBQURBR0FBOEFBQUFFWUpCdzBBQVFBQUFBTUFZQUR3QUFBQVJnQUFBQUFFZ0dRR0FBQUFBZ2dBYlhIR0FBTVBVZ0VLQUFJQWZBWUNCQUlBQ1FBckJBSUFBQUJJQkFBQU53UUJBQUVHZ0FBQUFBQUFBZ2dBb0NUTEFNTmtUZ0VFQWhBQUJpdkJBTU5rVGdHZ0pNc0FRN2xWQVNNSUFRQUFBZ2NDQUFBQUFBY05BQUVBQUFBREFHQUE4QUFBQUVZSkJ3MEFBUUFBQUFNQVlBRHdBQUFBUmdBQUFBQUVnR1VHQUFBQUFnZ0FpbitnQVBUSFlBRUtBQUlBZmdZQ0JBSUFDUUFyQkFJQUFBQklCQUFBTndRQkFBRUdnQUFBQUFBQUFnZ0F2VEtsQUxRZFhRRUVBaEFBSXptYkFMUWRYUUc5TXFVQU5ISmtBU01JQVFBQUFnY0NBQUFBQUFjTkFBRUFBQUFEQUdBQThBQUFBRVlKQncwQUFRQUFBQU1BWUFEd0FBQUFSZ0FBQUFBRWdHWUdBQUFBQWdnQWluK2dBUFRIY1FFS0FBSUFnQVlDQkFJQUNRQXJCQUlBQUFCSUJBQUFOd1FCQUFFR2dBQUFBQUFBQWdnQXZUS2xBTFFkYmdFRUFoQUFJem1iQUxRZGJnRzlNcVVBTkhKMUFTTUlBUUFBQWdjQ0FBQUFBQWNOQUFFQUFBQURBR0FBOEFBQUFFWUpCdzBBQVFBQUFBTUFZQUR3QUFBQVJnQUFBQUFGZ0djR0FBQUtBQUlBUWdZRUJnUUFSUVlBQUFVR0JBQkdCZ0FBQ2dZQkFBRUFBQVdBYUFZQUFBb0FBZ0JFQmdRR0JBQkdCZ0FBQlFZRUFFY0dBQUFLQmdFQUFRQUFCWUJwQmdBQUNnQUNBRVlHQkFZRUFFY0dBQUFGQmdRQVNBWUFBQW9HQVFBQkFBQUZnR29HQUFBS0FBSUFTQVlFQmdRQVNBWUFBQVVHQkFCSkJnQUFDZ1lCQUFFQUFBV0Fhd1lBQUFvQUFnQktCZ1FHQkFCSkJnQUFCUVlFQUVvR0FBQUtCZ0VBQVFBQUJZQnNCZ0FBQ2dBQ0FFd0dCQVlFQUVvR0FBQUZCZ1FBU3dZQUFBb0dBUUFCQUFBRmdHMEdBQUFLQUFJQVRnWUVCZ1FBU3dZQUFBVUdCQUJNQmdBQUNnWUJBQUVBQUFXQWJnWUFBQW9BQWdCUkJnUUdCQUJOQmdBQUJRWUVBRTRHQUFBS0JnRUFBUUFBQllCdkJnQUFDZ0FDQUZNR0JBWUVBRTRHQUFBRkJnUUFUd1lBQUFvR0FRQUJBQUFGZ0hBR0FBQUtBQUlBVlFZRUJnUUFUd1lBQUFVR0JBQlFCZ0FBQUFZQ0FBSUFDZ1lCQUFFQUFBV0FjUVlBQUFvQUFnQlhCZ1FHQkFCUEJnQUFCUVlFQUZFR0FBQUFCZ0lBQWdBS0JnRUFBUUFBQllCeUJnQUFDZ0FDQUZrR0JBWUVBRThHQUFBRkJnUUFVZ1lBQUFvR0FRQUJBQUFGZ0hNR0FBQUtBQUlBV3dZRUJnUUFSUVlBQUFVR0JBQlRCZ0FBQ2dZQkFBRUFBQVdBZEFZQUFBb0FBZ0JkQmdRR0JBQkZCZ0FBQlFZRUFGUUdBQUFLQmdFQUFRQUFCWUIxQmdBQUNnQUNBRjhHQkFZRUFFWUdBQUFGQmdRQVZRWUFBQW9HQVFBQkFBQUZnSFlHQUFBS0FBSUFZUVlFQmdRQVJnWUFBQVVHQkFCV0JnQUFDZ1lCQUFFQUFBV0Fkd1lBQUFvQUFnQmpCZ1FHQkFCSEJnQUFCUVlFQUZjR0FBQUtCZ0VBQVFBQUJZQjRCZ0FBQ2dBQ0FHVUdCQVlFQUVjR0FBQUZCZ1FBV0FZQUFBb0dBUUFCQUFBRmdIa0dBQUFLQUFJQVp3WUVCZ1FBU0FZQUFBVUdCQUJaQmdBQUNnWUJBQUVBQUFXQWVnWUFBQW9BQWdCcEJnUUdCQUJJQmdBQUJRWUVBRm9HQUFBS0JnRUFBUUFBQllCN0JnQUFDZ0FDQUdzR0JBWUVBRWtHQUFBRkJnUUFXd1lBQUFvR0FRQUJBQUFGZ0h3R0FBQUtBQUlBYlFZRUJnUUFTUVlBQUFVR0JBQmNCZ0FBQ2dZQkFBRUFBQVdBZlFZQUFBb0FBZ0J2QmdRR0JBQktCZ0FBQlFZRUFGMEdBQUFLQmdFQUFRQUFCWUIrQmdBQUNnQUNBSEVHQkFZRUFFb0dBQUFGQmdRQVhnWUFBQW9HQVFBQkFBQUZnSDhHQUFBS0FBSUFjd1lFQmdRQVN3WUFBQVVHQkFCZkJnQUFDZ1lCQUFFQUFBV0FnQVlBQUFvQUFnQjFCZ1FHQkFCTEJnQUFCUVlFQUdBR0FBQUtCZ0VBQVFBQUJZQ0JCZ0FBQ2dBQ0FIY0dCQVlFQUV3R0FBQUZCZ1FBWVFZQUFBb0dBUUFCQUFBRmdJSUdBQUFLQUFJQWVRWUVCZ1FBVEFZQUFBVUdCQUJpQmdBQUNnWUJBQUVBQUFXQWd3WUFBQW9BQWdCN0JnUUdCQUJOQmdBQUJRWUVBR01HQUFBS0JnRUFBUUFBQllDRUJnQUFDZ0FDQUgwR0JBWUVBRTBHQUFBRkJnUUFaQVlBQUFvR0FRQUJBQUFGZ0lVR0FBQUtBQUlBZndZRUJnUUFUZ1lBQUFVR0JBQmxCZ0FBQ2dZQkFBRUFBQVdBaGdZQUFBb0FBZ0NCQmdRR0JBQk9CZ0FBQlFZRUFHWUdBQUFLQmdFQUFRQUFCWUNIQmdBQUNnQUNBSUlHQkFZRUFFd0dBQUFGQmdRQVRRWUFBQW9HQVFBQkFBQUFBQUFBQUFBQUFBPT0=</t>
        </r>
      </text>
    </comment>
    <comment ref="D17" authorId="0" shapeId="0" xr:uid="{2F64B689-7DC2-4FA3-8706-AC969ADCE582}">
      <text>
        <r>
          <rPr>
            <sz val="9"/>
            <color indexed="81"/>
            <rFont val="Tahoma"/>
            <family val="2"/>
          </rPr>
          <t>QzEwSEYyME80Uy18UGljdHVyZSAyNHxWbXBEUkRBeE1EQUVBd0lCQUFBQUFBQUFBQUFBQUFDQUFBQUFBQU1BRmdBQUFFTm9aVzFFY21GM0lESXlMakl1TUM0ek16QXdDQUFUQUFBQVZXNTBhWFJzWldRZ1JHOWpkVzFsYm5RRUFoQUFNZTRSQVRQTFh3QkZDV01CYmQrOEFRRUpDQUFBZ0JrQUFJQVpBQUlKQ0FBQXdDRUFBTUMxQWcwSUFRQUJDQWNCQUFFNkJBRUFBVHNFQVFBQVJRUUJBQUU4QkFFQUFFb0VBUUFBREFZQkFBRVBCZ0VBQVEwR0FRQUFRZ1FCQUFCREJBRUFBRVFFQVFBQURnZ0NBT2dXQ2dnSUFBTUFZQUR3QUFNQUN3Z0lBQU1BQUFEd0FBTUFDUWdFQUFDYUFnQUlDQVFBQUFBQ0FBY0lCQUFBd0FBQUJnZ0VBQUNhQWdBRkNBUUFBQUFSQUFRSUFnQzBBQU1JQkFBQUFIZ0FJd2dCQUFVTUNBRUFBQ2dJQVFBQktRZ0JBQUVxQ0FFQUFUSUlBUUFBS3dnQkFDZ3NDQUVBQ2dJSUVBQUFBQ1FBQUFBa0FBQUFKQUFBQUNRQUFRTUNBQUFBQWdNQ0FBRUFBQU15QUFnQS8vLy8vLy8vQUFBQUFBQUEvLzhBQUFBQS8vLy8vd0FBQUFELy93QUFBQUQvLy8vL0FBQUFBUC8vLy84QUFQLy9BQUVQQUFBQUFRQURBT1FFQlFCQmNtbGhiTF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UG9DQUFBRUFoQUFBQUFBQUFBQUFBQURPcU1CRXR2SEZoWUlCQUFBQUNRQUdBZ0VBQUFBSkFBWkNBQUFFQWdDQUFFQUR3Z0NBQUVBQTRDeUFnQUFCQUlRQURIdUVRRXp5MThBUlFsakFXM2Z2QUVLQUFJQUpRTUVnTE1DQUFBQUFnZ0FtRFExQVlkd2ZRQUtBQUlBSkFNM0JBRUFBUUFBQklDMEFnQUFBQUlJQUpnMFJBR2FhNWNBQ2dBQ0FDWUROd1FCQUFFQUFBU0F0UUlBQUFBQ0NBQ1lORFVCcldheEFBb0FBZ0FvQXpjRUFRQUJBQUFFZ0xZQ0FBQUFBZ2dBbURSRUFjQmh5d0FLQUFJQUtnTTNCQUVBQVFBQUJJQzNBZ0FBQUFJSUFKZzBOUUhUWE9VQUNnQUNBQ3dETndRQkFBRUFBQVNBdUFJQUFBQUNDQUNZTkVRQjUxZi9BQW9BQWdBdUF6Y0VBUUFCQUFBRWdMa0NBQUFBQWdnQW1EUTFBZnBTR1FFS0FBSUFNQU0zQkFFQUFRQUFCSUM2QWdBQUFBSUlBSmcwUkFFTlRqTUJDZ0FDQURJRE53UUJBQUVBQUFTQXV3SUFBQUFDQ0FDWU5EVUJJRWxOQVFvQUFnQTBBd0lFQWdBSUFDc0VBZ0FBQUVnRUFBQTNCQUVBQVFhQUFBQUFBQUFDQ0FETDV6a0JZSjVJQVFRQ0VBQmt3UzhCWUo1SUFURU9PZ0hnODFFQkl3Z0JBQUFDQndJQUFBQUFCdzBBQVFBQUFBTUFZQUR3QUFBQVR3a0hEUUFCQUFBQUF3QmdBUEFBQUFCUEFBQUFBQVNBdkFJQUFBQUNDQUNZTkVRQk5FUm5BUW9BQWdBMkF6Y0VBUUFCQUFBRWdMMENBQUFBQWdnQW1EUTFBVWMvZ1FFS0FBSUFPQU0zQkFFQUFRQUFCSUMrQWdBQUFBSUlBSmcwUkFGYU9wc0JDZ0FDQURvREFnUUNBQkFBS3dRQ0FBQUFTQVFBQURjRUFRQUJCb0FBQUFBQUFBSUlBTXZuU0FIYU9aY0JCQUlRQUdUQlBnSGFPWmNCTVE1SkFkbzZud0VqQ0FFQUFBSUhBZ0FBQUFVSEFRQUZBQWNOQUFFQUFBQURBR0FBOEFBQUFGTUpCdzBBQVFBQUFBTUFZQUR3QUFBQVV3QUFBQUFFZ0w4Q0FBQUFBZ2dBaFRrcUFWbzZxZ0VLQUFJQVBBTUNCQUlBQ0FBckJBSUFBQUJJQkFBQU53UUJBQUVHZ0FBQUFBQUFBZ2dBdU93dUFacVBwUUVFQWhBQVVjWWtBWnFQcFFFZUV5OEJHdVd1QVNNSUFRQUFBZ2NDQUFBQUFBY05BQUVBQUFBREFHQUE4QUFBQUU4SkJ3MEFBUUFBQUFNQVlBRHdBQUFBVHdBQUFBQUVnTUFDQUFBQUFnZ0FyQzllQVZvNmpBRUtBQUlBUGdNQ0JBSUFDQUFyQkFJQUFBQklCQUFBTndRQkFBRUdnQUFBQUFBQUFnZ0EzK0ppQVpxUGh3RUVBaEFBZUx4WUFacVBod0ZGQ1dNQkd1V1FBU01JQVFBQUFnY0NBQUFBQUFjTkFBRUFBQUFEQUdBQThBQUFBRThKQncwQUFRQUFBQU1BWUFEd0FBQUFUd0FBQUFBRWdNRUNBQUFBQWdnQW1EUlRBVzAxdFFFS0FBSUFRQU1DQkFJQUNBQXJCQUlBQUFBaEJBRUEvMGdFQUFBM0JBRUFBUWFBQUFBQUFBQUNDQURMNTFjQnJZcXdBUVFDRUFCa3dVMEJyWXF3QVRFT1dBRnQzN3dCSXdnQkFBQUNCd0lBQUFBRkJ3RUFBUUFIRGdBQkFBQUFBd0JnQVBBQUFBQlBMUWtIRGdBQkFBQUFBd0JnQVBBQUFBQlBMUUFBQUFBRWdNSUNBQUFBQWdnQW1EUVhBWWR3ZlFBS0FBSUFRZ01DQkFJQUNRQXJCQUlBQUFCSUJBQUFOd1FCQUFFR2dBQUFBQUFBQWdnQXkrY2JBVWZHZVFBRUFoQUFNZTRSQVVmR2VRREw1eHNCeHhxQkFDTUlBUUFBQWdjQ0FBQUFBQWNOQUFFQUFBQURBR0FBOEFBQUFFWUpCdzBBQVFBQUFBTUFZQUR3QUFBQVJnQUFBQUFFZ01NQ0FBQUFBZ2dBbURSRUFYTjFZd0FLQUFJQVJBTUNCQUlBQ1FBckJBSUFBQUJJQkFBQU53UUJBQUVHZ0FBQUFBQUFBZ2dBeStkSUFUUExYd0FFQWhBQU1lNCtBVFBMWHdETDUwZ0JzeDluQUNNSUFRQUFBZ2NDQUFBQUFBY05BQUVBQUFBREFHQUE4QUFBQUVZSkJ3MEFBUUFBQUFNQVlBRHdBQUFBUmdBQUFBQUVnTVFDQUFBQUFnZ0FyQzllQVpwcnBnQUtBQUlBUmdNQ0JBSUFDUUFyQkFJQUFBQklCQUFBTndRQkFBRUdnQUFBQUFBQUFnZ0EzK0ppQVZyQm9nQUVBaEFBUmVsWUFWckJvZ0RmNG1JQjJoV3FBQ01JQVFBQUFnY0NBQUFBQUFjTkFBRUFBQUFEQUdBQThBQUFBRVlKQncwQUFRQUFBQU1BWUFEd0FBQUFSZ0FBQUFBRWdNVUNBQUFBQWdnQXJDOWVBWnByaUFBS0FBSUFTQU1DQkFJQUNRQXJCQUlBQUFCSUJBQUFOd1FCQUFFR2dBQUFBQUFBQWdnQTMrSmlBVnJCaEFBRUFoQUFSZWxZQVZyQmhBRGY0bUlCMmhXTUFDTUlBUUFBQWdjQ0FBQUFBQWNOQUFFQUFBQURBR0FBOEFBQUFFWUpCdzBBQVFBQUFBTUFZQUR3QUFBQVJnQUFBQUFFZ01ZQ0FBQUFBZ2dBaFRrYkFhMW1vZ0FLQUFJQVNnTUNCQUlBQ1FBckJBSUFBQUJJQkFBQU53UUJBQUVHZ0FBQUFBQUFBZ2dBdU93ZkFXMjhuZ0FFQWhBQUh2TVZBVzI4bmdDNDdCOEI3UkNtQUNNSUFRQUFBZ2NDQUFBQUFBY05BQUVBQUFBREFHQUE4QUFBQUVZSkJ3MEFBUUFBQUFNQVlBRHdBQUFBUmdBQUFBQUVnTWNDQUFBQUFnZ0FoVGtiQWExbXdBQUtBQUlBVEFNQ0JBSUFDUUFyQkFJQUFBQklCQUFBTndRQkFBRUdnQUFBQUFBQUFnZ0F1T3dmQVcyOHZBQUVBaEFBSHZNVkFXMjh2QUM0N0I4QjdSREVBQ01JQVFBQUFnY0NBQUFBQUFjTkFBRUFBQUFEQUdBQThBQUFBRVlKQncwQUFRQUFBQU1BWUFEd0FBQUFSZ0FBQUFBRWdNZ0NBQUFBQWdnQXJDOWVBY0JoMmdBS0FBSUFUZ01DQkFJQUNRQXJCQUlBQUFCSUJBQUFOd1FCQUFFR2dBQUFBQUFBQWdnQTMrSmlBWUMzMWdBRUFoQUFSZWxZQVlDMzFnRGY0bUlCQUF6ZUFDTUlBUUFBQWdjQ0FBQUFBQWNOQUFFQUFBQURBR0FBOEFBQUFFWUpCdzBBQVFBQUFBTUFZQUR3QUFBQVJnQUFBQUFFZ01rQ0FBQUFBZ2dBckM5ZUFjQmh2QUFLQUFJQVVBTUNCQUlBQ1FBckJBSUFBQUJJQkFBQU53UUJBQUVHZ0FBQUFBQUFBZ2dBMytKaUFZQzN1QUFFQWhBQVJlbFlBWUMzdUFEZjRtSUJBQXpBQUNNSUFRQUFBZ2NDQUFBQUFBY05BQUVBQUFBREFHQUE4QUFBQUVZSkJ3MEFBUUFBQUFNQVlBRHdBQUFBUmdBQUFBQUVnTW9DQUFBQUFnZ0FoVGtiQWROYzFnQUtBQUlBVWdNQ0JBSUFDUUFyQkFJQUFBQklCQUFBTndRQkFBRUdnQUFBQUFBQUFnZ0F1T3dmQVpPeTBnQUVBaEFBSHZNVkFaT3kwZ0M0N0I4QkV3ZmFBQ01JQVFBQUFnY0NBQUFBQUFjTkFBRUFBQUFEQUdBQThBQUFBRVlKQncwQUFRQUFBQU1BWUFEd0FBQUFSZ0FBQUFBRWdNc0NBQUFBQWdnQWhUa2JBZE5jOUFBS0FBSUFWQU1DQkFJQUNRQXJCQUlBQUFCSUJBQUFOd1FCQUFFR2dBQUFBQUFBQWdnQXVPd2ZBWk95OEFBRUFoQUFIdk1WQVpPeThBQzQ3QjhCRXdmNEFDTUlBUUFBQWdjQ0FBQUFBQWNOQUFFQUFBQURBR0FBOEFBQUFFWUpCdzBBQVFBQUFBTUFZQUR3QUFBQVJnQUFBQUFFZ013Q0FBQUFBZ2dBckM5ZUFlZFhEZ0VLQUFJQVZnTUNCQUlBQ1FBckJBSUFBQUJJQkFBQU53UUJBQUVHZ0FBQUFBQUFBZ2dBMytKaUFhZXRDZ0VFQWhBQVJlbFlBYWV0Q2dIZjRtSUJKd0lTQVNNSUFRQUFBZ2NDQUFBQUFBY05BQUVBQUFBREFHQUE4QUFBQUVZSkJ3MEFBUUFBQUFNQVlBRHdBQUFBUmdBQUFBQUVnTTBDQUFBQUFnZ0FyQzllQWVkWDhBQUtBQUlBV0FNQ0JBSUFDUUFyQkFJQUFBQklCQUFBTndRQkFBRUdnQUFBQUFBQUFnZ0EzK0ppQWFldDdBQUVBaEFBUmVsWUFhZXQ3QURmNG1JQkp3TDBBQ01JQVFBQUFnY0NBQUFBQUFjTkFBRUFBQUFEQUdBQThBQUFBRVlKQncwQUFRQUFBQU1BWUFEd0FBQUFSZ0FBQUFBRWdNNENBQUFBQWdnQWhUa2JBZnBTQ2dFS0FBSUFXZ01DQkFJQUNRQXJCQUlBQUFCSUJBQUFOd1FCQUFFR2dBQUFBQUFBQWdnQXVPd2ZBYnFvQmdFRUFoQUFIdk1WQWJxb0JnRzQ3QjhCT3YwTkFTTUlBUUFBQWdjQ0FBQUFBQWNOQUFFQUFBQURBR0FBOEFBQUFFWUpCdzBBQVFBQUFBTUFZQUR3QUFBQVJnQUFBQUFFZ004Q0FBQUFBZ2dBaFRrYkFmcFNLQUVLQUFJQVhBTUNCQUlBQ1FBckJBSUFBQUJJQkFBQU53UUJBQUVHZ0FBQUFBQUFBZ2dBdU93ZkFicW9KQUVFQWhBQUh2TVZBYnFvSkFHNDdCOEJPdjByQVNNSUFRQUFBZ2NDQUFBQUFBY05BQUVBQUFBREFHQUE4QUFBQUVZSkJ3MEFBUUFBQUFNQVlBRHdBQUFBUmdBQUFBQUVnTkFDQUFBQUFnZ0FyQzllQVExT1FnRUtBQUlBWGdNQ0JBSUFDUUFyQkFJQUFBQklCQUFBTndRQkFBRUdnQUFBQUFBQUFnZ0EzK0ppQWMyalBnRUVBaEFBUmVsWUFjMmpQZ0hmNG1JQlRmaEZBU01JQVFBQUFnY0NBQUFBQUFjTkFBRUFBQUFEQUdBQThBQUFBRVlKQncwQUFRQUFBQU1BWUFEd0FBQUFSZ0FBQUFBRWdORUNBQUFBQWdnQXJDOWVBUTFPSkFFS0FBSUFZQU1DQkFJQUNRQXJCQUlBQUFCSUJBQUFOd1FCQUFFR2dBQUFBQUFBQWdnQTMrSmlBYzJqSUFFRUFoQUFSZWxZQWMyaklBSGY0bUlCVGZnbkFTTUlBUUFBQWdjQ0FBQUFBQWNOQUFFQUFBQURBR0FBOEFBQUFFWUpCdzBBQVFBQUFBTUFZQUR3QUFBQVJnQUFBQUFFZ05JQ0FBQUFBZ2dBckM5ZUFUUkVkZ0VLQUFJQVlnTUNCQUlBQ1FBckJBSUFBQUJJQkFBQU53UUJBQUVHZ0FBQUFBQUFBZ2dBMytKaUFmU1pjZ0VFQWhBQVJlbFlBZlNaY2dIZjRtSUJkTzU1QVNNSUFRQUFBZ2NDQUFBQUFBY05BQUVBQUFBREFHQUE4QUFBQUVZSkJ3MEFBUUFBQUFNQVlBRHdBQUFBUmdBQUFBQUVnTk1DQUFBQUFnZ0FyQzllQVRSRVdBRUtBQUlBWkFNQ0JBSUFDUUFyQkFJQUFBQklCQUFBTndRQkFBRUdnQUFBQUFBQUFnZ0EzK0ppQWZTWlZBRUVBaEFBUmVsWUFmU1pWQUhmNG1JQmRPNWJBU01JQVFBQUFnY0NBQUFBQUFjTkFBRUFBQUFEQUdBQThBQUFBRVlKQncwQUFRQUFBQU1BWUFEd0FBQUFSZ0FBQUFBRWdOUUNBQUFBQWdnQWhUa2JBVWMvY2dFS0FBSUFaZ01DQkFJQUNRQXJCQUlBQUFCSUJBQUFOd1FCQUFFR2dBQUFBQUFBQWdnQXVPd2ZBUWVWYmdFRUFoQUFIdk1WQVFlVmJnRzQ3QjhCaCtsMUFTTUlBUUFBQWdjQ0FBQUFBQWNOQUFFQUFBQURBR0FBOEFBQUFFWUpCdzBBQVFBQUFBTUFZQUR3QUFBQVJnQUFBQUFFZ05VQ0FBQUFBZ2dBaFRrYkFVYy9rQUVLQUFJQWFBTUNCQUlBQ1FBckJBSUFBQUJJQkFBQU53UUJBQUVHZ0FBQUFBQUFBZ2dBdU93ZkFRZVZqQUVFQWhBQUh2TVZBUWVWakFHNDdCOEJoK21UQVNNSUFRQUFBZ2NDQUFBQUFBY05BQUVBQUFBREFHQUE4QUFBQUVZSkJ3MEFBUUFBQUFNQVlBRHdBQUFBUmdBQUFBQUZnTllDQUFBS0FBSUFKd01FQmdRQXN3SUFBQVVHQkFDMEFnQUFDZ1lCQUFFQUFBV0Exd0lBQUFvQUFnQXBBd1FHQkFDMEFnQUFCUVlFQUxVQ0FBQUtCZ0VBQVFBQUJZRFlBZ0FBQ2dBQ0FDc0RCQVlFQUxVQ0FBQUZCZ1FBdGdJQUFBb0dBUUFCQUFBRmdOa0NBQUFLQUFJQUxRTUVCZ1FBdGdJQUFBVUdCQUMzQWdBQUNnWUJBQUVBQUFXQTJnSUFBQW9BQWdBdkF3UUdCQUMzQWdBQUJRWUVBTGdDQUFBS0JnRUFBUUFBQllEYkFnQUFDZ0FDQURFREJBWUVBTGdDQUFBRkJnUUF1UUlBQUFvR0FRQUJBQUFGZ053Q0FBQUtBQUlBTXdNRUJnUUF1UUlBQUFVR0JBQzZBZ0FBQ2dZQkFBRUFBQVdBM1FJQUFBb0FBZ0ExQXdRR0JBQzZBZ0FBQlFZRUFMc0NBQUFLQmdFQUFRQUFCWURlQWdBQUNnQUNBRGNEQkFZRUFMc0NBQUFGQmdRQXZBSUFBQW9HQVFBQkFBQUZnTjhDQUFBS0FBSUFPUU1FQmdRQXZBSUFBQVVHQkFDOUFnQUFDZ1lCQUFFQUFBV0E0QUlBQUFvQUFnQTdBd1FHQkFDOUFnQUFCUVlFQUw0Q0FBQUtCZ0VBQVFBQUJZRGhBZ0FBQ2dBQ0FEMERCQVlFQUw0Q0FBQUZCZ1FBdndJQUFBQUdBZ0FDQUFvR0FRQUJBQUFGZ09JQ0FBQUtBQUlBUHdNRUJnUUF2Z0lBQUFVR0JBREFBZ0FBQUFZQ0FBSUFDZ1lCQUFFQUFBV0E0d0lBQUFvQUFnQkJBd1FHQkFDK0FnQUFCUVlFQU1FQ0FBQUtCZ0VBQVFBQUJZRGtBZ0FBQ2dBQ0FFTURCQVlFQUxNQ0FBQUZCZ1FBd2dJQUFBb0dBUUFCQUFBRmdPVUNBQUFLQUFJQVJRTUVCZ1FBc3dJQUFBVUdCQUREQWdBQUNnWUJBQUVBQUFXQTVnSUFBQW9BQWdCSEF3UUdCQUMwQWdBQUJRWUVBTVFDQUFBS0JnRUFBUUFBQllEbkFnQUFDZ0FDQUVrREJBWUVBTFFDQUFBRkJnUUF4UUlBQUFvR0FRQUJBQUFGZ09nQ0FBQUtBQUlBU3dNRUJnUUF0UUlBQUFVR0JBREdBZ0FBQ2dZQkFBRUFBQVdBNlFJQUFBb0FBZ0JOQXdRR0JBQzFBZ0FBQlFZRUFNY0NBQUFLQmdFQUFRQUFCWURxQWdBQUNnQUNBRThEQkFZRUFMWUNBQUFGQmdRQXlBSUFBQW9HQVFBQkFBQUZnT3NDQUFBS0FBSUFVUU1FQmdRQXRnSUFBQVVHQkFESkFnQUFDZ1lCQUFFQUFBV0E3QUlBQUFvQUFnQlRBd1FHQkFDM0FnQUFCUVlFQU1vQ0FBQUtCZ0VBQVFBQUJZRHRBZ0FBQ2dBQ0FGVURCQVlFQUxjQ0FBQUZCZ1FBeXdJQUFBb0dBUUFCQUFBRmdPNENBQUFLQUFJQVZ3TUVCZ1FBdUFJQUFBVUdCQURNQWdBQUNnWUJBQUVBQUFXQTd3SUFBQW9BQWdCWkF3UUdCQUM0QWdBQUJRWUVBTTBDQUFBS0JnRUFBUUFBQllEd0FnQUFDZ0FDQUZzREJBWUVBTGtDQUFBRkJnUUF6Z0lBQUFvR0FRQUJBQUFGZ1BFQ0FBQUtBQUlBWFFNRUJnUUF1UUlBQUFVR0JBRFBBZ0FBQ2dZQkFBRUFBQVdBOGdJQUFBb0FBZ0JmQXdRR0JBQzZBZ0FBQlFZRUFOQUNBQUFLQmdFQUFRQUFCWUR6QWdBQUNnQUNBR0VEQkFZRUFMb0NBQUFGQmdRQTBRSUFBQW9HQVFBQkFBQUZnUFFDQUFBS0FBSUFZd01FQmdRQXZBSUFBQVVHQkFEU0FnQUFDZ1lCQUFFQUFBV0E5UUlBQUFvQUFnQmxBd1FHQkFDOEFnQUFCUVlFQU5NQ0FBQUtCZ0VBQVFBQUJZRDJBZ0FBQ2dBQ0FHY0RCQVlFQUwwQ0FBQUZCZ1FBMUFJQUFBb0dBUUFCQUFBRmdQY0NBQUFLQUFJQWFRTUVCZ1FBdlFJQUFBVUdCQURWQWdBQUNnWUJBQUVBQUFBQUFBQUFBQUFB</t>
        </r>
      </text>
    </comment>
    <comment ref="D18" authorId="0" shapeId="0" xr:uid="{243F0C2C-48DC-451D-8A5A-721233BC5555}">
      <text>
        <r>
          <rPr>
            <sz val="9"/>
            <color indexed="81"/>
            <rFont val="Tahoma"/>
            <family val="2"/>
          </rPr>
          <t>QzhGMTVPNFMtfFBpY3R1cmUgODJ8Vm1wRFJEQXhNREFFQXdJQkFBQUFBQUFBQUFBQUFBQ0FBQUFBQUFNQUZnQUFBRU5vWlcxRWNtRjNJREl5TGpJdU1DNHpNekF3Q0FBVEFBQUFWVzUwYVhSc1pXUWdSRzlqZFcxbGJuUUVBaEFBcXRvUEFYOERpQUFSQVdVQlFDZVVBUUVKQ0FBQWdFQUFBSUJBQUFJSkNBQUF3Q0VBQU1DMUFnMElBUUFCQ0FjQkFBRTZCQUVBQVRzRUFRQUFSUVFCQUFFOEJBRUFBRW9FQVFBQURBWUJBQUVQQmdFQUFRMEdBUUFBUWdRQkFBQkRCQUVBQUVRRUFRQUFEZ2dDQU5NWE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hNQ0FBQUVBaEFBQUFBQUFBQUFBQURCWGFVQjVSN29GaFlJQkFBQUFDUUFHQWdFQUFBQUpBQVpDQUFBRUFnQ0FBRUFEd2dDQUFFQUE0QTVBZ0FBQkFJUUFLcmFEd0YvQTRnQUVRRmxBVUFubEFFS0FBSUFoQUlFZ0RvQ0FBQUFBZ2dBM2sxQ0FkT29wUUFLQUFJQWd3STNCQUVBQVFBQUJJQTdBZ0FBQUFJSUFONU5Nd0htbzc4QUNnQUNBSVVDTndRQkFBRUFBQVNBUEFJQUFBQUNDQURlVFVJQitaN1pBQW9BQWdDSEFqY0VBUUFCQUFBRWdEMENBQUFBQWdnQTNrMHpBUXlhOHdBS0FBSUFpUUkzQkFFQUFRQUFCSUErQWdBQUFBSUlBTjVOUWdFZmxRMEJDZ0FDQUlzQ053UUJBQUVBQUFTQVB3SUFBQUFDQ0FEZVRUTUJNNUFuQVFvQUFnQ05BamNFQVFBQkFBQUVnRUFDQUFBQUFnZ0EzazFDQVVhTFFRRUtBQUlBandJM0JBRUFBUUFBQklCQkFnQUFBQUlJQU41Tk13RlpobHNCQ2dBQ0FKRUNOd1FCQUFFQUFBU0FRZ0lBQUFBQ0NBRGVUVUlCYklGMUFRb0FBZ0NUQWdJRUFnQVFBQ3NFQWdBQUFFZ0VBQUEzQkFFQUFRYUFBQUFBQUFBQ0NBQVJBVWNCN0lCeEFRUUNFQUNxMmp3QjdJQnhBWGNuUndIc2dYa0JJd2dCQUFBQ0J3SUFBQUFGQndFQUJBQUhEUUFCQUFBQUF3QmdBUEFBQUFCVENRY05BQUVBQUFBREFHQUE4QUFBQUZNQUFBQUFCSUJEQWdBQUFBSUlBTXBTS0FGc2dZUUJDZ0FDQUpVQ0FnUUNBQWdBS3dRQ0FBQUFTQVFBQURjRUFRQUJCb0FBQUFBQUFBSUlBUDBGTFFHczFuOEJCQUlRQUpiZklnR3MxbjhCWXl3dEFTd3NpUUVqQ0FFQUFBSUhBZ0FBQUFBSERRQUJBQUFBQXdCZ0FQQUFBQUJQQ1FjTkFBRUFBQUFEQUdBQThBQUFBRThBQUFBQUJJQkVBZ0FBQUFJSUFONU5VUUdBZkk4QkNnQUNBSmNDQWdRQ0FBZ0FLd1FDQUFBQVNBUUFBRGNFQVFBQkJvQUFBQUFBQUFJSUFCRUJWZ0hBMFlvQkJBSVFBS3JhU3dIQTBZb0JkeWRXQVVBbmxBRWpDQUVBQUFJSEFnQUFBQUFIRFFBQkFBQUFBd0JnQVBBQUFBQlBDUWNOQUFFQUFBQURBR0FBOEFBQUFFOEFBQUFBQklCRkFnQUFBQUlJQVBGSVhBRnNnV1lCQ2dBQ0FKa0NBZ1FDQUFnQUt3UUNBQUFBSVFRQkFQOUlCQUFBTndRQkFBRUdnQUFBQUFBQUFnZ0FKUHhnQVN3cmJ3RUVBaEFBdmRWV0FXeldZZ0dLSW1FQkxDdHZBU01JQVFEL0FRY0JBUDhDQndJQUFBQUZCd0VBQXdBSERnQUJBQUFBQXdCZ0FQQUFBQUJQTFFrSERnQUJBQUFBQXdCZ0FQQUFBQUJQTFFBQUFBQUVnRVlDQUFBQUFnZ0EzazBWQWVhanZ3QUtBQUlBbXdJQ0JBSUFDQUFyQkFJQUFBQklCQUFBTndRQkFBRUdnQUFBQUFBQUFnZ0FFUUVhQVNiNXVnQUVBaEFBcXRvUEFTYjV1Z0IzSnhvQnBrN0VBQ01JQVFBQUFnY0NBQUFBQUFjTkFBRUFBQUFEQUdBQThBQUFBRThKQncwQUFRQUFBQU1BWUFEd0FBQUFUd0FBQUFBRWdFY0NBQUFBQWdnQTNrMVJBYit0aXdBS0FBSUFuUUlDQkFJQUNRQXJCQUlBQUFCSUJBQUFOd1FCQUFFR2dBQUFBQUFBQWdnQUVRRldBWDhEaUFBRUFoQUFkd2RNQVg4RGlBQVJBVllCLzFlUEFDTUlBUUFBQWdjQ0FBQUFBQWNOQUFFQUFBQURBR0FBOEFBQUFFWUpCdzBBQVFBQUFBTUFZQUR3QUFBQVJnQUFBQUFFZ0VnQ0FBQUFBZ2dBM2sxZ0FkT29wUUFLQUFJQW53SUNCQUlBQ1FBckJBSUFBQUJJQkFBQU53UUJBQUVHZ0FBQUFBQUFBZ2dBRVFGbEFaUCtvUUFFQWhBQWR3ZGJBWlArb1FBUkFXVUJFMU9wQUNNSUFRQUFBZ2NDQUFBQUFBY05BQUVBQUFBREFHQUE4QUFBQUVZSkJ3MEFBUUFBQUFNQVlBRHdBQUFBUmdBQUFBQUVnRWtDQUFBQUFnZ0EzazB6QWIrdGl3QUtBQUlBb1FJQ0JBSUFDUUFyQkFJQUFBQklCQUFBTndRQkFBRUdnQUFBQUFBQUFnZ0FFUUU0QVg4RGlBQUVBaEFBZHdjdUFYOERpQUFSQVRnQi8xZVBBQ01JQVFBQUFnY0NBQUFBQUFjTkFBRUFBQUFEQUdBQThBQUFBRVlKQncwQUFRQUFBQU1BWUFEd0FBQUFSZ0FBQUFBRWdFb0NBQUFBQWdnQThVaGNBZm1lNkFBS0FBSUFvd0lDQkFJQUNRQXJCQUlBQUFCSUJBQUFOd1FCQUFFR2dBQUFBQUFBQWdnQUpQeGdBYm4wNUFBRUFoQUFpZ0pYQWJuMDVBQWsvR0FCT1Vuc0FDTUlBUUFBQWdjQ0FBQUFBQWNOQUFFQUFBQURBR0FBOEFBQUFFWUpCdzBBQVFBQUFBTUFZQUR3QUFBQVJnQUFBQUFFZ0VzQ0FBQUFBZ2dBOFVoY0FmbWV5Z0FLQUFJQXBRSUNCQUlBQ1FBckJBSUFBQUJJQkFBQU53UUJBQUVHZ0FBQUFBQUFBZ2dBSlB4Z0FibjB4Z0FFQWhBQWlnSlhBYm4weGdBay9HQUJPVW5PQUNNSUFRQUFBZ2NDQUFBQUFBY05BQUVBQUFBREFHQUE4QUFBQUVZSkJ3MEFBUUFBQUFNQVlBRHdBQUFBUmdBQUFBQUVnRXdDQUFBQUFnZ0F5bElaQVF5YTVBQUtBQUlBcHdJQ0JBSUFDUUFyQkFJQUFBQklCQUFBTndRQkFBRUdnQUFBQUFBQUFnZ0EvUVVlQWN6djRBQUVBaEFBWXd3VUFjenY0QUQ5QlI0QlRFVG9BQ01JQVFBQUFnY0NBQUFBQUFjTkFBRUFBQUFEQUdBQThBQUFBRVlKQncwQUFRQUFBQU1BWUFEd0FBQUFSZ0FBQUFBRWdFMENBQUFBQWdnQXlsSVpBUXlhQWdFS0FBSUFxUUlDQkFJQUNRQXJCQUlBQUFCSUJBQUFOd1FCQUFFR2dBQUFBQUFBQWdnQS9RVWVBY3p2L2dBRUFoQUFZd3dVQWN6di9nRDlCUjRCVEVRR0FTTUlBUUFBQWdjQ0FBQUFBQWNOQUFFQUFBQURBR0FBOEFBQUFFWUpCdzBBQVFBQUFBTUFZQUR3QUFBQVJnQUFBQUFFZ0U0Q0FBQUFBZ2dBOFVoY0FSK1YvZ0FLQUFJQXF3SUNCQUlBQ1FBckJBSUFBQUJJQkFBQU53UUJBQUVHZ0FBQUFBQUFBZ2dBSlB4Z0FkL3ErZ0FFQWhBQWlnSlhBZC9xK2dBay9HQUJYejhDQVNNSUFRQUFBZ2NDQUFBQUFBY05BQUVBQUFBREFHQUE4QUFBQUVZSkJ3MEFBUUFBQUFNQVlBRHdBQUFBUmdBQUFBQUVnRThDQUFBQUFnZ0E4VWhjQVIrVkhBRUtBQUlBclFJQ0JBSUFDUUFyQkFJQUFBQklCQUFBTndRQkFBRUdnQUFBQUFBQUFnZ0FKUHhnQWQvcUdBRUVBaEFBaWdKWEFkL3FHQUVrL0dBQlh6OGdBU01JQVFBQUFnY0NBQUFBQUFjTkFBRUFBQUFEQUdBQThBQUFBRVlKQncwQUFRQUFBQU1BWUFEd0FBQUFSZ0FBQUFBRWdGQUNBQUFBQWdnQXlsSVpBVE9RR0FFS0FBSUFyd0lDQkFJQUNRQXJCQUlBQUFCSUJBQUFOd1FCQUFFR2dBQUFBQUFBQWdnQS9RVWVBZlBsRkFFRUFoQUFZd3dVQWZQbEZBSDlCUjRCY3pvY0FTTUlBUUFBQWdjQ0FBQUFBQWNOQUFFQUFBQURBR0FBOEFBQUFFWUpCdzBBQVFBQUFBTUFZQUR3QUFBQVJnQUFBQUFFZ0ZFQ0FBQUFBZ2dBeWxJWkFUT1FOZ0VLQUFJQXNRSUNCQUlBQ1FBckJBSUFBQUJJQkFBQU53UUJBQUVHZ0FBQUFBQUFBZ2dBL1FVZUFmUGxNZ0VFQWhBQVl3d1VBZlBsTWdIOUJSNEJjem82QVNNSUFRQUFBZ2NDQUFBQUFBY05BQUVBQUFBREFHQUE4QUFBQUVZSkJ3MEFBUUFBQUFNQVlBRHdBQUFBUmdBQUFBQUVnRklDQUFBQUFnZ0E4VWhjQVVhTFVBRUtBQUlBc3dJQ0JBSUFDUUFyQkFJQUFBQklCQUFBTndRQkFBRUdnQUFBQUFBQUFnZ0FKUHhnQVFiaFRBRUVBaEFBaWdKWEFRYmhUQUVrL0dBQmhqVlVBU01JQVFBQUFnY0NBQUFBQUFjTkFBRUFBQUFEQUdBQThBQUFBRVlKQncwQUFRQUFBQU1BWUFEd0FBQUFSZ0FBQUFBRWdGTUNBQUFBQWdnQThVaGNBVWFMTWdFS0FBSUF0UUlDQkFJQUNRQXJCQUlBQUFCSUJBQUFOd1FCQUFFR2dBQUFBQUFBQWdnQUpQeGdBUWJoTGdFRUFoQUFpZ0pYQVFiaExnRWsvR0FCaGpVMkFTTUlBUUFBQWdjQ0FBQUFBQWNOQUFFQUFBQURBR0FBOEFBQUFFWUpCdzBBQVFBQUFBTUFZQUR3QUFBQVJnQUFBQUFFZ0ZRQ0FBQUFBZ2dBeWxJWkFWbUdUQUVLQUFJQXR3SUNCQUlBQ1FBckJBSUFBQUJJQkFBQU53UUJBQUVHZ0FBQUFBQUFBZ2dBL1FVZUFSbmNTQUVFQWhBQVl3d1VBUm5jU0FIOUJSNEJtVEJRQVNNSUFRQUFBZ2NDQUFBQUFBY05BQUVBQUFBREFHQUE4QUFBQUVZSkJ3MEFBUUFBQUFNQVlBRHdBQUFBUmdBQUFBQUVnRlVDQUFBQUFnZ0F5bElaQVZtR2FnRUtBQUlBdVFJQ0JBSUFDUUFyQkFJQUFBQklCQUFBTndRQkFBRUdnQUFBQUFBQUFnZ0EvUVVlQVJuY1pnRUVBaEFBWXd3VUFSbmNaZ0g5QlI0Qm1UQnVBU01JQVFBQUFnY0NBQUFBQUFjTkFBRUFBQUFEQUdBQThBQUFBRVlKQncwQUFRQUFBQU1BWUFEd0FBQUFSZ0FBQUFBRmdGWUNBQUFLQUFJQWhnSUVCZ1FBT2dJQUFBVUdCQUE3QWdBQUNnWUJBQUVBQUFXQVZ3SUFBQW9BQWdDSUFnUUdCQUE3QWdBQUJRWUVBRHdDQUFBS0JnRUFBUUFBQllCWUFnQUFDZ0FDQUlvQ0JBWUVBRHdDQUFBRkJnUUFQUUlBQUFvR0FRQUJBQUFGZ0ZrQ0FBQUtBQUlBakFJRUJnUUFQUUlBQUFVR0JBQStBZ0FBQ2dZQkFBRUFBQVdBV2dJQUFBb0FBZ0NPQWdRR0JBQStBZ0FBQlFZRUFEOENBQUFLQmdFQUFRQUFCWUJiQWdBQUNnQUNBSkFDQkFZRUFEOENBQUFGQmdRQVFBSUFBQW9HQVFBQkFBQUZnRndDQUFBS0FBSUFrZ0lFQmdRQVFBSUFBQVVHQkFCQkFnQUFDZ1lCQUFFQUFBV0FYUUlBQUFvQUFnQ1VBZ1FHQkFCQkFnQUFCUVlFQUVJQ0FBQUtCZ0VBQVFBQUJZQmVBZ0FBQ2dBQ0FKWUNCQVlFQUVJQ0FBQUZCZ1FBUXdJQUFBQUdBZ0FDQUFvR0FRQUJBQUFGZ0Y4Q0FBQUtBQUlBbUFJRUJnUUFRZ0lBQUFVR0JBQkVBZ0FBQUFZQ0FBSUFDZ1lCQUFFQUFBV0FZQUlBQUFvQUFnQ2FBZ1FHQkFCQ0FnQUFCUVlFQUVVQ0FBQUtCZ0VBQVFBQUJZQmhBZ0FBQ2dBQ0FKd0NCQVlFQURzQ0FBQUZCZ1FBUmdJQUFBQUdBZ0FDQUFvR0FRQUJBQUFGZ0dJQ0FBQUtBQUlBbmdJRUJnUUFPZ0lBQUFVR0JBQkhBZ0FBQ2dZQkFBRUFBQVdBWXdJQUFBb0FBZ0NnQWdRR0JBQTZBZ0FBQlFZRUFFZ0NBQUFLQmdFQUFRQUFCWUJrQWdBQUNnQUNBS0lDQkFZRUFEb0NBQUFGQmdRQVNRSUFBQW9HQVFBQkFBQUZnR1VDQUFBS0FBSUFwQUlFQmdRQVBBSUFBQVVHQkFCS0FnQUFDZ1lCQUFFQUFBV0FaZ0lBQUFvQUFnQ21BZ1FHQkFBOEFnQUFCUVlFQUVzQ0FBQUtCZ0VBQVFBQUJZQm5BZ0FBQ2dBQ0FLZ0NCQVlFQUQwQ0FBQUZCZ1FBVEFJQUFBb0dBUUFCQUFBRmdHZ0NBQUFLQUFJQXFnSUVCZ1FBUFFJQUFBVUdCQUJOQWdBQUNnWUJBQUVBQUFXQWFRSUFBQW9BQWdDc0FnUUdCQUErQWdBQUJRWUVBRTRDQUFBS0JnRUFBUUFBQllCcUFnQUFDZ0FDQUs0Q0JBWUVBRDRDQUFBRkJnUUFUd0lBQUFvR0FRQUJBQUFGZ0dzQ0FBQUtBQUlBc0FJRUJnUUFQd0lBQUFVR0JBQlFBZ0FBQ2dZQkFBRUFBQVdBYkFJQUFBb0FBZ0N5QWdRR0JBQS9BZ0FBQlFZRUFGRUNBQUFLQmdFQUFRQUFCWUJ0QWdBQUNnQUNBTFFDQkFZRUFFQUNBQUFGQmdRQVVnSUFBQW9HQVFBQkFBQUZnRzRDQUFBS0FBSUF0Z0lFQmdRQVFBSUFBQVVHQkFCVEFnQUFDZ1lCQUFFQUFBV0Fid0lBQUFvQUFnQzRBZ1FHQkFCQkFnQUFCUVlFQUZRQ0FBQUtCZ0VBQVFBQUJZQndBZ0FBQ2dBQ0FMb0NCQVlFQUVFQ0FBQUZCZ1FBVlFJQUFBb0dBUUFCQUFBQUFBQUFBQUFBQUE9PQ==</t>
        </r>
      </text>
    </comment>
    <comment ref="D21" authorId="0" shapeId="0" xr:uid="{13D0517B-FA9A-4525-9D90-3EFB421C29FE}">
      <text>
        <r>
          <rPr>
            <sz val="9"/>
            <color indexed="81"/>
            <rFont val="Tahoma"/>
            <family val="2"/>
          </rPr>
          <t>QzEyRjI2Tk80UzItfFBpY3R1cmUgODh8Vm1wRFJEQXhNREFFQXdJQkFBQUFBQUFBQUFBQUFBQ0FBQUFBQUFNQUZnQUFBRU5vWlcxRWNtRjNJREl5TGpJdU1DNHpNekF3Q0FBVEFBQUFWVzUwYVhSc1pXUWdSRzlqZFcxbGJuUUVBaEFBZWl6dkFOVVZId0RlQWtBQksyckZBUUVKQ0FBQWdFQUFBSUJBQUFJSkNBQUF3Q0VBQU1DMUFnMElBUUFCQ0FjQkFBRTZCQUVBQVRzRUFRQUFSUVFCQUFFOEJBRUFBRW9FQVFBQURBWUJBQUVQQmdFQUFRMEdBUUFBUWdRQkFBQkRCQUVBQUVRRUFRQUFEZ2dDQU53V0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tNaEFBQUVBaEFBQUFBQUFBQUFBQUJHL29BQnlPcXdGeFlJQkFBQUFDUUFHQWdFQUFBQUpBQVpDQUFBRUFnQ0FBRUFEd2dDQUFFQUE0QkhJUUFBQkFJUUFIb3M3d0RWRlI4QTNnSkFBU3RxeFFFS0FBSUFYQ1FFZ0VnaEFBQUFBZ2dBZUZ3ZEFRaHdwQUFLQUFJQVhTUTNCQUVBQVFBQUJJQkpJUUFBQUFJSUFONWlEZ0VGWUw0QUNnQUNBRjRrTndRQkFBRUFBQVNBU2lFQUFBQUNDQURoY3ZRQW4xbk5BQW9BQWdCZkpBSUVBZ0FKQUNzRUFnQUFBRWdFQUFBM0JBRUFBUWFBQUFBQUFBQUNDQUFVSnZrQVg2L0pBQVFDRUFCNkxPOEFYNi9KQUJRbStRRGZBOUVBSXdnQkFBQUNCd0lBQUFBQUJ3MEFBUUFBQUFNQVlBRHdBQUFBUmdrSERRQUJBQUFBQXdCZ0FQQUFBQUJHQUFBQUFBU0FTeUVBQUFBQ0NBRGhjdlFBYkdhdkFBb0FBZ0JnSkFJRUFnQUpBQ3NFQWdBQUFFZ0VBQUEzQkFFQUFRYUFBQUFBQUFBQ0NBQVVKdmtBTEx5ckFBUUNFQUI2TE84QUxMeXJBQlFtK1FDc0VMTUFJd2dCQUFBQ0J3SUFBQUFBQncwQUFRQUFBQU1BWUFEd0FBQUFSZ2tIRFFBQkFBQUFBd0JnQVBBQUFBQkdBQUFBQUFTQVRDRUFBQUFDQ0FCNFhCMEJBMURZQUFvQUFnQmhKQUlFQWdBUUFDc0VBZ0FBQUVnRUFBQTNCQUVBQVFhQUFBQUFBQUFDQ0FDckR5SUJnMC9VQUFRQ0VBQkU2UmNCZzAvVUFCRTJJZ0dEVU53QUl3Z0JBQUFDQndJQUFBQUFCdzBBQVFBQUFBTUFZQUR3QUFBQVV3a0hEUUFCQUFBQUF3QmdBUEFBQUFCVEFBQUFBQVNBVFNFQUFBQUNDQUI2YkFNQm5Fbm5BQW9BQWdCaUpBSUVBZ0FJQUNzRUFnQUFBRWdFQUFBM0JBRUFBUWFBQUFBQUFBQUNDQUN0SHdnQjNKN2lBQVFDRUFCRytmMEEzSjdpQUJOR0NBRmM5T3NBSXdnQkFBQUNCd0lBQUFBQUJ3MEFBUUFBQUFNQVlBRHdBQUFBVHdrSERRQUJBQUFBQXdCZ0FQQUFBQUJQQUFBQUFBU0FUaUVBQUFBQ0NBQjFURGNCYVZiSkFBb0FBZ0JqSkFJRUFnQUlBQ3NFQWdBQUFFZ0VBQUEzQkFFQUFRYUFBQUFBQUFBQ0NBQ28venNCcWF2RUFBUUNFQUJCMlRFQnFhdkVBQTRtUEFFcEFjNEFJd2dCQUFBQ0J3SUFBQUFBQncwQUFRQUFBQU1BWUFEd0FBQUFUd2tIRFFBQkFBQUFBd0JnQVBBQUFBQlBBQUFBQUFTQVR5RUFBQUFDQ0FBUlZpd0JBRUR5QUFvQUFnQmtKQUlFQWdBSEFDc0VBZ0FBQUNFRUFRRC9TQVFBQURjRUFRQUJCb0FBQUFBQUFBSUlBRVFKTVFIQTZ1MEFCQUlRQUtvUEp3SEE2dTBBUkFreEFZQ1UrUUFqQ0FFQUFBSUhBZ0FBQUFVSEFRQUJBQWNPQUFFQUFBQURBR0FBOEFBQUFFNHRDUWNPQUFFQUFBQURBR0FBOEFBQUFFNHRBQUFBQUFTQVVDRUFBQUFDQ0FCMVREY0JibmFWQUFvQUFnQmxKQUlFQWdBSkFDc0VBZ0FBQUVnRUFBQTNCQUVBQVFhQUFBQUFBQUFDQ0FDby96c0JMc3lSQUFRQ0VBQU9CaklCTHN5UkFLai9Pd0d1SUprQUl3Z0JBQUFDQndJQUFBQUFCdzBBQVFBQUFBTUFZQUR3QUFBQVJna0hEUUFCQUFBQUF3QmdBUEFBQUFCR0FBQUFBQVNBVVNFQUFBQUNDQUIxVERjQm9XbXpBQW9BQWdCbUpBSUVBZ0FKQUNzRUFnQUFBRWdFQUFBM0JBRUFBUWFBQUFBQUFBQUNDQUNvL3pzQlliK3ZBQVFDRUFBT0JqSUJZYit2QUtqL093SGhFN2NBSXdnQkFBQUNCd0lBQUFBQUJ3MEFBUUFBQUFNQVlBRHdBQUFBUmdrSERRQUJBQUFBQXdCZ0FQQUFBQUJHQUFBQUFBU0FVaUVBQUFBQ0NBRGVZZzRCQ29DS0FBb0FBZ0JuSkRjRUFRQUJBQUFFZ0ZNaEFBQUFBZ2dBZUZ3ZEFRMlFjQUFLQUFJQWFDUTNCQUVBQVFBQUJJQlVJUUFBQUFJSUFIVk1Od0dtaVg4QUNnQUNBR2trQWdRQ0FBa0FLd1FDQUFBQVNBUUFBRGNFQVFBQkJvQUFBQUFBQUFJSUFLai9Pd0ZtMzNzQUJBSVFBQTRHTWdGbTMzc0FxUDg3QWVZemd3QWpDQUVBQUFJSEFnQUFBQUFIRFFBQkFBQUFBd0JnQVBBQUFBQkdDUWNOQUFFQUFBQURBR0FBOEFBQUFFWUFBQUFBQklCVklRQUFBQUlJQUhWTU53RnpsbUVBQ2dBQ0FHb2tBZ1FDQUFrQUt3UUNBQUFBU0FRQUFEY0VBUUFCQm9BQUFBQUFBQUlJQUtqL093RXo3RjBBQkFJUUFBNEdNZ0V6N0YwQXFQODdBYk5BWlFBakNBRUFBQUlIQWdBQUFBQUhEUUFCQUFBQUF3QmdBUEFBQUFCR0NRY05BQUVBQUFBREFHQUE4QUFBQUVZQUFBQUFCSUJXSVFBQUFBSUlBT0Z5OUFDa2Vaa0FDZ0FDQUdza0FnUUNBQWtBS3dRQ0FBQUFTQVFBQURjRUFRQUJCb0FBQUFBQUFBSUlBQlFtK1FCa3o1VUFCQUlRQUhvczd3Qmt6NVVBRkNiNUFPUWpuUUFqQ0FFQUFBSUhBZ0FBQUFBSERRQUJBQUFBQXdCZ0FQQUFBQUJHQ1FjTkFBRUFBQUFEQUdBQThBQUFBRVlBQUFBQUJJQlhJUUFBQUFJSUFPRnk5QUJ4aG5zQUNnQUNBR3drQWdRQ0FBa0FLd1FDQUFBQVNBUUFBRGNFQVFBQkJvQUFBQUFBQUFJSUFCUW0rUUF4M0hjQUJBSVFBSG9zN3dBeDNIY0FGQ2I1QUxFd2Z3QWpDQUVBQUFJSEFnQUFBQUFIRFFBQkFBQUFBd0JnQVBBQUFBQkdDUWNOQUFFQUFBQURBR0FBOEFBQUFFWUFBQUFBQklCWUlRQUFBQUlJQUhoY0hRSHo3M01CQ2dBQ0FIc2tOd1FCQUFFQUFBU0FXU0VBQUFBQ0NBRGVZZzRCOXY5WkFRb0FBZ0I4SkRjRUFRQUJBQUFFZ0ZvaEFBQUFBZ2dBZUZ3ZEFmZ1BRQUVLQUFJQWZTUTNCQUVBQVFBQUJJQmJJUUFBQUFJSUFONWlEZ0g3SHlZQkNnQUNBSDRrTndRQkFBRUFBQVNBWENFQUFBQUNDQURoY3ZRQWxCazFBUW9BQWdCL0pBSUVBZ0FKQUNzRUFnQUFBRWdFQUFBM0JBRUFBUWFBQUFBQUFBQUNDQUFVSnZrQVZHOHhBUVFDRUFCNkxPOEFWRzh4QVJRbStRRFV3emdCSXdnQkFBQUNCd0lBQUFBQUJ3MEFBUUFBQUFNQVlBRHdBQUFBUmdrSERRQUJBQUFBQXdCZ0FQQUFBQUJHQUFBQUFBU0FYU0VBQUFBQ0NBRGhjdlFBWVNZWEFRb0FBZ0NBSkFJRUFnQUpBQ3NFQWdBQUFFZ0VBQUEzQkFFQUFRYUFBQUFBQUFBQ0NBQVVKdmtBSVh3VEFRUUNFQUI2TE84QUlYd1RBUlFtK1FDaDBCb0JJd2dCQUFBQ0J3SUFBQUFBQncwQUFRQUFBQU1BWUFEd0FBQUFSZ2tIRFFBQkFBQUFBd0JnQVBBQUFBQkdBQUFBQUFTQVhpRUFBQUFDQ0FCNFhCMEIvUzhNQVFvQUFnQ0JKQUlFQWdBUUFDc0VBZ0FBQUVnRUFBQTNCQUVBQVFhQUFBQUFBQUFDQ0FDckR5SUJmUzhJQVFRQ0VBQkU2UmNCZlM4SUFSRTJJZ0Y5TUJBQkl3Z0JBQUFDQndJQUFBQUZCd0VBQVFBSERRQUJBQUFBQXdCZ0FQQUFBQUJUQ1FjTkFBRUFBQUFEQUdBQThBQUFBRk1BQUFBQUJJQmZJUUFBQUFJSUFIVk1Od0dYS1JzQkNnQUNBSUlrQWdRQ0FBZ0FLd1FDQUFBQVNBUUFBRGNFQVFBQkJvQUFBQUFBQUFJSUFLai9Pd0hYZmhZQkJBSVFBRUhaTVFIWGZoWUJEaVk4QVZmVUh3RWpDQUVBQUFJSEFnQUFBQUFIRFFBQkFBQUFBd0JnQVBBQUFBQlBDUWNOQUFFQUFBQURBR0FBOEFBQUFFOEFBQUFBQklCZ0lRQUFBQUlJQUhwc0F3RmtOdjBBQ2dBQ0FJTWtBZ1FDQUFnQUt3UUNBQUFBU0FRQUFEY0VBUUFCQm9BQUFBQUFBQUlJQUswZkNBR2tpL2dBQkFJUUFFYjUvUUNraS9nQUUwWUlBU1RoQVFFakNBRUFBQUlIQWdBQUFBQUhEUUFCQUFBQUF3QmdBUEFBQUFCUENRY05BQUVBQUFBREFHQUE4QUFBQUU4QUFBQUFCSUJoSVFBQUFBSUlBSFZNTndGZkZqRUJDZ0FDQUlRa0FnUUNBQWtBS3dRQ0FBQUFTQVFBQURjRUFRQUJCb0FBQUFBQUFBSUlBS2ovT3dFZmJDMEJCQUlRQUE0R01nRWZiQzBCcVA4N0FaL0FOQUVqQ0FFQUFBSUhBZ0FBQUFBSERRQUJBQUFBQXdCZ0FQQUFBQUJHQ1FjTkFBRUFBQUFEQUdBQThBQUFBRVlBQUFBQUJJQmlJUUFBQUFJSUFIVk1Od0dTQ1U4QkNnQUNBSVVrQWdRQ0FBa0FLd1FDQUFBQVNBUUFBRGNFQVFBQkJvQUFBQUFBQUFJSUFLai9Pd0ZTWDBzQkJBSVFBQTRHTWdGU1gwc0JxUDg3QWRLelVnRWpDQUVBQUFJSEFnQUFBQUFIRFFBQkFBQUFBd0JnQVBBQUFBQkdDUWNOQUFFQUFBQURBR0FBOEFBQUFFWUFBQUFBQklCaklRQUFBQUlJQU9GeTlBQ1ArV2dCQ2dBQ0FJWWtBZ1FDQUFrQUt3UUNBQUFBU0FRQUFEY0VBUUFCQm9BQUFBQUFBQUlJQUJRbStRQlBUMlVCQkFJUUFIb3M3d0JQVDJVQkZDYjVBTStqYkFFakNBRUFBQUlIQWdBQUFBQUhEUUFCQUFBQUF3QmdBUEFBQUFCR0NRY05BQUVBQUFBREFHQUE4QUFBQUVZQUFBQUFCSUJrSVFBQUFBSUlBT0Z5OUFCY0Jrc0JDZ0FDQUlja0FnUUNBQWtBS3dRQ0FBQUFTQVFBQURjRUFRQUJCb0FBQUFBQUFBSUlBQlFtK1FBY1hFY0JCQUlRQUhvczd3QWNYRWNCRkNiNUFKeXdUZ0VqQ0FFQUFBSUhBZ0FBQUFBSERRQUJBQUFBQXdCZ0FQQUFBQUJHQ1FjTkFBRUFBQUFEQUdBQThBQUFBRVlBQUFBQUJJQmxJUUFBQUFJSUFIVk1Od0ZhOW1RQkNnQUNBSWdrQWdRQ0FBa0FLd1FDQUFBQVNBUUFBRGNFQVFBQkJvQUFBQUFBQUFJSUFLai9Pd0VhVEdFQkJBSVFBQTRHTWdFYVRHRUJxUDg3QVpxZ2FBRWpDQUVBQUFJSEFnQUFBQUFIRFFBQkFBQUFBd0JnQVBBQUFBQkdDUWNOQUFFQUFBQURBR0FBOEFBQUFFWUFBQUFBQklCbUlRQUFBQUlJQUhWTU53R042WUlCQ2dBQ0FJa2tBZ1FDQUFrQUt3UUNBQUFBU0FRQUFEY0VBUUFCQm9BQUFBQUFBQUlJQUtqL093Rk5QMzhCQkFJUUFBNEdNZ0ZOUDM4QnFQODdBYzJUaGdFakNBRUFBQUlIQWdBQUFBQUhEUUFCQUFBQUF3QmdBUEFBQUFCR0NRY05BQUVBQUFBREFHQUE4QUFBQUVZQUFBQUFCSUJuSVFBQUFBSUlBTjVpRGdIeDM0MEJDZ0FDQUlva053UUJBQUVBQUFTQWFDRUFBQUFDQ0FCNFhCMEI3cytuQVFvQUFnQ0xKRGNFQVFBQkFBQUVnR2toQUFBQUFnZ0EzbUlPQWV1L3dRRUtBQUlBakNRQ0JBSUFDUUFyQkFJQUFBQklCQUFBTndRQkFBRUdnQUFBQUFBQUFnZ0FFUllUQWFzVnZnRUVBaEFBZHh3SkFhc1Z2Z0VSRmhNQksyckZBU01JQVFBQUFnY0NBQUFBQUFjTkFBRUFBQUFEQUdBQThBQUFBRVlKQncwQUFRQUFBQU1BWUFEd0FBQUFSZ0FBQUFBRWdHb2hBQUFBQWdnQXEwODdBZTdQcHdFS0FBSUFqU1FDQkFJQUNRQXJCQUlBQUFCSUJBQUFOd1FCQUFFR2dBQUFBQUFBQWdnQTNnSkFBYTRscEFFRUFoQUFSQWsyQWE0bHBBSGVBa0FCTG5xckFTTUlBUUFBQWdjQ0FBQUFBQWNOQUFFQUFBQURBR0FBOEFBQUFFWUpCdzBBQVFBQUFBTUFZQUR3QUFBQVJnQUFBQUFFZ0dzaEFBQUFBZ2dBRVZZc0FldS93UUVLQUFJQWppUUNCQUlBQ1FBckJBSUFBQUJJQkFBQU53UUJBQUVHZ0FBQUFBQUFBZ2dBUkFreEFhc1Z2Z0VFQWhBQXFnOG5BYXNWdmdGRUNURUJLMnJGQVNNSUFRQUFBZ2NDQUFBQUFBY05BQUVBQUFBREFHQUE4QUFBQUVZSkJ3MEFBUUFBQUFNQVlBRHdBQUFBUmdBQUFBQUVnR3doQUFBQUFnZ0E0WEwwQUlyWm5BRUtBQUlBanlRQ0JBSUFDUUFyQkFJQUFBQklCQUFBTndRQkFBRUdnQUFBQUFBQUFnZ0FGQ2I1QUVvdm1RRUVBaEFBZWl6dkFFb3ZtUUVVSnZrQXlvT2dBU01JQVFBQUFnY0NBQUFBQUFjTkFBRUFBQUFEQUdBQThBQUFBRVlKQncwQUFRQUFBQU1BWUFEd0FBQUFSZ0FBQUFBRWdHMGhBQUFBQWdnQTRYTDBBRmZtZmdFS0FBSUFrQ1FDQkFJQUNRQXJCQUlBQUFCSUJBQUFOd1FCQUFFR2dBQUFBQUFBQWdnQUZDYjVBQmM4ZXdFRUFoQUFlaXp2QUJjOGV3RVVKdmtBbDVDQ0FTTUlBUUFBQWdjQ0FBQUFBQWNOQUFFQUFBQURBR0FBOEFBQUFFWUpCdzBBQVFBQUFBTUFZQUR3QUFBQVJnQUFBQUFFZ0c0aEFBQUFBZ2dBM21JT0FRK2dWZ0FLQUFJQXFTUTNCQUVBQVFBQUJJQnZJUUFBQUFJSUFIaGNIUUVTc0R3QUNnQUNBS29rTndRQkFBRUFBQVNBY0NFQUFBQUNDQUFSVml3QkZjQWlBQW9BQWdDckpBSUVBZ0FKQUNzRUFnQUFBRWdFQUFBM0JBRUFBUWFBQUFBQUFBQUNDQUJFQ1RFQjFSVWZBQVFDRUFDcUR5Y0IxUlVmQUVRSk1RRlZhaVlBSXdnQkFBQUNCd0lBQUFBQUJ3MEFBUUFBQUFNQVlBRHdBQUFBUmdrSERRQUJBQUFBQXdCZ0FQQUFBQUJHQUFBQUFBU0FjU0VBQUFBQ0NBQ3JUenNCRXJBOEFBb0FBZ0NzSkFJRUFnQUpBQ3NFQWdBQUFFZ0VBQUEzQkFFQUFRYUFBQUFBQUFBQ0NBRGVBa0FCMGdVNUFBUUNFQUJFQ1RZQjBnVTVBTjRDUUFGU1drQUFJd2dCQUFBQ0J3SUFBQUFBQncwQUFRQUFBQU1BWUFEd0FBQUFSZ2tIRFFBQkFBQUFBd0JnQVBBQUFBQkdBQUFBQUFTQWNpRUFBQUFDQ0FEZVlnNEJGY0FpQUFvQUFnQ3RKQUlFQWdBSkFDc0VBZ0FBQUVnRUFBQTNCQUVBQVFhQUFBQUFBQUFDQ0FBUkZoTUIxUlVmQUFRQ0VBQjNIQWtCMVJVZkFCRVdFd0ZWYWlZQUl3Z0JBQUFDQndJQUFBQUFCdzBBQVFBQUFBTUFZQUR3QUFBQVJna0hEUUFCQUFBQUF3QmdBUEFBQUFCR0FBQUFBQVNBY3lFQUFBQUNDQURoY3ZRQXFabGxBQW9BQWdDdUpBSUVBZ0FKQUNzRUFnQUFBRWdFQUFBM0JBRUFBUWFBQUFBQUFBQUNDQUFVSnZrQWFlOWhBQVFDRUFCNkxPOEFhZTloQUJRbStRRHBRMmtBSXdnQkFBQUNCd0lBQUFBQUJ3MEFBUUFBQUFNQVlBRHdBQUFBUmdrSERRQUJBQUFBQXdCZ0FQQUFBQUJHQUFBQUFBU0FkQ0VBQUFBQ0NBRGhjdlFBZHFaSEFBb0FBZ0N2SkFJRUFnQUpBQ3NFQWdBQUFFZ0VBQUEzQkFFQUFRYUFBQUFBQUFBQ0NBQVVKdmtBTnZ4REFBUUNFQUI2TE84QU52eERBQlFtK1FDMlVFc0FJd2dCQUFBQ0J3SUFBQUFBQncwQUFRQUFBQU1BWUFEd0FBQUFSZ2tIRFFBQkFBQUFBd0JnQVBBQUFBQkdBQUFBQUFXQWRTRUFBQW9BQWdCdEpBUUdCQUJJSVFBQUJRWUVBRWtoQUFBS0JnRUFBUUFBQllCMklRQUFDZ0FDQUc0a0JBWUVBRWtoQUFBRkJnUUFTaUVBQUFvR0FRQUJBQUFGZ0hjaEFBQUtBQUlBYnlRRUJnUUFTU0VBQUFVR0JBQkxJUUFBQ2dZQkFBRUFBQVdBZUNFQUFBb0FBZ0J3SkFRR0JBQkpJUUFBQlFZRUFFd2hBQUFLQmdFQUFRQUFCWUI1SVFBQUNnQUNBSEVrQkFZRUFFd2hBQUFGQmdRQVRTRUFBQUFHQWdBQ0FBb0dBUUFCQUFBRmdIb2hBQUFLQUFJQWNpUUVCZ1FBVENFQUFBVUdCQUJPSVFBQUFBWUNBQUlBQ2dZQkFBRUFBQVdBZXlFQUFBb0FBZ0J6SkFRR0JBQk1JUUFBQlFZRUFFOGhBQUFLQmdFQUFRQUFCWUI4SVFBQUNnQUNBSFFrQkFZRUFFZ2hBQUFGQmdRQVVDRUFBQW9HQVFBQkFBQUZnSDBoQUFBS0FBSUFkU1FFQmdRQVNDRUFBQVVHQkFCUklRQUFDZ1lCQUFFQUFBV0FmaUVBQUFvQUFnQjJKQVFHQkFCU0lRQUFCUVlFQUZNaEFBQUtCZ0VBQVFBQUJZQi9JUUFBQ2dBQ0FIY2tCQVlFQUZNaEFBQUZCZ1FBVkNFQUFBb0dBUUFCQUFBRmdJQWhBQUFLQUFJQWVDUUVCZ1FBVXlFQUFBVUdCQUJWSVFBQUNnWUJBQUVBQUFXQWdTRUFBQW9BQWdCNUpBUUdCQUJTSVFBQUJRWUVBRlloQUFBS0JnRUFBUUFBQllDQ0lRQUFDZ0FDQUhva0JBWUVBRkloQUFBRkJnUUFWeUVBQUFvR0FRQUJBQUFGZ0lNaEFBQUtBQUlBa1NRRUJnUUFXQ0VBQUFVR0JBQlpJUUFBQ2dZQkFBRUFBQVdBaENFQUFBb0FBZ0NTSkFRR0JBQlpJUUFBQlFZRUFGb2hBQUFLQmdFQUFRQUFCWUNGSVFBQUNnQUNBSk1rQkFZRUFGb2hBQUFGQmdRQVd5RUFBQW9HQVFBQkFBQUZnSVloQUFBS0FBSUFsQ1FFQmdRQVd5RUFBQVVHQkFCY0lRQUFDZ1lCQUFFQUFBV0FoeUVBQUFvQUFnQ1ZKQVFHQkFCYklRQUFCUVlFQUYwaEFBQUtCZ0VBQVFBQUJZQ0lJUUFBQ2dBQ0FKWWtCQVlFQUZzaEFBQUZCZ1FBWGlFQUFBb0dBUUFCQUFBRmdJa2hBQUFLQUFJQWx5UUVCZ1FBWGlFQUFBVUdCQUJmSVFBQUFBWUNBQUlBQ2dZQkFBRUFBQVdBaWlFQUFBb0FBZ0NZSkFRR0JBQmVJUUFBQlFZRUFHQWhBQUFBQmdJQUFnQUtCZ0VBQVFBQUJZQ0xJUUFBQ2dBQ0FKa2tCQVlFQUZvaEFBQUZCZ1FBWVNFQUFBb0dBUUFCQUFBRmdJd2hBQUFLQUFJQW1pUUVCZ1FBV2lFQUFBVUdCQUJpSVFBQUNnWUJBQUVBQUFXQWpTRUFBQW9BQWdDYkpBUUdCQUJaSVFBQUJRWUVBR01oQUFBS0JnRUFBUUFBQllDT0lRQUFDZ0FDQUp3a0JBWUVBRmtoQUFBRkJnUUFaQ0VBQUFvR0FRQUJBQUFGZ0k4aEFBQUtBQUlBblNRRUJnUUFXQ0VBQUFVR0JBQmxJUUFBQ2dZQkFBRUFBQVdBa0NFQUFBb0FBZ0NlSkFRR0JBQllJUUFBQlFZRUFHWWhBQUFLQmdFQUFRQUFCWUNSSVFBQUNnQUNBSjhrQkFZRUFHY2hBQUFGQmdRQWFDRUFBQW9HQVFBQkFBQUZnSkloQUFBS0FBSUFvQ1FFQmdRQWFDRUFBQVVHQkFCcElRQUFDZ1lCQUFFQUFBV0FreUVBQUFvQUFnQ2hKQVFHQkFCb0lRQUFCUVlFQUdvaEFBQUtCZ0VBQVFBQUJZQ1VJUUFBQ2dBQ0FLSWtCQVlFQUdnaEFBQUZCZ1FBYXlFQUFBb0dBUUFCQUFBRmdKVWhBQUFLQUFJQW95UUVCZ1FBWnlFQUFBVUdCQUJzSVFBQUNnWUJBQUVBQUFXQWxpRUFBQW9BQWdDa0pBUUdCQUJuSVFBQUJRWUVBRzBoQUFBS0JnRUFBUUFBQllDWElRQUFDZ0FDQUtVa0JBWUVBRjRoQUFBRkJnUUFUeUVBQUFvR0FRQUJBQUFGZ0pnaEFBQUtBQUlBcHlRRUJnUUFVaUVBQUFVR0JBQklJUUFBQ2dZQkFBRUFBQVdBbVNFQUFBb0FBZ0NvSkFRR0JBQllJUUFBQlFZRUFHY2hBQUFLQmdFQUFRQUFCWUNhSVFBQUNnQUNBTEFrQkFZRUFHNGhBQUFGQmdRQWJ5RUFBQW9HQVFBQkFBQUZnSnNoQUFBS0FBSUFzU1FFQmdRQWJ5RUFBQVVHQkFCd0lRQUFDZ1lCQUFFQUFBV0FuQ0VBQUFvQUFnQ3lKQVFHQkFCdklRQUFCUVlFQUhFaEFBQUtCZ0VBQVFBQUJZQ2RJUUFBQ2dBQ0FMTWtCQVlFQUc4aEFBQUZCZ1FBY2lFQUFBb0dBUUFCQUFBRmdKNGhBQUFLQUFJQXRDUUVCZ1FBYmlFQUFBVUdCQUJ6SVFBQUNnWUJBQUVBQUFXQW55RUFBQW9BQWdDMUpBUUdCQUJ1SVFBQUJRWUVBSFFoQUFBS0JnRUFBUUFBQllDZ0lRQUFDZ0FDQUxZa0JBWUVBRzRoQUFBRkJnUUFVeUVBQUFvR0FRQUJBQUFBQUFBQUFBQUFBQT09</t>
        </r>
      </text>
    </comment>
    <comment ref="D22" authorId="0" shapeId="0" xr:uid="{D1E9C484-4C58-4596-9AD8-0AD6DE3044C5}">
      <text>
        <r>
          <rPr>
            <sz val="9"/>
            <color indexed="81"/>
            <rFont val="Tahoma"/>
            <family val="2"/>
          </rPr>
          <t>QzlIM0YxN05PMlMtfFBpY3R1cmUgNzR8Vm1wRFJEQXhNREFFQXdJQkFBQUFBQUFBQUFBQUFBQ0FBQUFBQUFNQUZnQUFBRU5vWlcxRWNtRjNJREl5TGpJdU1DNHpNekF3Q0FBVEFBQUFWVzUwYVhSc1pXUWdSRzlqZFcxbGJuUUVBaEFBL3ZvUkFjYlhmQUNyNzJJQjJYdWVBUUVKQ0FBQWdFQUFBSUJBQUFJSkNBQUF3Q0VBQU1DMUFnMElBUUFCQ0FjQkFBRTZCQUVBQVRzRUFRQUFSUVFCQUFFOEJBRUFBRW9FQVFBQURBWUJBQUVQQmdFQUFRMEdBUUFBUWdRQkFBQkRCQUVBQUVRRUFRQUFEZ2dDQVBZV0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k0Q0FBQUVBaEFBQUFBQUFBQUFBQUE5ZjZJQkRod0xGaFlJQkFBQUFDUUFHQWdFQUFBQUpBQVpDQUFBRUFnQ0FBRUFEd2dDQUFFQUE0QlFBZ0FBQkFJUUFQNzZFUUhHMTN3QXErOWlBZGw3bmdFS0FBSUF2UUVFZ0ZFQ0FBQUFBZ2dBZUR4QUFkbExuZ0VLQUFJQXZnRTNCQUVBQVFBQUJJQlNBZ0FBQUFJSUFIZzhUd0hHVUlRQkNnQUNBTDhCQWdRQ0FBY0FLd1FDQUFBQUlRUUJBUDlJQkFBQU53UUJBQUVHZ0FBQUFBQUFBZ2dBcSs5VEFZYjdmd0VFQWhBQUVmWkpBWWI3ZndHcjcxTUJScVdMQVNNSUFRQUFBZ2NDQUFBQUJRY0JBQUVBQnc0QUFRQUFBQU1BWUFEd0FBQUFUaTBKQnc0QUFRQUFBQU1BWUFEd0FBQUFUaTBBQUFBQUJJQlRBZ0FBQUFJSUFIZzhRQUd6VldvQkNnQUNBTUFCQWdRQ0FCQUFLd1FDQUFBQVNBUUFBRGNFQVFBQkJvQUFBQUFBQUFJSUFLdnZSQUV6VldZQkJBSVFBRVRKT2dFelZXWUJFUlpGQVROV2JnRWpDQUVBQUFJSEFnQUFBQUFIRFFBQkFBQUFBd0JnQVBBQUFBQlRDUWNOQUFFQUFBQURBR0FBOEFBQUFGTUFBQUFBQklCVUFnQUFBQUlJQUl3M1dnR3pWVnNCQ2dBQ0FNRUJBZ1FDQUFnQUt3UUNBQUFBU0FRQUFEY0VBUUFCQm9BQUFBQUFBQUlJQUwvcVhnSHpxbFlCQkFJUUFGakVWQUh6cWxZQkpSRmZBWE1BWUFFakNBRUFBQUlIQWdBQUFBQUhEUUFCQUFBQUF3QmdBUEFBQUFCUENRY05BQUVBQUFBREFHQUE4QUFBQUU4QUFBQUFCSUJWQWdBQUFBSUlBR1ZCSmdHelZYa0JDZ0FDQU1JQkFnUUNBQWdBS3dRQ0FBQUFTQVFBQURjRUFRQUJCb0FBQUFBQUFBSUlBSmowS2dIenFuUUJCQUlRQURIT0lBSHpxblFCL2hvckFYTUFmZ0VqQ0FFQUFBSUhBZ0FBQUFBSERRQUJBQUFBQXdCZ0FQQUFBQUJQQ1FjTkFBRUFBQUFEQUdBQThBQUFBRThBQUFBQUJJQldBZ0FBQUFJSUFIZzhNUUdnV2xBQkNnQUNBTU1CTndRQkFBRUFBQVNBVndJQUFBQUNDQUI0UEVBQmpGODJBUW9BQWdERUFUY0VBUUFCQUFBRWdGZ0NBQUFBQWdnQWVEd3hBWGxrSEFFS0FBSUF4UUUzQkFFQUFRQUFCSUJaQWdBQUFBSUlBSGc4UUFGbWFRSUJDZ0FDQU1ZQk53UUJBQUVBQUFTQVdnSUFBQUFDQ0FCNFBERUJVMjdvQUFvQUFnREhBVGNFQVFBQkFBQUVnRnNDQUFBQUFnZ0FlRHhBQVQ5enpnQUtBQUlBeUFFM0JBRUFBUUFBQklCY0FnQUFBQUlJQUhnOE1RRXNlTFFBQ2dBQ0FNa0JOd1FCQUFFQUFBU0FYUUlBQUFBQ0NBQjRQRUFCR1gyYUFBb0FBZ0RLQVRjRUFRQUJBQUFFZ0Y0Q0FBQUFBZ2dBZUR3eEFRYUNnQUFLQUFJQXl3RUNCQUlBQ1FBckJBSUFBQUJJQkFBQU53UUJBQUVHZ0FBQUFBQUFBZ2dBcSs4MUFjYlhmQUFFQWhBQUVmWXJBY2JYZkFDcjd6VUJSaXlFQUNNSUFRQUFBZ2NDQUFBQUFBY05BQUVBQUFBREFHQUE4QUFBQUVZSkJ3MEFBUUFBQUFNQVlBRHdBQUFBUmdBQUFBQUVnRjhDQUFBQUFnZ0FlRHhlQVJsOW1nQUtBQUlBekFFQ0JBSUFDUUFyQkFJQUFBQklCQUFBTndRQkFBRUdnQUFBQUFBQUFnZ0FxKzlpQWRuU2xnQUVBaEFBRWZaWUFkblNsZ0NyNzJJQldTZWVBQ01JQVFBQUFnY0NBQUFBQUFjTkFBRUFBQUFEQUdBQThBQUFBRVlKQncwQUFRQUFBQU1BWUFEd0FBQUFSZ0FBQUFBRWdHQUNBQUFBQWdnQWVEeFBBUWFDZ0FBS0FBSUF6UUVDQkFJQUNRQXJCQUlBQUFCSUJBQUFOd1FCQUFFR2dBQUFBQUFBQWdnQXErOVRBY2JYZkFBRUFoQUFFZlpKQWNiWGZBQ3I3MU1CUml5RUFDTUlBUUFBQWdjQ0FBQUFBQWNOQUFFQUFBQURBR0FBOEFBQUFFWUpCdzBBQVFBQUFBTUFZQUR3QUFBQVJnQUFBQUFFZ0dFQ0FBQUFBZ2dBWlVFWEFTeDRwUUFLQUFJQXpnRUNCQUlBQ1FBckJBSUFBQUJJQkFBQU53UUJBQUVHZ0FBQUFBQUFBZ2dBbVBRYkFlek5vUUFFQWhBQS92b1JBZXpOb1FDWTlCc0JiQ0twQUNNSUFRQUFBZ2NDQUFBQUFBY05BQUVBQUFBREFHQUE4QUFBQUVZSkJ3MEFBUUFBQUFNQVlBRHdBQUFBUmdBQUFBQUVnR0lDQUFBQUFnZ0FaVUVYQVN4NHd3QUtBQUlBendFQ0JBSUFDUUFyQkFJQUFBQklCQUFBTndRQkFBRUdnQUFBQUFBQUFnZ0FtUFFiQWV6TnZ3QUVBaEFBL3ZvUkFlek52d0NZOUJzQmJDTEhBQ01JQVFBQUFnY0NBQUFBQUFjTkFBRUFBQUFEQUdBQThBQUFBRVlKQncwQUFRQUFBQU1BWUFEd0FBQUFSZ0FBQUFBRWdHTUNBQUFBQWdnQWpEZGFBVDl6M1FBS0FBSUEwQUVDQkFJQUNRQXJCQUlBQUFCSUJBQUFOd1FCQUFFR2dBQUFBQUFBQWdnQXYrcGVBZi9JMlFBRUFoQUFKZkZVQWYvSTJRQy82bDRCZngzaEFDTUlBUUFBQWdjQ0FBQUFBQWNOQUFFQUFBQURBR0FBOEFBQUFFWUpCdzBBQVFBQUFBTUFZQUR3QUFBQVJnQUFBQUFFZ0dRQ0FBQUFBZ2dBakRkYUFUOXp2d0FLQUFJQTBRRUNCQUlBQ1FBckJBSUFBQUJJQkFBQU53UUJBQUVHZ0FBQUFBQUFBZ2dBditwZUFmL0l1d0FFQWhBQUpmRlVBZi9JdXdDLzZsNEJmeDNEQUNNSUFRQUFBZ2NDQUFBQUFBY05BQUVBQUFBREFHQUE4QUFBQUVZSkJ3MEFBUUFBQUFNQVlBRHdBQUFBUmdBQUFBQUVnR1VDQUFBQUFnZ0FaVUVYQVZOdTJRQUtBQUlBMGdFQ0JBSUFDUUFyQkFJQUFBQklCQUFBTndRQkFBRUdnQUFBQUFBQUFnZ0FtUFFiQVJQRTFRQUVBaEFBL3ZvUkFSUEUxUUNZOUJzQmt4amRBQ01JQVFBQUFnY0NBQUFBQUFjTkFBRUFBQUFEQUdBQThBQUFBRVlKQncwQUFRQUFBQU1BWUFEd0FBQUFSZ0FBQUFBRWdHWUNBQUFBQWdnQVpVRVhBVk51OXdBS0FBSUEwd0VDQkFJQUNRQXJCQUlBQUFCSUJBQUFOd1FCQUFFR2dBQUFBQUFBQWdnQW1QUWJBUlBFOHdBRUFoQUEvdm9SQVJQRTh3Q1k5QnNCa3hqN0FDTUlBUUFBQWdjQ0FBQUFBQWNOQUFFQUFBQURBR0FBOEFBQUFFWUpCdzBBQVFBQUFBTUFZQUR3QUFBQVJnQUFBQUFFZ0djQ0FBQUFBZ2dBakRkYUFXWnBFUUVLQUFJQTFBRUNCQUlBQ1FBckJBSUFBQUJJQkFBQU53UUJBQUVHZ0FBQUFBQUFBZ2dBditwZUFTYS9EUUVFQWhBQUpmRlVBU2EvRFFHLzZsNEJwaE1WQVNNSUFRQUFBZ2NDQUFBQUFBY05BQUVBQUFBREFHQUE4QUFBQUVZSkJ3MEFBUUFBQUFNQVlBRHdBQUFBUmdBQUFBQUVnR2dDQUFBQUFnZ0FqRGRhQVdacDh3QUtBQUlBMVFFQ0JBSUFDUUFyQkFJQUFBQklCQUFBTndRQkFBRUdnQUFBQUFBQUFnZ0F2K3BlQVNhLzd3QUVBaEFBSmZGVUFTYS83d0MvNmw0QnBoUDNBQ01JQVFBQUFnY0NBQUFBQUFjTkFBRUFBQUFEQUdBQThBQUFBRVlKQncwQUFRQUFBQU1BWUFEd0FBQUFSZ0FBQUFBRWdHa0NBQUFBQWdnQVpVRVhBWGxrRFFFS0FBSUExZ0VDQkFJQUNRQXJCQUlBQUFCSUJBQUFOd1FCQUFFR2dBQUFBQUFBQWdnQW1QUWJBVG02Q1FFRUFoQUEvdm9SQVRtNkNRR1k5QnNCdVE0UkFTTUlBUUFBQWdjQ0FBQUFBQWNOQUFFQUFBQURBR0FBOEFBQUFFWUpCdzBBQVFBQUFBTUFZQUR3QUFBQVJnQUFBQUFFZ0dvQ0FBQUFBZ2dBWlVFWEFYbGtLd0VLQUFJQTF3RUNCQUlBQ1FBckJBSUFBQUJJQkFBQU53UUJBQUVHZ0FBQUFBQUFBZ2dBbVBRYkFUbTZKd0VFQWhBQS92b1JBVG02SndHWTlCc0J1UTR2QVNNSUFRQUFBZ2NDQUFBQUFBY05BQUVBQUFBREFHQUE4QUFBQUVZSkJ3MEFBUUFBQUFNQVlBRHdBQUFBUmdBQUFBQUVnR3NDQUFBQUFnZ0FqRGRhQVl4ZlJRRUtBQUlBMkFFQ0JBSUFDUUFyQkFJQUFBQklCQUFBTndRQkFBRUdnQUFBQUFBQUFnZ0F2K3BlQVV5MVFRRUVBaEFBSmZGVUFVeTFRUUcvNmw0QnpBbEpBU01JQVFBQUFnY0NBQUFBQUFjTkFBRUFBQUFEQUdBQThBQUFBRVlKQncwQUFRQUFBQU1BWUFEd0FBQUFSZ0FBQUFBRWdHd0NBQUFBQWdnQWpEZGFBWXhmSndFS0FBSUEyUUVDQkFJQUNRQXJCQUlBQUFCSUJBQUFOd1FCQUFFR2dBQUFBQUFBQWdnQXYrcGVBVXkxSXdFRUFoQUFKZkZVQVV5MUl3Ry82bDRCekFrckFTTUlBUUFBQWdjQ0FBQUFBQWNOQUFFQUFBQURBR0FBOEFBQUFFWUpCdzBBQVFBQUFBTUFZQUR3QUFBQVJnQUFBQUFFZ0cwQ0FBQUFBZ2dBWlVFWEFhQmFRUUVLQUFJQTJnRUNCQUlBQ1FBckJBSUFBQUJJQkFBQU53UUJBQUVHZ0FBQUFBQUFBZ2dBbVBRYkFXQ3dQUUVFQWhBQS92b1JBV0N3UFFHWTlCc0I0QVJGQVNNSUFRQUFBZ2NDQUFBQUFBY05BQUVBQUFBREFHQUE4QUFBQUVZSkJ3MEFBUUFBQUFNQVlBRHdBQUFBUmdBQUFBQUVnRzRDQUFBQUFnZ0FaVUVYQWFCYVh3RUtBQUlBMndFQ0JBSUFDUUFyQkFJQUFBQklCQUFBTndRQkFBRUdnQUFBQUFBQUFnZ0FtUFFiQVdDd1d3RUVBaEFBL3ZvUkFXQ3dXd0dZOUJzQjRBUmpBU01JQVFBQUFnY0NBQUFBQUFjTkFBRUFBQUFEQUdBQThBQUFBRVlKQncwQUFRQUFBQU1BWUFEd0FBQUFSZ0FBQUFBRmdHOENBQUFLQUFJQTNBRUVCZ1FBVVFJQUFBVUdCQUJTQWdBQUNnWUJBQUVBQUFXQWNBSUFBQW9BQWdEZEFRUUdCQUJTQWdBQUJRWUVBRk1DQUFBS0JnRUFBUUFBQllCeEFnQUFDZ0FDQU40QkJBWUVBRk1DQUFBRkJnUUFWQUlBQUFBR0FnQUNBQW9HQVFBQkFBQUZnSElDQUFBS0FBSUEzd0VFQmdRQVV3SUFBQVVHQkFCVkFnQUFBQVlDQUFJQUNnWUJBQUVBQUFXQWN3SUFBQW9BQWdEZ0FRUUdCQUJUQWdBQUJRWUVBRllDQUFBS0JnRUFBUUFBQllCMEFnQUFDZ0FDQU9FQkJBWUVBRllDQUFBRkJnUUFWd0lBQUFvR0FRQUJBQUFGZ0hVQ0FBQUtBQUlBNGdFRUJnUUFWd0lBQUFVR0JBQllBZ0FBQ2dZQkFBRUFBQVdBZGdJQUFBb0FBZ0RqQVFRR0JBQllBZ0FBQlFZRUFGa0NBQUFLQmdFQUFRQUFCWUIzQWdBQUNnQUNBT1FCQkFZRUFGa0NBQUFGQmdRQVdnSUFBQW9HQVFBQkFBQUZnSGdDQUFBS0FBSUE1UUVFQmdRQVdnSUFBQVVHQkFCYkFnQUFDZ1lCQUFFQUFBV0FlUUlBQUFvQUFnRG1BUVFHQkFCYkFnQUFCUVlFQUZ3Q0FBQUtCZ0VBQVFBQUJZQjZBZ0FBQ2dBQ0FPY0JCQVlFQUZ3Q0FBQUZCZ1FBWFFJQUFBb0dBUUFCQUFBRmdIc0NBQUFLQUFJQTZBRUVCZ1FBWFFJQUFBVUdCQUJlQWdBQUNnWUJBQUVBQUFXQWZBSUFBQW9BQWdEcEFRUUdCQUJkQWdBQUJRWUVBRjhDQUFBS0JnRUFBUUFBQllCOUFnQUFDZ0FDQU9vQkJBWUVBRjBDQUFBRkJnUUFZQUlBQUFvR0FRQUJBQUFGZ0g0Q0FBQUtBQUlBNndFRUJnUUFYQUlBQUFVR0JBQmhBZ0FBQ2dZQkFBRUFBQVdBZndJQUFBb0FBZ0RzQVFRR0JBQmNBZ0FBQlFZRUFHSUNBQUFLQmdFQUFRQUFCWUNBQWdBQUNnQUNBTzBCQkFZRUFGc0NBQUFGQmdRQVl3SUFBQW9HQVFBQkFBQUZnSUVDQUFBS0FBSUE3Z0VFQmdRQVd3SUFBQVVHQkFCa0FnQUFDZ1lCQUFFQUFBV0FnZ0lBQUFvQUFnRHZBUVFHQkFCYUFnQUFCUVlFQUdVQ0FBQUtCZ0VBQVFBQUJZQ0RBZ0FBQ2dBQ0FQQUJCQVlFQUZvQ0FBQUZCZ1FBWmdJQUFBb0dBUUFCQUFBRmdJUUNBQUFLQUFJQThRRUVCZ1FBV1FJQUFBVUdCQUJuQWdBQUNnWUJBQUVBQUFXQWhRSUFBQW9BQWdEeUFRUUdCQUJaQWdBQUJRWUVBR2dDQUFBS0JnRUFBUUFBQllDR0FnQUFDZ0FDQVBNQkJBWUVBRmdDQUFBRkJnUUFhUUlBQUFvR0FRQUJBQUFGZ0ljQ0FBQUtBQUlBOUFFRUJnUUFXQUlBQUFVR0JBQnFBZ0FBQ2dZQkFBRUFBQVdBaUFJQUFBb0FBZ0QxQVFRR0JBQlhBZ0FBQlFZRUFHc0NBQUFLQmdFQUFRQUFCWUNKQWdBQUNnQUNBUFlCQkFZRUFGY0NBQUFGQmdRQWJBSUFBQW9HQVFBQkFBQUZnSW9DQUFBS0FBSUE5d0VFQmdRQVZnSUFBQVVHQkFCdEFnQUFDZ1lCQUFFQUFBV0Fpd0lBQUFvQUFnRDRBUVFHQkFCV0FnQUFCUVlFQUc0Q0FBQUtCZ0VBQVFBQUFBQUFBQUFBQUFBPQ==</t>
        </r>
      </text>
    </comment>
    <comment ref="D23" authorId="0" shapeId="0" xr:uid="{98EF68E0-D343-4439-A4BE-55ED296CE042}">
      <text>
        <r>
          <rPr>
            <sz val="9"/>
            <color indexed="81"/>
            <rFont val="Tahoma"/>
            <family val="2"/>
          </rPr>
          <t>QzEwSDNGMTdOTzRTLXxQaWN0dXJlIDYwfFZtcERSREF4TURBRUF3SUJBQUFBQUFBQUFBQUFBQUNBQUFBQUFBTUFGZ0FBQUVOb1pXMUVjbUYzSURJeUxqSXVNQzR6TXpBd0NBQVRBQUFBVlc1MGFYUnNaV1FnUkc5amRXMWxiblFFQWhBQVU1QXlBUi9PcFFDcmIyMEJvSVp3QVFFSkNBQUFnRUFBQUlCQUFBSUpDQUFBd0NFQUFNQzFBZzBJQVFBQkNBY0JBQUU2QkFFQUFUc0VBUUFBUlFRQkFBRThCQUVBQUVvRUFRQUFEQVlCQUFFUEJnRUFBUTBHQVFBQVFnUUJBQUJEQkFFQUFFUUVBUUFBRGdnQ0FQSUt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Hd0JBQUFFQWhBQUFBQUFBQUFBQUFBVzhuY0JWMkZZQ2hZSUJBQUFBQ1FBR0FnRUFBQUFKQUFaQ0FBQUVBZ0NBQUVBRHdnQ0FBRUFBNEFwQVFBQUJBSVFBRk9RTWdFZnpxVUFxMjl0QWFDR2NBRUtBQUlBSndFRWdDb0JBQUFBQWdnQWg0TlJBYjFxU3dFS0FBSUFLQUUzQkFFQUFRQUFCSUFyQVFBQUFBSUlBSWNEU1FHdkkxb0JDZ0FDQUNrQk53UUJBQUVBQUFTQUxBRUFBQUFDQ0FDSEF6Z0JyeU5hQVFvQUFnQXFBUUlFQWdBSUFDc0VBZ0FBQUVnRUFBQTNCQUVBQVFhQUFBQUFBQUFDQ0FDNnRqd0I3M2hWQVFRQ0VBQlRrRElCNzNoVkFTRGRQQUZ2emw0Qkl3Z0JBQUFDQndJQUFBQUFCdzBBQVFBQUFBTUFZQUR3QUFBQVR3a0hEUUFCQUFBQUF3QmdBUEFBQUFCUEFBQUFBQVNBTFFFQUFBQUNDQUNIZzFFQm9OeG9BUW9BQWdBckFRSUVBZ0FJQUNzRUFnQUFBQ0VFQVFEL1NBUUFBRGNFQVFBQkJvQUFBQUFBQUFJSUFMbzJWZ0hnTVdRQkJBSVFBRk1RVEFIZ01XUUJJRjFXQWFDR2NBRWpDQUVBQUFJSEFnQUFBQVVIQVFBQkFBY09BQUVBQUFBREFHQUE4QUFBQUU4dENRY09BQUVBQUFBREFHQUE4QUFBQUU4dEFBQUFBQVNBTGdFQUFBQUNDQUNIQTBrQnpMRThBUW9BQWdBc0FRSUVBZ0FIQUNzRUFnQUJBRWdFQUFBM0JBRUFBUWFBQUFBQUFBQUNDQUFndlVNQmpGdzRBUVFDRUFDSHd6a0JqRnc0QWJxMlRRRU1CMEVCSXdnQkFBQUNCd0lBQUFBRkJ3RUFCQVFIQmdBQ0FBSUFCQUFBQnc0QUFRQUFBQU1BWUFEd0FBQUFUa2dKQnc0QUFRQUFBQU1BWUFEd0FBQUFUa2dBQUFBQUJJQXZBUUFBQUFJSUFJZURVUUhiK0MwQkNnQUNBQzBCQWdRQ0FCQUFLd1FDQUFBQVNBUUFBRGNFQVFBQkJvQUFBQUFBQUFJSUFMbzJWZ0ZiK0NrQkJBSVFBRk1RVEFGYitDa0JJRjFXQVZ2NU1RRWpDQUVBQUFJSEFnQUFBQUFIRFFBQkFBQUFBd0JnQVBBQUFBQlRDUWNOQUFFQUFBQURBR0FBOEFBQUFGTUFBQUFBQklBd0FRQUFBQUlJQUpiS1FnSGJlQ1VCQ2dBQ0FDNEJBZ1FDQUFnQUt3UUNBQUFBU0FRQUFEY0VBUUFCQm9BQUFBQUFBQUlJQU1sOVJ3RWJ6aUFCQkFJUUFHSlhQUUViemlBQkw2UkhBWnNqS2dFakNBRUFBQUlIQWdBQUFBQUhEUUFCQUFBQUF3QmdBUEFBQUFCUENRY05BQUVBQUFBREFHQUE4QUFBQUU4QUFBQUFCSUF4QVFBQUFBSUlBSGc4WUFIYmVEWUJDZ0FDQUM4QkFnUUNBQWdBS3dRQ0FBQUFTQVFBQURjRUFRQUJCb0FBQUFBQUFBSUlBS3Z2WkFFYnpqRUJCQUlRQUVUSldnRWJ6akVCRVJabEFac2pPd0VqQ0FFQUFBSUhBZ0FBQUFBSERRQUJBQUFBQXdCZ0FQQUFBQUJQQ1FjTkFBRUFBQUFEQUdBQThBQUFBRThBQUFBQUJJQXlBUUFBQUFJSUFJY0RXZ0hwUHg4QkNnQUNBREFCTndRQkFBRUFBQVNBTXdFQUFBQUNDQUNIZzFFQitJWVFBUW9BQWdBeEFUY0VBUUFCQUFBRWdEUUJBQUFBQWdnQWh3TmFBUWZPQVFFS0FBSUFNZ0UzQkFFQUFRQUFCSUExQVFBQUFBSUlBSWVEVVFFV0ZmTUFDZ0FDQURNQk53UUJBQUVBQUFTQU5nRUFBQUFDQ0FDSEExb0JKRnprQUFvQUFnQTBBVGNFQVFBQkFBQUVnRGNCQUFBQUFnZ0FoNE5SQVRPajFRQUtBQUlBTlFFM0JBRUFBUUFBQklBNEFRQUFBQUlJQUljRFdnRkM2c1lBQ2dBQ0FEWUJOd1FCQUFFQUFBU0FPUUVBQUFBQ0NBQ0hnMUVCVURHNEFBb0FBZ0EzQVRjRUFRQUJBQUFFZ0RvQkFBQUFBZ2dBaHdOYUFWOTRxUUFLQUFJQU9BRUNCQUlBQ1FBckJBSUFBQUJJQkFBQU53UUJBQUVHZ0FBQUFBQUFBZ2dBdXJaZUFSL09wUUFFQWhBQUlMMVVBUi9PcFFDNnRsNEJueUt0QUNNSUFRQUFBZ2NDQUFBQUFBY05BQUVBQUFBREFHQUE4QUFBQUVZSkJ3MEFBUUFBQUFNQVlBRHdBQUFBUmdBQUFBQUVnRHNCQUFBQUFnZ0FoNE5BQVZBeHVBQUtBQUlBT1FFQ0JBSUFDUUFyQkFJQUFBQklCQUFBTndRQkFBRUdnQUFBQUFBQUFnZ0F1alpGQVJDSHRBQUVBaEFBSUQwN0FSQ0h0QUM2TmtVQmtOdTdBQ01JQVFBQUFnY0NBQUFBQUFjTkFBRUFBQUFEQUdBQThBQUFBRVlKQncwQUFRQUFBQU1BWUFEd0FBQUFSZ0FBQUFBRWdEd0JBQUFBQWdnQWh3TkpBVjk0cVFBS0FBSUFPZ0VDQkFJQUNRQXJCQUlBQUFCSUJBQUFOd1FCQUFFR2dBQUFBQUFBQWdnQXVyWk5BUi9PcFFBRUFoQUFJTDFEQVIvT3BRQzZ0azBCbnlLdEFDTUlBUUFBQWdjQ0FBQUFBQWNOQUFFQUFBQURBR0FBOEFBQUFFWUpCdzBBQVFBQUFBTUFZQUR3QUFBQVJnQUFBQUFFZ0QwQkFBQUFBZ2dBZUx4b0FVSnF2Z0FLQUFJQU93RUNCQUlBQ1FBckJBSUFBQUJJQkFBQU53UUJBQUVHZ0FBQUFBQUFBZ2dBcTI5dEFRTEF1Z0FFQWhBQUVYWmpBUUxBdWdDcmIyMEJnaFRDQUNNSUFRQUFBZ2NDQUFBQUFBY05BQUVBQUFBREFHQUE4QUFBQUVZSkJ3MEFBUUFBQUFNQVlBRHdBQUFBUmdBQUFBQUVnRDRCQUFBQUFnZ0FlTHhvQVVKcXp3QUtBQUlBUEFFQ0JBSUFDUUFyQkFJQUFBQklCQUFBTndRQkFBRUdnQUFBQUFBQUFnZ0FxMjl0QVFMQXl3QUVBaEFBRVhaakFRTEF5d0NyYjIwQmdoVFRBQ01JQVFBQUFnY0NBQUFBQUFjTkFBRUFBQUFEQUdBQThBQUFBRVlKQncwQUFRQUFBQU1BWUFEd0FBQUFSZ0FBQUFBRWdEOEJBQUFBQWdnQWxzcENBVE1qM2dBS0FBSUFQUUVDQkFJQUNRQXJCQUlBQUFCSUJBQUFOd1FCQUFFR2dBQUFBQUFBQWdnQXlYMUhBZk40MmdBRUFoQUFMNFE5QWZONDJnREpmVWNCYzgzaEFDTUlBUUFBQWdjQ0FBQUFBQWNOQUFFQUFBQURBR0FBOEFBQUFFWUpCdzBBQVFBQUFBTUFZQUR3QUFBQVJnQUFBQUFFZ0VBQkFBQUFBZ2dBbHNwQ0FUTWp6UUFLQUFJQVBnRUNCQUlBQ1FBckJBSUFBQUJJQkFBQU53UUJBQUVHZ0FBQUFBQUFBZ2dBeVgxSEFmTjR5UUFFQWhBQUw0UTlBZk40eVFESmZVY0JjODNRQUNNSUFRQUFBZ2NDQUFBQUFBY05BQUVBQUFBREFHQUE4QUFBQUVZSkJ3MEFBUUFBQUFNQVlBRHdBQUFBUmdBQUFBQUVnRUVCQUFBQUFnZ0FlTHhvQVNUYzJ3QUtBQUlBUHdFQ0JBSUFDUUFyQkFJQUFBQklCQUFBTndRQkFBRUdnQUFBQUFBQUFnZ0FxMjl0QWVReDJBQUVBaEFBRVhaakFlUXgyQUNyYjIwQlpJYmZBQ01JQVFBQUFnY0NBQUFBQUFjTkFBRUFBQUFEQUdBQThBQUFBRVlKQncwQUFRQUFBQU1BWUFEd0FBQUFSZ0FBQUFBRWdFSUJBQUFBQWdnQWVMeG9BU1RjN0FBS0FBSUFRQUVDQkFJQUNRQXJCQUlBQUFCSUJBQUFOd1FCQUFFR2dBQUFBQUFBQWdnQXEyOXRBZVF4NlFBRUFoQUFFWFpqQWVReDZRQ3JiMjBCWklid0FDTUlBUUFBQWdjQ0FBQUFBQWNOQUFFQUFBQURBR0FBOEFBQUFFWUpCdzBBQVFBQUFBTUFZQUR3QUFBQVJnQUFBQUFFZ0VNQkFBQUFBZ2dBbHNwQ0FSYVYrd0FLQUFJQVFRRUNCQUlBQ1FBckJBSUFBQUJJQkFBQU53UUJBQUVHZ0FBQUFBQUFBZ2dBeVgxSEFkYnE5d0FFQWhBQUw0UTlBZGJxOXdESmZVY0JWai8vQUNNSUFRQUFBZ2NDQUFBQUFBY05BQUVBQUFBREFHQUE4QUFBQUVZSkJ3MEFBUUFBQUFNQVlBRHdBQUFBUmdBQUFBQUVnRVFCQUFBQUFnZ0Fsc3BDQVJhVjZnQUtBQUlBUWdFQ0JBSUFDUUFyQkFJQUFBQklCQUFBTndRQkFBRUdnQUFBQUFBQUFnZ0F5WDFIQWRicTVnQUVBaEFBTDRROUFkYnE1Z0RKZlVjQlZqL3VBQ01JQVFBQUFnY0NBQUFBQUFjTkFBRUFBQUFEQUdBQThBQUFBRVlKQncwQUFRQUFBQU1BWUFEd0FBQUFSZ0FBQUFBRWdFVUJBQUFBQWdnQWVMeG9BUWRPK1FBS0FBSUFRd0VDQkFJQUNRQXJCQUlBQUFCSUJBQUFOd1FCQUFFR2dBQUFBQUFBQWdnQXEyOXRBY2VqOVFBRUFoQUFFWFpqQWNlajlRQ3JiMjBCUi9qOEFDTUlBUUFBQWdjQ0FBQUFBQWNOQUFFQUFBQURBR0FBOEFBQUFFWUpCdzBBQVFBQUFBTUFZQUR3QUFBQVJnQUFBQUFFZ0VZQkFBQUFBZ2dBZUx4b0FRZE9DZ0VLQUFJQVJBRUNCQUlBQ1FBckJBSUFBQUJJQkFBQU53UUJBQUVHZ0FBQUFBQUFBZ2dBcTI5dEFjZWpCZ0VFQWhBQUVYWmpBY2VqQmdHcmIyMEJSL2dOQVNNSUFRQUFBZ2NDQUFBQUFBY05BQUVBQUFBREFHQUE4QUFBQUVZSkJ3MEFBUUFBQUFNQVlBRHdBQUFBUmdBQUFBQUVnRWNCQUFBQUFnZ0Fsc3BDQWZnR0dRRUtBQUlBUlFFQ0JBSUFDUUFyQkFJQUFBQklCQUFBTndRQkFBRUdnQUFBQUFBQUFnZ0F5WDFIQWJoY0ZRRUVBaEFBTDRROUFiaGNGUUhKZlVjQk9MRWNBU01JQVFBQUFnY0NBQUFBQUFjTkFBRUFBQUFEQUdBQThBQUFBRVlKQncwQUFRQUFBQU1BWUFEd0FBQUFSZ0FBQUFBRWdFZ0JBQUFBQWdnQWxzcENBZmdHQ0FFS0FBSUFSZ0VDQkFJQUNRQXJCQUlBQUFCSUJBQUFOd1FCQUFFR2dBQUFBQUFBQWdnQXlYMUhBYmhjQkFFRUFoQUFMNFE5QWJoY0JBSEpmVWNCT0xFTEFTTUlBUUFBQWdjQ0FBQUFBQWNOQUFFQUFBQURBR0FBOEFBQUFFWUpCdzBBQVFBQUFBTUFZQUR3QUFBQVJnQUFBQUFFZ0VrQkFBQUFBZ2dBZUx4b0FlbS9GZ0VLQUFJQVJ3RUNCQUlBQ1FBckJBSUFBQUJJQkFBQU53UUJBQUVHZ0FBQUFBQUFBZ2dBcTI5dEFha1ZFd0VFQWhBQUVYWmpBYWtWRXdHcmIyMEJLV29hQVNNSUFRQUFBZ2NDQUFBQUFBY05BQUVBQUFBREFHQUE4QUFBQUVZSkJ3MEFBUUFBQUFNQVlBRHdBQUFBUmdBQUFBQUVnRW9CQUFBQUFnZ0FlTHhvQWVtL0p3RUtBQUlBU0FFQ0JBSUFDUUFyQkFJQUFBQklCQUFBTndRQkFBRUdnQUFBQUFBQUFnZ0FxMjl0QWFrVkpBRUVBaEFBRVhaakFha1ZKQUdyYjIwQktXb3JBU01JQVFBQUFnY0NBQUFBQUFjTkFBRUFBQUFEQUdBQThBQUFBRVlKQncwQUFRQUFBQU1BWUFEd0FBQUFSZ0FBQUFBRmdFc0JBQUFLQUFJQVNRRUVCZ1FBS2dFQUFBVUdCQUFyQVFBQUNnWUJBQUVBQUFXQVRBRUFBQW9BQWdCS0FRUUdCQUFyQVFBQUJRWUVBQ3dCQUFBQUJnSUFBZ0FLQmdFQUFRQUFCWUJOQVFBQUNnQUNBRXNCQkFZRUFDc0JBQUFGQmdRQUxRRUFBQW9HQVFBQkFBQUZnRTRCQUFBS0FBSUFUQUVFQmdRQUtnRUFBQVVHQkFBdUFRQUFDZ1lCQUFFQUFBV0FUd0VBQUFvQUFnQk5BUVFHQkFBdUFRQUFCUVlFQUM4QkFBQUtCZ0VBQVFBQUJZQlFBUUFBQ2dBQ0FFNEJCQVlFQUM4QkFBQUZCZ1FBTUFFQUFBQUdBZ0FDQUFvR0FRQUJBQUFGZ0ZFQkFBQUtBQUlBVHdFRUJnUUFMd0VBQUFVR0JBQXhBUUFBQUFZQ0FBSUFDZ1lCQUFFQUFBV0FVZ0VBQUFvQUFnQlFBUVFHQkFBdkFRQUFCUVlFQURJQkFBQUtCZ0VBQVFBQUJZQlRBUUFBQ2dBQ0FGRUJCQVlFQURJQkFBQUZCZ1FBTXdFQUFBb0dBUUFCQUFBRmdGUUJBQUFLQUFJQVVnRUVCZ1FBTXdFQUFBVUdCQUEwQVFBQUNnWUJBQUVBQUFXQVZRRUFBQW9BQWdCVEFRUUdCQUEwQVFBQUJRWUVBRFVCQUFBS0JnRUFBUUFBQllCV0FRQUFDZ0FDQUZRQkJBWUVBRFVCQUFBRkJnUUFOZ0VBQUFvR0FRQUJBQUFGZ0ZjQkFBQUtBQUlBVlFFRUJnUUFOZ0VBQUFVR0JBQTNBUUFBQ2dZQkFBRUFBQVdBV0FFQUFBb0FBZ0JXQVFRR0JBQTNBUUFBQlFZRUFEZ0JBQUFLQmdFQUFRQUFCWUJaQVFBQUNnQUNBRmNCQkFZRUFEZ0JBQUFGQmdRQU9RRUFBQW9HQVFBQkFBQUZnRm9CQUFBS0FBSUFXQUVFQmdRQU9RRUFBQVVHQkFBNkFRQUFDZ1lCQUFFQUFBV0FXd0VBQUFvQUFnQlpBUVFHQkFBNUFRQUFCUVlFQURzQkFBQUtCZ0VBQVFBQUJZQmNBUUFBQ2dBQ0FGb0JCQVlFQURrQkFBQUZCZ1FBUEFFQUFBb0dBUUFCQUFBRmdGMEJBQUFLQUFJQVd3RUVCZ1FBT0FFQUFBVUdCQUE5QVFBQUNnWUJBQUVBQUFXQVhnRUFBQW9BQWdCY0FRUUdCQUE0QVFBQUJRWUVBRDRCQUFBS0JnRUFBUUFBQllCZkFRQUFDZ0FDQUYwQkJBWUVBRGNCQUFBRkJnUUFQd0VBQUFvR0FRQUJBQUFGZ0dBQkFBQUtBQUlBWGdFRUJnUUFOd0VBQUFVR0JBQkFBUUFBQ2dZQkFBRUFBQVdBWVFFQUFBb0FBZ0JmQVFRR0JBQTJBUUFBQlFZRUFFRUJBQUFLQmdFQUFRQUFCWUJpQVFBQUNnQUNBR0FCQkFZRUFEWUJBQUFGQmdRQVFnRUFBQW9HQVFBQkFBQUZnR01CQUFBS0FBSUFZUUVFQmdRQU5RRUFBQVVHQkFCREFRQUFDZ1lCQUFFQUFBV0FaQUVBQUFvQUFnQmlBUVFHQkFBMUFRQUFCUVlFQUVRQkFBQUtCZ0VBQVFBQUJZQmxBUUFBQ2dBQ0FHTUJCQVlFQURRQkFBQUZCZ1FBUlFFQUFBb0dBUUFCQUFBRmdHWUJBQUFLQUFJQVpBRUVCZ1FBTkFFQUFBVUdCQUJHQVFBQUNnWUJBQUVBQUFXQVp3RUFBQW9BQWdCbEFRUUdCQUF6QVFBQUJRWUVBRWNCQUFBS0JnRUFBUUFBQllCb0FRQUFDZ0FDQUdZQkJBWUVBRE1CQUFBRkJnUUFTQUVBQUFvR0FRQUJBQUFGZ0drQkFBQUtBQUlBWndFRUJnUUFNZ0VBQUFVR0JBQkpBUUFBQ2dZQkFBRUFBQVdBYWdFQUFBb0FBZ0JvQVFRR0JBQXlBUUFBQlFZRUFFb0JBQUFLQmdFQUFRQUFBQUFBQUFBQUFBQT0=</t>
        </r>
      </text>
    </comment>
    <comment ref="D24" authorId="0" shapeId="0" xr:uid="{7BE0E2B0-7507-40FF-8163-6FBAF12B1CA6}">
      <text>
        <r>
          <rPr>
            <sz val="9"/>
            <color indexed="81"/>
            <rFont val="Tahoma"/>
            <family val="2"/>
          </rPr>
          <t>QzExSDVGMTdOTzRTLXxQaWN0dXJlIDc2fFZtcERSREF4TURBRUF3SUJBQUFBQUFBQUFBQUFBQUNBQUFBQUFBTUFGZ0FBQUVOb1pXMUVjbUYzSURJeUxqSXVNQzR6TXpBd0NBQVRBQUFBVlc1MGFYUnNaV1FnUkc5amRXMWxiblFFQWhBQUlGMEtBVFBMWHdDYWZtb0JiTis4QVFFSkNBQUFnRUFBQUlCQUFBSUpDQUFBd0NFQUFNQzFBZzBJQVFBQkNBY0JBQUU2QkFFQUFUc0VBUUFBUlFRQkFBRThCQUVBQUVvRUFRQUFEQVlCQUFFUEJnRUFBUTBHQVFBQVFnUUJBQUJEQkFFQUFFUUVBUUFBRGdnQ0FNY1p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Oa0NBQUFFQWhBQUFBQUFBQUFBQUFDOHFxd0JoQ1hnR0JZSUJBQUFBQ1FBR0FnRUFBQUFKQUFaQ0FBQUVBZ0NBQUVBRHdnQ0FBRUFBNENUQWdBQUJBSVFBQ0JkQ2dFenkxOEFtbjVxQVd6ZnZBRUtBQUlBK1FFRWdKUUNBQUFBQWdnQVo4dGxBUXhPUWdFS0FBSUErZ0VDQkFJQUNRQXJCQUlBQUFCSUJBQUFOd1FCQUFFR2dBQUFBQUFBQWdnQW1uNXFBY3lqUGdFRUFoQUFBSVZnQWN5alBnR2FmbW9CVFBoRkFTTUlBUUFBQWdjQ0FBQUFBQWNOQUFFQUFBQURBR0FBOEFBQUFFWUpCdzBBQVFBQUFBTUFZQUR3QUFBQVJnQUFBQUFFZ0pVQ0FBQUFBZ2dBVk5CTEFReE9Nd0VLQUFJQSt3RTNCQUVBQVFBQUJJQ1dBZ0FBQUFJSUFHZkxaUUVNVGlRQkNnQUNBUHdCQWdRQ0FBa0FLd1FDQUFBQVNBUUFBRGNFQVFBQkJvQUFBQUFBQUFJSUFKcCthZ0hNb3lBQkJBSVFBQUNGWUFITW95QUJtbjVxQVV6NEp3RWpDQUVBQUFJSEFnQUFBQUFIRFFBQkFBQUFBd0JnQVBBQUFBQkdDUWNOQUFFQUFBQURBR0FBOEFBQUFFWUFBQUFBQklDWEFnQUFBQUlJQUZUUVBBSDVVaGtCQ2dBQ0FQMEJOd1FCQUFFQUFBU0FtQUlBQUFBQ0NBQkIxU0lCK1ZJS0FRb0FBZ0QrQVFJRUFnQUpBQ3NFQWdBQUFFZ0VBQUEzQkFFQUFRYUFBQUFBQUFBQ0NBQjBpQ2NCdWFnR0FRUUNFQURhamgwQnVhZ0dBWFNJSndFNS9RMEJJd2dCQUFBQ0J3SUFBQUFBQncwQUFRQUFBQU1BWUFEd0FBQUFSZ2tIRFFBQkFBQUFBd0JnQVBBQUFBQkdBQUFBQUFTQW1RSUFBQUFDQ0FCQjFTSUIrVklvQVFvQUFnRC9BUUlFQWdBSkFDc0VBZ0FBQUVnRUFBQTNCQUVBQVFhQUFBQUFBQUFDQ0FCMGlDY0J1YWdrQVFRQ0VBRGFqaDBCdWFna0FYU0lKd0U1L1NzQkl3Z0JBQUFDQndJQUFBQUFCdzBBQVFBQUFBTUFZQUR3QUFBQVJna0hEUUFCQUFBQUF3QmdBUEFBQUFCR0FBQUFBQVNBbWdJQUFBQUNDQUJVMEVzQjVsZi9BQW9BQWdBQUFqY0VBUUFCQUFBRWdKc0NBQUFBQWdnQVo4dGxBZVpYRGdFS0FBSUFBUUlDQkFJQUNRQXJCQUlBQUFCSUJBQUFOd1FCQUFFR2dBQUFBQUFBQWdnQW1uNXFBYWF0Q2dFRUFoQUFBSVZnQWFhdENnR2FmbW9CSmdJU0FTTUlBUUFBQWdjQ0FBQUFBQWNOQUFFQUFBQURBR0FBOEFBQUFFWUpCdzBBQVFBQUFBTUFZQUR3QUFBQVJnQUFBQUFFZ0p3Q0FBQUFBZ2dBWjh0bEFlWlg4QUFLQUFJQUFnSUNCQUlBQ1FBckJBSUFBQUJJQkFBQU53UUJBQUVHZ0FBQUFBQUFBZ2dBbW41cUFhYXQ3QUFFQWhBQUFJVmdBYWF0N0FDYWZtb0JKZ0wwQUNNSUFRQUFBZ2NDQUFBQUFBY05BQUVBQUFBREFHQUE4QUFBQUVZSkJ3MEFBUUFBQUFNQVlBRHdBQUFBUmdBQUFBQUVnSjBDQUFBQUFnZ0FWTkE4QWROYzVRQUtBQUlBQXdJM0JBRUFBUUFBQklDZUFnQUFBQUlJQUVIVklnSFRYTllBQ2dBQ0FBUUNBZ1FDQUFrQUt3UUNBQUFBU0FRQUFEY0VBUUFCQm9BQUFBQUFBQUlJQUhTSUp3R1RzdElBQkFJUUFOcU9IUUdUc3RJQWRJZ25BUk1IMmdBakNBRUFBQUlIQWdBQUFBQUhEUUFCQUFBQUF3QmdBUEFBQUFCR0NRY05BQUVBQUFBREFHQUE4QUFBQUVZQUFBQUFCSUNmQWdBQUFBSUlBRUhWSWdIVFhQUUFDZ0FDQUFVQ0FnUUNBQWtBS3dRQ0FBQUFTQVFBQURjRUFRQUJCb0FBQUFBQUFBSUlBSFNJSndHVHN2QUFCQUlRQU5xT0hRR1RzdkFBZElnbkFSTUgrQUFqQ0FFQUFBSUhBZ0FBQUFBSERRQUJBQUFBQXdCZ0FQQUFBQUJHQ1FjTkFBRUFBQUFEQUdBQThBQUFBRVlBQUFBQUJJQ2dBZ0FBQUFJSUFGVFFTd0cvWWNzQUNnQUNBQVlDTndRQkFBRUFBQVNBb1FJQUFBQUNDQUJueTJVQnYySGFBQW9BQWdBSEFnSUVBZ0FKQUNzRUFnQUFBRWdFQUFBM0JBRUFBUWFBQUFBQUFBQUNDQUNhZm1vQmY3ZldBQVFDRUFBQWhXQUJmN2ZXQUpwK2FnSC9DOTRBSXdnQkFBQUNCd0lBQUFBQUJ3MEFBUUFBQUFNQVlBRHdBQUFBUmdrSERRQUJBQUFBQXdCZ0FQQUFBQUJHQUFBQUFBU0FvZ0lBQUFBQ0NBQm55MlVCdjJHOEFBb0FBZ0FJQWdJRUFnQUpBQ3NFQWdBQUFFZ0VBQUEzQkFFQUFRYUFBQUFBQUFBQ0NBQ2FmbW9CZjdlNEFBUUNFQUFBaFdBQmY3ZTRBSnArYWdIL0M4QUFJd2dCQUFBQ0J3SUFBQUFBQncwQUFRQUFBQU1BWUFEd0FBQUFSZ2tIRFFBQkFBQUFBd0JnQVBBQUFBQkdBQUFBQUFTQW93SUFBQUFDQ0FCVTBEd0JyR2F4QUFvQUFnQUpBamNFQVFBQkFBQUVnS1FDQUFBQUFnZ0FRZFVpQWF4bW9nQUtBQUlBQ2dJQ0JBSUFDUUFyQkFJQUFBQklCQUFBTndRQkFBRUdnQUFBQUFBQUFnZ0FkSWduQVd5OG5nQUVBaEFBMm80ZEFXeThuZ0IwaUNjQjdCQ21BQ01JQVFBQUFnY0NBQUFBQUFjTkFBRUFBQUFEQUdBQThBQUFBRVlKQncwQUFRQUFBQU1BWUFEd0FBQUFSZ0FBQUFBRWdLVUNBQUFBQWdnQVFkVWlBYXhtd0FBS0FBSUFDd0lDQkFJQUNRQXJCQUlBQUFCSUJBQUFOd1FCQUFFR2dBQUFBQUFBQWdnQWRJZ25BV3k4dkFBRUFoQUEybzRkQVd5OHZBQjBpQ2NCN0JERUFDTUlBUUFBQWdjQ0FBQUFBQWNOQUFFQUFBQURBR0FBOEFBQUFFWUpCdzBBQVFBQUFBTUFZQUR3QUFBQVJnQUFBQUFFZ0tZQ0FBQUFBZ2dBVk5CTEFabHJsd0FLQUFJQURBSTNCQUVBQVFBQUJJQ25BZ0FBQUFJSUFHZkxaUUdaYTZZQUNnQUNBQTBDQWdRQ0FBa0FLd1FDQUFBQVNBUUFBRGNFQVFBQkJvQUFBQUFBQUFJSUFKcCthZ0Zad2FJQUJBSVFBQUNGWUFGWndhSUFtbjVxQWRrVnFnQWpDQUVBQUFJSEFnQUFBQUFIRFFBQkFBQUFBd0JnQVBBQUFBQkdDUWNOQUFFQUFBQURBR0FBOEFBQUFFWUFBQUFBQklDb0FnQUFBQUlJQUdmTFpRR1phNGdBQ2dBQ0FBNENBZ1FDQUFrQUt3UUNBQUFBU0FRQUFEY0VBUUFCQm9BQUFBQUFBQUlJQUpwK2FnRlp3WVFBQkFJUUFBQ0ZZQUZad1lRQW1uNXFBZGtWakFBakNBRUFBQUlIQWdBQUFBQUhEUUFCQUFBQUF3QmdBUEFBQUFCR0NRY05BQUVBQUFBREFHQUE4QUFBQUVZQUFBQUFCSUNwQWdBQUFBSUlBRlRRUEFHR2NIMEFDZ0FDQUE4Q053UUJBQUVBQUFTQXFnSUFBQUFDQ0FCVTBDMEJjM1ZqQUFvQUFnQVFBZ0lFQWdBSkFDc0VBZ0FBQUVnRUFBQTNCQUVBQVFhQUFBQUFBQUFDQ0FDSGd6SUJNOHRmQUFRQ0VBRHRpU2dCTTh0ZkFJZURNZ0d6SDJjQUl3Z0JBQUFDQndJQUFBQUFCdzBBQVFBQUFBTUFZQUR3QUFBQVJna0hEUUFCQUFBQUF3QmdBUEFBQUFCR0FBQUFBQVNBcXdJQUFBQUNDQUJVMEI0QmhuQjlBQW9BQWdBUkFnSUVBZ0FKQUNzRUFnQUFBRWdFQUFBM0JBRUFBUWFBQUFBQUFBQUNDQUNIZ3lNQlJzWjVBQVFDRUFEdGlSa0JSc1o1QUllREl3SEdHb0VBSXdnQkFBQUNCd0lBQUFBQUJ3MEFBUUFBQUFNQVlBRHdBQUFBUmdrSERRQUJBQUFBQXdCZ0FQQUFBQUJHQUFBQUFBU0FyQUlBQUFBQ0NBQlUwRXNCYzNWakFBb0FBZ0FTQWdJRUFnQUpBQ3NFQWdBQUFFZ0VBQUEzQkFFQUFRYUFBQUFBQUFBQ0NBQ0hnMUFCTTh0ZkFBUUNFQUR0aVVZQk04dGZBSWVEVUFHekgyY0FJd2dCQUFBQ0J3SUFBQUFBQncwQUFRQUFBQU1BWUFEd0FBQUFSZ2tIRFFBQkFBQUFBd0JnQVBBQUFBQkdBQUFBQUFTQXJRSUFBQUFDQ0FCVTBEd0JJRWxOQVFvQUFnQVRBZ0lFQWdBUUFDc0VBZ0FBQUVnRUFBQTNCQUVBQVFhQUFBQUFBQUFDQ0FDSGcwRUJvRWhKQVFRQ0VBQWdYVGNCb0VoSkFlMnBRUUdnU1ZFQkl3Z0JBQUFDQndJQUFBQUFCdzBBQVFBQUFBTUFZQUR3QUFBQVV3a0hEUUFCQUFBQUF3QmdBUEFBQUFCVEFBQUFBQVNBcmdJQUFBQUNDQUJueTFZQklFbGNBUW9BQWdBVUFnSUVBZ0FJQUNzRUFnQUFBRWdFQUFBM0JBRUFBUWFBQUFBQUFBQUNDQUNhZmxzQllKNVhBUVFDRUFBeldGRUJZSjVYQVFDbFd3SGc4MkFCSXdnQkFBQUNCd0lBQUFBQUJ3MEFBUUFBQUFNQVlBRHdBQUFBVHdrSERRQUJBQUFBQXdCZ0FQQUFBQUJQQUFBQUFBU0Fyd0lBQUFBQ0NBQkIxU0lCSUVrK0FRb0FBZ0FWQWdJRUFnQUlBQ3NFQWdBQUFFZ0VBQUEzQkFFQUFRYUFBQUFBQUFBQ0NBQjBpQ2NCWUo0NUFRUUNFQUFOWWgwQllKNDVBZHF1SndIZzgwSUJJd2dCQUFBQ0J3SUFBQUFBQncwQUFRQUFBQU1BWUFEd0FBQUFUd2tIRFFBQkFBQUFBd0JnQVBBQUFBQlBBQUFBQUFTQXNBSUFBQUFDQ0FCVTBDMEJNMFJuQVFvQUFnQVdBZ0lFQWdBSEFDc0VBZ0FBQUVnRUFBQTNCQUVBQVFhQUFBQUFBQUFDQ0FDSGd6SUI4KzVpQVFRQ0VBRHRpU2dCOCs1aUFZZURNZ0Z6bVdzQkl3Z0JBQUFDQndJQUFBQUFCdzBBQVFBQUFBTUFZQUR3QUFBQVRna0hEUUFCQUFBQUF3QmdBUEFBQUFCT0FBQUFBQVNBc1FJQUFBQUNDQUJVMEE4Qk0wUm5BUW9BQWdBWEFqY0VBUUFCQUFBRWdMSUNBQUFBQWdnQVZOQThBVVkvZ1FFS0FBSUFHQUkzQkFFQUFRQUFCSUN6QWdBQUFBSUlBRlRRTFFGWk9wc0JDZ0FDQUJrQ053UUJBQUVBQUFTQXRBSUFBQUFDQ0FCVTBEd0JiRFcxQVFvQUFnQWFBZ0lFQWdBSUFDc0VBZ0FBQUNFRUFRRC9TQVFBQURjRUFRQUJCb0FBQUFBQUFBSUlBSWVEUVFHc2lyQUJCQUlRQUNCZE53R3NpckFCN2FsQkFXemZ2QUVqQ0FFQUFBSUhBZ0FBQUFVSEFRQUJBQWNPQUFFQUFBQURBR0FBOEFBQUFFOHRDUWNPQUFFQUFBQURBR0FBOEFBQUFFOHRBQUFBQUFTQXRRSUFBQUFDQ0FCVTBBOEJXVHFiQVFvQUFnQWJBZ0lFQWdBSUFDc0VBZ0FBQUVnRUFBQTNCQUVBQVFhQUFBQUFBQUFDQ0FDSGd4UUJtWStXQVFRQ0VBQWdYUW9CbVkrV0FlMnBGQUVaNVo4Qkl3Z0JBQUFDQndJQUFBQUFCdzBBQVFBQUFBTUFZQUR3QUFBQVR3a0hEUUFCQUFBQUF3QmdBUEFBQUFCUEFBQUFBQVdBdGdJQUFBb0FBZ0FjQWdRR0JBQ1VBZ0FBQlFZRUFKVUNBQUFLQmdFQUFRQUFCWUMzQWdBQUNnQUNBQjBDQkFZRUFKVUNBQUFGQmdRQWxnSUFBQW9HQVFBQkFBQUZnTGdDQUFBS0FBSUFIZ0lFQmdRQWxRSUFBQVVHQkFDWEFnQUFDZ1lCQUFFQUFBV0F1UUlBQUFvQUFnQWZBZ1FHQkFDWEFnQUFCUVlFQUpnQ0FBQUtCZ0VBQVFBQUJZQzZBZ0FBQ2dBQ0FDQUNCQVlFQUpjQ0FBQUZCZ1FBbVFJQUFBb0dBUUFCQUFBRmdMc0NBQUFLQUFJQUlRSUVCZ1FBbHdJQUFBVUdCQUNhQWdBQUNnWUJBQUVBQUFXQXZBSUFBQW9BQWdBaUFnUUdCQUNhQWdBQUJRWUVBSnNDQUFBS0JnRUFBUUFBQllDOUFnQUFDZ0FDQUNNQ0JBWUVBSm9DQUFBRkJnUUFuQUlBQUFvR0FRQUJBQUFGZ0w0Q0FBQUtBQUlBSkFJRUJnUUFtZ0lBQUFVR0JBQ2RBZ0FBQ2dZQkFBRUFBQVdBdndJQUFBb0FBZ0FsQWdRR0JBQ2RBZ0FBQlFZRUFKNENBQUFLQmdFQUFRQUFCWURBQWdBQUNnQUNBQ1lDQkFZRUFKMENBQUFGQmdRQW53SUFBQW9HQVFBQkFBQUZnTUVDQUFBS0FBSUFKd0lFQmdRQW5RSUFBQVVHQkFDZ0FnQUFDZ1lCQUFFQUFBV0F3Z0lBQUFvQUFnQW9BZ1FHQkFDZ0FnQUFCUVlFQUtFQ0FBQUtCZ0VBQVFBQUJZRERBZ0FBQ2dBQ0FDa0NCQVlFQUtBQ0FBQUZCZ1FBb2dJQUFBb0dBUUFCQUFBRmdNUUNBQUFLQUFJQUtnSUVCZ1FBb0FJQUFBVUdCQUNqQWdBQUNnWUJBQUVBQUFXQXhRSUFBQW9BQWdBckFnUUdCQUNqQWdBQUJRWUVBS1FDQUFBS0JnRUFBUUFBQllER0FnQUFDZ0FDQUN3Q0JBWUVBS01DQUFBRkJnUUFwUUlBQUFvR0FRQUJBQUFGZ01jQ0FBQUtBQUlBTFFJRUJnUUFvd0lBQUFVR0JBQ21BZ0FBQ2dZQkFBRUFBQVdBeUFJQUFBb0FBZ0F1QWdRR0JBQ21BZ0FBQlFZRUFLY0NBQUFLQmdFQUFRQUFCWURKQWdBQUNnQUNBQzhDQkFZRUFLWUNBQUFGQmdRQXFBSUFBQW9HQVFBQkFBQUZnTW9DQUFBS0FBSUFNQUlFQmdRQXBnSUFBQVVHQkFDcEFnQUFDZ1lCQUFFQUFBV0F5d0lBQUFvQUFnQXhBZ1FHQkFDcEFnQUFCUVlFQUtvQ0FBQUtCZ0VBQVFBQUJZRE1BZ0FBQ2dBQ0FESUNCQVlFQUtrQ0FBQUZCZ1FBcXdJQUFBb0dBUUFCQUFBRmdNMENBQUFLQUFJQU13SUVCZ1FBcVFJQUFBVUdCQUNzQWdBQUNnWUJBQUVBQUFXQXpnSUFBQW9BQWdBMEFnUUdCQUNWQWdBQUJRWUVBSzBDQUFBS0JnRUFBUUFBQllEUEFnQUFDZ0FDQURVQ0JBWUVBSzBDQUFBRkJnUUFyZ0lBQUFBR0FnQUNBQW9HQVFBQkFBQUZnTkFDQUFBS0FBSUFOZ0lFQmdRQXJRSUFBQVVHQkFDdkFnQUFBQVlDQUFJQUNnWUJBQUVBQUFXQTBRSUFBQW9BQWdBM0FnUUdCQUN0QWdBQUJRWUVBTEFDQUFBS0JnRUFBUUFBQllEU0FnQUFDZ0FDQURnQ0JBWUVBTEFDQUFBRkJnUUFzUUlBQUFvR0FRQUJBQUFGZ05NQ0FBQUtBQUlBT1FJRUJnUUFzQUlBQUFVR0JBQ3lBZ0FBQ2dZQkFBRUFBQVdBMUFJQUFBb0FBZ0E2QWdRR0JBQ3lBZ0FBQlFZRUFMTUNBQUFLQmdFQUFRQUFCWURWQWdBQUNnQUNBRHNDQkFZRUFMTUNBQUFGQmdRQXRBSUFBQW9HQVFBQkFBQUZnTllDQUFBS0FBSUFQQUlFQmdRQXN3SUFBQVVHQkFDMUFnQUFBQVlDQUFJQUNnWUJBQUVBQUFBQUFBQUFBQUFB</t>
        </r>
      </text>
    </comment>
    <comment ref="D25" authorId="0" shapeId="0" xr:uid="{BC3D89B7-B745-47B6-9D1B-C716FAADEDD5}">
      <text>
        <r>
          <rPr>
            <sz val="9"/>
            <color indexed="81"/>
            <rFont val="Tahoma"/>
            <family val="2"/>
          </rPr>
          <t>QzEySDdGMTdOTzRTLXxQaWN0dXJlIDc4fFZtcERSREF4TURBRUF3SUJBQUFBQUFBQUFBQUFBQUNBQUFBQUFBTUFGZ0FBQUVOb1pXMUVjbUYzSURJeUxqSXVNQzR6TXpBd0NBQVRBQUFBVlc1MGFYUnNaV1FnUkc5amRXMWxiblFFQWhBQVR0UWxBYitqcUFDV0UyUUJRRnh6QVFFSkNBQUFnRUFBQUlCQUFBSUpDQUFBd0NFQUFNQzFBZzBJQVFBQkNBY0JBQUU2QkFFQUFUc0VBUUFBUlFRQkFBRThCQUVBQUVvRUFRQUFEQVlCQUFFUEJnRUFBUTBHQVFBQVFnUUJBQUJEQkFFQUFFUUVBUUFBRGdnQ0FHNFF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Qc0NBQUFFQWhBQUFBQUFBQUFBQUFDYlFKQUIwd2dNRUJZSUJBQUFBQ1FBR0FnRUFBQUFKQUFaQ0FBQUVBZ0NBQUVBRHdnQ0FBRUFBNEN6QWdBQUJBSVFBRTdVSlFHL282Z0FsaE5rQVVCY2N3RUtBQUlBQ0FJRWdMUUNBQUFBQWdnQWNpY21BVjFBVGdFS0FBSUFDUUkzQkFFQUFRQUFCSUMxQWdBQUFBSUlBSEtuTGdGc2h6OEJDZ0FDQUFvQ053UUJBQUVBQUFTQXRnSUFBQUFDQ0FCeXB6OEJiSWMvQVFvQUFnQUxBZ0lFQWdBSEFDc0VBZ0FBQUVnRUFBQTNCQUVBQVFhQUFBQUFBQUFDQ0FDbFdrUUJMREk3QVFRQ0VBQUxZVG9CTERJN0FhVmFSQUdzM0VNQkl3Z0JBQUFDQndJQUFBQUFCdzBBQVFBQUFBTUFZQUR3QUFBQVRna0hEUUFCQUFBQUF3QmdBUEFBQUFCT0FBQUFBQVNBdHdJQUFBQUNDQUJ5SjBnQlhVQk9BUW9BQWdBTUFqY0VBUUFCQUFBRWdMZ0NBQUFBQWdnQWNxYy9BVTc1WEFFS0FBSUFEUUkzQkFFQUFRQUFCSUM1QWdBQUFBSUlBSEtuTGdGTytWd0JDZ0FDQUE0Q0FnUUNBQWdBS3dRQ0FBQUFTQVFBQURjRUFRQUJCb0FBQUFBQUFBSUlBS1ZhTXdHT1RsZ0JCQUlRQUQ0MEtRR09UbGdCQzRFekFRNmtZUUVqQ0FFQUFBSUhBZ0FBQUFBSERRQUJBQUFBQXdCZ0FQQUFBQUJQQ1FjTkFBRUFBQUFEQUdBQThBQUFBRThBQUFBQUJJQzZBZ0FBQUFJSUFISW5TQUZBc21zQkNnQUNBQThDQWdRQ0FBZ0FLd1FDQUFBQUlRUUJBUDlJQkFBQU53UUJBQUVHZ0FBQUFBQUFBZ2dBcGRwTUFZQUhad0VFQWhBQVByUkNBWUFIWndFTEFVMEJRRnh6QVNNSUFRQUFBZ2NDQUFBQUJRY0JBQUVBQnc0QUFRQUFBQU1BWUFEd0FBQUFUeTBKQnc0QUFRQUFBQU1BWUFEd0FBQUFUeTBBQUFBQUJJQzdBZ0FBQUFJSUFISW5TQUY3empBQkNnQUNBQkFDQWdRQ0FCQUFLd1FDQUFBQVNBUUFBRGNFQVFBQkJvQUFBQUFBQUFJSUFLWGFUQUg3elN3QkJBSVFBRDYwUWdIN3pTd0JDd0ZOQWZ2T05BRWpDQUVBQUFJSEFnQUFBQUFIRFFBQkFBQUFBd0JnQVBBQUFBQlRDUWNOQUFFQUFBQURBR0FBOEFBQUFGTUFBQUFBQklDOEFnQUFBQUlJQUlCdU9RRjdUaWdCQ2dBQ0FCRUNBZ1FDQUFnQUt3UUNBQUFBU0FRQUFEY0VBUUFCQm9BQUFBQUFBQUlJQUxNaFBnRzdveU1CQkFJUUFFejdNd0c3b3lNQkdVZytBVHY1TEFFakNBRUFBQUlIQWdBQUFBQUhEUUFCQUFBQUF3QmdBUEFBQUFCUENRY05BQUVBQUFBREFHQUE4QUFBQUU4QUFBQUFCSUM5QWdBQUFBSUlBR1BnVmdGN1Rqa0JDZ0FDQUJJQ0FnUUNBQWdBS3dRQ0FBQUFTQVFBQURjRUFRQUJCb0FBQUFBQUFBSUlBSmFUV3dHN296UUJCQUlRQUM5dFVRRzdvelFCL0xsYkFUdjVQUUVqQ0FFQUFBSUhBZ0FBQUFBSERRQUJBQUFBQXdCZ0FQQUFBQUJQQ1FjTkFBRUFBQUFEQUdBQThBQUFBRThBQUFBQUJJQytBZ0FBQUFJSUFIS25VQUdKRlNJQkNnQUNBQk1DTndRQkFBRUFBQVNBdndJQUFBQUNDQUJ5SjBnQm1Gd1RBUW9BQWdBVUFqY0VBUUFCQUFBRWdNQUNBQUFBQWdnQWNxZFFBYWVqQkFFS0FBSUFGUUkzQkFFQUFRQUFCSURCQWdBQUFBSUlBSEluU0FHMjZ2VUFDZ0FDQUJZQ053UUJBQUVBQUFTQXdnSUFBQUFDQ0FCeXAxQUJ4REhuQUFvQUFnQVhBamNFQVFBQkFBQUVnTU1DQUFBQUFnZ0FjaWRJQWRONDJBQUtBQUlBR0FJM0JBRUFBUUFBQklERUFnQUFBQUlJQUhLblVBSGl2OGtBQ2dBQ0FCa0NOd1FCQUFFQUFBU0F4UUlBQUFBQ0NBQnlKMGdCOFFhN0FBb0FBZ0FhQWpjRUFRQUJBQUFFZ01ZQ0FBQUFBZ2dBY2ljM0FmRUd1d0FLQUFJQUd3SUNCQUlBQ1FBckJBSUFBQUJJQkFBQU53UUJBQUVHZ0FBQUFBQUFBZ2dBcGRvN0FiRmN0d0FFQWhBQUMrRXhBYkZjdHdDbDJqc0JNYkcrQUNNSUFRQUFBZ2NDQUFBQUFBY05BQUVBQUFBREFHQUE4QUFBQUVZSkJ3MEFBUUFBQUFNQVlBRHdBQUFBUmdBQUFBQUVnTWNDQUFBQUFnZ0FjcWMvQWY5TnJBQUtBQUlBSEFJQ0JBSUFDUUFyQkFJQUFBQklCQUFBTndRQkFBRUdnQUFBQUFBQUFnZ0FwVnBFQWIranFBQUVBaEFBQzJFNkFiK2pxQUNsV2tRQlAvaXZBQ01JQVFBQUFnY0NBQUFBQUFjTkFBRUFBQUFEQUdBQThBQUFBRVlKQncwQUFRQUFBQU1BWUFEd0FBQUFSZ0FBQUFBRWdNZ0NBQUFBQWdnQWNxZFFBZjlOckFBS0FBSUFIUUlDQkFJQUNRQXJCQUlBQUFCSUJBQUFOd1FCQUFFR2dBQUFBQUFBQWdnQXBWcFZBYitqcUFBRUFoQUFDMkZMQWIranFBQ2xXbFVCUC9pdkFDTUlBUUFBQWdjQ0FBQUFBQWNOQUFFQUFBQURBR0FBOEFBQUFFWUpCdzBBQVFBQUFBTUFZQUR3QUFBQVJnQUFBQUFFZ01rQ0FBQUFBZ2dBWTJCZkFlSS93UUFLQUFJQUhnSUNCQUlBQ1FBckJBSUFBQUJJQkFBQU53UUJBQUVHZ0FBQUFBQUFBZ2dBbGhOa0FhS1Z2UUFFQWhBQS9CbGFBYUtWdlFDV0UyUUJJdXJFQUNNSUFRQUFBZ2NDQUFBQUFBY05BQUVBQUFBREFHQUE4QUFBQUVZSkJ3MEFBUUFBQUFNQVlBRHdBQUFBUmdBQUFBQUVnTW9DQUFBQUFnZ0FZMkJmQWVJLzBnQUtBQUlBSHdJQ0JBSUFDUUFyQkFJQUFBQklCQUFBTndRQkFBRUdnQUFBQUFBQUFnZ0FsaE5rQWFLVnpnQUVBaEFBL0JsYUFhS1Z6Z0NXRTJRQkl1clZBQ01JQVFBQUFnY0NBQUFBQUFjTkFBRUFBQUFEQUdBQThBQUFBRVlKQncwQUFRQUFBQU1BWUFEd0FBQUFSZ0FBQUFBRWdNc0NBQUFBQWdnQWdHNDVBZFA0NEFBS0FBSUFJQUlDQkFJQUNRQXJCQUlBQUFCSUJBQUFOd1FCQUFFR2dBQUFBQUFBQWdnQXN5RStBWk5PM1FBRUFoQUFHU2cwQVpOTzNRQ3pJVDRCRTZQa0FDTUlBUUFBQWdjQ0FBQUFBQWNOQUFFQUFBQURBR0FBOEFBQUFFWUpCdzBBQVFBQUFBTUFZQUR3QUFBQVJnQUFBQUFFZ013Q0FBQUFBZ2dBZ0c0NUFkUDR6d0FLQUFJQUlRSUNCQUlBQ1FBckJBSUFBQUJJQkFBQU53UUJBQUVHZ0FBQUFBQUFBZ2dBc3lFK0FaTk96QUFFQWhBQUdTZzBBWk5PekFDeklUNEJFNlBUQUNNSUFRQUFBZ2NDQUFBQUFBY05BQUVBQUFBREFHQUE4QUFBQUVZSkJ3MEFBUUFBQUFNQVlBRHdBQUFBUmdBQUFBQUVnTTBDQUFBQUFnZ0FZMkJmQWNTeDNnQUtBQUlBSWdJQ0JBSUFDUUFyQkFJQUFBQklCQUFBTndRQkFBRUdnQUFBQUFBQUFnZ0FsaE5rQVlRSDJ3QUVBaEFBL0JsYUFZUUgyd0NXRTJRQkJGemlBQ01JQVFBQUFnY0NBQUFBQUFjTkFBRUFBQUFEQUdBQThBQUFBRVlKQncwQUFRQUFBQU1BWUFEd0FBQUFSZ0FBQUFBRWdNNENBQUFBQWdnQVkyQmZBY1N4N3dBS0FBSUFJd0lDQkFJQUNRQXJCQUlBQUFCSUJBQUFOd1FCQUFFR2dBQUFBQUFBQWdnQWxoTmtBWVFIN0FBRUFoQUEvQmxhQVlRSDdBQ1dFMlFCQkZ6ekFDTUlBUUFBQWdjQ0FBQUFBQWNOQUFFQUFBQURBR0FBOEFBQUFFWUpCdzBBQVFBQUFBTUFZQUR3QUFBQVJnQUFBQUFFZ004Q0FBQUFBZ2dBZ0c0NUFiWnEvZ0FLQUFJQUpBSUNCQUlBQ1FBckJBSUFBQUJJQkFBQU53UUJBQUVHZ0FBQUFBQUFBZ2dBc3lFK0FYYkErZ0FFQWhBQUdTZzBBWGJBK2dDeklUNEI5aFFDQVNNSUFRQUFBZ2NDQUFBQUFBY05BQUVBQUFBREFHQUE4QUFBQUVZSkJ3MEFBUUFBQUFNQVlBRHdBQUFBUmdBQUFBQUVnTkFDQUFBQUFnZ0FnRzQ1QWJacTdRQUtBQUlBSlFJQ0JBSUFDUUFyQkFJQUFBQklCQUFBTndRQkFBRUdnQUFBQUFBQUFnZ0FzeUUrQVhiQTZRQUVBaEFBR1NnMEFYYkE2UUN6SVQ0QjloVHhBQ01JQVFBQUFnY0NBQUFBQUFjTkFBRUFBQUFEQUdBQThBQUFBRVlKQncwQUFRQUFBQU1BWUFEd0FBQUFSZ0FBQUFBRWdORUNBQUFBQWdnQVkyQmZBYWNqL0FBS0FBSUFKZ0lDQkFJQUNRQXJCQUlBQUFCSUJBQUFOd1FCQUFFR2dBQUFBQUFBQWdnQWxoTmtBV2Q1K0FBRUFoQUEvQmxhQVdkNStBQ1dFMlFCNTgzL0FDTUlBUUFBQWdjQ0FBQUFBQWNOQUFFQUFBQURBR0FBOEFBQUFFWUpCdzBBQVFBQUFBTUFZQUR3QUFBQVJnQUFBQUFFZ05JQ0FBQUFBZ2dBWTJCZkFhY2pEUUVLQUFJQUp3SUNCQUlBQ1FBckJBSUFBQUJJQkFBQU53UUJBQUVHZ0FBQUFBQUFBZ2dBbGhOa0FXZDVDUUVFQWhBQS9CbGFBV2Q1Q1FHV0UyUUI1ODBRQVNNSUFRQUFBZ2NDQUFBQUFBY05BQUVBQUFBREFHQUE4QUFBQUVZSkJ3MEFBUUFBQUFNQVlBRHdBQUFBUmdBQUFBQUVnTk1DQUFBQUFnZ0FnRzQ1QVpqY0d3RUtBQUlBS0FJQ0JBSUFDUUFyQkFJQUFBQklCQUFBTndRQkFBRUdnQUFBQUFBQUFnZ0FzeUUrQVZneUdBRUVBaEFBR1NnMEFWZ3lHQUd6SVQ0QjJJWWZBU01JQVFBQUFnY0NBQUFBQUFjTkFBRUFBQUFEQUdBQThBQUFBRVlKQncwQUFRQUFBQU1BWUFEd0FBQUFSZ0FBQUFBRWdOUUNBQUFBQWdnQWdHNDVBWmpjQ2dFS0FBSUFLUUlDQkFJQUNRQXJCQUlBQUFCSUJBQUFOd1FCQUFFR2dBQUFBQUFBQWdnQXN5RStBVmd5QndFRUFoQUFHU2cwQVZneUJ3R3pJVDRCMklZT0FTTUlBUUFBQWdjQ0FBQUFBQWNOQUFFQUFBQURBR0FBOEFBQUFFWUpCdzBBQVFBQUFBTUFZQUR3QUFBQVJnQUFBQUFFZ05VQ0FBQUFBZ2dBWTJCZkFZbVZHUUVLQUFJQUtnSUNCQUlBQ1FBckJBSUFBQUJJQkFBQU53UUJBQUVHZ0FBQUFBQUFBZ2dBbGhOa0FVbnJGUUVFQWhBQS9CbGFBVW5yRlFHV0UyUUJ5VDhkQVNNSUFRQUFBZ2NDQUFBQUFBY05BQUVBQUFBREFHQUE4QUFBQUVZSkJ3MEFBUUFBQUFNQVlBRHdBQUFBUmdBQUFBQUVnTllDQUFBQUFnZ0FZMkJmQVltVktnRUtBQUlBS3dJQ0JBSUFDUUFyQkFJQUFBQklCQUFBTndRQkFBRUdnQUFBQUFBQUFnZ0FsaE5rQVVuckpnRUVBaEFBL0JsYUFVbnJKZ0dXRTJRQnlUOHVBU01JQVFBQUFnY0NBQUFBQUFjTkFBRUFBQUFEQUdBQThBQUFBRVlKQncwQUFRQUFBQU1BWUFEd0FBQUFSZ0FBQUFBRmdOY0NBQUFLQUFJQUxBSUVCZ1FBdEFJQUFBVUdCQUMxQWdBQUNnWUJBQUVBQUFXQTJBSUFBQW9BQWdBdEFnUUdCQUMxQWdBQUJRWUVBTFlDQUFBS0JnRUFBUUFBQllEWkFnQUFDZ0FDQUM0Q0JBWUVBTFlDQUFBRkJnUUF0d0lBQUFvR0FRQUJBQUFGZ05vQ0FBQUtBQUlBTHdJRUJnUUF0d0lBQUFVR0JBQzRBZ0FBQ2dZQkFBRUFBQVdBMndJQUFBb0FBZ0F3QWdRR0JBQzRBZ0FBQlFZRUFMa0NBQUFBQmdJQUFnQUtCZ0VBQVFBQUJZRGNBZ0FBQ2dBQ0FERUNCQVlFQUxnQ0FBQUZCZ1FBdWdJQUFBb0dBUUFCQUFBRmdOMENBQUFLQUFJQU1nSUVCZ1FBdGdJQUFBVUdCQUM3QWdBQUNnWUJBQUVBQUFXQTNnSUFBQW9BQWdBekFnUUdCQUM3QWdBQUJRWUVBTHdDQUFBQUJnSUFBZ0FLQmdFQUFRQUFCWURmQWdBQUNnQUNBRFFDQkFZRUFMc0NBQUFGQmdRQXZRSUFBQUFHQWdBQ0FBb0dBUUFCQUFBRmdPQUNBQUFLQUFJQU5RSUVCZ1FBdXdJQUFBVUdCQUMrQWdBQUNnWUJBQUVBQUFXQTRRSUFBQW9BQWdBMkFnUUdCQUMrQWdBQUJRWUVBTDhDQUFBS0JnRUFBUUFBQllEaUFnQUFDZ0FDQURjQ0JBWUVBTDhDQUFBRkJnUUF3QUlBQUFvR0FRQUJBQUFGZ09NQ0FBQUtBQUlBT0FJRUJnUUF3QUlBQUFVR0JBREJBZ0FBQ2dZQkFBRUFBQVdBNUFJQUFBb0FBZ0E1QWdRR0JBREJBZ0FBQlFZRUFNSUNBQUFLQmdFQUFRQUFCWURsQWdBQUNnQUNBRG9DQkFZRUFNSUNBQUFGQmdRQXd3SUFBQW9HQVFBQkFBQUZnT1lDQUFBS0FBSUFPd0lFQmdRQXd3SUFBQVVHQkFERUFnQUFDZ1lCQUFFQUFBV0E1d0lBQUFvQUFnQThBZ1FHQkFERUFnQUFCUVlFQU1VQ0FBQUtCZ0VBQVFBQUJZRG9BZ0FBQ2dBQ0FEMENCQVlFQU1VQ0FBQUZCZ1FBeGdJQUFBb0dBUUFCQUFBRmdPa0NBQUFLQUFJQVBnSUVCZ1FBeFFJQUFBVUdCQURIQWdBQUNnWUJBQUVBQUFXQTZnSUFBQW9BQWdBL0FnUUdCQURGQWdBQUJRWUVBTWdDQUFBS0JnRUFBUUFBQllEckFnQUFDZ0FDQUVBQ0JBWUVBTVFDQUFBRkJnUUF5UUlBQUFvR0FRQUJBQUFGZ093Q0FBQUtBQUlBUVFJRUJnUUF4QUlBQUFVR0JBREtBZ0FBQ2dZQkFBRUFBQVdBN1FJQUFBb0FBZ0JDQWdRR0JBRERBZ0FBQlFZRUFNc0NBQUFLQmdFQUFRQUFCWUR1QWdBQUNnQUNBRU1DQkFZRUFNTUNBQUFGQmdRQXpBSUFBQW9HQVFBQkFBQUZnTzhDQUFBS0FBSUFSQUlFQmdRQXdnSUFBQVVHQkFETkFnQUFDZ1lCQUFFQUFBV0E4QUlBQUFvQUFnQkZBZ1FHQkFEQ0FnQUFCUVlFQU00Q0FBQUtCZ0VBQVFBQUJZRHhBZ0FBQ2dBQ0FFWUNCQVlFQU1FQ0FBQUZCZ1FBendJQUFBb0dBUUFCQUFBRmdQSUNBQUFLQUFJQVJ3SUVCZ1FBd1FJQUFBVUdCQURRQWdBQUNnWUJBQUVBQUFXQTh3SUFBQW9BQWdCSUFnUUdCQURBQWdBQUJRWUVBTkVDQUFBS0JnRUFBUUFBQllEMEFnQUFDZ0FDQUVrQ0JBWUVBTUFDQUFBRkJnUUEwZ0lBQUFvR0FRQUJBQUFGZ1BVQ0FBQUtBQUlBU2dJRUJnUUF2d0lBQUFVR0JBRFRBZ0FBQ2dZQkFBRUFBQVdBOWdJQUFBb0FBZ0JMQWdRR0JBQy9BZ0FBQlFZRUFOUUNBQUFLQmdFQUFRQUFCWUQzQWdBQUNnQUNBRXdDQkFZRUFMNENBQUFGQmdRQTFRSUFBQW9HQVFBQkFBQUZnUGdDQUFBS0FBSUFUUUlFQmdRQXZnSUFBQVVHQkFEV0FnQUFDZ1lCQUFFQUFBQUFBQUFBQUFBQQ==</t>
        </r>
      </text>
    </comment>
    <comment ref="D26" authorId="0" shapeId="0" xr:uid="{99FA837C-057D-4E06-9F44-E4F696C89C4C}">
      <text>
        <r>
          <rPr>
            <b/>
            <sz val="9"/>
            <color indexed="81"/>
            <rFont val="Tahoma"/>
            <family val="2"/>
          </rPr>
          <t>QzEySDdGMTdOTzRTLXxQaWN0dXJlIDIxfFZtcERSREF4TURBRUF3SUJBQUFBQUFBQUFBQUFBQUNBQUFBQUFBTUFGZ0FBQUVOb1pXMUVjbUYzSURJeUxqSXVNQzR6TXpBd0NBQVRBQUFBVlc1MGFYUnNaV1FnUkc5amRXMWxiblFFQWhBQXBib3VBYjVqcEFDV0UyUUJ4SjE5QVFFSkNBQUFnRUFBQUlEZ0JRSUpDQUFBd0NFQUFNQzFBZzBJQVFBQkNBY0JBQUU2QkFFQUFUc0VBUUFBUlFRQkFBRThCQUVBQUVvRUFRQUFEQVlCQUFFUEJnRUFBUTBHQVFBQVFnUUJBQUJEQkFFQUFFUUVBUUFBRGdnQ0FGTVJ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DTUtBQUFFQWhBQUFBQUFBQUFBQUFEY201OEJIUXIxRUJZSUJBQUFBQ1FBR0FnRUFBQUFKQUFaQ0FBQUVBZ0NBQU1BRHdnQ0FBRUFBNERiQ1FBQUJBSVFBS1c2TGdHK1k2UUFsaE5rQWNTZGZRRUtBQUlBTmdrRWdOd0pBQUFBQWdnQXBib3VBVlk4T3dFS0FBSUFOd2szQkFFQUFRQUFCSURkQ1FBQUFBSUlBTml0UHdGV1BEc0JDZ0FDQURnSkFnUUNBQWNBS3dRQ0FBQUFTQVFBQURjRUFRQUJCb0FBQUFBQUFBSUlBQXRoUkFFVzV6WUJCQUlRQUhGbk9nRVc1ellCQzJGRUFaYVJQd0VqQ0FFQUFBSUhBZ0FBQUFBSERRQUJBQUFBQXdCZ0FQQUFBQUJPQ1FjTkFBRUFBQUFEQUdBQThBQUFBRTRBQUFBQUJJRGVDUUFBQUFJSUFISW5TQUV4NmtrQkNnQUNBRGtKTndRQkFBRUFBQVNBM3drQUFBQUNDQURZclQ4QkRaaFlBUW9BQWdBNkNUY0VBUUFCQUFBRWdPQUpBQUFBQWdnQWNpZElBWHFPTEFFS0FBSUFPd2tDQkFJQUVBQXJCQUlBQUFCSUJBQUFOd1FCQUFFR2dBQUFBQUFBQWdnQXBkcE1BZnFOS0FFRUFoQUFQclJDQWZxTktBRUxBVTBCK280d0FTTUlBUUFBQWdjQ0FBQUFBQWNOQUFFQUFBQURBR0FBOEFBQUFGTUpCdzBBQVFBQUFBTUFZQUR3QUFBQVV3QUFBQUFFZ09FSkFBQUFBZ2dBWStCV0FYc09OUUVLQUFJQVBBa0NCQUlBQ0FBckJBSUFBQUJJQkFBQU53UUJBQUVHZ0FBQUFBQUFBZ2dBbHBOYkFidGpNQUVFQWhBQUwyMVJBYnRqTUFIOHVWc0JPN2s1QVNNSUFRQUFBZ2NDQUFBQUFBY05BQUVBQUFBREFHQUE4QUFBQUU4SkJ3MEFBUUFBQUFNQVlBRHdBQUFBVHdBQUFBQUVnT0lKQUFBQUFnZ0Fsbms1QWVFVUpBRUtBQUlBUFFrQ0JBSUFDQUFyQkFJQUFBQklCQUFBTndRQkFBRUdnQUFBQUFBQUFnZ0F5U3crQVNGcUh3RUVBaEFBWWdZMEFTRnFId0V2VXo0Qm9iOG9BU01JQVFBQUFnY0NBQUFBQUFjTkFBRUFBQUFEQUdBQThBQUFBRThKQncwQUFRQUFBQU1BWUFEd0FBQUFUd0FBQUFBRWdPTUpBQUFBQWdnQWNxZFFBWWpWSFFFS0FBSUFQZ2szQkFFQUFRQUFCSURrQ1FBQUFBSUlBSEluU0FHWEhBOEJDZ0FDQUQ4Sk53UUJBQUVBQUFTQTVRa0FBQUFDQ0FCeXAxQUJwbU1BQVFvQUFnQkFDVGNFQVFBQkFBQUVnT1lKQUFBQUFnZ0FjaWRJQWJXcThRQUtBQUlBUVFrM0JBRUFBUUFBQklEbkNRQUFBQUlJQUhLblVBSEQ4ZUlBQ2dBQ0FFSUpOd1FCQUFFQUFBU0E2QWtBQUFBQ0NBQnlKMGdCMGpqVUFBb0FBZ0JEQ1RjRUFRQUJBQUFFZ09rSkFBQUFBZ2dBY3FkUUFlRi94UUFLQUFJQVJBazNCQUVBQVFBQUJJRHFDUUFBQUFJSUFISW5TQUh3eHJZQUNnQUNBRVVKTndRQkFBRUFBQVNBNndrQUFBQUNDQUJ5SnpjQjhNYTJBQW9BQWdCR0NRSUVBZ0FKQUNzRUFnQUFBRWdFQUFBM0JBRUFBUWFBQUFBQUFBQUNDQUNsMmpzQnNCeXpBQVFDRUFBTDRURUJzQnl6QUtYYU93RXdjYm9BSXdnQkFBQUNCd0lBQUFBQUJ3MEFBUUFBQUFNQVlBRHdBQUFBUmdrSERRQUJBQUFBQXdCZ0FQQUFBQUJHQUFBQUFBU0E3QWtBQUFBQ0NBQnlwejhCL2cyb0FBb0FBZ0JIQ1FJRUFnQUpBQ3NFQWdBQUFFZ0VBQUEzQkFFQUFRYUFBQUFBQUFBQ0NBQ2xXa1FCdm1Pa0FBUUNFQUFMWVRvQnZtT2tBS1ZhUkFFK3VLc0FJd2dCQUFBQ0J3SUFBQUFBQncwQUFRQUFBQU1BWUFEd0FBQUFSZ2tIRFFBQkFBQUFBd0JnQVBBQUFBQkdBQUFBQUFTQTdRa0FBQUFDQ0FCeXAxQUIvZzJvQUFvQUFnQklDUUlFQWdBSkFDc0VBZ0FBQUVnRUFBQTNCQUVBQVFhQUFBQUFBQUFDQ0FDbFdsVUJ2bU9rQUFRQ0VBQUxZVXNCdm1Pa0FLVmFWUUUrdUtzQUl3Z0JBQUFDQndJQUFBQUFCdzBBQVFBQUFBTUFZQUR3QUFBQVJna0hEUUFCQUFBQUF3QmdBUEFBQUFCR0FBQUFBQVNBN2drQUFBQUNDQUJqWUY4QjRmKzhBQW9BQWdCSkNRSUVBZ0FKQUNzRUFnQUFBRWdFQUFBM0JBRUFBUWFBQUFBQUFBQUNDQUNXRTJRQm9WVzVBQVFDRUFEOEdWb0JvVlc1QUpZVFpBRWhxc0FBSXdnQkFBQUNCd0lBQUFBQUJ3MEFBUUFBQUFNQVlBRHdBQUFBUmdrSERRQUJBQUFBQXdCZ0FQQUFBQUJHQUFBQUFBU0E3d2tBQUFBQ0NBQmpZRjhCNGYvTkFBb0FBZ0JLQ1FJRUFnQUpBQ3NFQWdBQUFFZ0VBQUEzQkFFQUFRYUFBQUFBQUFBQ0NBQ1dFMlFCb1ZYS0FBUUNFQUQ4R1ZvQm9WWEtBSllUWkFFaHF0RUFJd2dCQUFBQ0J3SUFBQUFBQncwQUFRQUFBQU1BWUFEd0FBQUFSZ2tIRFFBQkFBQUFBd0JnQVBBQUFBQkdBQUFBQUFTQThBa0FBQUFDQ0FDQWJqa0IwcmpjQUFvQUFnQkxDUUlFQWdBSkFDc0VBZ0FBQUVnRUFBQTNCQUVBQVFhQUFBQUFBQUFDQ0FDeklUNEJrZzdaQUFRQ0VBQVpLRFFCa2c3WkFMTWhQZ0VTWStBQUl3Z0JBQUFDQndJQUFBQUFCdzBBQVFBQUFBTUFZQUR3QUFBQVJna0hEUUFCQUFBQUF3QmdBUEFBQUFCR0FBQUFBQVNBOFFrQUFBQUNDQUNBYmprQjByakxBQW9BQWdCTUNRSUVBZ0FKQUNzRUFnQUFBRWdFQUFBM0JBRUFBUWFBQUFBQUFBQUNDQUN6SVQ0QmtnN0lBQVFDRUFBWktEUUJrZzdJQUxNaFBnRVNZODhBSXdnQkFBQUNCd0lBQUFBQUJ3MEFBUUFBQUFNQVlBRHdBQUFBUmdrSERRQUJBQUFBQXdCZ0FQQUFBQUJHQUFBQUFBU0E4Z2tBQUFBQ0NBQmpZRjhCdzNIYUFBb0FBZ0JOQ1FJRUFnQUpBQ3NFQWdBQUFFZ0VBQUEzQkFFQUFRYUFBQUFBQUFBQ0NBQ1dFMlFCZzhmV0FBUUNFQUQ4R1ZvQmc4ZldBSllUWkFFREhONEFJd2dCQUFBQ0J3SUFBQUFBQncwQUFRQUFBQU1BWUFEd0FBQUFSZ2tIRFFBQkFBQUFBd0JnQVBBQUFBQkdBQUFBQUFTQTh3a0FBQUFDQ0FCallGOEJ3M0hyQUFvQUFnQk9DUUlFQWdBSkFDc0VBZ0FBQUVnRUFBQTNCQUVBQVFhQUFBQUFBQUFDQ0FDV0UyUUJnOGZuQUFRQ0VBRDhHVm9CZzhmbkFKWVRaQUVESE84QUl3Z0JBQUFDQndJQUFBQUFCdzBBQVFBQUFBTUFZQUR3QUFBQVJna0hEUUFCQUFBQUF3QmdBUEFBQUFCR0FBQUFBQVNBOUFrQUFBQUNDQUNBYmprQnRTcjZBQW9BQWdCUENRSUVBZ0FKQUNzRUFnQUFBRWdFQUFBM0JBRUFBUWFBQUFBQUFBQUNDQUN6SVQ0QmRZRDJBQVFDRUFBWktEUUJkWUQyQUxNaFBnSDExUDBBSXdnQkFBQUNCd0lBQUFBQUJ3MEFBUUFBQUFNQVlBRHdBQUFBUmdrSERRQUJBQUFBQXdCZ0FQQUFBQUJHQUFBQUFBU0E5UWtBQUFBQ0NBQ0FiamtCdFNycEFBb0FBZ0JRQ1FJRUFnQUpBQ3NFQWdBQUFFZ0VBQUEzQkFFQUFRYUFBQUFBQUFBQ0NBQ3pJVDRCZFlEbEFBUUNFQUFaS0RRQmRZRGxBTE1oUGdIMTFPd0FJd2dCQUFBQ0J3SUFBQUFBQncwQUFRQUFBQU1BWUFEd0FBQUFSZ2tIRFFBQkFBQUFBd0JnQVBBQUFBQkdBQUFBQUFTQTlna0FBQUFDQ0FCallGOEJwdVAzQUFvQUFnQlJDUUlFQWdBSkFDc0VBZ0FBQUVnRUFBQTNCQUVBQVFhQUFBQUFBQUFDQ0FDV0UyUUJaam4wQUFRQ0VBRDhHVm9CWmpuMEFKWVRaQUhtamZzQUl3Z0JBQUFDQndJQUFBQUFCdzBBQVFBQUFBTUFZQUR3QUFBQVJna0hEUUFCQUFBQUF3QmdBUEFBQUFCR0FBQUFBQVNBOXdrQUFBQUNDQUJqWUY4QnB1TUlBUW9BQWdCU0NRSUVBZ0FKQUNzRUFnQUFBRWdFQUFBM0JBRUFBUWFBQUFBQUFBQUNDQUNXRTJRQlpqa0ZBUVFDRUFEOEdWb0JaamtGQVpZVFpBSG1qUXdCSXdnQkFBQUNCd0lBQUFBQUJ3MEFBUUFBQUFNQVlBRHdBQUFBUmdrSERRQUJBQUFBQXdCZ0FQQUFBQUJHQUFBQUFBU0ErQWtBQUFBQ0NBQ0FiamtCbDV3WEFRb0FBZ0JUQ1FJRUFnQUpBQ3NFQWdBQUFFZ0VBQUEzQkFFQUFRYUFBQUFBQUFBQ0NBQ3pJVDRCVi9JVEFRUUNFQUFaS0RRQlYvSVRBYk1oUGdIWFJoc0JJd2dCQUFBQ0J3SUFBQUFBQncwQUFRQUFBQU1BWUFEd0FBQUFSZ2tIRFFBQkFBQUFBd0JnQVBBQUFBQkdBQUFBQUFTQStRa0FBQUFDQ0FDQWJqa0JsNXdHQVFvQUFnQlVDUUlFQWdBSkFDc0VBZ0FBQUVnRUFBQTNCQUVBQVFhQUFBQUFBQUFDQ0FDeklUNEJWL0lDQVFRQ0VBQVpLRFFCVi9JQ0FiTWhQZ0hYUmdvQkl3Z0JBQUFDQndJQUFBQUFCdzBBQVFBQUFBTUFZQUR3QUFBQVJna0hEUUFCQUFBQUF3QmdBUEFBQUFCR0FBQUFBQVNBK2drQUFBQUNDQUJqWUY4QmlGVVZBUW9BQWdCVkNRSUVBZ0FKQUNzRUFnQUFBRWdFQUFBM0JBRUFBUWFBQUFBQUFBQUNDQUNXRTJRQlNLc1JBUVFDRUFEOEdWb0JTS3NSQVpZVFpBSEkveGdCSXdnQkFBQUNCd0lBQUFBQUJ3MEFBUUFBQUFNQVlBRHdBQUFBUmdrSERRQUJBQUFBQXdCZ0FQQUFBQUJHQUFBQUFBU0Erd2tBQUFBQ0NBQmpZRjhCaUZVbUFRb0FBZ0JXQ1FJRUFnQUpBQ3NFQWdBQUFFZ0VBQUEzQkFFQUFRYUFBQUFBQUFBQ0NBQ1dFMlFCU0tzaUFRUUNFQUQ4R1ZvQlNLc2lBWllUWkFISS95a0JJd2dCQUFBQ0J3SUFBQUFBQncwQUFRQUFBQU1BWUFEd0FBQUFSZ2tIRFFBQkFBQUFBd0JnQVBBQUFBQkdBQUFBQUFTQS9Ba0FBQUFDQ0FCeUowZ0I2RVZuQVFvQUFnQjJDVGNFQVFBQkFBQUVnUDBKQUFBQUFnZ0FwUnBaQWVoRlp3RUtBQUlBZHdrQ0JBSUFDQUFyQkFJQUFBQklCQUFBTndRQkFBRUdnQUFBQUFBQUFnZ0EyTTFkQVNpYllnRUVBaEFBY2FkVEFTaWJZZ0UrOUYwQnFQQnJBU01JQVFBQUFnY0NBQUFBQUFjTkFBRUFBQUFEQUdBQThBQUFBRThKQncwQUFRQUFBQU1BWUFEd0FBQUFUd0FBQUFBRWdQNEpBQUFBQWdnQTJLMC9BY1R6ZFFFS0FBSUFlQWtDQkFJQUNBQXJCQUlBQUFBaEJBRUEvMGdFQUFBM0JBRUFBUWFBQUFBQUFBQUNDQUFMWVVRQkJFbHhBUVFDRUFDa09qb0JCRWx4QVhHSFJBSEVuWDBCSXdnQkFBQUNCd0lBQUFBRkJ3RUFBUUFIRGdBQkFBQUFBd0JnQVBBQUFBQlBMUWtIRGdBQkFBQUFBd0JnQVBBQUFBQlBMUUFBQUFBRmdQOEpBQUFLQUFJQVZ3a0VCZ1FBM0FrQUFBVUdCQURkQ1FBQUNnWUJBQUVBQUFXQUFBb0FBQW9BQWdCWUNRUUdCQURkQ1FBQUJRWUVBTjRKQUFBS0JnRUFBUUFBQllBQkNnQUFDZ0FDQUZrSkJBWUVBTjRKQUFBRkJnUUEzd2tBQUFvR0FRQUJBQUFGZ0FJS0FBQUtBQUlBV2drRUJnUUEzUWtBQUFVR0JBRGdDUUFBQ2dZQkFBRUFBQVdBQXdvQUFBb0FBZ0JiQ1FRR0JBRGdDUUFBQlFZRUFPRUpBQUFBQmdJQUFnQUtCZ0VBQVFBQUJZQUVDZ0FBQ2dBQ0FGd0pCQVlFQU9BSkFBQUZCZ1FBNGdrQUFBQUdBZ0FDQUFvR0FRQUJBQUFGZ0FVS0FBQUtBQUlBWFFrRUJnUUE0QWtBQUFVR0JBRGpDUUFBQ2dZQkFBRUFBQVdBQmdvQUFBb0FBZ0JlQ1FRR0JBRGpDUUFBQlFZRUFPUUpBQUFLQmdFQUFRQUFCWUFIQ2dBQUNnQUNBRjhKQkFZRUFPUUpBQUFGQmdRQTVRa0FBQW9HQVFBQkFBQUZnQWdLQUFBS0FBSUFZQWtFQmdRQTVRa0FBQVVHQkFEbUNRQUFDZ1lCQUFFQUFBV0FDUW9BQUFvQUFnQmhDUVFHQkFEbUNRQUFCUVlFQU9jSkFBQUtCZ0VBQVFBQUJZQUtDZ0FBQ2dBQ0FHSUpCQVlFQU9jSkFBQUZCZ1FBNkFrQUFBb0dBUUFCQUFBRmdBc0tBQUFLQUFJQVl3a0VCZ1FBNkFrQUFBVUdCQURwQ1FBQUNnWUJBQUVBQUFXQURBb0FBQW9BQWdCa0NRUUdCQURwQ1FBQUJRWUVBT29KQUFBS0JnRUFBUUFBQllBTkNnQUFDZ0FDQUdVSkJBWUVBT29KQUFBRkJnUUE2d2tBQUFvR0FRQUJBQUFGZ0E0S0FBQUtBQUlBWmdrRUJnUUE2Z2tBQUFVR0JBRHNDUUFBQ2dZQkFBRUFBQVdBRHdvQUFBb0FBZ0JuQ1FRR0JBRHFDUUFBQlFZRUFPMEpBQUFLQmdFQUFRQUFCWUFRQ2dBQUNnQUNBR2dKQkFZRUFPa0pBQUFGQmdRQTdna0FBQW9HQVFBQkFBQUZnQkVLQUFBS0FBSUFhUWtFQmdRQTZRa0FBQVVHQkFEdkNRQUFDZ1lCQUFFQUFBV0FFZ29BQUFvQUFnQnFDUVFHQkFEb0NRQUFCUVlFQVBBSkFBQUtCZ0VBQVFBQUJZQVRDZ0FBQ2dBQ0FHc0pCQVlFQU9nSkFBQUZCZ1FBOFFrQUFBb0dBUUFCQUFBRmdCUUtBQUFLQUFJQWJBa0VCZ1FBNXdrQUFBVUdCQUR5Q1FBQUNnWUJBQUVBQUFXQUZRb0FBQW9BQWdCdENRUUdCQURuQ1FBQUJRWUVBUE1KQUFBS0JnRUFBUUFBQllBV0NnQUFDZ0FDQUc0SkJBWUVBT1lKQUFBRkJnUUE5QWtBQUFvR0FRQUJBQUFGZ0JjS0FBQUtBQUlBYndrRUJnUUE1Z2tBQUFVR0JBRDFDUUFBQ2dZQkFBRUFBQVdBR0FvQUFBb0FBZ0J3Q1FRR0JBRGxDUUFBQlFZRUFQWUpBQUFLQmdFQUFRQUFCWUFaQ2dBQUNnQUNBSEVKQkFZRUFPVUpBQUFGQmdRQTl3a0FBQW9HQVFBQkFBQUZnQm9LQUFBS0FBSUFjZ2tFQmdRQTVBa0FBQVVHQkFENENRQUFDZ1lCQUFFQUFBV0FHd29BQUFvQUFnQnpDUVFHQkFEa0NRQUFCUVlFQVBrSkFBQUtCZ0VBQVFBQUJZQWNDZ0FBQ2dBQ0FIUUpCQVlFQU9NSkFBQUZCZ1FBK2drQUFBb0dBUUFCQUFBRmdCMEtBQUFLQUFJQWRRa0VCZ1FBNHdrQUFBVUdCQUQ3Q1FBQUNnWUJBQUVBQUFXQUhnb0FBQW9BQWdCNUNRUUdCQUQ4Q1FBQUJRWUVBUDBKQUFBQUJnSUFBZ0FLQmdFQUFRQUFCWUFmQ2dBQUNnQUNBSG9KQkFZRUFQd0pBQUFGQmdRQS9na0FBQW9HQVFBQkFBQUZnQ0FLQUFBS0FBSUFld2tFQmdRQTN3a0FBQVVHQkFEOENRQUFDZ1lCQUFFQUFBQUFBQUFBQUFBQQ==</t>
        </r>
      </text>
    </comment>
    <comment ref="D27" authorId="0" shapeId="0" xr:uid="{8D08A50C-BD7C-4ABA-8B81-909F98327BA8}">
      <text>
        <r>
          <rPr>
            <sz val="9"/>
            <color indexed="81"/>
            <rFont val="Tahoma"/>
            <family val="2"/>
          </rPr>
          <t>QzExSDE0RjEzTjJPMlMrfFBpY3R1cmUgMnxWbXBEUkRBeE1EQUVBd0lCQUFBQUFBQUFBQUFBQUFDQUFBQUFBQU1BRmdBQUFFTm9aVzFFY21GM0lESXlMakl1TUM0ek16QXdDQUFUQUFBQVZXNTBhWFJzWldRZ1JHOWpkVzFsYm5RRUFoQUEzR2lGQUJONVl3QlZTdDhBN0lhNEFRRUpDQUFBZ0xVQUFJQzFBQUlKQ0FBQXdDRUFBTUMxQWcwSUFRQUJDQWNCQUFFNkJBRUFBVHNFQVFBQVJRUUJBQUU4QkFFQUFFb0VBUUFBREFZQkFBRVBCZ0VBQVEwR0FRQUFRZ1FCQUFCREJBRUFBRVFFQVFBQURnZ0NBUEVZQ2dnSUFBTUFZQURJQUFNQUN3Z0lBQlFBQUFEd0FBTUFDUWdFQURPekFnQUlDQVFBQUFBQ0FBY0lCQUFBQUFFQUJnZ0VBQUFBQkFBRkNBUUFBQUFlQUFRSUFnQjRBQU1JQkFBQUFIZ0FJd2dCQUFVTUNBRUFBQ2dJQVFBQktRZ0JBQUVxQ0FFQUFUSUlBUUFBS3dnQkFDZ3NDQUVBQ2dJSUVBQUFBQ1FBQUFBa0FBQUFKQUFBQUNRQUFRTUNBQUFBQWdNQ0FBRUFBQU15QUFnQS8vLy8vLy8vQUFBQUFBQUEvLzhBQUFBQS8vLy8vd0FBQUFELy93QUFBQUQvLy8vL0FBQUFBUC8vLy84QUFQLy9BQUVrQUFBQUFnQURBT1FFQlFCQmNtbGhiQlFBNUFRUEFGUnBiV1Z6SUU1bGR5QlNiMjFoYnJ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FFT0FBQUVBaEFBQUFBQUFBQUFBQUNuZkNFQmUxb0lHQllJQkFBQUFDUUFHQWdFQUFBQUpBQVpDQUFBRUFnQ0FBRUFEd2dDQUFFQUE0REZEUUFBQkFJUUFOeG9oUUFUZVdNQVZVcmZBT3lHdUFFS0FBSUFyZ0VFZ01ZTkFBQUFBZ2dBM0dpRkFObExuZ0VLQUFJQXJ3RTNCQUVBQVFBQUJJREhEUUFBQUFJSUFOeG9vd0RaUzU0QkNnQUNBTEFCQWdRQ0FBY0FLd1FDQUFFQUlRUUJBQUZJQkFBQU53UUJBQUVHZ0FBQUFBQUFBZ2dBUWsrbkFIbXZtZ0VFQWhBQTdmbWRBSG12bWdGQ1Q2Y0FPWUt0QVNNSUFRQUFBZ2NDQUFBQUJRY0JBQUVBQnc4QUFRQUFBQU1BWUFESUFBQUFUa2dyQ1FjUEFBRUFBQUFEQUdBQXlBQUFBRTVJS3dBQUFBQUVnTWdOQUFBQUFnZ0EzR2l5QU94R3VBRUtBQUlBc1FFM0JBRUFBUUFBQklESkRRQUFBQUlJQU54b3NnREdVSVFCQ2dBQ0FMSUJOd1FCQUFFQUFBU0F5ZzBBQUFBQ0NBRGNhS01BczFWcUFRb0FBZ0N6QVRjRUFRQUJBQUFFZ01zTkFBQUFBZ2dBM0dpeUFLQmFVQUVLQUFJQXRBRTNCQUVBQVFBQUJJRE1EUUFBQUFJSUFOeG9vd0NNWHpZQkNnQUNBTFVCQWdRQ0FBY0FLd1FDQUFFQVNBUUFBRGNFQVFBQkJvQUFBQUFBQUFJSUFNcjNuZ0Fzd3pJQkJBSVFBRk9nbGdBc3d6SUJRaytuQU96N09RRWpDQUVBQUFJSEFnQUFBQVVIQVFBRUJBY0dBQUlBQWdBRUFBQUhEZ0FCQUFBQUF3QmdBTWdBQUFCT1NBa0hEZ0FCQUFBQUF3QmdBTWdBQUFCT1NBQUFBQUFFZ00wTkFBQUFBZ2dBM0dpeUFIbGtIQUVLQUFJQXRnRUNCQUlBRUFBckJBSUFBQUJJQkFBQU53UUJBQUVHZ0FBQUFBQUFBZ2dBUWsrMkFMa09HUUVFQWhBQTdkbXRBTGtPR1FIY2FMWUFPYm9mQVNNSUFRQUFBZ2NDQUFBQUFBY05BQUVBQUFBREFHQUF5QUFBQUZNSkJ3MEFBUUFBQUFNQVlBRElBQUFBVXdBQUFBQUVnTTROQUFBQUFnZ0F5RzJZQUhsa0RRRUtBQUlBdHdFQ0JBSUFDQUFyQkFJQUFBQklCQUFBTndRQkFBRUdnQUFBQUFBQUFnZ0FMbFNjQU5tQUNRRUVBaEFBMmQ2VEFObUFDUUhJYlp3QUdVZ1JBU01JQVFBQUFnY0NBQUFBQUFjTkFBRUFBQUFEQUdBQXlBQUFBRThKQncwQUFRQUFBQU1BWUFESUFBQUFUd0FBQUFBRWdNOE5BQUFBQWdnQTcyUE1BSGxrS3dFS0FBSUF1QUVDQkFJQUNBQXJCQUlBQUFCSUJBQUFOd1FCQUFFR2dBQUFBQUFBQWdnQVZVclFBTm1BSndFRUFoQUFBTlhIQU5tQUp3SHZZOUFBR1VndkFTTUlBUUFBQWdjQ0FBQUFBQWNOQUFFQUFBQURBR0FBeUFBQUFFOEpCdzBBQVFBQUFBTUFZQURJQUFBQVR3QUFBQUFFZ05BTkFBQUFBZ2dBM0dqQkFHWnBBZ0VLQUFJQXVRRTNCQUVBQVFBQUJJRFJEUUFBQUFJSUFOeG9zZ0JUYnVnQUNnQUNBTG9CTndRQkFBRUFBQVNBMGcwQUFBQUNDQURjYU1FQVAzUE9BQW9BQWdDN0FUY0VBUUFCQUFBRWdOTU5BQUFBQWdnQTNHaXlBQ3g0dEFBS0FBSUF2QUUzQkFFQUFRQUFCSURVRFFBQUFBSUlBTnhvd1FBWmZab0FDZ0FDQUwwQk53UUJBQUVBQUFTQTFRMEFBQUFDQ0FEY2FMSUFCb0tBQUFvQUFnQytBVGNFQVFBQkFBQUVnTllOQUFBQUFnZ0EzR2pCQVBPR1pnQUtBQUlBdndFQ0JBSUFDUUFyQkFJQUFBQklCQUFBTndRQkFBRUdnQUFBQUFBQUFnZ0FRay9GQUJONVl3QUVBaEFBeXZlOEFCTjVZd0JDVDhVQTA1UnBBQ01JQVFBQUFnY0NBQUFBQUFjTkFBRUFBQUFEQUdBQXlBQUFBRVlKQncwQUFRQUFBQU1BWUFESUFBQUFSZ0FBQUFBRWdOY05BQUFBQWdnQTNHaVVBQWFDZ0FBS0FBSUF3QUVDQkFJQUNRQXJCQUlBQUFCSUJBQUFOd1FCQUFFR2dBQUFBQUFBQWdnQVFrK1lBQ1owZlFBRUFoQUF5dmVQQUNaMGZRQkNUNWdBNW8rREFDTUlBUUFBQWdjQ0FBQUFBQWNOQUFFQUFBQURBR0FBeUFBQUFFWUpCdzBBQVFBQUFBTUFZQURJQUFBQVJnQUFBQUFFZ05nTkFBQUFBZ2dBM0dpakFQT0daZ0FLQUFJQXdRRUNCQUlBQ1FBckJBSUFBQUJJQkFBQU53UUJBQUVHZ0FBQUFBQUFBZ2dBUWsrbkFCTjVZd0FFQWhBQXl2ZWVBQk41WXdCQ1Q2Y0EwNVJwQUNNSUFRQUFBZ2NDQUFBQUFBY05BQUVBQUFBREFHQUF5QUFBQUVZSkJ3MEFBUUFBQUFNQVlBRElBQUFBUmdBQUFBQUVnTmtOQUFBQUFnZ0E3MlBiQUJsOWl3QUtBQUlBd2dFQ0JBSUFDUUFyQkFJQUFBQklCQUFBTndRQkFBRUdnQUFBQUFBQUFnZ0FWVXJmQURsdmlBQUVBaEFBM2ZMV0FEbHZpQUJWU3Q4QStZcU9BQ01JQVFBQUFnY0NBQUFBQUFjTkFBRUFBQUFEQUdBQXlBQUFBRVlKQncwQUFRQUFBQU1BWUFESUFBQUFSZ0FBQUFBRWdOb05BQUFBQWdnQTcyUGJBQmw5cVFBS0FBSUF3d0VDQkFJQUNRQXJCQUlBQUFCSUJBQUFOd1FCQUFFR2dBQUFBQUFBQWdnQVZVcmZBRGx2cGdBRUFoQUEzZkxXQURsdnBnQlZTdDhBK1lxc0FDTUlBUUFBQWdjQ0FBQUFBQWNOQUFFQUFBQURBR0FBeUFBQUFFWUpCdzBBQVFBQUFBTUFZQURJQUFBQVJnQUFBQUFFZ05zTkFBQUFBZ2dBeUcyWUFDeDR3d0FLQUFJQXhBRUNCQUlBQ1FBckJBSUFBQUJJQkFBQU53UUJBQUVHZ0FBQUFBQUFBZ2dBTGxTY0FFeHF3QUFFQWhBQXR2eVRBRXhxd0FBdVZKd0FESWJHQUNNSUFRQUFBZ2NDQUFBQUFBY05BQUVBQUFBREFHQUF5QUFBQUVZSkJ3MEFBUUFBQUFNQVlBRElBQUFBUmdBQUFBQUVnTndOQUFBQUFnZ0F5RzJZQUN4NHBRQUtBQUlBeFFFQ0JBSUFDUUFyQkFJQUFBQklCQUFBTndRQkFBRUdnQUFBQUFBQUFnZ0FMbFNjQUV4cW9nQUVBaEFBdHZ5VEFFeHFvZ0F1Vkp3QURJYW9BQ01JQVFBQUFnY0NBQUFBQUFjTkFBRUFBQUFEQUdBQXlBQUFBRVlKQncwQUFRQUFBQU1BWUFESUFBQUFSZ0FBQUFBRWdOME5BQUFBQWdnQTcyUGJBRDl6dndBS0FBSUF4Z0VDQkFJQUNRQXJCQUlBQUFCSUJBQUFOd1FCQUFFR2dBQUFBQUFBQWdnQVZVcmZBRjlsdkFBRUFoQUEzZkxXQUY5bHZBQlZTdDhBSDRIQ0FDTUlBUUFBQWdjQ0FBQUFBQWNOQUFFQUFBQURBR0FBeUFBQUFFWUpCdzBBQVFBQUFBTUFZQURJQUFBQVJnQUFBQUFFZ040TkFBQUFBZ2dBNzJQYkFEOXozUUFLQUFJQXh3RUNCQUlBQ1FBckJBSUFBQUJJQkFBQU53UUJBQUVHZ0FBQUFBQUFBZ2dBVlVyZkFGOWwyZ0FFQWhBQTNmTFdBRjlsMmdCVlN0OEFINEhnQUNNSUFRQUFBZ2NDQUFBQUFBY05BQUVBQUFBREFHQUF5QUFBQUVZSkJ3MEFBUUFBQUFNQVlBRElBQUFBUmdBQUFBQUVnTjhOQUFBQUFnZ0F5RzJZQUZOdTl3QUtBQUlBeUFFQ0JBSUFDUUFyQkFJQUFBQklCQUFBTndRQkFBRUdnQUFBQUFBQUFnZ0FMbFNjQUhOZzlBQUVBaEFBdHZ5VEFITmc5QUF1Vkp3QU0zejZBQ01JQVFBQUFnY0NBQUFBQUFjTkFBRUFBQUFEQUdBQXlBQUFBRVlKQncwQUFRQUFBQU1BWUFESUFBQUFSZ0FBQUFBRWdPQU5BQUFBQWdnQXlHMllBRk51MlFBS0FBSUF5UUVDQkFJQUNRQXJCQUlBQUFCSUJBQUFOd1FCQUFFR2dBQUFBQUFBQWdnQUxsU2NBSE5nMWdBRUFoQUF0dnlUQUhOZzFnQXVWSndBTTN6Y0FDTUlBUUFBQWdjQ0FBQUFBQWNOQUFFQUFBQURBR0FBeUFBQUFFWUpCdzBBQVFBQUFBTUFZQURJQUFBQVJnQUFBQUFFZ09FTkFBQUFBZ2dBNzJQYkFHWnA4d0FLQUFJQXlnRUNCQUlBQ1FBckJBSUFBQUJJQkFBQU53UUJBQUVHZ0FBQUFBQUFBZ2dBVlVyZkFJWmI4QUFFQWhBQTNmTFdBSVpiOEFCVlN0OEFSbmYyQUNNSUFRQUFBZ2NDQUFBQUFBY05BQUVBQUFBREFHQUF5QUFBQUVZSkJ3MEFBUUFBQUFNQVlBRElBQUFBUmdBQUFBQUVnT0lOQUFBQUFnZ0E3MlBiQUdacEVRRUtBQUlBeXdFQ0JBSUFDUUFyQkFJQUFBQklCQUFBTndRQkFBRUdnQUFBQUFBQUFnZ0FWVXJmQUlaYkRnRUVBaEFBM2ZMV0FJWmJEZ0ZWU3Q4QVJuY1VBU01JQVFBQUFnY0NBQUFBQUFjTkFBRUFBQUFEQUdBQXlBQUFBRVlKQncwQUFRQUFBQU1BWUFESUFBQUFSZ0FBQUFBRmdPTU5BQUFLQUFJQXpBRUVCZ1FBeGcwQUFBVUdCQURIRFFBQUNnWUJBQUVBQUFXQTVBMEFBQW9BQWdETkFRUUdCQURIRFFBQUJRWUVBTWdOQUFBS0JnRUFBUUFBQllEbERRQUFDZ0FDQU00QkJBWUVBTWNOQUFBRkJnUUF5UTBBQUFvR0FRQUJBQUFGZ09ZTkFBQUtBQUlBendFRUJnUUF5UTBBQUFVR0JBREtEUUFBQ2dZQkFBRUFBQVdBNXcwQUFBb0FBZ0RRQVFRR0JBREtEUUFBQlFZRUFNc05BQUFLQmdFQUFRQUFCWURvRFFBQUNnQUNBTkVCQkFZRUFNc05BQUFGQmdRQXpBMEFBQW9HQVFBQkFBQUZnT2tOQUFBS0FBSUEwZ0VFQmdRQXpBMEFBQVVHQkFETkRRQUFDZ1lCQUFFQUFBV0E2ZzBBQUFvQUFnRFRBUVFHQkFETkRRQUFCUVlFQU00TkFBQUFCZ0lBQWdBS0JnRUFBUUFBQllEckRRQUFDZ0FDQU5RQkJBWUVBTTBOQUFBRkJnUUF6dzBBQUFBR0FnQUNBQW9HQVFBQkFBQUZnT3dOQUFBS0FBSUExUUVFQmdRQXpRMEFBQVVHQkFEUURRQUFDZ1lCQUFFQUFBV0E3UTBBQUFvQUFnRFdBUVFHQkFEUURRQUFCUVlFQU5FTkFBQUtCZ0VBQVFBQUJZRHVEUUFBQ2dBQ0FOY0JCQVlFQU5FTkFBQUZCZ1FBMGcwQUFBb0dBUUFCQUFBRmdPOE5BQUFLQUFJQTJBRUVCZ1FBMGcwQUFBVUdCQURURFFBQUNnWUJBQUVBQUFXQThBMEFBQW9BQWdEWkFRUUdCQURURFFBQUJRWUVBTlFOQUFBS0JnRUFBUUFBQllEeERRQUFDZ0FDQU5vQkJBWUVBTlFOQUFBRkJnUUExUTBBQUFvR0FRQUJBQUFGZ1BJTkFBQUtBQUlBMndFRUJnUUExUTBBQUFVR0JBRFdEUUFBQ2dZQkFBRUFBQVdBOHcwQUFBb0FBZ0RjQVFRR0JBRFZEUUFBQlFZRUFOY05BQUFLQmdFQUFRQUFCWUQwRFFBQUNnQUNBTjBCQkFZRUFOVU5BQUFGQmdRQTJBMEFBQW9HQVFBQkFBQUZnUFVOQUFBS0FBSUEzZ0VFQmdRQTFBMEFBQVVHQkFEWkRRQUFDZ1lCQUFFQUFBV0E5ZzBBQUFvQUFnRGZBUVFHQkFEVURRQUFCUVlFQU5vTkFBQUtCZ0VBQVFBQUJZRDNEUUFBQ2dBQ0FPQUJCQVlFQU5NTkFBQUZCZ1FBMncwQUFBb0dBUUFCQUFBRmdQZ05BQUFLQUFJQTRRRUVCZ1FBMHcwQUFBVUdCQURjRFFBQUNnWUJBQUVBQUFXQStRMEFBQW9BQWdEaUFRUUdCQURTRFFBQUJRWUVBTjBOQUFBS0JnRUFBUUFBQllENkRRQUFDZ0FDQU9NQkJBWUVBTklOQUFBRkJnUUEzZzBBQUFvR0FRQUJBQUFGZ1BzTkFBQUtBQUlBNUFFRUJnUUEwUTBBQUFVR0JBRGZEUUFBQ2dZQkFBRUFBQVdBL0EwQUFBb0FBZ0RsQVFRR0JBRFJEUUFBQlFZRUFPQU5BQUFLQmdFQUFRQUFCWUQ5RFFBQUNnQUNBT1lCQkFZRUFOQU5BQUFGQmdRQTRRMEFBQW9HQVFBQkFBQUZnUDROQUFBS0FBSUE1d0VFQmdRQTBBMEFBQVVHQkFEaURRQUFDZ1lCQUFFQUFBQUFBQUFBQUFBQQ==</t>
        </r>
      </text>
    </comment>
    <comment ref="D28" authorId="0" shapeId="0" xr:uid="{77F8AFBF-827D-4C6D-A2AC-46BCADD2DC0D}">
      <text>
        <r>
          <rPr>
            <sz val="9"/>
            <color indexed="81"/>
            <rFont val="Tahoma"/>
            <family val="2"/>
          </rPr>
          <t>QzExSDEyRjEzTjJPMlMtfFBpY3R1cmUgMTB8Vm1wRFJEQXhNREFFQXdJQkFBQUFBQUFBQUFBQUFBQ0FBQUFBQUFNQUZnQUFBRU5vWlcxRWNtRjNJREl5TGpJdU1DNHpNekF3Q0FBVEFBQUFWVzUwYVhSc1pXUWdSRzlqZFcxbGJuUUVBaEFBU3BsTEFBVnZOZ0J1QllFQWhxMzVBQUVKQ0FBQWdMVUFBSUMxQUFJSkNBQUF3Q0VBQU1DMUFnMElBUUFCQ0FjQkFBRTZCQUVBQVRzRUFRQUFSUVFCQUFFOEJBRUFBRW9FQVFBQURBWUJBQUVQQmdFQUFRMEdBUUFBUWdRQkFBQkRCQUVBQUVRRUFRQUFEZ2dDQU5VSk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ZzSEFBQUVBaEFBQUFBQUFBQUFBQUQ4ZFlvQVQ2T2hDUllJQkFBQUFDUUFHQWdFQUFBQUpBQVpDQUFBRUFnQ0FBRUFEd2dDQUFFQUE0QWdCd0FBQkFJUUFFcVpTd0FGYnpZQWJnV0JBSWF0K1FBS0FBSUFCUVlFZ0NFSEFBQUFBZ2dBU3BsTEFKWEU2Z0FLQUFJQUJnWTNCQUVBQVFBQUJJQWlCd0FBQUFJSUFFcVpYQUNWeE9vQUNnQUNBQWNHQWdRQ0FBY0FLd1FDQUFBQVNBUUFBRGNFQVFBQkJvQUFBQUFBQUFJSUFIMU1ZUUJWYitZQUJBSVFBT05TVndCVmIrWUFmVXhoQU5VWjd3QWpDQUVBQUFJSEFnQUFBQVVIQVFBQkFBY05BQUVBQUFBREFHQUE4QUFBQUU0SkJ3MEFBUUFBQUFNQVlBRHdBQUFBVGdBQUFBQUVnQ01IQUFBQUFnZ0FTaGxsQUlaOStRQUtBQUlBQ0FZM0JBRUFBUUFBQklBa0J3QUFBQUlJQUVvWlpRQ2pDOXdBQ2dBQ0FBa0dOd1FCQUFFQUFBU0FKUWNBQUFBQ0NBQkttVndBc2xMTkFBb0FBZ0FLQmpjRUFRQUJBQUFFZ0NZSEFBQUFBZ2dBU2hsbEFNR1p2Z0FLQUFJQUN3WTNCQUVBQVFBQUJJQW5Cd0FBQUFJSUFFcVpYQURQNEs4QUNnQUNBQXdHQWdRQ0FBY0FLd1FDQUFBQUlRUUJBUDlJQkFBQU53UUJBQUVHZ0FBQUFBQUFBZ2dBZlV4aEFJK0xxd0FFQWhBQTQxSlhBSStMcXdCOVRHRUFUelczQUNNSUFRQUFBZ2NDQUFBQUJRY0JBQUVBQnc0QUFRQUFBQU1BWUFEd0FBQUFUaTBKQnc0QUFRQUFBQU1BWUFEd0FBQUFUaTBBQUFBQUJJQW9Cd0FBQUFJSUFFb1paUURlSjZFQUNnQUNBQTBHQWdRQ0FCQUFLd1FDQUFBQVNBUUFBRGNFQVFBQkJvQUFBQUFBQUFJSUFIM01hUUJlSjUwQUJBSVFBQmFtWHdCZUo1MEE0L0pwQUY0b3BRQWpDQUVBQUFJSEFnQUFBQUFIRFFBQkFBQUFBd0JnQVBBQUFBQlRDUWNOQUFFQUFBQURBR0FBOEFBQUFGTUFBQUFBQklBcEJ3QUFBQUlJQUZoZ1ZnRGVwNWdBQ2dBQ0FBNEdBZ1FDQUFnQUt3UUNBQUFBU0FRQUFEY0VBUUFCQm9BQUFBQUFBQUlJQUlzVFd3QWUvWk1BQkFJUUFDVHRVQUFlL1pNQThUbGJBSjVTblFBakNBRUFBQUlIQWdBQUFBQUhEUUFCQUFBQUF3QmdBUEFBQUFCUENRY05BQUVBQUFBREFHQUE4QUFBQUU4QUFBQUFCSUFxQndBQUFBSUlBRHZTY3dEZXA2a0FDZ0FDQUE4R0FnUUNBQWdBS3dRQ0FBQUFTQVFBQURjRUFRQUJCb0FBQUFBQUFBSUlBRzZGZUFBZS9hUUFCQUlRQUFkZmJnQWUvYVFBMUt0NEFKNVNyZ0FqQ0FFQUFBSUhBZ0FBQUFBSERRQUJBQUFBQXdCZ0FQQUFBQUJQQ1FjTkFBRUFBQUFEQUdBQThBQUFBRThBQUFBQUJJQXJCd0FBQUFJSUFFcVpiUUR0YnBJQUNnQUNBQkFHTndRQkFBRUFBQVNBTEFjQUFBQUNDQUJKR1dVQS9MV0RBQW9BQWdBUkJqY0VBUUFCQUFBRWdDMEhBQUFBQWdnQVNabHRBQXI5ZEFBS0FBSUFFZ1kzQkFFQUFRQUFCSUF1QndBQUFBSUlBRWtaWlFBWlJHWUFDZ0FDQUJNR053UUJBQUVBQUFTQUx3Y0FBQUFDQ0FCSm1XMEFLSXRYQUFvQUFnQVVCamNFQVFBQkFBQUVnREFIQUFBQUFnZ0FTUmxsQURiU1NBQUtBQUlBRlFZM0JBRUFBUUFBQklBeEJ3QUFBQUlJQUVtWmJRQkZHVG9BQ2dBQ0FCWUdBZ1FDQUFrQUt3UUNBQUFBU0FRQUFEY0VBUUFCQm9BQUFBQUFBQUlJQUh4TWNnQUZiellBQkFJUUFPSlNhQUFGYnpZQWZFeHlBSVhEUFFBakNBRUFBQUlIQWdBQUFBQUhEUUFCQUFBQUF3QmdBUEFBQUFCR0NRY05BQUVBQUFBREFHQUE4QUFBQUVZQUFBQUFCSUF5QndBQUFBSUlBRWtaVkFBMjBrZ0FDZ0FDQUJjR0FnUUNBQWtBS3dRQ0FBQUFTQVFBQURjRUFRQUJCb0FBQUFBQUFBSUlBSHpNV0FEMkowVUFCQUlRQU9MU1RnRDJKMFVBZk14WUFIWjhUQUFqQ0FFQUFBSUhBZ0FBQUFBSERRQUJBQUFBQXdCZ0FQQUFBQUJHQ1FjTkFBRUFBQUFEQUdBQThBQUFBRVlBQUFBQUJJQXpCd0FBQUFJSUFFbVpYQUJGR1RvQUNnQUNBQmdHQWdRQ0FBa0FLd1FDQUFBQVNBUUFBRGNFQVFBQkJvQUFBQUFBQUFJSUFIeE1ZUUFGYnpZQUJBSVFBT0pTVndBRmJ6WUFmRXhoQUlYRFBRQWpDQUVBQUFJSEFnQUFBQUFIRFFBQkFBQUFBd0JnQVBBQUFBQkdDUWNOQUFFQUFBQURBR0FBOEFBQUFFWUFBQUFBQklBMEJ3QUFBQUlJQUR0U2ZBQW9DMDhBQ2dBQ0FCa0dBZ1FDQUFrQUt3UUNBQUFBU0FRQUFEY0VBUUFCQm9BQUFBQUFBQUlJQUc0RmdRRG9ZRXNBQkFJUUFOUUxkd0RvWUVzQWJnV0JBR2kxVWdBakNBRUFBQUlIQWdBQUFBQUhEUUFCQUFBQUF3QmdBUEFBQUFCR0NRY05BQUVBQUFBREFHQUE4QUFBQUVZQUFBQUFCSUExQndBQUFBSUlBRHRTZkFBb0MyQUFDZ0FDQUJvR0FnUUNBQWtBS3dRQ0FBQUFTQVFBQURjRUFRQUJCb0FBQUFBQUFBSUlBRzRGZ1FEb1lGd0FCQUlRQU5RTGR3RG9ZRndBYmdXQkFHaTFZd0FqQ0FFQUFBSUhBZ0FBQUFBSERRQUJBQUFBQXdCZ0FQQUFBQUJHQ1FjTkFBRUFBQUFEQUdBQThBQUFBRVlBQUFBQUJJQTJCd0FBQUFJSUFGaGdWZ0FaeEc0QUNnQUNBQnNHQWdRQ0FBa0FLd1FDQUFBQVNBUUFBRGNFQVFBQkJvQUFBQUFBQUFJSUFJc1RXd0RaR1dzQUJBSVFBUEVaVVFEWkdXc0FpeE5iQUZsdWNnQWpDQUVBQUFJSEFnQUFBQUFIRFFBQkFBQUFBd0JnQVBBQUFBQkdDUWNOQUFFQUFBQURBR0FBOEFBQUFFWUFBQUFBQklBM0J3QUFBQUlJQUZoZ1ZnQVp4RjBBQ2dBQ0FCd0dBZ1FDQUFrQUt3UUNBQUFBU0FRQUFEY0VBUUFCQm9BQUFBQUFBQUlJQUlzVFd3RFpHVm9BQkFJUUFQRVpVUURaR1ZvQWl4TmJBRmx1WVFBakNBRUFBQUlIQWdBQUFBQUhEUUFCQUFBQUF3QmdBUEFBQUFCR0NRY05BQUVBQUFBREFHQUE4QUFBQUVZQUFBQUFCSUE0QndBQUFBSUlBRHRTZkFBS2ZXd0FDZ0FDQUIwR0FnUUNBQWtBS3dRQ0FBQUFTQVFBQURjRUFRQUJCb0FBQUFBQUFBSUlBRzRGZ1FESzBtZ0FCQUlRQU5RTGR3REswbWdBYmdXQkFFb25jQUFqQ0FFQUFBSUhBZ0FBQUFBSERRQUJBQUFBQXdCZ0FQQUFBQUJHQ1FjTkFBRUFBQUFEQUdBQThBQUFBRVlBQUFBQUJJQTVCd0FBQUFJSUFEdFNmQUFLZlgwQUNnQUNBQjRHQWdRQ0FBa0FLd1FDQUFBQVNBUUFBRGNFQVFBQkJvQUFBQUFBQUFJSUFHNEZnUURLMG5rQUJBSVFBTlFMZHdESzBua0FiZ1dCQUVvbmdRQWpDQUVBQUFJSEFnQUFBQUFIRFFBQkFBQUFBd0JnQVBBQUFBQkdDUWNOQUFFQUFBQURBR0FBOEFBQUFFWUFBQUFBQklBNkJ3QUFBQUlJQUZoZ1ZnRDhOWXdBQ2dBQ0FCOEdBZ1FDQUFrQUt3UUNBQUFBU0FRQUFEY0VBUUFCQm9BQUFBQUFBQUlJQUlzVFd3QzhpNGdBQkFJUUFQRVpVUUM4aTRnQWl4TmJBRHpnandBakNBRUFBQUlIQWdBQUFBQUhEUUFCQUFBQUF3QmdBUEFBQUFCR0NRY05BQUVBQUFBREFHQUE4QUFBQUVZQUFBQUFCSUE3QndBQUFBSUlBRmhnVmdEOE5Yc0FDZ0FDQUNBR0FnUUNBQWtBS3dRQ0FBQUFTQVFBQURjRUFRQUJCb0FBQUFBQUFBSUlBSXNUV3dDOGkzY0FCQUlRQVBFWlVRQzhpM2NBaXhOYkFEemdmZ0FqQ0FFQUFBSUhBZ0FBQUFBSERRQUJBQUFBQXdCZ0FQQUFBQUJHQ1FjTkFBRUFBQUFEQUdBQThBQUFBRVlBQUFBQUJJQThCd0FBQUFJSUFEdFNmQUR0N29rQUNnQUNBQ0VHQWdRQ0FBa0FLd1FDQUFBQVNBUUFBRGNFQVFBQkJvQUFBQUFBQUFJSUFHNEZnUUN0UklZQUJBSVFBTlFMZHdDdFJJWUFiZ1dCQUMyWmpRQWpDQUVBQUFJSEFnQUFBQUFIRFFBQkFBQUFBd0JnQVBBQUFBQkdDUWNOQUFFQUFBQURBR0FBOEFBQUFFWUFBQUFBQklBOUJ3QUFBQUlJQUR0U2ZBRHQ3cG9BQ2dBQ0FDSUdBZ1FDQUFrQUt3UUNBQUFBU0FRQUFEY0VBUUFCQm9BQUFBQUFBQUlJQUc0RmdRQ3RSSmNBQkFJUUFOUUxkd0N0UkpjQWJnV0JBQzJabmdBakNBRUFBQUlIQWdBQUFBQUhEUUFCQUFBQUF3QmdBUEFBQUFCR0NRY05BQUVBQUFBREFHQUE4QUFBQUVZQUFBQUFCWUErQndBQUNnQUNBQ01HQkFZRUFDRUhBQUFGQmdRQUlnY0FBQW9HQVFBQkFBQUZnRDhIQUFBS0FBSUFKQVlFQmdRQUlnY0FBQVVHQkFBakJ3QUFDZ1lCQUFFQUFBV0FRQWNBQUFvQUFnQWxCZ1FHQkFBaUJ3QUFCUVlFQUNRSEFBQUtCZ0VBQVFBQUJZQkJCd0FBQ2dBQ0FDWUdCQVlFQUNRSEFBQUZCZ1FBSlFjQUFBb0dBUUFCQUFBRmdFSUhBQUFLQUFJQUp3WUVCZ1FBSlFjQUFBVUdCQUFtQndBQUNnWUJBQUVBQUFXQVF3Y0FBQW9BQWdBb0JnUUdCQUFtQndBQUJRWUVBQ2NIQUFBS0JnRUFBUUFBQllCRUJ3QUFDZ0FDQUNrR0JBWUVBQ2NIQUFBRkJnUUFLQWNBQUFvR0FRQUJBQUFGZ0VVSEFBQUtBQUlBS2dZRUJnUUFLQWNBQUFVR0JBQXBCd0FBQUFZQ0FBSUFDZ1lCQUFFQUFBV0FSZ2NBQUFvQUFnQXJCZ1FHQkFBb0J3QUFCUVlFQUNvSEFBQUFCZ0lBQWdBS0JnRUFBUUFBQllCSEJ3QUFDZ0FDQUN3R0JBWUVBQ2dIQUFBRkJnUUFLd2NBQUFvR0FRQUJBQUFGZ0VnSEFBQUtBQUlBTFFZRUJnUUFLd2NBQUFVR0JBQXNCd0FBQ2dZQkFBRUFBQVdBU1FjQUFBb0FBZ0F1QmdRR0JBQXRCd0FBQlFZRUFDNEhBQUFLQmdFQUFRQUFCWUJLQndBQUNnQUNBQzhHQkFZRUFDNEhBQUFGQmdRQUx3Y0FBQW9HQVFBQkFBQUZnRXNIQUFBS0FBSUFNQVlFQmdRQUx3Y0FBQVVHQkFBd0J3QUFDZ1lCQUFFQUFBV0FUQWNBQUFvQUFnQXhCZ1FHQkFBd0J3QUFCUVlFQURFSEFBQUtCZ0VBQVFBQUJZQk5Cd0FBQ2dBQ0FESUdCQVlFQURBSEFBQUZCZ1FBTWdjQUFBb0dBUUFCQUFBRmdFNEhBQUFLQUFJQU13WUVCZ1FBTUFjQUFBVUdCQUF6QndBQUNnWUJBQUVBQUFXQVR3Y0FBQW9BQWdBMEJnUUdCQUF2QndBQUJRWUVBRFFIQUFBS0JnRUFBUUFBQllCUUJ3QUFDZ0FDQURVR0JBWUVBQzhIQUFBRkJnUUFOUWNBQUFvR0FRQUJBQUFGZ0ZFSEFBQUtBQUlBTmdZRUJnUUFMZ2NBQUFVR0JBQTJCd0FBQ2dZQkFBRUFBQVdBVWdjQUFBb0FBZ0EzQmdRR0JBQXVCd0FBQlFZRUFEY0hBQUFLQmdFQUFRQUFCWUJUQndBQUNnQUNBRGdHQkFZRUFDMEhBQUFGQmdRQU9BY0FBQW9HQVFBQkFBQUZnRlFIQUFBS0FBSUFPUVlFQmdRQUxRY0FBQVVHQkFBNUJ3QUFDZ1lCQUFFQUFBV0FWUWNBQUFvQUFnQTZCZ1FHQkFBc0J3QUFCUVlFQURvSEFBQUtCZ0VBQVFBQUJZQldCd0FBQ2dBQ0FEc0dCQVlFQUN3SEFBQUZCZ1FBT3djQUFBb0dBUUFCQUFBRmdGY0hBQUFLQUFJQVBBWUVCZ1FBS3djQUFBVUdCQUE4QndBQUNnWUJBQUVBQUFXQVdBY0FBQW9BQWdBOUJnUUdCQUFyQndBQUJRWUVBRDBIQUFBS0JnRUFBUUFBQllCWkJ3QUFDZ0FDQUQ0R0JBWUVBQzBIQUFBRkJnUUFMQWNBQUFvR0FRQUJBQUFBQUFBQUFBQUFBQT09</t>
        </r>
      </text>
    </comment>
    <comment ref="D29" authorId="0" shapeId="0" xr:uid="{02440404-277C-47FD-A2AA-729B8113F2BA}">
      <text>
        <r>
          <rPr>
            <sz val="9"/>
            <color indexed="81"/>
            <rFont val="Tahoma"/>
            <family val="2"/>
          </rPr>
          <t>QzEySDE2RjEzTjJPMlMrfFBpY3R1cmUgMTZ8Vm1wRFJEQXhNREFFQXdJQkFBQUFBQUFBQUFBQUFBQ0FBQUFBQUFNQUZnQUFBRU5vWlcxRWNtRjNJREl5TGpJdU1DNHpNekF3Q0FBVEFBQUFWVzUwYVhSc1pXUWdSRzlqZFcxbGJuUUVBaEFBU3BsTEFBVnZOZ0J1QllFQWhxMzVBQUVKQ0FBQWdMVUFBSUMxQUFJSkNBQUF3Q0VBQU1DMUFnMElBUUFCQ0FjQkFBRTZCQUVBQVRzRUFRQUFSUVFCQUFFOEJBRUFBRW9FQVFBQURBWUJBQUVQQmdFQUFRMEdBUUFBUWdRQkFBQkRCQUVBQUVRRUFRQUFEZ2dDQU5VSk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09RRkFBQUVBaEFBQUFBQUFBQUFBQUQ4ZFlvQVQ2T2hDUllJQkFBQUFDUUFHQWdFQUFBQUpBQVpDQUFBRUFnQ0FBRUFEd2dDQUFFQUE0Q25CUUFBQkFJUUFFcVpTd0FGYnpZQWJnV0JBSWF0K1FBS0FBSUFxUUlFZ0tnRkFBQUFBZ2dBU2hsVUFJWjkrUUFLQUFJQXFnSTNCQUVBQVFBQUJJQ3BCUUFBQUFJSUFFcVpYQUNWeE9vQUNnQUNBS3NDQWdRQ0FBY0FLd1FDQUFBQUlRUUJBQUZJQkFBQU53UUJBQUVHZ0FBQUFBQUFBZ2dBZlV4aEFGVnY1Z0FFQWhBQVd3cFdBRlZ2NWdCOVRHRUFWVnYwQUNNSUFRQUFBZ2NDQUFBQUJRY0JBQUVBQnc0QUFRQUFBQU1BWUFEd0FBQUFUaXNKQnc0QUFRQUFBQU1BWUFEd0FBQUFUaXNBQUFBQUJJQ3FCUUFBQUFJSUFFcVpTd0NWeE9vQUNnQUNBS3dDTndRQkFBRUFBQVNBcXdVQUFBQUNDQUJLR1dVQWhuMzVBQW9BQWdDdEFqY0VBUUFCQUFBRWdLd0ZBQUFBQWdnQVNobGxBS01MM0FBS0FBSUFyZ0kzQkFFQUFRQUFCSUN0QlFBQUFBSUlBRXFaWEFDeVVzMEFDZ0FDQUs4Q053UUJBQUVBQUFTQXJnVUFBQUFDQ0FCS0dXVUF3Wm0rQUFvQUFnQ3dBamNFQVFBQkFBQUVnSzhGQUFBQUFnZ0FTcGxjQU0vZ3J3QUtBQUlBc1FJQ0JBSUFCd0FyQkFJQUFRQklCQUFBTndRQkFBRUdnQUFBQUFBQUFnZ0E0MUpYQUkrTHF3QUVBaEFBU2xsTkFJK0xxd0I5VEdFQUR6YTBBQ01JQVFBQUFnY0NBQUFBQlFjQkFBUUVCd1lBQWdBQ0FBUUFBQWNPQUFFQUFBQURBR0FBOEFBQUFFNUlDUWNPQUFFQUFBQURBR0FBOEFBQUFFNUlBQUFBQUFTQXNBVUFBQUFDQ0FCS0dXVUEzaWVoQUFvQUFnQ3lBZ0lFQWdBUUFDc0VBZ0FBQUVnRUFBQTNCQUVBQVFhQUFBQUFBQUFDQ0FCOXpHa0FYaWVkQUFRQ0VBQVdwbDhBWGllZEFPUHlhUUJlS0tVQUl3Z0JBQUFDQndJQUFBQUFCdzBBQVFBQUFBTUFZQUR3QUFBQVV3a0hEUUFCQUFBQUF3QmdBUEFBQUFCVEFBQUFBQVNBc1FVQUFBQUNDQUJZWUZZQTNxZVlBQW9BQWdDekFnSUVBZ0FJQUNzRUFnQUFBRWdFQUFBM0JBRUFBUWFBQUFBQUFBQUNDQUNMRTFzQUh2MlRBQVFDRUFBazdWQUFIdjJUQVBFNVd3Q2VVcDBBSXdnQkFBQUNCd0lBQUFBQUJ3MEFBUUFBQUFNQVlBRHdBQUFBVHdrSERRQUJBQUFBQXdCZ0FQQUFBQUJQQUFBQUFBU0FzZ1VBQUFBQ0NBQTcwbk1BM3FlcEFBb0FBZ0MwQWdJRUFnQUlBQ3NFQWdBQUFFZ0VBQUEzQkFFQUFRYUFBQUFBQUFBQ0NBQnVoWGdBSHYya0FBUUNFQUFIWDI0QUh2MmtBTlNyZUFDZVVxNEFJd2dCQUFBQ0J3SUFBQUFBQncwQUFRQUFBQU1BWUFEd0FBQUFUd2tIRFFBQkFBQUFBd0JnQVBBQUFBQlBBQUFBQUFTQXN3VUFBQUFDQ0FCS21XMEE3VzZTQUFvQUFnQzFBamNFQVFBQkFBQUVnTFFGQUFBQUFnZ0FTaGxsQVB5MWd3QUtBQUlBdGdJM0JBRUFBUUFBQklDMUJRQUFBQUlJQUVxWmJRQUsvWFFBQ2dBQ0FMY0NOd1FCQUFFQUFBU0F0Z1VBQUFBQ0NBQktHV1VBR1VSbUFBb0FBZ0M0QWpjRUFRQUJBQUFFZ0xjRkFBQUFBZ2dBU3BsdEFDaUxWd0FLQUFJQXVRSTNCQUVBQVFBQUJJQzRCUUFBQUFJSUFFb1paUUEyMGtnQUNnQUNBTG9DTndRQkFBRUFBQVNBdVFVQUFBQUNDQUJLbVcwQVJSazZBQW9BQWdDN0FnSUVBZ0FKQUNzRUFnQUFBRWdFQUFBM0JBRUFBUWFBQUFBQUFBQUNDQUI5VEhJQUJXODJBQVFDRUFEalVtZ0FCVzgyQUgxTWNnQ0Z3ejBBSXdnQkFBQUNCd0lBQUFBQUJ3MEFBUUFBQUFNQVlBRHdBQUFBUmdrSERRQUJBQUFBQXdCZ0FQQUFBQUJHQUFBQUFBU0F1Z1VBQUFBQ0NBQktHVlFBTnRKSUFBb0FBZ0M4QWdJRUFnQUpBQ3NFQWdBQUFFZ0VBQUEzQkFFQUFRYUFBQUFBQUFBQ0NBQjl6RmdBOWlkRkFBUUNFQURqMGs0QTlpZEZBSDNNV0FCMmZFd0FJd2dCQUFBQ0J3SUFBQUFBQncwQUFRQUFBQU1BWUFEd0FBQUFSZ2tIRFFBQkFBQUFBd0JnQVBBQUFBQkdBQUFBQUFTQXV3VUFBQUFDQ0FCS21Wd0FSUms2QUFvQUFnQzlBZ0lFQWdBSkFDc0VBZ0FBQUVnRUFBQTNCQUVBQVFhQUFBQUFBQUFDQ0FCOVRHRUFCVzgyQUFRQ0VBRGpVbGNBQlc4MkFIMU1ZUUNGd3owQUl3Z0JBQUFDQndJQUFBQUFCdzBBQVFBQUFBTUFZQUR3QUFBQVJna0hEUUFCQUFBQUF3QmdBUEFBQUFCR0FBQUFBQVNBdkFVQUFBQUNDQUE3VW53QUtBdFBBQW9BQWdDK0FnSUVBZ0FKQUNzRUFnQUFBRWdFQUFBM0JBRUFBUWFBQUFBQUFBQUNDQUJ1QllFQTZHQkxBQVFDRUFEVUMzY0E2R0JMQUc0RmdRQm90VklBSXdnQkFBQUNCd0lBQUFBQUJ3MEFBUUFBQUFNQVlBRHdBQUFBUmdrSERRQUJBQUFBQXdCZ0FQQUFBQUJHQUFBQUFBU0F2UVVBQUFBQ0NBQTdVbndBS0F0Z0FBb0FBZ0MvQWdJRUFnQUpBQ3NFQWdBQUFFZ0VBQUEzQkFFQUFRYUFBQUFBQUFBQ0NBQnVCWUVBNkdCY0FBUUNFQURVQzNjQTZHQmNBRzRGZ1FCb3RXTUFJd2dCQUFBQ0J3SUFBQUFBQncwQUFRQUFBQU1BWUFEd0FBQUFSZ2tIRFFBQkFBQUFBd0JnQVBBQUFBQkdBQUFBQUFTQXZnVUFBQUFDQ0FCWVlGWUFHY1J1QUFvQUFnREFBZ0lFQWdBSkFDc0VBZ0FBQUVnRUFBQTNCQUVBQVFhQUFBQUFBQUFDQ0FDTEUxc0EyUmxyQUFRQ0VBRHhHVkVBMlJsckFJc1RXd0JaYm5JQUl3Z0JBQUFDQndJQUFBQUFCdzBBQVFBQUFBTUFZQUR3QUFBQVJna0hEUUFCQUFBQUF3QmdBUEFBQUFCR0FBQUFBQVNBdndVQUFBQUNDQUJZWUZZQUdjUmRBQW9BQWdEQkFnSUVBZ0FKQUNzRUFnQUFBRWdFQUFBM0JBRUFBUWFBQUFBQUFBQUNDQUNMRTFzQTJSbGFBQVFDRUFEeEdWRUEyUmxhQUlzVFd3QlpibUVBSXdnQkFBQUNCd0lBQUFBQUJ3MEFBUUFBQUFNQVlBRHdBQUFBUmdrSERRQUJBQUFBQXdCZ0FQQUFBQUJHQUFBQUFBU0F3QVVBQUFBQ0NBQTdVbndBQ24xc0FBb0FBZ0RDQWdJRUFnQUpBQ3NFQWdBQUFFZ0VBQUEzQkFFQUFRYUFBQUFBQUFBQ0NBQnVCWUVBeXRKb0FBUUNFQURVQzNjQXl0Sm9BRzRGZ1FCS0ozQUFJd2dCQUFBQ0J3SUFBQUFBQncwQUFRQUFBQU1BWUFEd0FBQUFSZ2tIRFFBQkFBQUFBd0JnQVBBQUFBQkdBQUFBQUFTQXdRVUFBQUFDQ0FBN1Vud0FDbjE5QUFvQUFnRERBZ0lFQWdBSkFDc0VBZ0FBQUVnRUFBQTNCQUVBQVFhQUFBQUFBQUFDQ0FCdUJZRUF5dEo1QUFRQ0VBRFVDM2NBeXRKNUFHNEZnUUJLSjRFQUl3Z0JBQUFDQndJQUFBQUFCdzBBQVFBQUFBTUFZQUR3QUFBQVJna0hEUUFCQUFBQUF3QmdBUEFBQUFCR0FBQUFBQVNBd2dVQUFBQUNDQUJZWUZZQS9EV01BQW9BQWdERUFnSUVBZ0FKQUNzRUFnQUFBRWdFQUFBM0JBRUFBUWFBQUFBQUFBQUNDQUNMRTFzQXZJdUlBQVFDRUFEeEdWRUF2SXVJQUlzVFd3QTg0SThBSXdnQkFBQUNCd0lBQUFBQUJ3MEFBUUFBQUFNQVlBRHdBQUFBUmdrSERRQUJBQUFBQXdCZ0FQQUFBQUJHQUFBQUFBU0F3d1VBQUFBQ0NBQllZRllBL0RWN0FBb0FBZ0RGQWdJRUFnQUpBQ3NFQWdBQUFFZ0VBQUEzQkFFQUFRYUFBQUFBQUFBQ0NBQ0xFMXNBdkl0M0FBUUNFQUR4R1ZFQXZJdDNBSXNUV3dBODRINEFJd2dCQUFBQ0J3SUFBQUFBQncwQUFRQUFBQU1BWUFEd0FBQUFSZ2tIRFFBQkFBQUFBd0JnQVBBQUFBQkdBQUFBQUFTQXhBVUFBQUFDQ0FBN1Vud0E3ZTZKQUFvQUFnREdBZ0lFQWdBSkFDc0VBZ0FBQUVnRUFBQTNCQUVBQVFhQUFBQUFBQUFDQ0FCdUJZRUFyVVNHQUFRQ0VBRFVDM2NBclVTR0FHNEZnUUF0bVkwQUl3Z0JBQUFDQndJQUFBQUFCdzBBQVFBQUFBTUFZQUR3QUFBQVJna0hEUUFCQUFBQUF3QmdBUEFBQUFCR0FBQUFBQVNBeFFVQUFBQUNDQUE3VW53QTdlNmFBQW9BQWdESEFnSUVBZ0FKQUNzRUFnQUFBRWdFQUFBM0JBRUFBUWFBQUFBQUFBQUNDQUJ1QllFQXJVU1hBQVFDRUFEVUMzY0FyVVNYQUc0RmdRQXRtWjRBSXdnQkFBQUNCd0lBQUFBQUJ3MEFBUUFBQUFNQVlBRHdBQUFBUmdrSERRQUJBQUFBQXdCZ0FQQUFBQUJHQUFBQUFBV0F4Z1VBQUFvQUFnRElBZ1FHQkFDb0JRQUFCUVlFQUtrRkFBQUtCZ0VBQVFBQUJZREhCUUFBQ2dBQ0FNa0NCQVlFQUtrRkFBQUZCZ1FBcWdVQUFBb0dBUUFCQUFBRmdNZ0ZBQUFLQUFJQXlnSUVCZ1FBcVFVQUFBVUdCQUNyQlFBQUNnWUJBQUVBQUFXQXlRVUFBQW9BQWdETEFnUUdCQUNwQlFBQUJRWUVBS3dGQUFBS0JnRUFBUUFBQllES0JRQUFDZ0FDQU13Q0JBWUVBS3dGQUFBRkJnUUFyUVVBQUFvR0FRQUJBQUFGZ01zRkFBQUtBQUlBelFJRUJnUUFyUVVBQUFVR0JBQ3VCUUFBQ2dZQkFBRUFBQVdBekFVQUFBb0FBZ0RPQWdRR0JBQ3VCUUFBQlFZRUFLOEZBQUFLQmdFQUFRQUFCWUROQlFBQUNnQUNBTThDQkFZRUFLOEZBQUFGQmdRQXNBVUFBQW9HQVFBQkFBQUZnTTRGQUFBS0FBSUEwQUlFQmdRQXNBVUFBQVVHQkFDeEJRQUFBQVlDQUFJQUNnWUJBQUVBQUFXQXp3VUFBQW9BQWdEUkFnUUdCQUN3QlFBQUJRWUVBTElGQUFBQUJnSUFBZ0FLQmdFQUFRQUFCWURRQlFBQUNnQUNBTklDQkFZRUFMQUZBQUFGQmdRQXN3VUFBQW9HQVFBQkFBQUZnTkVGQUFBS0FBSUEwd0lFQmdRQXN3VUFBQVVHQkFDMEJRQUFDZ1lCQUFFQUFBV0EwZ1VBQUFvQUFnRFVBZ1FHQkFDMEJRQUFCUVlFQUxVRkFBQUtCZ0VBQVFBQUJZRFRCUUFBQ2dBQ0FOVUNCQVlFQUxVRkFBQUZCZ1FBdGdVQUFBb0dBUUFCQUFBRmdOUUZBQUFLQUFJQTFnSUVCZ1FBdHdVQUFBVUdCQUM0QlFBQUNnWUJBQUVBQUFXQTFRVUFBQW9BQWdEWEFnUUdCQUM0QlFBQUJRWUVBTGtGQUFBS0JnRUFBUUFBQllEV0JRQUFDZ0FDQU5nQ0JBWUVBTGdGQUFBRkJnUUF1Z1VBQUFvR0FRQUJBQUFGZ05jRkFBQUtBQUlBMlFJRUJnUUF1QVVBQUFVR0JBQzdCUUFBQ2dZQkFBRUFBQVdBMkFVQUFBb0FBZ0RhQWdRR0JBQzNCUUFBQlFZRUFMd0ZBQUFLQmdFQUFRQUFCWURaQlFBQUNnQUNBTnNDQkFZRUFMY0ZBQUFGQmdRQXZRVUFBQW9HQVFBQkFBQUZnTm9GQUFBS0FBSUEzQUlFQmdRQXRnVUFBQVVHQkFDK0JRQUFDZ1lCQUFFQUFBV0Eyd1VBQUFvQUFnRGRBZ1FHQkFDMkJRQUFCUVlFQUw4RkFBQUtCZ0VBQVFBQUJZRGNCUUFBQ2dBQ0FONENCQVlFQUxVRkFBQUZCZ1FBd0FVQUFBb0dBUUFCQUFBRmdOMEZBQUFLQUFJQTN3SUVCZ1FBdFFVQUFBVUdCQURCQlFBQUNnWUJBQUVBQUFXQTNnVUFBQW9BQWdEZ0FnUUdCQUMwQlFBQUJRWUVBTUlGQUFBS0JnRUFBUUFBQllEZkJRQUFDZ0FDQU9FQ0JBWUVBTFFGQUFBRkJnUUF3d1VBQUFvR0FRQUJBQUFGZ09BRkFBQUtBQUlBNGdJRUJnUUFzd1VBQUFVR0JBREVCUUFBQ2dZQkFBRUFBQVdBNFFVQUFBb0FBZ0RqQWdRR0JBQ3pCUUFBQlFZRUFNVUZBQUFLQmdFQUFRQUFCWURpQlFBQUNnQUNBT1FDQkFZRUFMY0ZBQUFGQmdRQXRnVUFBQW9HQVFBQkFBQUFBQUFBQUFBQUFBPT0=</t>
        </r>
      </text>
    </comment>
    <comment ref="D30" authorId="0" shapeId="0" xr:uid="{815625F0-30D7-4BC3-B40B-8F7388391D63}">
      <text>
        <r>
          <rPr>
            <sz val="9"/>
            <color indexed="81"/>
            <rFont val="Tahoma"/>
            <family val="2"/>
          </rPr>
          <t>QzE1SDE2RjE3TjJPNFMrfFBpY3R1cmUgMTJ8Vm1wRFJEQXhNREFFQXdJQkFBQUFBQUFBQUFBQUFBQ0FBQUFBQUFNQUZnQUFBRU5vWlcxRWNtRjNJREl5TGpJdU1DNHpNekF3Q0FBVEFBQUFWVzUwYVhSc1pXUWdSRzlqZFcxbGJuUUVBaEFBSUYwS0FWeDRLUUNhZm1vQkl5VDBBUUVKQ0FBQWdMVUFBSUMxQUFJSkNBQUF3Q0VBQU1DMUFnMElBUUFCQ0FjQkFBRTZCQUVBQVRzRUFRQUFSUVFCQUFFOEJBRUFBRW9FQVFBQURBWUJBQUVQQmdFQUFRMEdBUUFBUWdRQkFBQkRCQUVBQUVRRUFRQUFEZ2dDQU1jWk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VVREFBQUVBaEFBQUFBQUFBQUFBQUM5cXF3QmhDWGdHQllJQkFBQUFDUUFHQWdFQUFBQUpBQVpDQUFBRUFnQ0FBRUFEd2dDQUFFQUE0RDFBZ0FBQkFJUUFDQmRDZ0ZjZUNrQW1uNXFBU01rOUFFS0FBSUFSQUlFZ1BZQ0FBQUFBZ2dBUWRVVEFhbmRwd0VLQUFJQVJRSTNCQUVBQVFBQUJJRDNBZ0FBQUFJSUFGVFFMUUdwM1pnQkNnQUNBRVlDQWdRQ0FBY0FLd1FDQUFBQUlRUUJBQUZJQkFBQU53UUJBQUVHZ0FBQUFBQUFBZ2dBaDRNeUFXbUlsQUVFQWhBQVpVRW5BV21JbEFHSGd6SUJhWFNpQVNNSUFRQUFBZ2NDQUFBQUJRY0JBQUVBQnc0QUFRQUFBQU1BWUFEd0FBQUFUaXNKQnc0QUFRQUFBQU1BWUFEd0FBQUFUaXNBQUFBQUJJRDRBZ0FBQUFJSUFFSFZFd0dwM1lrQkNnQUNBRWNDTndRQkFBRUFBQVNBK1FJQUFBQUNDQUJVMER3Qmx1SitBUW9BQWdCSUFqY0VBUUFCQUFBRWdQb0NBQUFBQWdnQVZOQXRBWVBuWkFFS0FBSUFTUUkzQkFFQUFRQUFCSUQ3QWdBQUFBSUlBRlRRUEFGdzdFb0JDZ0FDQUVvQ053UUJBQUVBQUFTQS9BSUFBQUFDQ0FCVTBDMEJYUEV3QVFvQUFnQkxBZ0lFQWdBSEFDc0VBZ0FCQUVnRUFBQTNCQUVBQVFhQUFBQUFBQUFDQ0FEdGlTZ0JISndzQVFRQ0VBQlVrQjRCSEp3c0FZZURNZ0djUmpVQkl3Z0JBQUFDQndJQUFBQUZCd0VBQkFRSEJnQUNBQUlBQkFBQUJ3NEFBUUFBQUFNQVlBRHdBQUFBVGtnSkJ3NEFBUUFBQUFNQVlBRHdBQUFBVGtnQUFBQUFCSUQ5QWdBQUFBSUlBRlRRUEFGSjloWUJDZ0FDQUV3Q0FnUUNBQkFBS3dRQ0FBQUFTQVFBQURjRUFRQUJCb0FBQUFBQUFBSUlBSWVEUVFISjlSSUJCQUlRQUNCZE53SEo5UklCN2FsQkFjbjJHZ0VqQ0FFQUFBSUhBZ0FBQUFBSERRQUJBQUFBQXdCZ0FQQUFBQUJUQ1FjTkFBRUFBQUFEQUdBQThBQUFBRk1BQUFBQUJJRCtBZ0FBQUFJSUFFSFZJZ0ZKOWdjQkNnQUNBRTBDQWdRQ0FBZ0FLd1FDQUFBQVNBUUFBRGNFQVFBQkJvQUFBQUFBQUFJSUFIU0lKd0dKU3dNQkJBSVFBQTFpSFFHSlN3TUIycTRuQVFtaERBRWpDQUVBQUFJSEFnQUFBQUFIRFFBQkFBQUFBd0JnQVBBQUFBQlBDUWNOQUFFQUFBQURBR0FBOEFBQUFFOEFBQUFBQklEL0FnQUFBQUlJQUdmTFZnRko5aVVCQ2dBQ0FFNENBZ1FDQUFnQUt3UUNBQUFBU0FRQUFEY0VBUUFCQm9BQUFBQUFBQUlJQUpwK1d3R0pTeUVCQkFJUUFETllVUUdKU3lFQkFLVmJBUW1oS2dFakNBRUFBQUlIQWdBQUFBQUhEUUFCQUFBQUF3QmdBUEFBQUFCUENRY05BQUVBQUFBREFHQUE4QUFBQUU4QUFBQUFCSUFBQXdBQUFBSUlBRlRRU3dFMisvd0FDZ0FDQUU4Q053UUJBQUVBQUFTQUFRTUFBQUFDQ0FCVTBEd0JJd0RqQUFvQUFnQlFBamNFQVFBQkFBQUVnQUlEQUFBQUFnZ0FWTkJMQVE4RnlRQUtBQUlBVVFJM0JBRUFBUUFBQklBREF3QUFBQUlJQUZUUVBBSDhDYThBQ2dBQ0FGSUNOd1FCQUFFQUFBU0FCQU1BQUFBQ0NBQlUwRXNCNlE2VkFBb0FBZ0JUQWpjRUFRQUJBQUFFZ0FVREFBQUFBZ2dBVk5BOEFkWVRld0FLQUFJQVZBSTNCQUVBQVFBQUJJQUdBd0FBQUFJSUFGVFFTd0hER0dFQUNnQUNBRlVDTndRQkFBRUFBQVNBQndNQUFBQUNDQUJVMER3QnJ4MUhBQW9BQWdCV0FqY0VBUUFCQUFBRWdBZ0RBQUFBQWdnQVZOQWVBYThkUndBS0FBSUFWd0lDQkFJQUNRQXJCQUlBQUFCSUJBQUFOd1FCQUFFR2dBQUFBQUFBQWdnQWg0TWpBVzl6UXdBRUFoQUE3WWtaQVc5elF3Q0hneU1CNzhkS0FDTUlBUUFBQWdjQ0FBQUFBQWNOQUFFQUFBQURBR0FBOEFBQUFFWUpCdzBBQVFBQUFBTUFZQUR3QUFBQVJnQUFBQUFFZ0FrREFBQUFBZ2dBVk5BdEFad2lMUUFLQUFJQVdBSUNCQUlBQ1FBckJBSUFBQUJJQkFBQU53UUJBQUVHZ0FBQUFBQUFBZ2dBaDRNeUFWeDRLUUFFQWhBQTdZa29BVng0S1FDSGd6SUIzTXd3QUNNSUFRQUFBZ2NDQUFBQUFBY05BQUVBQUFBREFHQUE4QUFBQUVZSkJ3MEFBUUFBQUFNQVlBRHdBQUFBUmdBQUFBQUVnQW9EQUFBQUFnZ0FWTkJMQVp3aUxRQUtBQUlBV1FJQ0JBSUFDUUFyQkFJQUFBQklCQUFBTndRQkFBRUdnQUFBQUFBQUFnZ0FoNE5RQVZ4NEtRQUVBaEFBN1lsR0FWeDRLUUNIZzFBQjNNd3dBQ01JQVFBQUFnY0NBQUFBQUFjTkFBRUFBQUFEQUdBQThBQUFBRVlKQncwQUFRQUFBQU1BWUFEd0FBQUFSZ0FBQUFBRWdBc0RBQUFBQWdnQVo4dGxBY01ZVWdBS0FBSUFXZ0lDQkFJQUNRQXJCQUlBQUFCSUJBQUFOd1FCQUFFR2dBQUFBQUFBQWdnQW1uNXFBWU51VGdBRUFoQUFBSVZnQVlOdVRnQ2FmbW9CQThOVkFDTUlBUUFBQWdjQ0FBQUFBQWNOQUFFQUFBQURBR0FBOEFBQUFFWUpCdzBBQVFBQUFBTUFZQUR3QUFBQVJnQUFBQUFFZ0F3REFBQUFBZ2dBWjh0bEFjTVljQUFLQUFJQVd3SUNCQUlBQ1FBckJBSUFBQUJJQkFBQU53UUJBQUVHZ0FBQUFBQUFBZ2dBbW41cUFZTnViQUFFQWhBQUFJVmdBWU51YkFDYWZtb0JBOE56QUNNSUFRQUFBZ2NDQUFBQUFBY05BQUVBQUFBREFHQUE4QUFBQUVZSkJ3MEFBUUFBQUFNQVlBRHdBQUFBUmdBQUFBQUVnQTBEQUFBQUFnZ0FRZFVpQWRZVGlnQUtBQUlBWEFJQ0JBSUFDUUFyQkFJQUFBQklCQUFBTndRQkFBRUdnQUFBQUFBQUFnZ0FkSWduQVpacGhnQUVBaEFBMm80ZEFaWnBoZ0IwaUNjQkZyNk5BQ01JQVFBQUFnY0NBQUFBQUFjTkFBRUFBQUFEQUdBQThBQUFBRVlKQncwQUFRQUFBQU1BWUFEd0FBQUFSZ0FBQUFBRWdBNERBQUFBQWdnQVFkVWlBZFlUYkFBS0FBSUFYUUlDQkFJQUNRQXJCQUlBQUFCSUJBQUFOd1FCQUFFR2dBQUFBQUFBQWdnQWRJZ25BWlpwYUFBRUFoQUEybzRkQVpacGFBQjBpQ2NCRnI1dkFDTUlBUUFBQWdjQ0FBQUFBQWNOQUFFQUFBQURBR0FBOEFBQUFFWUpCdzBBQVFBQUFBTUFZQUR3QUFBQVJnQUFBQUFFZ0E4REFBQUFBZ2dBWjh0bEFla09oZ0FLQUFJQVhnSUNCQUlBQ1FBckJBSUFBQUJJQkFBQU53UUJBQUVHZ0FBQUFBQUFBZ2dBbW41cUFhbGtnZ0FFQWhBQUFJVmdBYWxrZ2dDYWZtb0JLYm1KQUNNSUFRQUFBZ2NDQUFBQUFBY05BQUVBQUFBREFHQUE4QUFBQUVZSkJ3MEFBUUFBQUFNQVlBRHdBQUFBUmdBQUFBQUVnQkFEQUFBQUFnZ0FaOHRsQWVrT3BBQUtBQUlBWHdJQ0JBSUFDUUFyQkFJQUFBQklCQUFBTndRQkFBRUdnQUFBQUFBQUFnZ0FtbjVxQWFsa29BQUVBaEFBQUlWZ0FhbGtvQUNhZm1vQktibW5BQ01JQVFBQUFnY0NBQUFBQUFjTkFBRUFBQUFEQUdBQThBQUFBRVlKQncwQUFRQUFBQU1BWUFEd0FBQUFSZ0FBQUFBRWdCRURBQUFBQWdnQVFkVWlBZndKdmdBS0FBSUFZQUlDQkFJQUNRQXJCQUlBQUFCSUJBQUFOd1FCQUFFR2dBQUFBQUFBQWdnQWRJZ25BYnhmdWdBRUFoQUEybzRkQWJ4ZnVnQjBpQ2NCUExUQkFDTUlBUUFBQWdjQ0FBQUFBQWNOQUFFQUFBQURBR0FBOEFBQUFFWUpCdzBBQVFBQUFBTUFZQUR3QUFBQVJnQUFBQUFFZ0JJREFBQUFBZ2dBUWRVaUFmd0pvQUFLQUFJQVlRSUNCQUlBQ1FBckJBSUFBQUJJQkFBQU53UUJBQUVHZ0FBQUFBQUFBZ2dBZElnbkFieGZuQUFFQWhBQTJvNGRBYnhmbkFCMGlDY0JQTFNqQUNNSUFRQUFBZ2NDQUFBQUFBY05BQUVBQUFBREFHQUE4QUFBQUVZSkJ3MEFBUUFBQUFNQVlBRHdBQUFBUmdBQUFBQUVnQk1EQUFBQUFnZ0FaOHRsQVE4RnVnQUtBQUlBWWdJQ0JBSUFDUUFyQkFJQUFBQklCQUFBTndRQkFBRUdnQUFBQUFBQUFnZ0FtbjVxQWM5YXRnQUVBaEFBQUlWZ0FjOWF0Z0NhZm1vQlQ2KzlBQ01JQVFBQUFnY0NBQUFBQUFjTkFBRUFBQUFEQUdBQThBQUFBRVlKQncwQUFRQUFBQU1BWUFEd0FBQUFSZ0FBQUFBRWdCUURBQUFBQWdnQVo4dGxBUThGMkFBS0FBSUFZd0lDQkFJQUNRQXJCQUlBQUFCSUJBQUFOd1FCQUFFR2dBQUFBQUFBQWdnQW1uNXFBYzlhMUFBRUFoQUFBSVZnQWM5YTFBQ2FmbW9CVDYvYkFDTUlBUUFBQWdjQ0FBQUFBQWNOQUFFQUFBQURBR0FBOEFBQUFFWUpCdzBBQVFBQUFBTUFZQUR3QUFBQVJnQUFBQUFFZ0JVREFBQUFBZ2dBUWRVaUFTTUE4Z0FLQUFJQVpBSUNCQUlBQ1FBckJBSUFBQUJJQkFBQU53UUJBQUVHZ0FBQUFBQUFBZ2dBZElnbkFlTlY3Z0FFQWhBQTJvNGRBZU5WN2dCMGlDY0JZNnIxQUNNSUFRQUFBZ2NDQUFBQUFBY05BQUVBQUFBREFHQUE4QUFBQUVZSkJ3MEFBUUFBQUFNQVlBRHdBQUFBUmdBQUFBQUVnQllEQUFBQUFnZ0FRZFVpQVNNQTFBQUtBQUlBWlFJQ0JBSUFDUUFyQkFJQUFBQklCQUFBTndRQkFBRUdnQUFBQUFBQUFnZ0FkSWduQWVOVjBBQUVBaEFBMm80ZEFlTlYwQUIwaUNjQlk2clhBQ01JQVFBQUFnY0NBQUFBQUFjTkFBRUFBQUFEQUdBQThBQUFBRVlKQncwQUFRQUFBQU1BWUFEd0FBQUFSZ0FBQUFBRWdCY0RBQUFBQWdnQVo4dGxBVGI3N1FBS0FBSUFaZ0lDQkFJQUNRQXJCQUlBQUFCSUJBQUFOd1FCQUFFR2dBQUFBQUFBQWdnQW1uNXFBZlpRNmdBRUFoQUFBSVZnQWZaUTZnQ2FmbW9CZHFYeEFDTUlBUUFBQWdjQ0FBQUFBQWNOQUFFQUFBQURBR0FBOEFBQUFFWUpCdzBBQVFBQUFBTUFZQUR3QUFBQVJnQUFBQUFFZ0JnREFBQUFBZ2dBWjh0bEFUYjdDd0VLQUFJQVp3SUNCQUlBQ1FBckJBSUFBQUJJQkFBQU53UUJBQUVHZ0FBQUFBQUFBZ2dBbW41cUFmWlFDQUVFQWhBQUFJVmdBZlpRQ0FHYWZtb0JkcVVQQVNNSUFRQUFBZ2NDQUFBQUFBY05BQUVBQUFBREFHQUE4QUFBQUVZSkJ3MEFBUUFBQUFNQVlBRHdBQUFBUmdBQUFBQUVnQmtEQUFBQUFnZ0FWTkE4QWJ6WXNnRUtBQUlBYUFJM0JBRUFBUUFBQklBYUF3QUFBQUlJQUZUUUxRSFEwOHdCQ2dBQ0FHa0NOd1FCQUFFQUFBU0FHd01BQUFBQ0NBQlUwQThCME5QTUFRb0FBZ0JxQWdJRUFnQUlBQ3NFQWdBQUFFZ0VBQUEzQkFFQUFRYUFBQUFBQUFBQ0NBQ0hneFFCRUNuSUFRUUNFQUFnWFFvQkVDbklBZTJwRkFHUWZ0RUJJd2dCQUFBQ0J3SUFBQUFBQncwQUFRQUFBQU1BWUFEd0FBQUFUd2tIRFFBQkFBQUFBd0JnQVBBQUFBQlBBQUFBQUFTQUhBTUFBQUFDQ0FCVTBEd0I0ODdtQVFvQUFnQnJBZ0lFQWdBSUFDc0VBZ0FCQUVnRUFBQTNCQUVBQVFhQUFBQUFBQUFDQ0FDSGcwRUJJeVRpQVFRQ0VBQWdYVGNCSXlUaUFlMnBRUUVqSlBRQkl3Z0JBQUFDQndJQUFBQUZCd0VBQVFBSERnQUJBQUFBQXdCZ0FQQUFBQUJQU0FrSERnQUJBQUFBQXdCZ0FQQUFBQUJQU0FBQUFBQUZnQjBEQUFBS0FBSUFiQUlFQmdRQTlnSUFBQVVHQkFEM0FnQUFDZ1lCQUFFQUFBV0FIZ01BQUFvQUFnQnRBZ1FHQkFEM0FnQUFCUVlFQVBnQ0FBQUtCZ0VBQVFBQUJZQWZBd0FBQ2dBQ0FHNENCQVlFQVBjQ0FBQUZCZ1FBK1FJQUFBb0dBUUFCQUFBRmdDQURBQUFLQUFJQWJ3SUVCZ1FBK1FJQUFBVUdCQUQ2QWdBQUNnWUJBQUVBQUFXQUlRTUFBQW9BQWdCd0FnUUdCQUQ2QWdBQUJRWUVBUHNDQUFBS0JnRUFBUUFBQllBaUF3QUFDZ0FDQUhFQ0JBWUVBUHNDQUFBRkJnUUEvQUlBQUFvR0FRQUJBQUFGZ0NNREFBQUtBQUlBY2dJRUJnUUEvQUlBQUFVR0JBRDlBZ0FBQ2dZQkFBRUFBQVdBSkFNQUFBb0FBZ0J6QWdRR0JBRDlBZ0FBQlFZRUFQNENBQUFBQmdJQUFnQUtCZ0VBQVFBQUJZQWxBd0FBQ2dBQ0FIUUNCQVlFQVAwQ0FBQUZCZ1FBL3dJQUFBQUdBZ0FDQUFvR0FRQUJBQUFGZ0NZREFBQUtBQUlBZFFJRUJnUUEvUUlBQUFVR0JBQUFBd0FBQ2dZQkFBRUFBQVdBSndNQUFBb0FBZ0IyQWdRR0JBQUFBd0FBQlFZRUFBRURBQUFLQmdFQUFRQUFCWUFvQXdBQUNnQUNBSGNDQkFZRUFBRURBQUFGQmdRQUFnTUFBQW9HQVFBQkFBQUZnQ2tEQUFBS0FBSUFlQUlFQmdRQUFnTUFBQVVHQkFBREF3QUFDZ1lCQUFFQUFBV0FLZ01BQUFvQUFnQjVBZ1FHQkFBREF3QUFCUVlFQUFRREFBQUtCZ0VBQVFBQUJZQXJBd0FBQ2dBQ0FIb0NCQVlFQUFRREFBQUZCZ1FBQlFNQUFBb0dBUUFCQUFBRmdDd0RBQUFLQUFJQWV3SUVCZ1FBQlFNQUFBVUdCQUFHQXdBQUNnWUJBQUVBQUFXQUxRTUFBQW9BQWdCOEFnUUdCQUFHQXdBQUJRWUVBQWNEQUFBS0JnRUFBUUFBQllBdUF3QUFDZ0FDQUgwQ0JBWUVBQWNEQUFBRkJnUUFDQU1BQUFvR0FRQUJBQUFGZ0M4REFBQUtBQUlBZmdJRUJnUUFCd01BQUFVR0JBQUpBd0FBQ2dZQkFBRUFBQVdBTUFNQUFBb0FBZ0IvQWdRR0JBQUhBd0FBQlFZRUFBb0RBQUFLQmdFQUFRQUFCWUF4QXdBQUNnQUNBSUFDQkFZRUFBWURBQUFGQmdRQUN3TUFBQW9HQVFBQkFBQUZnRElEQUFBS0FBSUFnUUlFQmdRQUJnTUFBQVVHQkFBTUF3QUFDZ1lCQUFFQUFBV0FNd01BQUFvQUFnQ0NBZ1FHQkFBRkF3QUFCUVlFQUEwREFBQUtCZ0VBQVFBQUJZQTBBd0FBQ2dBQ0FJTUNCQVlFQUFVREFBQUZCZ1FBRGdNQUFBb0dBUUFCQUFBRmdEVURBQUFLQUFJQWhBSUVCZ1FBQkFNQUFBVUdCQUFQQXdBQUNnWUJBQUVBQUFXQU5nTUFBQW9BQWdDRkFnUUdCQUFFQXdBQUJRWUVBQkFEQUFBS0JnRUFBUUFBQllBM0F3QUFDZ0FDQUlZQ0JBWUVBQU1EQUFBRkJnUUFFUU1BQUFvR0FRQUJBQUFGZ0RnREFBQUtBQUlBaHdJRUJnUUFBd01BQUFVR0JBQVNBd0FBQ2dZQkFBRUFBQVdBT1FNQUFBb0FBZ0NJQWdRR0JBQUNBd0FBQlFZRUFCTURBQUFLQmdFQUFRQUFCWUE2QXdBQUNnQUNBSWtDQkFZRUFBSURBQUFGQmdRQUZBTUFBQW9HQVFBQkFBQUZnRHNEQUFBS0FBSUFpZ0lFQmdRQUFRTUFBQVVHQkFBVkF3QUFDZ1lCQUFFQUFBV0FQQU1BQUFvQUFnQ0xBZ1FHQkFBQkF3QUFCUVlFQUJZREFBQUtCZ0VBQVFBQUJZQTlBd0FBQ2dBQ0FJd0NCQVlFQUFBREFBQUZCZ1FBRndNQUFBb0dBUUFCQUFBRmdENERBQUFLQUFJQWpRSUVCZ1FBQUFNQUFBVUdCQUFZQXdBQUNnWUJBQUVBQUFXQVB3TUFBQW9BQWdDT0FnUUdCQUQzQWdBQUJRWUVBQmtEQUFBS0JnRUFBUUFBQllCQUF3QUFDZ0FDQUk4Q0JBWUVBQmtEQUFBRkJnUUFHZ01BQUFvR0FRQUJBQUFGZ0VFREFBQUtBQUlBa0FJRUJnUUFHZ01BQUFVR0JBQWJBd0FBQUFZQ0FBSUFDZ1lCQUFFQUFBV0FRZ01BQUFvQUFnQ1JBZ1FHQkFBYUF3QUFCUVlFQUJ3REFBQUtCZ0VBQVFBQUFBQUFBQUFBQUFBPQ==</t>
        </r>
      </text>
    </comment>
    <comment ref="D31" authorId="0" shapeId="0" xr:uid="{2B421862-349C-4C63-AD38-34DDA8B2B247}">
      <text>
        <r>
          <rPr>
            <sz val="9"/>
            <color indexed="81"/>
            <rFont val="Tahoma"/>
            <family val="2"/>
          </rPr>
          <t>QzE1SDE0RjE3TjJPNFMtfFBpY3R1cmUgMjh8Vm1wRFJEQXhNREFFQXdJQkFBQUFBQUFBQUFBQUFBQ0FBQUFBQUFNQUZnQUFBRU5vWlcxRWNtRjNJREl5TGpJdU1DNHpNekF3Q0FBVEFBQUFWVzUwYVhSc1pXUWdSRzlqZFcxbGJuUUVBaEFBNjVPVUFGenBGUUJFYzg4QXBJVWJBUUVKQ0FBQUFDMEFBQUROQlFJSkNBQUF3Q0VBQU1DMUFnMElBUUFCQ0FjQkFBRTZCQUVBQVRzRUFRQUFSUVFCQUFFOEJBRUFBRW9FQVFBQURBWUJBQUVQQmdFQUFRMEdBUUFBUWdRQkFBQkRCQUVBQUVRRUFRQUFEZ2dDQUNFTE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JRRkFBQUVBaEFBQUFBQUFBQUFBQUMwSXRvQTkxLzhDaFlJQkFBQUFDUUFHQWdFQUFBQUpBQVpDQUFBRUFnQ0FBTUFEd2dDQUFFQUE0REZCQUFBQkFJUUFPdVRsQUJjNlJVQVJIUFBBS1NGR3dFS0FBSUEwUUVFZ01ZRUFBQUFBZ2dBTGs2Y0FOQXc4QUFLQUFJQTBnRTNCQUVBQVFBQUJJREhCQUFBQUFJSUFCOEhxd0RRc09jQUNnQUNBTk1CQWdRQ0FBY0FLd1FDQUFBQUlRUUJBQUZJQkFBQU53UUJBQUVHZ0FBQUFBQUFBZ2dBVXJxdkFKQmI0d0FFQWhBQU1IaWtBSkJiNHdCU3VxOEFrRWZ4QUNNSUFRQUFBZ2NDQUFBQUJRY0JBQUVBQnc0QUFRQUFBQU1BWUFEd0FBQUFUaXNKQnc0QUFRQUFBQU1BWUFEd0FBQUFUaXNBQUFBQUJJRElCQUFBQUFJSUFDNU9uQURRTU44QUNnQUNBTlFCTndRQkFBRUFBQVNBeVFRQUFBQUNDQUFmaDdNQTN2ZllBQW9BQWdEVkFUY0VBUUFCQUFBRWdNb0VBQUFBQWdnQUh3ZXJBTzAreWdBS0FBSUExZ0UzQkFFQUFRQUFCSURMQkFBQUFBSUlBQitIc3dEOGhic0FDZ0FDQU5jQk53UUJBQUVBQUFTQXpBUUFBQUFDQ0FBZkI2c0FDczJzQUFvQUFnRFlBUUlFQWdBSEFDc0VBZ0FBQUNFRUFRRC9TQVFBQURjRUFRQUJCb0FBQUFBQUFBSUlBRks2cndES2Q2Z0FCQUlRQUxqQXBRREtkNmdBVXJxdkFJb2h0QUFqQ0FFQUFBSUhBZ0FBQUFVSEFRQUJBQWNPQUFFQUFBQURBR0FBOEFBQUFFNHRDUWNPQUFFQUFBQURBR0FBOEFBQUFFNHRBQUFBQUFTQXpRUUFBQUFDQ0FBZmg3TUFHUlNlQUFvQUFnRFpBUUlFQWdBUUFDc0VBZ0FBQUVnRUFBQTNCQUVBQVFhQUFBQUFBQUFDQ0FCU09yZ0FtUk9hQUFRQ0VBRHJFNjRBbVJPYUFMaGd1QUNaRktJQUl3Z0JBQUFDQndJQUFBQUFCdzBBQVFBQUFBTUFZQUR3QUFBQVV3a0hEUUFCQUFBQUF3QmdBUEFBQUFCVEFBQUFBQVNBemdRQUFBQUNDQUF1enFRQUdaU1ZBQW9BQWdEYUFRSUVBZ0FJQUNzRUFnQUFBRWdFQUFBM0JBRUFBUWFBQUFBQUFBQUNDQUJoZ2FrQVdlbVFBQVFDRUFENldwOEFXZW1RQU1lbnFRRFpQcG9BSXdnQkFBQUNCd0lBQUFBQUJ3MEFBUUFBQUFNQVlBRHdBQUFBVHdrSERRQUJBQUFBQXdCZ0FQQUFBQUJQQUFBQUFBU0F6d1FBQUFBQ0NBQVFRTUlBR1pTbUFBb0FBZ0RiQVFJRUFnQUlBQ3NFQWdBQUFFZ0VBQUEzQkFFQUFRYUFBQUFBQUFBQ0NBQkQ4OFlBV2VtaEFBUUNFQURjekx3QVdlbWhBS2taeHdEWlBxc0FJd2dCQUFBQ0J3SUFBQUFBQncwQUFRQUFBQU1BWUFEd0FBQUFUd2tIRFFBQkFBQUFBd0JnQVBBQUFBQlBBQUFBQUFTQTBBUUFBQUFDQ0FBZkI3d0FLRnVQQUFvQUFnRGNBVGNFQVFBQkFBQUVnTkVFQUFBQUFnZ0FINGV6QURhaWdBQUtBQUlBM1FFM0JBRUFBUUFBQklEU0JBQUFBQUlJQUI4SHZBQkU2WEVBQ2dBQ0FONEJOd1FCQUFFQUFBU0Ewd1FBQUFBQ0NBQWZoN01BVXpCakFBb0FBZ0RmQVRjRUFRQUJBQUFFZ05RRUFBQUFBZ2dBSHdlOEFHSjNWQUFLQUFJQTRBRTNCQUVBQVFBQUJJRFZCQUFBQUFJSUFCK0hzd0J4dmtVQUNnQUNBT0VCTndRQkFBRUFBQVNBMWdRQUFBQUNDQUFmQjd3QWZ3VTNBQW9BQWdEaUFUY0VBUUFCQUFBRWdOY0VBQUFBQWdnQUg0ZXpBSTVNS0FBS0FBSUE0d0UzQkFFQUFRQUFCSURZQkFBQUFBSUlBQitIb2dDT1RDZ0FDZ0FDQU9RQkFnUUNBQWtBS3dRQ0FBQUFTQVFBQURjRUFRQUJCb0FBQUFBQUFBSUlBRkk2cHdCT29pUUFCQUlRQUxoQW5RQk9vaVFBVWpxbkFNNzJLd0FqQ0FFQUFBSUhBZ0FBQUFBSERRQUJBQUFBQXdCZ0FQQUFBQUJHQ1FjTkFBRUFBQUFEQUdBQThBQUFBRVlBQUFBQUJJRFpCQUFBQUFJSUFCOEhxd0Nja3hrQUNnQUNBT1VCQWdRQ0FBa0FLd1FDQUFBQVNBUUFBRGNFQVFBQkJvQUFBQUFBQUFJSUFGSzZyd0JjNlJVQUJBSVFBTGpBcFFCYzZSVUFVcnF2QU53OUhRQWpDQUVBQUFJSEFnQUFBQUFIRFFBQkFBQUFBd0JnQVBBQUFBQkdDUWNOQUFFQUFBQURBR0FBOEFBQUFFWUFBQUFBQklEYUJBQUFBQUlJQUI4SHZBQ2NreGtBQ2dBQ0FPWUJBZ1FDQUFrQUt3UUNBQUFBU0FRQUFEY0VBUUFCQm9BQUFBQUFBQUlJQUZLNndBQmM2UlVBQkFJUUFMakF0Z0JjNlJVQVVyckFBTnc5SFFBakNBRUFBQUlIQWdBQUFBQUhEUUFCQUFBQUF3QmdBUEFBQUFCR0NRY05BQUVBQUFBREFHQUE4QUFBQUVZQUFBQUFCSURiQkFBQUFBSUlBQkhBeWdCL2hTNEFDZ0FDQU9jQkFnUUNBQWtBS3dRQ0FBQUFTQVFBQURjRUFRQUJCb0FBQUFBQUFBSUlBRVJ6endBLzJ5b0FCQUlRQUtwNXhRQS8yeW9BUkhQUEFMOHZNZ0FqQ0FFQUFBSUhBZ0FBQUFBSERRQUJBQUFBQXdCZ0FQQUFBQUJHQ1FjTkFBRUFBQUFEQUdBQThBQUFBRVlBQUFBQUJJRGNCQUFBQUFJSUFCSEF5Z0IvaFQ4QUNnQUNBT2dCQWdRQ0FBa0FLd1FDQUFBQVNBUUFBRGNFQVFBQkJvQUFBQUFBQUFJSUFFUnp6d0EvMnpzQUJBSVFBS3A1eFFBLzJ6c0FSSFBQQUw4dlF3QWpDQUVBQUFJSEFnQUFBQUFIRFFBQkFBQUFBd0JnQVBBQUFBQkdDUWNOQUFFQUFBQURBR0FBOEFBQUFFWUFBQUFBQklEZEJBQUFBQUlJQUM3T3BBQnhQazRBQ2dBQ0FPa0JBZ1FDQUFrQUt3UUNBQUFBU0FRQUFEY0VBUUFCQm9BQUFBQUFBQUlJQUdHQnFRQXhsRW9BQkFJUUFNZUhud0F4bEVvQVlZR3BBTEhvVVFBakNBRUFBQUlIQWdBQUFBQUhEUUFCQUFBQUF3QmdBUEFBQUFCR0NRY05BQUVBQUFBREFHQUE4QUFBQUVZQUFBQUFCSURlQkFBQUFBSUlBQzdPcEFCeFBqMEFDZ0FDQU9vQkFnUUNBQWtBS3dRQ0FBQUFTQVFBQURjRUFRQUJCb0FBQUFBQUFBSUlBR0dCcVFBeGxEa0FCQUlRQU1lSG53QXhsRGtBWVlHcEFMSG9RQUFqQ0FFQUFBSUhBZ0FBQUFBSERRQUJBQUFBQXdCZ0FQQUFBQUJHQ1FjTkFBRUFBQUFEQUdBQThBQUFBRVlBQUFBQUJJRGZCQUFBQUFJSUFCSEF5Z0JpOTBzQUNnQUNBT3NCQWdRQ0FBa0FLd1FDQUFBQVNBUUFBRGNFQVFBQkJvQUFBQUFBQUFJSUFFUnp6d0FpVFVnQUJBSVFBS3A1eFFBaVRVZ0FSSFBQQUtLaFR3QWpDQUVBQUFJSEFnQUFBQUFIRFFBQkFBQUFBd0JnQVBBQUFBQkdDUWNOQUFFQUFBQURBR0FBOEFBQUFFWUFBQUFBQklEZ0JBQUFBQUlJQUJIQXlnQmk5MXdBQ2dBQ0FPd0JBZ1FDQUFrQUt3UUNBQUFBU0FRQUFEY0VBUUFCQm9BQUFBQUFBQUlJQUVSenp3QWlUVmtBQkFJUUFLcDV4UUFpVFZrQVJIUFBBS0toWUFBakNBRUFBQUlIQWdBQUFBQUhEUUFCQUFBQUF3QmdBUEFBQUFCR0NRY05BQUVBQUFBREFHQUE4QUFBQUVZQUFBQUFCSURoQkFBQUFBSUlBQzdPcEFCVHNHc0FDZ0FDQU8wQkFnUUNBQWtBS3dRQ0FBQUFTQVFBQURjRUFRQUJCb0FBQUFBQUFBSUlBR0dCcVFBVEJtZ0FCQUlRQU1lSG53QVRCbWdBWVlHcEFKTmFid0FqQ0FFQUFBSUhBZ0FBQUFBSERRQUJBQUFBQXdCZ0FQQUFBQUJHQ1FjTkFBRUFBQUFEQUdBQThBQUFBRVlBQUFBQUJJRGlCQUFBQUFJSUFDN09wQUJUc0ZvQUNnQUNBTzRCQWdRQ0FBa0FLd1FDQUFBQVNBUUFBRGNFQVFBQkJvQUFBQUFBQUFJSUFHR0JxUUFUQmxjQUJBSVFBTWVIbndBVEJsY0FZWUdwQUpOYVhnQWpDQUVBQUFJSEFnQUFBQUFIRFFBQkFBQUFBd0JnQVBBQUFBQkdDUWNOQUFFQUFBQURBR0FBOEFBQUFFWUFBQUFBQklEakJBQUFBQUlJQUJIQXlnQkVhV2tBQ2dBQ0FPOEJBZ1FDQUFrQUt3UUNBQUFBU0FRQUFEY0VBUUFCQm9BQUFBQUFBQUlJQUVSenp3QUV2MlVBQkFJUUFLcDV4UUFFdjJVQVJIUFBBSVFUYlFBakNBRUFBQUlIQWdBQUFBQUhEUUFCQUFBQUF3QmdBUEFBQUFCR0NRY05BQUVBQUFBREFHQUE4QUFBQUVZQUFBQUFCSURrQkFBQUFBSUlBQkhBeWdCRmFYb0FDZ0FDQVBBQkFnUUNBQWtBS3dRQ0FBQUFTQVFBQURjRUFRQUJCb0FBQUFBQUFBSUlBRVJ6endBRnYzWUFCQUlRQUtwNXhRQUZ2M1lBUkhQUEFJVVRmZ0FqQ0FFQUFBSUhBZ0FBQUFBSERRQUJBQUFBQXdCZ0FQQUFBQUJHQ1FjTkFBRUFBQUFEQUdBQThBQUFBRVlBQUFBQUJJRGxCQUFBQUFJSUFDN09wQUEySW9rQUNnQUNBUEVCQWdRQ0FBa0FLd1FDQUFBQVNBUUFBRGNFQVFBQkJvQUFBQUFBQUFJSUFHR0JxUUQyZDRVQUJBSVFBTWVIbndEMmQ0VUFZWUdwQUhiTWpBQWpDQUVBQUFJSEFnQUFBQUFIRFFBQkFBQUFBd0JnQVBBQUFBQkdDUWNOQUFFQUFBQURBR0FBOEFBQUFFWUFBQUFBQklEbUJBQUFBQUlJQUM3T3BBQTJJbmdBQ2dBQ0FQSUJBZ1FDQUFrQUt3UUNBQUFBU0FRQUFEY0VBUUFCQm9BQUFBQUFBQUlJQUdHQnFRRDJkM1FBQkFJUUFNZUhud0QyZDNRQVlZR3BBSGJNZXdBakNBRUFBQUlIQWdBQUFBQUhEUUFCQUFBQUF3QmdBUEFBQUFCR0NRY05BQUVBQUFBREFHQUE4QUFBQUVZQUFBQUFCSURuQkFBQUFBSUlBQkhBeWdBbzI0WUFDZ0FDQVBNQkFnUUNBQWtBS3dRQ0FBQUFTQVFBQURjRUFRQUJCb0FBQUFBQUFBSUlBRVJ6endEb01JTUFCQUlRQUtwNXhRRG9NSU1BUkhQUEFHaUZpZ0FqQ0FFQUFBSUhBZ0FBQUFBSERRQUJBQUFBQXdCZ0FQQUFBQUJHQ1FjTkFBRUFBQUFEQUdBQThBQUFBRVlBQUFBQUJJRG9CQUFBQUFJSUFCSEF5Z0FvMjVjQUNnQUNBUFFCQWdRQ0FBa0FLd1FDQUFBQVNBUUFBRGNFQVFBQkJvQUFBQUFBQUFJSUFFUnp6d0RvTUpRQUJBSVFBS3A1eFFEb01KUUFSSFBQQUdpRm13QWpDQUVBQUFJSEFnQUFBQUFIRFFBQkFBQUFBd0JnQVBBQUFBQkdDUWNOQUFFQUFBQURBR0FBOEFBQUFFWUFBQUFBQklEcEJBQUFBQUlJQUIrSHN3REJhZllBQ2dBQ0FQVUJOd1FCQUFFQUFBU0E2Z1FBQUFBQ0NBQWZCNnNBc3lJRkFRb0FBZ0QyQVRjRUFRQUJBQUFFZ09zRUFBQUFBZ2dBSHdlYUFMTWlCUUVLQUFJQTl3RUNCQUlBQ0FBckJBSUFBQUJJQkFBQU53UUJBQUVHZ0FBQUFBQUFBZ2dBVXJxZUFQTjNBQUVFQWhBQTY1T1VBUE4zQUFHNDRKNEFjODBKQVNNSUFRQUFBZ2NDQUFBQUFBY05BQUVBQUFBREFHQUE4QUFBQUU4SkJ3MEFBUUFBQUFNQVlBRHdBQUFBVHdBQUFBQUVnT3dFQUFBQUFnZ0FINGV6QUtUYkV3RUtBQUlBK0FFQ0JBSUFDQUFyQkFJQUFBQWhCQUVBLzBnRUFBQTNCQUVBQVFhQUFBQUFBQUFDQ0FCU09yZ0E1REFQQVFRQ0VBRHJFNjRBNURBUEFiaGd1QUNraFJzQkl3Z0JBQUFDQndJQUFBQUZCd0VBQVFBSERnQUJBQUFBQXdCZ0FQQUFBQUJQTFFrSERnQUJBQUFBQXdCZ0FQQUFBQUJQTFFBQUFBQUZnTzBFQUFBS0FBSUErUUVFQmdRQXhnUUFBQVVHQkFESEJBQUFDZ1lCQUFFQUFBV0E3Z1FBQUFvQUFnRDZBUVFHQkFESEJBQUFCUVlFQU1nRUFBQUtCZ0VBQVFBQUJZRHZCQUFBQ2dBQ0FQc0JCQVlFQU1jRUFBQUZCZ1FBeVFRQUFBb0dBUUFCQUFBRmdQQUVBQUFLQUFJQS9BRUVCZ1FBeVFRQUFBVUdCQURLQkFBQUNnWUJBQUVBQUFXQThRUUFBQW9BQWdEOUFRUUdCQURLQkFBQUJRWUVBTXNFQUFBS0JnRUFBUUFBQllEeUJBQUFDZ0FDQVA0QkJBWUVBTXNFQUFBRkJnUUF6QVFBQUFvR0FRQUJBQUFGZ1BNRUFBQUtBQUlBL3dFRUJnUUF6QVFBQUFVR0JBRE5CQUFBQ2dZQkFBRUFBQVdBOUFRQUFBb0FBZ0FBQWdRR0JBRE5CQUFBQlFZRUFNNEVBQUFBQmdJQUFnQUtCZ0VBQVFBQUJZRDFCQUFBQ2dBQ0FBRUNCQVlFQU0wRUFBQUZCZ1FBendRQUFBQUdBZ0FDQUFvR0FRQUJBQUFGZ1BZRUFBQUtBQUlBQWdJRUJnUUF6UVFBQUFVR0JBRFFCQUFBQ2dZQkFBRUFBQVdBOXdRQUFBb0FBZ0FEQWdRR0JBRFFCQUFBQlFZRUFORUVBQUFLQmdFQUFRQUFCWUQ0QkFBQUNnQUNBQVFDQkFZRUFORUVBQUFGQmdRQTBnUUFBQW9HQVFBQkFBQUZnUGtFQUFBS0FBSUFCUUlFQmdRQTBnUUFBQVVHQkFEVEJBQUFDZ1lCQUFFQUFBV0ErZ1FBQUFvQUFnQUdBZ1FHQkFEVEJBQUFCUVlFQU5RRUFBQUtCZ0VBQVFBQUJZRDdCQUFBQ2dBQ0FBY0NCQVlFQU5RRUFBQUZCZ1FBMVFRQUFBb0dBUUFCQUFBRmdQd0VBQUFLQUFJQUNBSUVCZ1FBMVFRQUFBVUdCQURXQkFBQUNnWUJBQUVBQUFXQS9RUUFBQW9BQWdBSkFnUUdCQURXQkFBQUJRWUVBTmNFQUFBS0JnRUFBUUFBQllEK0JBQUFDZ0FDQUFvQ0JBWUVBTmNFQUFBRkJnUUEyQVFBQUFvR0FRQUJBQUFGZ1A4RUFBQUtBQUlBQ3dJRUJnUUExd1FBQUFVR0JBRFpCQUFBQ2dZQkFBRUFBQVdBQUFVQUFBb0FBZ0FNQWdRR0JBRFhCQUFBQlFZRUFOb0VBQUFLQmdFQUFRQUFCWUFCQlFBQUNnQUNBQTBDQkFZRUFOWUVBQUFGQmdRQTJ3UUFBQW9HQVFBQkFBQUZnQUlGQUFBS0FBSUFEZ0lFQmdRQTFnUUFBQVVHQkFEY0JBQUFDZ1lCQUFFQUFBV0FBd1VBQUFvQUFnQVBBZ1FHQkFEVkJBQUFCUVlFQU4wRUFBQUtCZ0VBQVFBQUJZQUVCUUFBQ2dBQ0FCQUNCQVlFQU5VRUFBQUZCZ1FBM2dRQUFBb0dBUUFCQUFBRmdBVUZBQUFLQUFJQUVRSUVCZ1FBMUFRQUFBVUdCQURmQkFBQUNnWUJBQUVBQUFXQUJnVUFBQW9BQWdBU0FnUUdCQURVQkFBQUJRWUVBT0FFQUFBS0JnRUFBUUFBQllBSEJRQUFDZ0FDQUJNQ0JBWUVBTk1FQUFBRkJnUUE0UVFBQUFvR0FRQUJBQUFGZ0FnRkFBQUtBQUlBRkFJRUJnUUEwd1FBQUFVR0JBRGlCQUFBQ2dZQkFBRUFBQVdBQ1FVQUFBb0FBZ0FWQWdRR0JBRFNCQUFBQlFZRUFPTUVBQUFLQmdFQUFRQUFCWUFLQlFBQUNnQUNBQllDQkFZRUFOSUVBQUFGQmdRQTVBUUFBQW9HQVFBQkFBQUZnQXNGQUFBS0FBSUFGd0lFQmdRQTBRUUFBQVVHQkFEbEJBQUFDZ1lCQUFFQUFBV0FEQVVBQUFvQUFnQVlBZ1FHQkFEUkJBQUFCUVlFQU9ZRUFBQUtCZ0VBQVFBQUJZQU5CUUFBQ2dBQ0FCa0NCQVlFQU5BRUFBQUZCZ1FBNXdRQUFBb0dBUUFCQUFBRmdBNEZBQUFLQUFJQUdnSUVCZ1FBMEFRQUFBVUdCQURvQkFBQUNnWUJBQUVBQUFXQUR3VUFBQW9BQWdBYkFnUUdCQURIQkFBQUJRWUVBT2tFQUFBS0JnRUFBUUFBQllBUUJRQUFDZ0FDQUJ3Q0JBWUVBT2tFQUFBRkJnUUE2Z1FBQUFvR0FRQUJBQUFGZ0JFRkFBQUtBQUlBSFFJRUJnUUE2Z1FBQUFVR0JBRHJCQUFBQUFZQ0FBSUFDZ1lCQUFFQUFBV0FFZ1VBQUFvQUFnQWVBZ1FHQkFEcUJBQUFCUVlFQU93RUFBQUtCZ0VBQVFBQUFBQUFBQUFBQUFBPQ==</t>
        </r>
      </text>
    </comment>
    <comment ref="D32" authorId="0" shapeId="0" xr:uid="{8A2E4481-5AAF-4B23-A95F-FE4B845940C9}">
      <text>
        <r>
          <rPr>
            <sz val="9"/>
            <color indexed="81"/>
            <rFont val="Tahoma"/>
            <family val="2"/>
          </rPr>
          <t>QzlIN0YxM05PNVMyLXxQaWN0dXJlIDU4fFZtcERSREF4TURBRUF3SUJBQUFBQUFBQUFBQUFBQUNBQUFBQUFBTUFGZ0FBQUVOb1pXMUVjbUYzSURJeUxqSXVNQzR6TXpBd0NBQVRBQUFBVlc1MGFYUnNaV1FnUkc5amRXMWxiblFFQWhBQStkcVdBRDliTXdCRGM4OEF3QlArQUFFSkNBQUFnRUFBQUlCQUFBSUpDQUFBd0NFQUFNQzFBZzBJQVFBQkNBY0JBQUU2QkFFQUFUc0VBUUFBUlFRQkFBRThCQUVBQUVvRUFRQUFEQVlCQUFFUEJnRUFBUTBHQVFBQVFnUUJBQUJEQkFFQUFFUUVBUUFBRGdnQ0FKY0t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KNFFBQUFFQWhBQUFBQUFBQUFBQUFBZlI5a0FoT1VLQ2hZSUJBQUFBQ1FBR0FnRUFBQUFKQUFaQ0FBQUVBZ0NBQUVBRHdnQ0FBRUFBNEJoRUFBQUJBSVFBUG5hbGdBL1d6TUFRM1BQQU1BVC9nQUtBQUlBREFFRWdHSVFBQUFBQWdnQUg0ZXpBTjMzMkFBS0FBSUFEUUUzQkFFQUFRQUFCSUJqRUFBQUFBSUlBQjhIcXdEc1Bzb0FDZ0FDQUE0Qk53UUJBQUVBQUFTQVpCQUFBQUFDQ0FBZmg3TUErNFc3QUFvQUFnQVBBVGNFQVFBQkFBQUVnR1VRQUFBQUFnZ0FId2VyQUFyTnJBQUtBQUlBRUFFQ0JBSUFCd0FyQkFJQUFRQklCQUFBTndRQkFBRUdnQUFBQUFBQUFnZ0F1TUNsQU1wM3FBQUVBaEFBSDhlYkFNcDNxQUJTdXE4QVNpS3hBQ01JQVFBQUFnY0NBQUFBQlFjQkFBUUVCd1lBQWdBQ0FBUUFBQWNPQUFFQUFBQURBR0FBOEFBQUFFNUlDUWNPQUFFQUFBQURBR0FBOEFBQUFFNUlBQUFBQUFTQVpoQUFBQUFDQ0FBZmg3TUFHQlNlQUFvQUFnQVJBUUlFQWdBUUFDc0VBZ0FBQUVnRUFBQTNCQUVBQVFhQUFBQUFBQUFDQ0FCU09yZ0FtQk9hQUFRQ0VBRHJFNjRBbUJPYUFMaGd1QUNZRktJQUl3Z0JBQUFDQndJQUFBQUZCd0VBQXdBSERRQUJBQUFBQXdCZ0FQQUFBQUJUQ1FjTkFBRUFBQUFEQUdBQThBQUFBRk1BQUFBQUJJQm5FQUFBQUFJSUFCQkF3Z0FZbEtZQUNnQUNBQklCQWdRQ0FBZ0FLd1FDQUFBQVNBUUFBRGNFQVFBQkJvQUFBQUFBQUFJSUFFUHp4Z0JZNmFFQUJBSVFBTnpNdkFCWTZhRUFxUm5IQU5nK3F3QWpDQUVBQUFJSEFnQUFBQUFIRFFBQkFBQUFBd0JnQVBBQUFBQlBDUWNOQUFFQUFBQURBR0FBOEFBQUFFOEFBQUFBQklCb0VBQUFBQUlJQUMzT3BBQVlsSlVBQ2dBQ0FCTUJBZ1FDQUFnQUt3UUNBQUFBU0FRQUFEY0VBUUFCQm9BQUFBQUFBQUlJQUdDQnFRQlk2WkFBQkFJUUFQbGFud0JZNlpBQXhxZXBBTmcrbWdBakNBRUFBQUlIQWdBQUFBQUhEUUFCQUFBQUF3QmdBUEFBQUFCUENRY05BQUVBQUFBREFHQUE4QUFBQUU4QUFBQUFCSUJwRUFBQUFBSUlBQjhIdkFBblc0OEFDZ0FDQUJRQk53UUJBQUVBQUFTQWFoQUFBQUFDQ0FBZmg3TUFOcUtBQUFvQUFnQVZBVGNFQVFBQkFBQUVnR3NRQUFBQUFnZ0FId2U4QUVUcGNRQUtBQUlBRmdFM0JBRUFBUUFBQklCc0VBQUFBQUlJQUIrSHN3QlRNR01BQ2dBQ0FCY0JOd1FCQUFFQUFBU0FiUkFBQUFBQ0NBQWZCN3dBWW5kVUFBb0FBZ0FZQVRjRUFRQUJBQUFFZ0c0UUFBQUFBZ2dBSDRlekFIQytSUUFLQUFJQUdRRTNCQUVBQVFBQUJJQnZFQUFBQUFJSUFCK0hvZ0J3dmtVQUNnQUNBQm9CQWdRQ0FBa0FLd1FDQUFBQVNBUUFBRGNFQVFBQkJvQUFBQUFBQUFJSUFGSTZwd0F3RkVJQUJBSVFBTGhBblFBd0ZFSUFVanFuQUxCb1NRQWpDQUVBQUFJSEFnQUFBQUFIRFFBQkFBQUFBd0JnQVBBQUFBQkdDUWNOQUFFQUFBQURBR0FBOEFBQUFFWUFBQUFBQklCd0VBQUFBQUlJQUI4SHF3Qi9CVGNBQ2dBQ0FCc0JBZ1FDQUFrQUt3UUNBQUFBU0FRQUFEY0VBUUFCQm9BQUFBQUFBQUlJQUZLNnJ3QS9Xek1BQkFJUUFMakFwUUEvV3pNQVVycXZBTCt2T2dBakNBRUFBQUlIQWdBQUFBQUhEUUFCQUFBQUF3QmdBUEFBQUFCR0NRY05BQUVBQUFBREFHQUE4QUFBQUVZQUFBQUFCSUJ4RUFBQUFBSUlBQjhIdkFCL0JUY0FDZ0FDQUJ3QkFnUUNBQWtBS3dRQ0FBQUFTQVFBQURjRUFRQUJCb0FBQUFBQUFBSUlBRks2d0FBL1d6TUFCQUlRQUxqQXRnQS9Xek1BVXJyQUFMK3ZPZ0FqQ0FFQUFBSUhBZ0FBQUFBSERRQUJBQUFBQXdCZ0FQQUFBQUJHQ1FjTkFBRUFBQUFEQUdBQThBQUFBRVlBQUFBQUJJQnlFQUFBQUFJSUFCREF5Z0JpOTBzQUNnQUNBQjBCQWdRQ0FBa0FLd1FDQUFBQVNBUUFBRGNFQVFBQkJvQUFBQUFBQUFJSUFFTnp6d0FpVFVnQUJBSVFBS2w1eFFBaVRVZ0FRM1BQQUtLaFR3QWpDQUVBQUFJSEFnQUFBQUFIRFFBQkFBQUFBd0JnQVBBQUFBQkdDUWNOQUFFQUFBQURBR0FBOEFBQUFFWUFBQUFBQklCekVBQUFBQUlJQUJEQXlnQmk5MXdBQ2dBQ0FCNEJBZ1FDQUFrQUt3UUNBQUFBU0FRQUFEY0VBUUFCQm9BQUFBQUFBQUlJQUVOenp3QWlUVmtBQkFJUUFLbDV4UUFpVFZrQVEzUFBBS0toWUFBakNBRUFBQUlIQWdBQUFBQUhEUUFCQUFBQUF3QmdBUEFBQUFCR0NRY05BQUVBQUFBREFHQUE4QUFBQUVZQUFBQUFCSUIwRUFBQUFBSUlBQzNPcEFCVHNHc0FDZ0FDQUI4QkFnUUNBQWtBS3dRQ0FBQUFTQVFBQURjRUFRQUJCb0FBQUFBQUFBSUlBR0NCcVFBVEJtZ0FCQUlRQU1hSG53QVRCbWdBWUlHcEFKTmFid0FqQ0FFQUFBSUhBZ0FBQUFBSERRQUJBQUFBQXdCZ0FQQUFBQUJHQ1FjTkFBRUFBQUFEQUdBQThBQUFBRVlBQUFBQUJJQjFFQUFBQUFJSUFDM09wQUJUc0ZvQUNnQUNBQ0FCQWdRQ0FBa0FLd1FDQUFBQVNBUUFBRGNFQVFBQkJvQUFBQUFBQUFJSUFHQ0JxUUFUQmxjQUJBSVFBTWFIbndBVEJsY0FZSUdwQUpOYVhnQWpDQUVBQUFJSEFnQUFBQUFIRFFBQkFBQUFBd0JnQVBBQUFBQkdDUWNOQUFFQUFBQURBR0FBOEFBQUFFWUFBQUFBQklCMkVBQUFBQUlJQUJEQXlnQkVhV2tBQ2dBQ0FDRUJBZ1FDQUFrQUt3UUNBQUFBU0FRQUFEY0VBUUFCQm9BQUFBQUFBQUlJQUVOenp3QUV2MlVBQkFJUUFLbDV4UUFFdjJVQVEzUFBBSVFUYlFBakNBRUFBQUlIQWdBQUFBQUhEUUFCQUFBQUF3QmdBUEFBQUFCR0NRY05BQUVBQUFBREFHQUE4QUFBQUVZQUFBQUFCSUIzRUFBQUFBSUlBQkRBeWdCRWFYb0FDZ0FDQUNJQkFnUUNBQWtBS3dRQ0FBQUFTQVFBQURjRUFRQUJCb0FBQUFBQUFBSUlBRU56endBRXYzWUFCQUlRQUtsNXhRQUV2M1lBUTNQUEFJUVRmZ0FqQ0FFQUFBSUhBZ0FBQUFBSERRQUJBQUFBQXdCZ0FQQUFBQUJHQ1FjTkFBRUFBQUFEQUdBQThBQUFBRVlBQUFBQUJJQjRFQUFBQUFJSUFDM09wQUEySW9rQUNnQUNBQ01CQWdRQ0FBa0FLd1FDQUFBQVNBUUFBRGNFQVFBQkJvQUFBQUFBQUFJSUFHQ0JxUUQyZDRVQUJBSVFBTWFIbndEMmQ0VUFZSUdwQUhiTWpBQWpDQUVBQUFJSEFnQUFBQUFIRFFBQkFBQUFBd0JnQVBBQUFBQkdDUWNOQUFFQUFBQURBR0FBOEFBQUFFWUFBQUFBQklCNUVBQUFBQUlJQUMzT3BBQTJJbmdBQ2dBQ0FDUUJBZ1FDQUFrQUt3UUNBQUFBU0FRQUFEY0VBUUFCQm9BQUFBQUFBQUlJQUdDQnFRRDJkM1FBQkFJUUFNYUhud0QyZDNRQVlJR3BBSGJNZXdBakNBRUFBQUlIQWdBQUFBQUhEUUFCQUFBQUF3QmdBUEFBQUFCR0NRY05BQUVBQUFBREFHQUE4QUFBQUVZQUFBQUFCSUI2RUFBQUFBSUlBQkRBeWdBbjI0WUFDZ0FDQUNVQkFnUUNBQWtBS3dRQ0FBQUFTQVFBQURjRUFRQUJCb0FBQUFBQUFBSUlBRU56endEbk1JTUFCQUlRQUtsNXhRRG5NSU1BUTNQUEFHZUZpZ0FqQ0FFQUFBSUhBZ0FBQUFBSERRQUJBQUFBQXdCZ0FQQUFBQUJHQ1FjTkFBRUFBQUFEQUdBQThBQUFBRVlBQUFBQUJJQjdFQUFBQUFJSUFCREF5Z0FuMjVjQUNnQUNBQ1lCQWdRQ0FBa0FLd1FDQUFBQVNBUUFBRGNFQVFBQkJvQUFBQUFBQUFJSUFFTnp6d0RuTUpRQUJBSVFBS2w1eFFEbk1KUUFRM1BQQUdlRm13QWpDQUVBQUFJSEFnQUFBQUFIRFFBQkFBQUFBd0JnQVBBQUFBQkdDUWNOQUFFQUFBQURBR0FBOEFBQUFFWUFBQUFBQklCOEVBQUFBQUlJQUJEQXVRRFBNUEFBQ2dBQ0FDY0JBZ1FDQUFnQUt3UUNBQUFBU0FRQUFEY0VBUUFCQm9BQUFBQUFBQUlJQUVOenZnQVBodXNBQkFJUUFOeE10QUFQaHVzQXFabStBSS9iOUFBakNBRUFBQUlIQWdBQUFBVUhBUUFGQUFjTkFBRUFBQUFEQUdBQThBQUFBRThKQncwQUFRQUFBQU1BWUFEd0FBQUFUd0FBQUFBRWdIMFFBQUFBQWdnQUh3ZXJBTSt3NXdBS0FBSUFLQUVDQkFJQUVBQXJCQUlBQUFCSUJBQUFOd1FCQUFFR2dBQUFBQUFBQWdnQVVycXZBRSt3NHdBRUFoQUE2NU9sQUUrdzR3QzQ0SzhBVDdIckFDTUlBUUFBQWdjQ0FBQUFCUWNCQUFVQUJ3MEFBUUFBQUFNQVlBRHdBQUFBVXdrSERRQUJBQUFBQXdCZ0FQQUFBQUJUQUFBQUFBU0FmaEFBQUFBQ0NBQXRUcHdBenpEZkFBb0FBZ0FwQVFJRUFnQUlBQ3NFQWdBQUFFZ0VBQUEzQkFFQUFRYUFBQUFBQUFBQ0NBQmdBYUVBRDRiYUFBUUNFQUQ1MnBZQUQ0YmFBTVlub1FDUDIrTUFJd2dCQUFBQ0J3SUFBQUFBQncwQUFRQUFBQU1BWUFEd0FBQUFUd2tIRFFBQkFBQUFBd0JnQVBBQUFBQlBBQUFBQUFTQWZ4QUFBQUFDQ0FBZmg2SUF3R24yQUFvQUFnQXFBUUlFQWdBSUFDc0VBZ0FBQUNFRUFRRC9TQVFBQURjRUFRQUJCb0FBQUFBQUFBSUlBRkk2cHdBQXYvRUFCQUlRQU9zVG5RQUF2L0VBdUdDbkFNQVQvZ0FqQ0FFQUFBSUhBZ0FBQUFVSEFRQUJBQWNPQUFFQUFBQURBR0FBOEFBQUFFOHRDUWNPQUFFQUFBQURBR0FBOEFBQUFFOHRBQUFBQUFXQWdCQUFBQW9BQWdBckFRUUdCQUJpRUFBQUJRWUVBR01RQUFBS0JnRUFBUUFBQllDQkVBQUFDZ0FDQUN3QkJBWUVBR01RQUFBRkJnUUFaQkFBQUFvR0FRQUJBQUFGZ0lJUUFBQUtBQUlBTFFFRUJnUUFaQkFBQUFVR0JBQmxFQUFBQ2dZQkFBRUFBQVdBZ3hBQUFBb0FBZ0F1QVFRR0JBQmxFQUFBQlFZRUFHWVFBQUFLQmdFQUFRQUFCWUNFRUFBQUNnQUNBQzhCQkFZRUFHWVFBQUFGQmdRQVp4QUFBQUFHQWdBQ0FBb0dBUUFCQUFBRmdJVVFBQUFLQUFJQU1BRUVCZ1FBWmhBQUFBVUdCQUJvRUFBQUFBWUNBQUlBQ2dZQkFBRUFBQVdBaGhBQUFBb0FBZ0F4QVFRR0JBQnBFQUFBQlFZRUFHb1FBQUFLQmdFQUFRQUFCWUNIRUFBQUNnQUNBRElCQkFZRUFHb1FBQUFGQmdRQWF4QUFBQW9HQVFBQkFBQUZnSWdRQUFBS0FBSUFNd0VFQmdRQWF4QUFBQVVHQkFCc0VBQUFDZ1lCQUFFQUFBV0FpUkFBQUFvQUFnQTBBUVFHQkFCc0VBQUFCUVlFQUcwUUFBQUtCZ0VBQVFBQUJZQ0tFQUFBQ2dBQ0FEVUJCQVlFQUcwUUFBQUZCZ1FBYmhBQUFBb0dBUUFCQUFBRmdJc1FBQUFLQUFJQU5nRUVCZ1FBYmhBQUFBVUdCQUJ2RUFBQUNnWUJBQUVBQUFXQWpCQUFBQW9BQWdBM0FRUUdCQUJ1RUFBQUJRWUVBSEFRQUFBS0JnRUFBUUFBQllDTkVBQUFDZ0FDQURnQkJBWUVBRzRRQUFBRkJnUUFjUkFBQUFvR0FRQUJBQUFGZ0k0UUFBQUtBQUlBT1FFRUJnUUFiUkFBQUFVR0JBQnlFQUFBQ2dZQkFBRUFBQVdBanhBQUFBb0FBZ0E2QVFRR0JBQnRFQUFBQlFZRUFITVFBQUFLQmdFQUFRQUFCWUNRRUFBQUNnQUNBRHNCQkFZRUFHd1FBQUFGQmdRQWRCQUFBQW9HQVFBQkFBQUZnSkVRQUFBS0FBSUFQQUVFQmdRQWJCQUFBQVVHQkFCMUVBQUFDZ1lCQUFFQUFBV0FraEFBQUFvQUFnQTlBUVFHQkFCckVBQUFCUVlFQUhZUUFBQUtCZ0VBQVFBQUJZQ1RFQUFBQ2dBQ0FENEJCQVlFQUdzUUFBQUZCZ1FBZHhBQUFBb0dBUUFCQUFBRmdKUVFBQUFLQUFJQVB3RUVCZ1FBYWhBQUFBVUdCQUI0RUFBQUNnWUJBQUVBQUFXQWxSQUFBQW9BQWdCQUFRUUdCQUJxRUFBQUJRWUVBSGtRQUFBS0JnRUFBUUFBQllDV0VBQUFDZ0FDQUVFQkJBWUVBR2tRQUFBRkJnUUFlaEFBQUFvR0FRQUJBQUFGZ0pjUUFBQUtBQUlBUWdFRUJnUUFhUkFBQUFVR0JBQjdFQUFBQ2dZQkFBRUFBQVdBbUJBQUFBb0FBZ0JEQVFRR0JBQjhFQUFBQlFZRUFIMFFBQUFBQmdJQUFnQUtCZ0VBQVFBQUJZQ1pFQUFBQ2dBQ0FFUUJCQVlFQUgwUUFBQUZCZ1FBZmhBQUFBQUdBZ0FDQUFvR0FRQUJBQUFGZ0pvUUFBQUtBQUlBUlFFRUJnUUFmUkFBQUFVR0JBQi9FQUFBQ2dZQkFBRUFBQVdBbXhBQUFBb0FBZ0JHQVFRR0JBQnBFQUFBQlFZRUFHWVFBQUFLQmdFQUFRQUFCWUNjRUFBQUNnQUNBRWNCQkFZRUFHSVFBQUFGQmdRQWZSQUFBQW9HQVFBQkFBQUFBQUFBQUFBQUFBPT0=</t>
        </r>
      </text>
    </comment>
    <comment ref="D33" authorId="0" shapeId="0" xr:uid="{45E9C515-B79E-4F04-B1C8-704F0B0D29C4}">
      <text>
        <r>
          <rPr>
            <sz val="9"/>
            <color indexed="81"/>
            <rFont val="Tahoma"/>
            <family val="2"/>
          </rPr>
          <t>QzE0SDIwRjEzTjJPNVMyK3xQaWN0dXJlIDMxfFZtcERSREF4TURBRUF3SUJBQUFBQUFBQUFBQUFBQUNBQUFBQUFBTUFGZ0FBQUVOb1pXMUVjbUYzSURJeUxqSXVNQzR6TXpBd0NBQVRBQUFBVlc1MGFYUnNaV1FnUkc5amRXMWxiblFFQWhBQW5OZUlBT1B5TkFEMDF2RUFwVllGQVFFSkNBQUFnQmtBQUlBWkFBSUpDQUFBd0NFQUFNQzFBZzBJQVFBQkNBY0JBQUU2QkFFQUFUc0VBUUFBUlFRQkFBRThCQUVBQUVvRUFRQUFEQVlCQUFFUEJnRUFBUTBHQVFBQVFnUUJBQUJEQkFFQUFFUUVBUUFBRGdnQ0FCVVR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JQURBQUFFQWhBQUFBQUFBQUFBQUFBRDBRUUJGVm40RXhZSUJBQUFBQ1FBR0FnRUFBQUFKQUFaQ0FBQUVBZ0NBQUVBRHdnQ0FBRUFBNEEzQXdBQUJBSVFBSnpYaUFEajhqUUE5TmJ4QUtWV0JRRUtBQUlBRmdNRWdEZ0RBQUFBQWdnQTlGYWxBQlJXUndBS0FBSUFGUU0zQkFFQUFRQUFCSUE1QXdBQUFBSUlBUFRXbkFBR0QxWUFDZ0FDQUJjRE53UUJBQUVBQUFTQU9nTUFBQUFDQ0FEMFZxVUE5OGRrQUFvQUFnQVpBemNFQVFBQkFBQUVnRHNEQUFBQUFnZ0E5TmFjQU9tQWN3QUtBQUlBR3dNM0JBRUFBUUFBQklBOEF3QUFBQUlJQVBSV3BRRGFPWUlBQ2dBQ0FCMEROd1FCQUFFQUFBU0FQUU1BQUFBQ0NBRDAxcHdBelBLUUFBb0FBZ0FmQXpjRUFRQUJBQUFFZ0Q0REFBQUFBZ2dBOUZhbEFMMnJud0FLQUFJQUlRTUNCQUlBRUFBckJBSUFBQUJJQkFBQU53UUJBQUVHZ0FBQUFBQUFBZ2dBSndxcUFEMnJtd0FFQWhBQXdPT2ZBRDJybXdDTk1Lb0FQYXlqQUNNSUFRQUFBZ2NDQUFBQUJRY0JBQVFBQncwQUFRQUFBQU1BWUFEd0FBQUFVd2tIRFFBQkFBQUFBd0JnQVBBQUFBQlRBQUFBQUFTQVB3TUFBQUFDQ0FEbEQ3UUF2U3VYQUFvQUFnQWpBd0lFQWdBSUFDc0VBZ0FBQUVnRUFBQTNCQUVBQVFhQUFBQUFBQUFDQ0FBWXc3Z0EvWUNTQUFRQ0VBQ3huSzRBL1lDU0FIN3B1QUI5MXBzQUl3Z0JBQUFDQndJQUFBQUFCdzBBQVFBQUFBTUFZQUR3QUFBQVR3a0hEUUFCQUFBQUF3QmdBUEFBQUFCUEFBQUFBQVNBUUFNQUFBQUNDQUFDbnBZQXZTdW9BQW9BQWdBbEF3SUVBZ0FJQUNzRUFnQUFBRWdFQUFBM0JBRUFBUWFBQUFBQUFBQUNDQUExVVpzQS9ZQ2pBQVFDRUFET0twRUEvWUNqQUp0M213QjkxcXdBSXdnQkFBQUNCd0lBQUFBQUJ3MEFBUUFBQUFNQVlBRHdBQUFBVHdrSERRQUJBQUFBQXdCZ0FQQUFBQUJQQUFBQUFBU0FRUU1BQUFBQ0NBRDAxcTBBcm1TdUFBb0FBZ0FuQXdJRUFnQUhBQ3NFQWdBQUFFZ0VBQUEzQkFFQUFRYUFBQUFBQUFBQ0NBQW5pcklBYmcrcUFBUUNFQUNOa0tnQWJnK3FBQ2VLc2dEdXViSUFJd2dCQUFBQ0J3SUFBQUFGQndFQUFRQUhEUUFCQUFBQUF3QmdBUEFBQUFCT0NRY05BQUVBQUFBREFHQUE4QUFBQUU0QUFBQUFCSUJDQXdBQUFBSUlBUFRXdmdDdVpLNEFDZ0FDQUNrRE53UUJBQUVBQUFTQVF3TUFBQUFDQ0FEMFZzY0F2YXVmQUFvQUFnQXJBemNFQVFBQkFBQUVnRVFEQUFBQUFnZ0E5RmJZQUwycm53QUtBQUlBTFFNM0JBRUFBUUFBQklCRkF3QUFBQUlJQVBUVzRBRE04cEFBQ2dBQ0FDOERBZ1FDQUFjQUt3UUNBQUVBSVFRQkFBRklCQUFBTndRQkFBRUdnQUFBQUFBQUFnZ0FCVWphQUl5ZGpBQUVBaEFBNGdYUEFJeWRqQUNlUWVRQWpJbWFBQ01JQVFBQUFnY0NBQUFBQlFjQkFBUUVCd1lBQWdBREFBVUFBQWNQQUFFQUFBQURBR0FBOEFBQUFFNUlLd2tIRHdBQkFBQUFBd0JnQVBBQUFBQk9TQ3NBQUFBQUJJQkdBd0FBQUFJSUFQVFc4UURMOHBBQUNnQUNBREVETndRQkFBRUFBQVNBUndNQUFBQUNDQUQwVnRnQTJqbUNBQW9BQWdBekF6Y0VBUUFCQUFBRWdFZ0RBQUFBQWdnQTlGYWxBS0FkdlFBS0FBSUFOUU0zQkFFQUFRQUFCSUJKQXdBQUFBSUlBUFRXclFDUjFzc0FDZ0FDQURZRE53UUJBQUVBQUFTQVNnTUFBQUFDQ0FEMFZxVUFnNC9hQUFvQUFnQTRBemNFQVFBQkFBQUVnRXNEQUFBQUFnZ0E5TmF0QUhSSTZRQUtBQUlBT2dNQ0JBSUFFQUFyQkFJQUFBQklCQUFBTndRQkFBRUdnQUFBQUFBQUFnZ0FKNHF5QVBSSDVRQUVBaEFBd0dPb0FQUkg1UUNOc0xJQTlFanRBQ01JQVFBQUFnY0NBQUFBQlFjQkFBUUFCdzBBQVFBQUFBTUFZQUR3QUFBQVV3a0hEUUFCQUFBQUF3QmdBUEFBQUFCVEFBQUFBQVNBVEFNQUFBQUNDQUFESHA4QWRNanhBQW9BQWdBOEF3SUVBZ0FJQUNzRUFnQUFBRWdFQUFBM0JBRUFBUWFBQUFBQUFBQUNDQUEyMGFNQXRCM3RBQVFDRUFEUHFwa0F0QjN0QUp6M293QTBjL1lBSXdnQkFBQUNCd0lBQUFBQUJ3MEFBUUFBQUFNQVlBRHdBQUFBVHdrSERRQUJBQUFBQXdCZ0FQQUFBQUJQQUFBQUFBU0FUUU1BQUFBQ0NBRGxqN3dBZE1qZ0FBb0FBZ0ErQXdJRUFnQUlBQ3NFQWdBQUFFZ0VBQUEzQkFFQUFRYUFBQUFBQUFBQ0NBQVlROEVBdEIzY0FBUUNFQUN4SExjQXRCM2NBSDVwd1FBMGMrVUFJd2dCQUFBQ0J3SUFBQUFBQncwQUFRQUFBQU1BWUFEd0FBQUFUd2tIRFFBQkFBQUFBd0JnQVBBQUFBQlBBQUFBQUFTQVRnTUFBQUFDQ0FEMFZyWUFaUUg0QUFvQUFnQkFBd0lFQWdBSUFDc0VBZ0FCQUVnRUFBQTNCQUVBQVFhQUFBQUFBQUFDQ0FBbkNyc0FwVmJ6QUFRQ0VBREE0N0FBcFZiekFJMHd1d0NsVmdVQkl3Z0JBQUFDQndJQUFBQUZCd0VBQVFBSERnQUJBQUFBQXdCZ0FQQUFBQUJQU0FrSERnQUJBQUFBQXdCZ0FQQUFBQUJQU0FBQUFBQUVnRThEQUFBQUFnZ0FBeDZPQU14eWlBQUtBQUlBUWdNQ0JBSUFDUUFyQkFJQUFBQklCQUFBTndRQkFBRUdnQUFBQUFBQUFnZ0FOdEdTQUl6SWhBQUVBaEFBbk5lSUFJekloQUEyMFpJQURCMk1BQ01JQVFBQUFnY0NBQUFBQUFjTkFBRUFBQUFEQUdBQThBQUFBRVlKQncwQUFRQUFBQU1BWUFEd0FBQUFSZ0FBQUFBRWdGQURBQUFBQWdnQUF4Nk9BTXh5bVFBS0FBSUFSQU1DQkFJQUNRQXJCQUlBQUFCSUJBQUFOd1FCQUFFR2dBQUFBQUFBQWdnQU50R1NBSXpJbFFBRUFoQUFuTmVJQUl6SWxRQTIwWklBREIyZEFDTUlBUUFBQWdjQ0FBQUFBQWNOQUFFQUFBQURBR0FBOEFBQUFFWUpCdzBBQVFBQUFBTUFZQUR3QUFBQVJnQUFBQUFFZ0ZFREFBQUFBZ2dBNVErMEFOcTVpZ0FLQUFJQVJnTUNCQUlBQ1FBckJBSUFBQUJJQkFBQU53UUJBQUVHZ0FBQUFBQUFBZ2dBR01PNEFKb1Bod0FFQWhBQWZzbXVBSm9QaHdBWXc3Z0FHbVNPQUNNSUFRQUFBZ2NDQUFBQUFBY05BQUVBQUFBREFHQUE4QUFBQUVZSkJ3MEFBUUFBQUFNQVlBRHdBQUFBUmdBQUFBQUVnRklEQUFBQUFnZ0E1USswQU5xNWVRQUtBQUlBU0FNQ0JBSUFDUUFyQkFJQUFBQklCQUFBTndRQkFBRUdnQUFBQUFBQUFnZ0FHTU80QUpvUGRnQUVBaEFBZnNtdUFKb1BkZ0FZdzdnQUdtUjlBQ01JQVFBQUFnY0NBQUFBQUFjTkFBRUFBQUFEQUdBQThBQUFBRVlKQncwQUFRQUFBQU1BWUFEd0FBQUFSZ0FBQUFBRWdGTURBQUFBQWdnQUF4Nk9BT2tBYXdBS0FBSUFTZ01DQkFJQUNRQXJCQUlBQUFCSUJBQUFOd1FCQUFFR2dBQUFBQUFBQWdnQU50R1NBS2xXWndBRUFoQUFuTmVJQUtsV1p3QTIwWklBS2F0dUFDTUlBUUFBQWdjQ0FBQUFBQWNOQUFFQUFBQURBR0FBOEFBQUFFWUpCdzBBQVFBQUFBTUFZQUR3QUFBQVJnQUFBQUFFZ0ZRREFBQUFBZ2dBQXg2T0FPa0FmQUFLQUFJQVRBTUNCQUlBQ1FBckJBSUFBQUJJQkFBQU53UUJBQUVHZ0FBQUFBQUFBZ2dBTnRHU0FLbFdlQUFFQWhBQW5OZUlBS2xXZUFBMjBaSUFLYXQvQUNNSUFRQUFBZ2NDQUFBQUFBY05BQUVBQUFBREFHQUE4QUFBQUVZSkJ3MEFBUUFBQUFNQVlBRHdBQUFBUmdBQUFBQUVnRlVEQUFBQUFnZ0E1USswQVBoSGJRQUtBQUlBVGdNQ0JBSUFDUUFyQkFJQUFBQklCQUFBTndRQkFBRUdnQUFBQUFBQUFnZ0FHTU80QUxpZGFRQUVBaEFBZnNtdUFMaWRhUUFZdzdnQU9QSndBQ01JQVFBQUFnY0NBQUFBQUFjTkFBRUFBQUFEQUdBQThBQUFBRVlKQncwQUFRQUFBQU1BWUFEd0FBQUFSZ0FBQUFBRWdGWURBQUFBQWdnQTVRKzBBUGhIWEFBS0FBSUFVQU1DQkFJQUNRQXJCQUlBQUFCSUJBQUFOd1FCQUFFR2dBQUFBQUFBQWdnQUdNTzRBTGlkV0FBRUFoQUFmc211QUxpZFdBQVl3N2dBT1BKZkFDTUlBUUFBQWdjQ0FBQUFBQWNOQUFFQUFBQURBR0FBOEFBQUFFWUpCdzBBQVFBQUFBTUFZQUR3QUFBQVJnQUFBQUFFZ0ZjREFBQUFBZ2dBQXg2T0FBYVBUUUFLQUFJQVVnTUNCQUlBQ1FBckJBSUFBQUJJQkFBQU53UUJBQUVHZ0FBQUFBQUFBZ2dBTnRHU0FNYmtTUUFFQWhBQW5OZUlBTWJrU1FBMjBaSUFSamxSQUNNSUFRQUFBZ2NDQUFBQUFBY05BQUVBQUFBREFHQUE4QUFBQUVZSkJ3MEFBUUFBQUFNQVlBRHdBQUFBUmdBQUFBQUVnRmdEQUFBQUFnZ0FBeDZPQUFhUFhnQUtBQUlBVkFNQ0JBSUFDUUFyQkFJQUFBQklCQUFBTndRQkFBRUdnQUFBQUFBQUFnZ0FOdEdTQU1ia1dnQUVBaEFBbk5lSUFNYmtXZ0EyMFpJQVJqbGlBQ01JQVFBQUFnY0NBQUFBQUFjTkFBRUFBQUFEQUdBQThBQUFBRVlKQncwQUFRQUFBQU1BWUFEd0FBQUFSZ0FBQUFBRWdGa0RBQUFBQWdnQTlGYTJBQlJXUndBS0FBSUFWZ01DQkFJQUNRQXJCQUlBQUFCSUJBQUFOd1FCQUFFR2dBQUFBQUFBQWdnQUp3cTdBTlNyUXdBRUFoQUFqUkN4QU5TclF3QW5DcnNBVkFCTEFDTUlBUUFBQWdjQ0FBQUFBQWNOQUFFQUFBQURBR0FBOEFBQUFFWUpCdzBBQVFBQUFBTUFZQUR3QUFBQVJnQUFBQUFFZ0ZvREFBQUFBZ2dBOU5hdEFDT2RPQUFLQUFJQVdBTUNCQUlBQ1FBckJBSUFBQUJJQkFBQU53UUJBQUVHZ0FBQUFBQUFBZ2dBSjRxeUFPUHlOQUFFQWhBQWpaQ29BT1B5TkFBbmlySUFZMGM4QUNNSUFRQUFBZ2NDQUFBQUFBY05BQUVBQUFBREFHQUE4QUFBQUVZSkJ3MEFBUUFBQUFNQVlBRHdBQUFBUmdBQUFBQUVnRnNEQUFBQUFnZ0E5TmFjQUNPZE9BQUtBQUlBV2dNQ0JBSUFDUUFyQkFJQUFBQklCQUFBTndRQkFBRUdnQUFBQUFBQUFnZ0FKNHFoQU9QeU5BQUVBaEFBalpDWEFPUHlOQUFuaXFFQVkwYzhBQ01JQVFBQUFnY0NBQUFBQUFjTkFBRUFBQUFEQUdBQThBQUFBRVlKQncwQUFRQUFBQU1BWUFEd0FBQUFSZ0FBQUFBRmdGd0RBQUFLQUFJQUdBTUVCZ1FBT0FNQUFBVUdCQUE1QXdBQUNnWUJBQUVBQUFXQVhRTUFBQW9BQWdBYUF3UUdCQUE1QXdBQUJRWUVBRG9EQUFBS0JnRUFBUUFBQllCZUF3QUFDZ0FDQUJ3REJBWUVBRG9EQUFBRkJnUUFPd01BQUFvR0FRQUJBQUFGZ0Y4REFBQUtBQUlBSGdNRUJnUUFPd01BQUFVR0JBQThBd0FBQ2dZQkFBRUFBQVdBWUFNQUFBb0FBZ0FnQXdRR0JBQThBd0FBQlFZRUFEMERBQUFLQmdFQUFRQUFCWUJoQXdBQUNnQUNBQ0lEQkFZRUFEMERBQUFGQmdRQVBnTUFBQW9HQVFBQkFBQUZnR0lEQUFBS0FBSUFKQU1FQmdRQVBnTUFBQVVHQkFBL0F3QUFBQVlDQUFJQUNnWUJBQUVBQUFXQVl3TUFBQW9BQWdBbUF3UUdCQUErQXdBQUJRWUVBRUFEQUFBQUJnSUFBZ0FLQmdFQUFRQUFCWUJrQXdBQUNnQUNBQ2dEQkFZRUFENERBQUFGQmdRQVFRTUFBQW9HQVFBQkFBQUZnR1VEQUFBS0FBSUFLZ01FQmdRQVFRTUFBQVVHQkFCQ0F3QUFDZ1lCQUFFQUFBV0FaZ01BQUFvQUFnQXNBd1FHQkFCQ0F3QUFCUVlFQUVNREFBQUtCZ0VBQVFBQUJZQm5Bd0FBQ2dBQ0FDNERCQVlFQUVNREFBQUZCZ1FBUkFNQUFBb0dBUUFCQUFBRmdHZ0RBQUFLQUFJQU1BTUVCZ1FBUkFNQUFBVUdCQUJGQXdBQUNnWUJBQUVBQUFXQWFRTUFBQW9BQWdBeUF3UUdCQUJGQXdBQUJRWUVBRVlEQUFBS0JnRUFBUUFBQllCcUF3QUFDZ0FDQURRREJBWUVBRVVEQUFBRkJnUUFSd01BQUFvR0FRQUJBQUFGZ0dzREFBQUtBQUlBTndNRUJnUUFTQU1BQUFVR0JBQkpBd0FBQ2dZQkFBRUFBQVdBYkFNQUFBb0FBZ0E1QXdRR0JBQkpBd0FBQlFZRUFFb0RBQUFLQmdFQUFRQUFCWUJ0QXdBQUNnQUNBRHNEQkFZRUFFb0RBQUFGQmdRQVN3TUFBQW9HQVFBQkFBQUZnRzREQUFBS0FBSUFQUU1FQmdRQVN3TUFBQVVHQkFCTUF3QUFBQVlDQUFJQUNnWUJBQUVBQUFXQWJ3TUFBQW9BQWdBL0F3UUdCQUJMQXdBQUJRWUVBRTBEQUFBQUJnSUFBZ0FLQmdFQUFRQUFCWUJ3QXdBQUNnQUNBRUVEQkFZRUFFc0RBQUFGQmdRQVRnTUFBQW9HQVFBQkFBQUZnSEVEQUFBS0FBSUFRd01FQmdRQVBRTUFBQVVHQkFCUEF3QUFDZ1lCQUFFQUFBV0FjZ01BQUFvQUFnQkZBd1FHQkFBOUF3QUFCUVlFQUZBREFBQUtCZ0VBQVFBQUJZQnpBd0FBQ2dBQ0FFY0RCQVlFQUR3REFBQUZCZ1FBVVFNQUFBb0dBUUFCQUFBRmdIUURBQUFLQUFJQVNRTUVCZ1FBUEFNQUFBVUdCQUJTQXdBQUNnWUJBQUVBQUFXQWRRTUFBQW9BQWdCTEF3UUdCQUE3QXdBQUJRWUVBRk1EQUFBS0JnRUFBUUFBQllCMkF3QUFDZ0FDQUUwREJBWUVBRHNEQUFBRkJnUUFWQU1BQUFvR0FRQUJBQUFGZ0hjREFBQUtBQUlBVHdNRUJnUUFPZ01BQUFVR0JBQlZBd0FBQ2dZQkFBRUFBQVdBZUFNQUFBb0FBZ0JSQXdRR0JBQTZBd0FBQlFZRUFGWURBQUFLQmdFQUFRQUFCWUI1QXdBQUNnQUNBRk1EQkFZRUFEa0RBQUFGQmdRQVZ3TUFBQW9HQVFBQkFBQUZnSG9EQUFBS0FBSUFWUU1FQmdRQU9RTUFBQVVHQkFCWUF3QUFDZ1lCQUFFQUFBV0Fld01BQUFvQUFnQlhBd1FHQkFBNEF3QUFCUVlFQUZrREFBQUtCZ0VBQVFBQUJZQjhBd0FBQ2dBQ0FGa0RCQVlFQURnREFBQUZCZ1FBV2dNQUFBb0dBUUFCQUFBRmdIMERBQUFLQUFJQVd3TUVCZ1FBT0FNQUFBVUdCQUJiQXdBQUNnWUJBQUVBQUFXQWZnTUFBQW9BQWdCY0F3UUdCQUJJQXdBQUJRWUVBRUVEQUFBS0JnRUFBUUFBQUFBQUFBQUFBQUE9</t>
        </r>
      </text>
    </comment>
    <comment ref="D34" authorId="0" shapeId="0" xr:uid="{F9152C30-E18E-4841-9254-68D163E29175}">
      <text>
        <r>
          <rPr>
            <sz val="9"/>
            <color indexed="81"/>
            <rFont val="Tahoma"/>
            <family val="2"/>
          </rPr>
          <t>QzE0SDE4RjEzTjJPNVMyLXxQaWN0dXJlIDI2fFZtcERSREF4TURBRUF3SUJBQUFBQUFBQUFBQUFBQUNBQUFBQUFBTUFGZ0FBQUVOb1pXMUVjbUYzSURJeUxqSXVNQzR6TXpBd0NBQVRBQUFBVlc1MGFYUnNaV1FnUkc5amRXMWxiblFFQWhBQW5OZUlBT1B5TkFEMDF2RUFaYXYvQUFFSkNBQUFnRUFBQUlEZ0JRSUpDQUFBd0NFQUFNQzFBZzBJQVFBQkNBY0JBQUU2QkFFQUFUc0VBUUFBUlFRQkFBRThCQUVBQUVvRUFRQUFEQVlCQUFFUEJnRUFBUTBHQVFBQVFnUUJBQUJEQkFFQUFFUUVBUUFBRGdnQ0FLVVR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Dd0ZBQUFFQWhBQUFBQUFBQUFBQUFCOXN3UUJrN3pSRXhZSUJBQUFBQ1FBR0FnRUFBQUFKQUFaQ0FBQUVBZ0NBQUVBRHdnQ0FBRUFBNERqQkFBQUJBSVFBSnpYaUFEajhqUUE5TmJ4QUdXci93QUtBQUlBRmdNRWdPUUVBQUFBQWdnQTlGYWxBQlJXUndBS0FBSUFGUU0zQkFFQUFRQUFCSURsQkFBQUFBSUlBUFRXbkFBR0QxWUFDZ0FDQUJjRE53UUJBQUVBQUFTQTVnUUFBQUFDQ0FEMFZxVUE5OGRrQUFvQUFnQVpBemNFQVFBQkFBQUVnT2NFQUFBQUFnZ0E5TmFjQU9tQWN3QUtBQUlBR3dNM0JBRUFBUUFBQklEb0JBQUFBQUlJQVBSV3BRRGFPWUlBQ2dBQ0FCMEROd1FCQUFFQUFBU0E2UVFBQUFBQ0NBRDAxcHdBelBLUUFBb0FBZ0FmQXpjRUFRQUJBQUFFZ09vRUFBQUFBZ2dBOUZhbEFMMnJud0FLQUFJQUlRTUNCQUlBRUFBckJBSUFBQUJJQkFBQU53UUJBQUVHZ0FBQUFBQUFBZ2dBSndxcUFEMnJtd0FFQWhBQXdPT2ZBRDJybXdDTk1Lb0FQYXlqQUNNSUFRQUFBZ2NDQUFBQUJRY0JBQVFBQncwQUFRQUFBQU1BWUFEd0FBQUFVd2tIRFFBQkFBQUFBd0JnQVBBQUFBQlRBQUFBQUFTQTZ3UUFBQUFDQ0FEbEQ3UUF2U3VYQUFvQUFnQWpBd0lFQWdBSUFDc0VBZ0FBQUVnRUFBQTNCQUVBQVFhQUFBQUFBQUFDQ0FBWXc3Z0EvWUNTQUFRQ0VBQ3huSzRBL1lDU0FIN3B1QUI5MXBzQUl3Z0JBQUFDQndJQUFBQUFCdzBBQVFBQUFBTUFZQUR3QUFBQVR3a0hEUUFCQUFBQUF3QmdBUEFBQUFCUEFBQUFBQVNBN0FRQUFBQUNDQUFDbnBZQXZTdW9BQW9BQWdBbEF3SUVBZ0FJQUNzRUFnQUFBRWdFQUFBM0JBRUFBUWFBQUFBQUFBQUNDQUExVVpzQS9ZQ2pBQVFDRUFET0twRUEvWUNqQUp0M213QjkxcXdBSXdnQkFBQUNCd0lBQUFBQUJ3MEFBUUFBQUFNQVlBRHdBQUFBVHdrSERRQUJBQUFBQXdCZ0FQQUFBQUJQQUFBQUFBU0E3UVFBQUFBQ0NBRDAxcTBBcm1TdUFBb0FBZ0FuQXdJRUFnQUhBQ3NFQWdBQUFFZ0VBQUEzQkFFQUFRYUFBQUFBQUFBQ0NBQW5pcklBYmcrcUFBUUNFQUNOa0tnQWJnK3FBQ2VLc2dEdXViSUFJd2dCQUFBQ0J3SUFBQUFGQndFQUFRQUhEUUFCQUFBQUF3QmdBUEFBQUFCT0NRY05BQUVBQUFBREFHQUE4QUFBQUU0QUFBQUFCSUR1QkFBQUFBSUlBUFRXdmdDdVpLNEFDZ0FDQUNrRE53UUJBQUVBQUFTQTd3UUFBQUFDQ0FEMFZzY0F2YXVmQUFvQUFnQXJBemNFQVFBQkFBQUVnUEFFQUFBQUFnZ0E5RmJZQUwycm53QUtBQUlBTFFNM0JBRUFBUUFBQklEeEJBQUFBQUlJQVBUVzRBRE04cEFBQ2dBQ0FDOERBZ1FDQUFjQUt3UUNBQUFBU0FRQUFEY0VBUUFCQm9BQUFBQUFBQUlJQUNlSzVRQ01uWXdBQkFJUUFJMlEyd0NNbll3QUo0cmxBQXhJbFFBakNBRUFBQUlIQWdBQUFBVUhBUUFFQUFjTkFBRUFBQUFEQUdBQThBQUFBRTRKQncwQUFRQUFBQU1BWUFEd0FBQUFUZ0FBQUFBRWdQSUVBQUFBQWdnQTlOYnhBTXZ5a0FBS0FBSUFNUU0zQkFFQUFRQUFCSUR6QkFBQUFBSUlBUFJXMkFEYU9ZSUFDZ0FDQURNRE53UUJBQUVBQUFTQTlBUUFBQUFDQ0FEMFZxVUFvQjI5QUFvQUFnQTFBemNFQVFBQkFBQUVnUFVFQUFBQUFnZ0E5TmF0QUpIV3l3QUtBQUlBTmdNM0JBRUFBUUFBQklEMkJBQUFBQUlJQVBSV3BRQ0RqOW9BQ2dBQ0FEZ0ROd1FCQUFFQUFBU0E5d1FBQUFBQ0NBRDAxcTBBZEVqcEFBb0FBZ0E2QXdJRUFnQVFBQ3NFQWdBQUFFZ0VBQUEzQkFFQUFRYUFBQUFBQUFBQ0NBQW5pcklBOUVmbEFBUUNFQURBWTZnQTlFZmxBSTJ3c2dEMFNPMEFJd2dCQUFBQ0J3SUFBQUFGQndFQUJBQUhEUUFCQUFBQUF3QmdBUEFBQUFCVENRY05BQUVBQUFBREFHQUE4QUFBQUZNQUFBQUFCSUQ0QkFBQUFBSUlBQU1lbndCMHlQRUFDZ0FDQUR3REFnUUNBQWdBS3dRQ0FBQUFTQVFBQURjRUFRQUJCb0FBQUFBQUFBSUlBRGJSb3dDMEhlMEFCQUlRQU0rcW1RQzBIZTBBblBlakFEUno5Z0FqQ0FFQUFBSUhBZ0FBQUFBSERRQUJBQUFBQXdCZ0FQQUFBQUJQQ1FjTkFBRUFBQUFEQUdBQThBQUFBRThBQUFBQUJJRDVCQUFBQUFJSUFPV1B2QUIweU9BQUNnQUNBRDREQWdRQ0FBZ0FLd1FDQUFBQVNBUUFBRGNFQVFBQkJvQUFBQUFBQUFJSUFCaER3UUMwSGR3QUJBSVFBTEVjdHdDMEhkd0FmbW5CQURSejVRQWpDQUVBQUFJSEFnQUFBQUFIRFFBQkFBQUFBd0JnQVBBQUFBQlBDUWNOQUFFQUFBQURBR0FBOEFBQUFFOEFBQUFBQklENkJBQUFBQUlJQVBSV3RnQmxBZmdBQ2dBQ0FFQURBZ1FDQUFnQUt3UUNBQUFBSVFRQkFQOUlCQUFBTndRQkFBRUdnQUFBQUFBQUFnZ0FKd3E3QUtWVzh3QUVBaEFBd09Pd0FLVlc4d0NOTUxzQVphdi9BQ01JQVFBQUFnY0NBQUFBQlFjQkFBRUFCdzRBQVFBQUFBTUFZQUR3QUFBQVR5MEpCdzRBQVFBQUFBTUFZQUR3QUFBQVR5MEFBQUFBQklEN0JBQUFBQUlJQUFNZWpnRE1jb2dBQ2dBQ0FFSURBZ1FDQUFrQUt3UUNBQUFBU0FRQUFEY0VBUUFCQm9BQUFBQUFBQUlJQURiUmtnQ015SVFBQkFJUUFKelhpQUNNeUlRQU50R1NBQXdkakFBakNBRUFBQUlIQWdBQUFBQUhEUUFCQUFBQUF3QmdBUEFBQUFCR0NRY05BQUVBQUFBREFHQUE4QUFBQUVZQUFBQUFCSUQ4QkFBQUFBSUlBQU1lamdETWNwa0FDZ0FDQUVRREFnUUNBQWtBS3dRQ0FBQUFTQVFBQURjRUFRQUJCb0FBQUFBQUFBSUlBRGJSa2dDTXlKVUFCQUlRQUp6WGlBQ015SlVBTnRHU0FBd2RuUUFqQ0FFQUFBSUhBZ0FBQUFBSERRQUJBQUFBQXdCZ0FQQUFBQUJHQ1FjTkFBRUFBQUFEQUdBQThBQUFBRVlBQUFBQUJJRDlCQUFBQUFJSUFPVVB0QURhdVlvQUNnQUNBRVlEQWdRQ0FBa0FLd1FDQUFBQVNBUUFBRGNFQVFBQkJvQUFBQUFBQUFJSUFCakR1QUNhRDRjQUJBSVFBSDdKcmdDYUQ0Y0FHTU80QUJwa2pnQWpDQUVBQUFJSEFnQUFBQUFIRFFBQkFBQUFBd0JnQVBBQUFBQkdDUWNOQUFFQUFBQURBR0FBOEFBQUFFWUFBQUFBQklEK0JBQUFBQUlJQU9VUHRBRGF1WGtBQ2dBQ0FFZ0RBZ1FDQUFrQUt3UUNBQUFBU0FRQUFEY0VBUUFCQm9BQUFBQUFBQUlJQUJqRHVBQ2FEM1lBQkFJUUFIN0pyZ0NhRDNZQUdNTzRBQnBrZlFBakNBRUFBQUlIQWdBQUFBQUhEUUFCQUFBQUF3QmdBUEFBQUFCR0NRY05BQUVBQUFBREFHQUE4QUFBQUVZQUFBQUFCSUQvQkFBQUFBSUlBQU1lamdEcEFHc0FDZ0FDQUVvREFnUUNBQWtBS3dRQ0FBQUFTQVFBQURjRUFRQUJCb0FBQUFBQUFBSUlBRGJSa2dDcFZtY0FCQUlRQUp6WGlBQ3BWbWNBTnRHU0FDbXJiZ0FqQ0FFQUFBSUhBZ0FBQUFBSERRQUJBQUFBQXdCZ0FQQUFBQUJHQ1FjTkFBRUFBQUFEQUdBQThBQUFBRVlBQUFBQUJJQUFCUUFBQUFJSUFBTWVqZ0RwQUh3QUNnQUNBRXdEQWdRQ0FBa0FLd1FDQUFBQVNBUUFBRGNFQVFBQkJvQUFBQUFBQUFJSUFEYlJrZ0NwVm5nQUJBSVFBSnpYaUFDcFZuZ0FOdEdTQUNtcmZ3QWpDQUVBQUFJSEFnQUFBQUFIRFFBQkFBQUFBd0JnQVBBQUFBQkdDUWNOQUFFQUFBQURBR0FBOEFBQUFFWUFBQUFBQklBQkJRQUFBQUlJQU9VUHRBRDRSMjBBQ2dBQ0FFNERBZ1FDQUFrQUt3UUNBQUFBU0FRQUFEY0VBUUFCQm9BQUFBQUFBQUlJQUJqRHVBQzRuV2tBQkFJUUFIN0pyZ0M0bldrQUdNTzRBRGp5Y0FBakNBRUFBQUlIQWdBQUFBQUhEUUFCQUFBQUF3QmdBUEFBQUFCR0NRY05BQUVBQUFBREFHQUE4QUFBQUVZQUFBQUFCSUFDQlFBQUFBSUlBT1VQdEFENFIxd0FDZ0FDQUZBREFnUUNBQWtBS3dRQ0FBQUFTQVFBQURjRUFRQUJCb0FBQUFBQUFBSUlBQmpEdUFDNG5WZ0FCQUlRQUg3SnJnQzRuVmdBR01PNEFEanlYd0FqQ0FFQUFBSUhBZ0FBQUFBSERRQUJBQUFBQXdCZ0FQQUFBQUJHQ1FjTkFBRUFBQUFEQUdBQThBQUFBRVlBQUFBQUJJQURCUUFBQUFJSUFBTWVqZ0FHajAwQUNnQUNBRklEQWdRQ0FBa0FLd1FDQUFBQVNBUUFBRGNFQVFBQkJvQUFBQUFBQUFJSUFEYlJrZ0RHNUVrQUJBSVFBSnpYaUFERzVFa0FOdEdTQUVZNVVRQWpDQUVBQUFJSEFnQUFBQUFIRFFBQkFBQUFBd0JnQVBBQUFBQkdDUWNOQUFFQUFBQURBR0FBOEFBQUFFWUFBQUFBQklBRUJRQUFBQUlJQUFNZWpnQUdqMTRBQ2dBQ0FGUURBZ1FDQUFrQUt3UUNBQUFBU0FRQUFEY0VBUUFCQm9BQUFBQUFBQUlJQURiUmtnREc1Rm9BQkFJUUFKelhpQURHNUZvQU50R1NBRVk1WWdBakNBRUFBQUlIQWdBQUFBQUhEUUFCQUFBQUF3QmdBUEFBQUFCR0NRY05BQUVBQUFBREFHQUE4QUFBQUVZQUFBQUFCSUFGQlFBQUFBSUlBUFJXdGdBVVZrY0FDZ0FDQUZZREFnUUNBQWtBS3dRQ0FBQUFTQVFBQURjRUFRQUJCb0FBQUFBQUFBSUlBQ2NLdXdEVXEwTUFCQUlRQUkwUXNRRFVxME1BSndxN0FGUUFTd0FqQ0FFQUFBSUhBZ0FBQUFBSERRQUJBQUFBQXdCZ0FQQUFBQUJHQ1FjTkFBRUFBQUFEQUdBQThBQUFBRVlBQUFBQUJJQUdCUUFBQUFJSUFQVFdyUUFqblRnQUNnQUNBRmdEQWdRQ0FBa0FLd1FDQUFBQVNBUUFBRGNFQVFBQkJvQUFBQUFBQUFJSUFDZUtzZ0RqOGpRQUJBSVFBSTJRcUFEajhqUUFKNHF5QUdOSFBBQWpDQUVBQUFJSEFnQUFBQUFIRFFBQkFBQUFBd0JnQVBBQUFBQkdDUWNOQUFFQUFBQURBR0FBOEFBQUFFWUFBQUFBQklBSEJRQUFBQUlJQVBUV25BQWpuVGdBQ2dBQ0FGb0RBZ1FDQUFrQUt3UUNBQUFBU0FRQUFEY0VBUUFCQm9BQUFBQUFBQUlJQUNlS29RRGo4alFBQkFJUUFJMlFsd0RqOGpRQUo0cWhBR05IUEFBakNBRUFBQUlIQWdBQUFBQUhEUUFCQUFBQUF3QmdBUEFBQUFCR0NRY05BQUVBQUFBREFHQUE4QUFBQUVZQUFBQUFCWUFJQlFBQUNnQUNBQmdEQkFZRUFPUUVBQUFGQmdRQTVRUUFBQW9HQVFBQkFBQUZnQWtGQUFBS0FBSUFHZ01FQmdRQTVRUUFBQVVHQkFEbUJBQUFDZ1lCQUFFQUFBV0FDZ1VBQUFvQUFnQWNBd1FHQkFEbUJBQUFCUVlFQU9jRUFBQUtCZ0VBQVFBQUJZQUxCUUFBQ2dBQ0FCNERCQVlFQU9jRUFBQUZCZ1FBNkFRQUFBb0dBUUFCQUFBRmdBd0ZBQUFLQUFJQUlBTUVCZ1FBNkFRQUFBVUdCQURwQkFBQUNnWUJBQUVBQUFXQURRVUFBQW9BQWdBaUF3UUdCQURwQkFBQUJRWUVBT29FQUFBS0JnRUFBUUFBQllBT0JRQUFDZ0FDQUNRREJBWUVBT29FQUFBRkJnUUE2d1FBQUFBR0FnQUNBQW9HQVFBQkFBQUZnQThGQUFBS0FBSUFKZ01FQmdRQTZnUUFBQVVHQkFEc0JBQUFBQVlDQUFJQUNnWUJBQUVBQUFXQUVBVUFBQW9BQWdBb0F3UUdCQURxQkFBQUJRWUVBTzBFQUFBS0JnRUFBUUFBQllBUkJRQUFDZ0FDQUNvREJBWUVBTzBFQUFBRkJnUUE3Z1FBQUFvR0FRQUJBQUFGZ0JJRkFBQUtBQUlBTEFNRUJnUUE3Z1FBQUFVR0JBRHZCQUFBQ2dZQkFBRUFBQVdBRXdVQUFBb0FBZ0F1QXdRR0JBRHZCQUFBQlFZRUFQQUVBQUFLQmdFQUFRQUFCWUFVQlFBQUNnQUNBREFEQkFZRUFQQUVBQUFGQmdRQThRUUFBQW9HQVFBQkFBQUZnQlVGQUFBS0FBSUFNZ01FQmdRQThRUUFBQVVHQkFEeUJBQUFDZ1lCQUFFQUFBV0FGZ1VBQUFvQUFnQTBBd1FHQkFEeEJBQUFCUVlFQVBNRUFBQUtCZ0VBQVFBQUJZQVhCUUFBQ2dBQ0FEY0RCQVlFQVBRRUFBQUZCZ1FBOVFRQUFBb0dBUUFCQUFBRmdCZ0ZBQUFLQUFJQU9RTUVCZ1FBOVFRQUFBVUdCQUQyQkFBQUNnWUJBQUVBQUFXQUdRVUFBQW9BQWdBN0F3UUdCQUQyQkFBQUJRWUVBUGNFQUFBS0JnRUFBUUFBQllBYUJRQUFDZ0FDQUQwREJBWUVBUGNFQUFBRkJnUUErQVFBQUFBR0FnQUNBQW9HQVFBQkFBQUZnQnNGQUFBS0FBSUFQd01FQmdRQTl3UUFBQVVHQkFENUJBQUFBQVlDQUFJQUNnWUJBQUVBQUFXQUhBVUFBQW9BQWdCQkF3UUdCQUQzQkFBQUJRWUVBUG9FQUFBS0JnRUFBUUFBQllBZEJRQUFDZ0FDQUVNREJBWUVBT2tFQUFBRkJnUUErd1FBQUFvR0FRQUJBQUFGZ0I0RkFBQUtBQUlBUlFNRUJnUUE2UVFBQUFVR0JBRDhCQUFBQ2dZQkFBRUFBQVdBSHdVQUFBb0FBZ0JIQXdRR0JBRG9CQUFBQlFZRUFQMEVBQUFLQmdFQUFRQUFCWUFnQlFBQUNnQUNBRWtEQkFZRUFPZ0VBQUFGQmdRQS9nUUFBQW9HQVFBQkFBQUZnQ0VGQUFBS0FBSUFTd01FQmdRQTV3UUFBQVVHQkFEL0JBQUFDZ1lCQUFFQUFBV0FJZ1VBQUFvQUFnQk5Bd1FHQkFEbkJBQUFCUVlFQUFBRkFBQUtCZ0VBQVFBQUJZQWpCUUFBQ2dBQ0FFOERCQVlFQU9ZRUFBQUZCZ1FBQVFVQUFBb0dBUUFCQUFBRmdDUUZBQUFLQUFJQVVRTUVCZ1FBNWdRQUFBVUdCQUFDQlFBQUNnWUJBQUVBQUFXQUpRVUFBQW9BQWdCVEF3UUdCQURsQkFBQUJRWUVBQU1GQUFBS0JnRUFBUUFBQllBbUJRQUFDZ0FDQUZVREJBWUVBT1VFQUFBRkJnUUFCQVVBQUFvR0FRQUJBQUFGZ0NjRkFBQUtBQUlBVndNRUJnUUE1QVFBQUFVR0JBQUZCUUFBQ2dZQkFBRUFBQVdBS0FVQUFBb0FBZ0JaQXdRR0JBRGtCQUFBQlFZRUFBWUZBQUFLQmdFQUFRQUFCWUFwQlFBQUNnQUNBRnNEQkFZRUFPUUVBQUFGQmdRQUJ3VUFBQW9HQVFBQkFBQUZnQ29GQUFBS0FBSUFYQU1FQmdRQTlBUUFBQVVHQkFEdEJBQUFDZ1lCQUFFQUFBQUFBQUFBQUFBQQ==</t>
        </r>
      </text>
    </comment>
    <comment ref="D36" authorId="0" shapeId="0" xr:uid="{7AE62172-86E1-46C1-AF9B-FB7D269FB179}">
      <text>
        <r>
          <rPr>
            <sz val="9"/>
            <color indexed="81"/>
            <rFont val="Tahoma"/>
            <family val="2"/>
          </rPr>
          <t>QzhINEYxMU8yLXxQaWN0dXJlIDQ5fFZtcERSREF4TURBRUF3SUJBQUFBQUFBQUFBQUFBQUNBQUFBQUFBTUFGZ0FBQUVOb1pXMUVjbUYzSURJeUxqSXVNQzR6TXpBd0NBQVRBQUFBVlc1MGFYUnNaV1FnUkc5amRXMWxiblFFQWhBQXF0b1BBVm5Ca3dBUkFXVUJSdW1JQVFFSkNBQUFnRUFBQUlCQUFBSUpDQUFBd0NFQUFNQzFBZzBJQVFBQkNBY0JBQUU2QkFFQUFUc0VBUUFBUlFRQkFBRThCQUVBQUVvRUFRQUFEQVlCQUFFUEJnRUFBUTBHQVFBQVFnUUJBQUJEQkFFQUFFUUVBUUFBRGdnQ0FOTVh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Pd0FBQUFFQWhBQUFBQUFBQUFBQUFEQlhhVUI1UjdvRmhZSUJBQUFBQ1FBR0FnRUFBQUFKQUFaQ0FBQUVBZ0NBQUVBRHdnQ0FBRUFBNERBQUFBQUJBSVFBS3JhRHdGWndaTUFFUUZsQVVicGlBRUtBQUlBdmdBRWdNRUFBQUFBQWdnQTNrMUNBU0JKVFFFS0FBSUF2d0EzQkFFQUFRQUFCSURDQUFBQUFBSUlBTjVOTXdFTVRqTUJDZ0FDQU1BQU53UUJBQUVBQUFTQXd3QUFBQUFDQ0FEZVRVSUIrVklaQVFvQUFnREJBRGNFQVFBQkFBQUVnTVFBQUFBQUFnZ0EzazB6QWVaWC93QUtBQUlBd2dBM0JBRUFBUUFBQklERkFBQUFBQUlJQU41TlFnSFRYT1VBQ2dBQ0FNTUFOd1FCQUFFQUFBU0F4Z0FBQUFBQ0NBRGVUVE1CdjJITEFBb0FBZ0RFQURjRUFRQUJBQUFFZ01jQUFBQUFBZ2dBM2sxQ0FheG1zUUFLQUFJQXhRQTNCQUVBQVFBQUJJRElBQUFBQUFJSUFONU5VUUdaYTVjQUNnQUNBTVlBQWdRQ0FBa0FLd1FDQUFBQVNBUUFBRGNFQVFBQkJvQUFBQUFBQUFJSUFCRUJWZ0Zad1pNQUJBSVFBSGNIVEFGWndaTUFFUUZXQWRrVm13QWpDQUVBQUFJSEFnQUFBQUFIRFFBQkFBQUFBd0JnQVBBQUFBQkdDUWNOQUFFQUFBQURBR0FBOEFBQUFFWUFBQUFBQklESkFBQUFBQUlJQU41TllBR3NackVBQ2dBQ0FNY0FBZ1FDQUFrQUt3UUNBQUFBU0FRQUFEY0VBUUFCQm9BQUFBQUFBQUlJQUJFQlpRRnN2SzBBQkFJUUFIY0hXd0ZzdkswQUVRRmxBZXdRdFFBakNBRUFBQUlIQWdBQUFBQUhEUUFCQUFBQUF3QmdBUEFBQUFCR0NRY05BQUVBQUFBREFHQUE4QUFBQUVZQUFBQUFCSURLQUFBQUFBSUlBTjVOTXdHWmE1Y0FDZ0FDQU1nQUFnUUNBQWtBS3dRQ0FBQUFTQVFBQURjRUFRQUJCb0FBQUFBQUFBSUlBQkVCT0FGWndaTUFCQUlRQUhjSExnRlp3Wk1BRVFFNEFka1Ztd0FqQ0FFQUFBSUhBZ0FBQUFBSERRQUJBQUFBQXdCZ0FQQUFBQUJHQ1FjTkFBRUFBQUFEQUdBQThBQUFBRVlBQUFBQUJJRExBQUFBQUFJSUFNdFNHUUcvWWRvQUNnQUNBTWtBQWdRQ0FBa0FLd1FDQUFBQVNBUUFBRGNFQVFBQkJvQUFBQUFBQUFJSUFQNEZIZ0YvdDlZQUJBSVFBR1FNRkFGL3Q5WUEvZ1VlQWY4TDNnQWpDQUVBQUFJSEFnQUFBQUFIRFFBQkFBQUFBd0JnQVBBQUFBQkdDUWNOQUFFQUFBQURBR0FBOEFBQUFFWUFBQUFBQklETUFBQUFBQUlJQU10U0dRRy9ZYndBQ2dBQ0FNb0FBZ1FDQUFrQUt3UUNBQUFBU0FRQUFEY0VBUUFCQm9BQUFBQUFBQUlJQVA0RkhnRi90N2dBQkFJUUFHUU1GQUYvdDdnQS9nVWVBZjhMd0FBakNBRUFBQUlIQWdBQUFBQUhEUUFCQUFBQUF3QmdBUEFBQUFCR0NRY05BQUVBQUFBREFHQUE4QUFBQUVZQUFBQUFCSUROQUFBQUFBSUlBUEZJWEFIVFhOWUFDZ0FDQU1zQUFnUUNBQWtBS3dRQ0FBQUFTQVFBQURjRUFRQUJCb0FBQUFBQUFBSUlBQ1Q4WUFHVHN0SUFCQUlRQUlvQ1Z3R1RzdElBSlB4Z0FSTUgyZ0FqQ0FFQUFBSUhBZ0FBQUFBSERRQUJBQUFBQXdCZ0FQQUFBQUJHQ1FjTkFBRUFBQUFEQUdBQThBQUFBRVlBQUFBQUJJRE9BQUFBQUFJSUFQRklYQUhUWFBRQUNnQUNBTXdBQWdRQ0FBa0FLd1FDQUFBQVNBUUFBRGNFQVFBQkJvQUFBQUFBQUFJSUFDVDhZQUdUc3ZBQUJBSVFBSW9DVndHVHN2QUFKUHhnQVJNSCtBQWpDQUVBQUFJSEFnQUFBQUFIRFFBQkFBQUFBd0JnQVBBQUFBQkdDUWNOQUFFQUFBQURBR0FBOEFBQUFFWUFBQUFBQklEUEFBQUFBQUlJQU10U0dRSG1WdzRCQ2dBQ0FNMEFBZ1FDQUFrQUt3UUNBQUFBU0FRQUFEY0VBUUFCQm9BQUFBQUFBQUlJQVA0RkhnR21yUW9CQkFJUUFHUU1GQUdtclFvQi9nVWVBU1lDRWdFakNBRUFBQUlIQWdBQUFBQUhEUUFCQUFBQUF3QmdBUEFBQUFCR0NRY05BQUVBQUFBREFHQUE4QUFBQUVZQUFBQUFCSURRQUFBQUFBSUlBTXRTR1FIbVYvQUFDZ0FDQU00QUFnUUNBQWtBS3dRQ0FBQUFTQVFBQURjRUFRQUJCb0FBQUFBQUFBSUlBUDRGSGdHbXJld0FCQUlRQUdRTUZBR21yZXdBL2dVZUFTWUM5QUFqQ0FFQUFBSUhBZ0FBQUFBSERRQUJBQUFBQXdCZ0FQQUFBQUJHQ1FjTkFBRUFBQUFEQUdBQThBQUFBRVlBQUFBQUJJRFJBQUFBQUFJSUFQRklYQUg1VWdvQkNnQUNBTThBQWdRQ0FBa0FLd1FDQUFBQVNBUUFBRGNFQVFBQkJvQUFBQUFBQUFJSUFDVDhZQUc1cUFZQkJBSVFBSW9DVndHNXFBWUJKUHhnQVRuOURRRWpDQUVBQUFJSEFnQUFBQUFIRFFBQkFBQUFBd0JnQVBBQUFBQkdDUWNOQUFFQUFBQURBR0FBOEFBQUFFWUFBQUFBQklEU0FBQUFBQUlJQVBGSVhBSDVVaWdCQ2dBQ0FOQUFBZ1FDQUFrQUt3UUNBQUFBU0FRQUFEY0VBUUFCQm9BQUFBQUFBQUlJQUNUOFlBRzVxQ1FCQkFJUUFJb0NWd0c1cUNRQkpQeGdBVG45S3dFakNBRUFBQUlIQWdBQUFBQUhEUUFCQUFBQUF3QmdBUEFBQUFCR0NRY05BQUVBQUFBREFHQUE4QUFBQUVZQUFBQUFCSURUQUFBQUFBSUlBTjVOTXdFelJHY0JDZ0FDQU5FQU53UUJBQUVBQUFTQTFBQUFBQUFDQ0FEZVRSVUJNMFJuQVFvQUFnRFNBQUlFQWdBSUFDc0VBZ0FBQUVnRUFBQTNCQUVBQVFhQUFBQUFBQUFDQ0FBUkFSb0JjNWxpQVFRQ0VBQ3EyZzhCYzVsaUFYY25HZ0h6N21zQkl3Z0JBQUFDQndJQUFBQUFCdzBBQVFBQUFBTUFZQUR3QUFBQVR3a0hEUUFCQUFBQUF3QmdBUEFBQUFCUEFBQUFBQVNBMVFBQUFBQUNDQURlVFVJQlJqK0JBUW9BQWdEVEFBSUVBZ0FJQUNzRUFnQUFBQ0VFQVFEL1NBUUFBRGNFQVFBQkJvQUFBQUFBQUFJSUFCRUJSd0dHbEh3QkJBSVFBS3JhUEFHR2xId0JkeWRIQVVicGlBRWpDQUVBQUFJSEFnQUFBQVVIQVFBQkFBY09BQUVBQUFBREFHQUE4QUFBQUU4dENRY09BQUVBQUFBREFHQUE4QUFBQUU4dEFBQUFBQVdBMWdBQUFBb0FBZ0RVQUFRR0JBREJBQUFBQlFZRUFNSUFBQUFLQmdFQUFRQUFCWURYQUFBQUNnQUNBTlVBQkFZRUFNSUFBQUFGQmdRQXd3QUFBQW9HQVFBQkFBQUZnTmdBQUFBS0FBSUExZ0FFQmdRQXd3QUFBQVVHQkFERUFBQUFDZ1lCQUFFQUFBV0EyUUFBQUFvQUFnRFhBQVFHQkFERUFBQUFCUVlFQU1VQUFBQUtCZ0VBQVFBQUJZRGFBQUFBQ2dBQ0FOZ0FCQVlFQU1VQUFBQUZCZ1FBeGdBQUFBb0dBUUFCQUFBRmdOc0FBQUFLQUFJQTJRQUVCZ1FBeGdBQUFBVUdCQURIQUFBQUNnWUJBQUVBQUFXQTNBQUFBQW9BQWdEYUFBUUdCQURIQUFBQUJRWUVBTWdBQUFBS0JnRUFBUUFBQllEZEFBQUFDZ0FDQU5zQUJBWUVBTWNBQUFBRkJnUUF5UUFBQUFvR0FRQUJBQUFGZ040QUFBQUtBQUlBM0FBRUJnUUF4d0FBQUFVR0JBREtBQUFBQ2dZQkFBRUFBQVdBM3dBQUFBb0FBZ0RkQUFRR0JBREdBQUFBQlFZRUFNc0FBQUFLQmdFQUFRQUFCWURnQUFBQUNnQUNBTjRBQkFZRUFNWUFBQUFGQmdRQXpBQUFBQW9HQVFBQkFBQUZnT0VBQUFBS0FBSUEzd0FFQmdRQXhRQUFBQVVHQkFETkFBQUFDZ1lCQUFFQUFBV0E0Z0FBQUFvQUFnRGdBQVFHQkFERkFBQUFCUVlFQU00QUFBQUtCZ0VBQVFBQUJZRGpBQUFBQ2dBQ0FPRUFCQVlFQU1RQUFBQUZCZ1FBendBQUFBb0dBUUFCQUFBRmdPUUFBQUFLQUFJQTRnQUVCZ1FBeEFBQUFBVUdCQURRQUFBQUNnWUJBQUVBQUFXQTVRQUFBQW9BQWdEakFBUUdCQUREQUFBQUJRWUVBTkVBQUFBS0JnRUFBUUFBQllEbUFBQUFDZ0FDQU9RQUJBWUVBTU1BQUFBRkJnUUEwZ0FBQUFvR0FRQUJBQUFGZ09jQUFBQUtBQUlBNVFBRUJnUUF3UUFBQUFVR0JBRFRBQUFBQ2dZQkFBRUFBQVdBNkFBQUFBb0FBZ0RtQUFRR0JBRFRBQUFBQlFZRUFOUUFBQUFBQmdJQUFnQUtCZ0VBQVFBQUJZRHBBQUFBQ2dBQ0FPY0FCQVlFQU5NQUFBQUZCZ1FBMVFBQUFBb0dBUUFCQUFBQUFBQUFBQUFBQUE9PQ==</t>
        </r>
      </text>
    </comment>
    <comment ref="D37" authorId="0" shapeId="0" xr:uid="{A0244EF6-3F3A-4C5A-AFEC-2E74EC4490D5}">
      <text>
        <r>
          <rPr>
            <sz val="9"/>
            <color indexed="81"/>
            <rFont val="Tahoma"/>
            <family val="2"/>
          </rPr>
          <t>QzhINEYxM08zUy18UGljdHVyZSAzfFZtcERSREF4TURBRUF3SUJBQUFBQUFBQUFBQUFBQUNBQUFBQUFBTUFGZ0FBQUVOb1pXMUVjbUYzSURJeUxqSXVNQzR6TXpBd0NBQVRBQUFBVlc1MGFYUnNaV1FnUkc5amRXMWxiblFFQWhBQVU5QVNBUzlnaHdEZUltSUIwSitVQVFFSkNBQUFnRUFBQUlCQUFBSUpDQUFBd0NFQUFNQzFBZzBJQVFBQkNBY0JBQUU2QkFFQUFUc0VBUUFBUlFRQkFBRThCQUVBQUVvRUFRQUFEQVlCQUFFUEJnRUFBUTBHQVFBQVFnUUJBQUJEQkFFQUFFUUVBUUFBRGdnQ0FOb1dDZ2dJQUFNQVlBRElBQU1BQ3dnSUFCUUFBQUR3QUFNQUNRZ0VBRE96QWdBSUNBUUFBQUFDQUFjSUJBQUFBQUVBQmdnRUFBQUFCQUFGQ0FRQUFBQWVBQVFJQWdCNEFBTUlCQUFBQUhnQUl3Z0JBQVVNQ0FFQUFDZ0lBUUFCS1FnQkFBRXFDQUVBQVRJSUFRQUFLd2dCQUNnc0NBRUFDZ0lJRUFBQUFDUUFBQUFrQUFBQUpBQUFBQ1FBQVFNQ0FBQUFBZ01DQUFFQUFBTXlBQWdBLy8vLy8vLy9BQUFBQUFBQS8vOEFBQUFBLy8vLy93QUFBQUQvL3dBQUFBRC8vLy8vQUFBQUFQLy8vLzhBQVAvL0FBRWtBQUFBQWdBREFPUUVCUUJCY21saGJCUUE1QVFQQUZScGJXVnpJRTVsZHlCU2IyMWhicl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QmtCQUFBRUFoQUFBQUFBQUFBQUFBQ2laS0lCRVpidkZSWUlCQUFBQUNRQUdBZ0VBQUFBSkFBWkNBQUFFQWdDQUFFQUR3Z0NBQUVBQTREbEFBQUFCQUlRQUZQUUVnRXZZSWNBM2lKaUFkQ2ZsQUVLQUFJQTRnQUVnT1lBQUFBQUFnZ0FlRHhBQVpaTFFBRUtBQUlBNHdBM0JBRUFBUUFBQklEbkFBQUFBQUlJQUhnOE1RR3BSbG9CQ2dBQ0FPUUFOd1FCQUFFQUFBU0E2QUFBQUFBQ0NBQjRQRUFCdkVGMEFRb0FBZ0RsQUFJRUFnQVFBQ3NFQWdBQUFFZ0VBQUEzQkFFQUFRYUFBQUFBQUFBQ0NBRGVJa1FCL090d0FRUUNFQUNKclRzQi9PdHdBWGc4UkFGOGwzY0JJd2dCQUFBQ0J3SUFBQUFBQncwQUFRQUFBQU1BWUFESUFBQUFVd2tIRFFBQkFBQUFBd0JnQU1nQUFBQlRBQUFBQUFTQTZRQUFBQUFDQ0FCbFFTWUJ2RUdEQVFvQUFnRG1BQUlFQWdBSUFDc0VBZ0FBQUVnRUFBQTNCQUVBQVFhQUFBQUFBQUFDQ0FETEp5b0JIRjUvQVFRQ0VBQjJzaUVCSEY1L0FXVkJLZ0ZjSlljQkl3Z0JBQUFDQndJQUFBQUFCdzBBQVFBQUFBTUFZQURJQUFBQVR3a0hEUUFCQUFBQUF3QmdBTWdBQUFCUEFBQUFBQVNBNmdBQUFBQUNDQUNNTjFvQnZFRmxBUW9BQWdEbkFBSUVBZ0FJQUNzRUFnQUFBRWdFQUFBM0JBRUFBUWFBQUFBQUFBQUNDQUR5SFY0QkhGNWhBUVFDRUFDZHFGVUJIRjVoQVl3M1hnRmNKV2tCSXdnQkFBQUNCd0lBQUFBQUJ3MEFBUUFBQUFNQVlBRElBQUFBVHdrSERRQUJBQUFBQXdCZ0FNZ0FBQUJQQUFBQUFBU0E2d0FBQUFBQ0NBQjRQRThCMER5T0FRb0FBZ0RvQUFJRUFnQUlBQ3NFQWdBQUFDRUVBUUQvU0FRQUFEY0VBUUFCQm9BQUFBQUFBQUlJQU40aVV3RXdXWW9CQkFJUUFJbXRTZ0V3V1lvQmVEeFRBZENmbEFFakNBRUFBQUlIQWdBQUFBVUhBUUFCQUFjT0FBRUFBQUFEQUdBQXlBQUFBRTh0Q1FjT0FBRUFBQUFEQUdBQXlBQUFBRTh0QUFBQUFBU0E3QUFBQUFBQ0NBQjRQREVCZzFBbUFRb0FBZ0RwQURjRUFRQUJBQUFFZ08wQUFBQUFBZ2dBZUR4QUFYQlZEQUVLQUFJQTZnQTNCQUVBQVFBQUJJRHVBQUFBQUFJSUFIZzhNUUZjV3ZJQUNnQUNBT3NBTndRQkFBRUFBQVNBN3dBQUFBQUNDQUI0UEVBQlNWL1lBQW9BQWdEc0FEY0VBUUFCQUFBRWdQQUFBQUFBQWdnQWVEd3hBVFprdmdBS0FBSUE3UUEzQkFFQUFRQUFCSUR4QUFBQUFBSUlBSGc4UUFFamFhUUFDZ0FDQU80QU53UUJBQUVBQUFTQThnQUFBQUFDQ0FCNFBGNEJJMm1rQUFvQUFnRHZBQUlFQWdBSkFDc0VBZ0FBQUVnRUFBQTNCQUVBQVFhQUFBQUFBQUFDQ0FEZUltSUJRMXVoQUFRQ0VBQm15MWtCUTF1aEFONGlZZ0VEZDZjQUl3Z0JBQUFDQndJQUFBQUFCdzBBQVFBQUFBTUFZQURJQUFBQVJna0hEUUFCQUFBQUF3QmdBTWdBQUFCR0FBQUFBQVNBOHdBQUFBQUNDQUI0UEU4QkQyNktBQW9BQWdEd0FBSUVBZ0FKQUNzRUFnQUFBRWdFQUFBM0JBRUFBUWFBQUFBQUFBQUNDQURlSWxNQkwyQ0hBQVFDRUFCbXkwb0JMMkNIQU40aVV3SHZlNDBBSXdnQkFBQUNCd0lBQUFBQUJ3MEFBUUFBQUFNQVlBRElBQUFBUmdrSERRQUJBQUFBQXdCZ0FNZ0FBQUJHQUFBQUFBU0E5QUFBQUFBQ0NBQjRQREVCRDI2S0FBb0FBZ0R4QUFJRUFnQUpBQ3NFQWdBQUFFZ0VBQUEzQkFFQUFRYUFBQUFBQUFBQ0NBRGVJalVCTDJDSEFBUUNFQUJteXl3QkwyQ0hBTjRpTlFIdmU0MEFJd2dCQUFBQ0J3SUFBQUFBQncwQUFRQUFBQU1BWUFESUFBQUFSZ2tIRFFBQkFBQUFBd0JnQU1nQUFBQkdBQUFBQUFTQTlRQUFBQUFDQ0FCbFFSY0JObVN2QUFvQUFnRHlBQUlFQWdBSkFDc0VBZ0FBQUVnRUFBQTNCQUVBQVFhQUFBQUFBQUFDQ0FETEp4c0JWbGFzQUFRQ0VBQlQwQklCVmxhc0FNc25Hd0VXY3JJQUl3Z0JBQUFDQndJQUFBQUFCdzBBQVFBQUFBTUFZQURJQUFBQVJna0hEUUFCQUFBQUF3QmdBTWdBQUFCR0FBQUFBQVNBOWdBQUFBQUNDQUJsUVJjQk5tVE5BQW9BQWdEekFBSUVBZ0FKQUNzRUFnQUFBRWdFQUFBM0JBRUFBUWFBQUFBQUFBQUNDQURMSnhzQlZsYktBQVFDRUFCVDBCSUJWbGJLQU1zbkd3RVdjdEFBSXdnQkFBQUNCd0lBQUFBQUJ3MEFBUUFBQUFNQVlBRElBQUFBUmdrSERRQUJBQUFBQXdCZ0FNZ0FBQUJHQUFBQUFBU0E5d0FBQUFBQ0NBQ01OMW9CU1YvbkFBb0FBZ0QwQUFJRUFnQUpBQ3NFQWdBQUFFZ0VBQUEzQkFFQUFRYUFBQUFBQUFBQ0NBRHlIVjRCYVZIa0FBUUNFQUI2eGxVQmFWSGtBUElkWGdFcGJlb0FJd2dCQUFBQ0J3SUFBQUFBQncwQUFRQUFBQU1BWUFESUFBQUFSZ2tIRFFBQkFBQUFBd0JnQU1nQUFBQkdBQUFBQUFTQStBQUFBQUFDQ0FDTU4xb0JTVi9KQUFvQUFnRDFBQUlFQWdBSkFDc0VBZ0FBQUVnRUFBQTNCQUVBQVFhQUFBQUFBQUFDQ0FEeUhWNEJhVkhHQUFRQ0VBQjZ4bFVCYVZIR0FQSWRYZ0VwYmN3QUl3Z0JBQUFDQndJQUFBQUFCdzBBQVFBQUFBTUFZQURJQUFBQVJna0hEUUFCQUFBQUF3QmdBTWdBQUFCR0FBQUFBQVNBK1FBQUFBQUNDQUJsUVJjQlhGcmpBQW9BQWdEMkFBSUVBZ0FKQUNzRUFnQUFBRWdFQUFBM0JBRUFBUWFBQUFBQUFBQUNDQURMSnhzQmZFemdBQVFDRUFCVDBCSUJmRXpnQU1zbkd3RThhT1lBSXdnQkFBQUNCd0lBQUFBQUJ3MEFBUUFBQUFNQVlBRElBQUFBUmdrSERRQUJBQUFBQXdCZ0FNZ0FBQUJHQUFBQUFBU0ErZ0FBQUFBQ0NBQmxRUmNCWEZvQkFRb0FBZ0QzQUFJRUFnQUpBQ3NFQWdBQUFFZ0VBQUEzQkFFQUFRYUFBQUFBQUFBQ0NBRExKeHNCZkV6K0FBUUNFQUJUMEJJQmZFeitBTXNuR3dFOGFBUUJJd2dCQUFBQ0J3SUFBQUFBQncwQUFRQUFBQU1BWUFESUFBQUFSZ2tIRFFBQkFBQUFBd0JnQU1nQUFBQkdBQUFBQUFTQSt3QUFBQUFDQ0FDTU4xb0JjRlViQVFvQUFnRDRBQUlFQWdBSkFDc0VBZ0FBQUVnRUFBQTNCQUVBQVFhQUFBQUFBQUFDQ0FEeUhWNEJrRWNZQVFRQ0VBQjZ4bFVCa0VjWUFmSWRYZ0ZRWXg0Qkl3Z0JBQUFDQndJQUFBQUFCdzBBQVFBQUFBTUFZQURJQUFBQVJna0hEUUFCQUFBQUF3QmdBTWdBQUFCR0FBQUFBQVNBL0FBQUFBQUNDQUNNTjFvQmNGWDlBQW9BQWdENUFBSUVBZ0FKQUNzRUFnQUFBRWdFQUFBM0JBRUFBUWFBQUFBQUFBQUNDQUR5SFY0QmtFZjZBQVFDRUFCNnhsVUJrRWY2QVBJZFhnRlFZd0FCSXdnQkFBQUNCd0lBQUFBQUJ3MEFBUUFBQUFNQVlBRElBQUFBUmdrSERRQUJBQUFBQXdCZ0FNZ0FBQUJHQUFBQUFBU0EvUUFBQUFBQ0NBQmxRUmNCZzFBWEFRb0FBZ0Q2QUFJRUFnQUpBQ3NFQWdBQUFFZ0VBQUEzQkFFQUFRYUFBQUFBQUFBQ0NBRExKeHNCbzBJVUFRUUNFQUJUMEJJQm8wSVVBY3NuR3dGalhob0JJd2dCQUFBQ0J3SUFBQUFBQncwQUFRQUFBQU1BWUFESUFBQUFSZ2tIRFFBQkFBQUFBd0JnQU1nQUFBQkdBQUFBQUFTQS9nQUFBQUFDQ0FCbFFSY0JnMUExQVFvQUFnRDdBQUlFQWdBSkFDc0VBZ0FBQUVnRUFBQTNCQUVBQVFhQUFBQUFBQUFDQ0FETEp4c0JvMEl5QVFRQ0VBQlQwQklCbzBJeUFjc25Hd0ZqWGpnQkl3Z0JBQUFDQndJQUFBQUFCdzBBQVFBQUFBTUFZQURJQUFBQVJna0hEUUFCQUFBQUF3QmdBTWdBQUFCR0FBQUFBQVdBL3dBQUFBb0FBZ0Q4QUFRR0JBRG1BQUFBQlFZRUFPY0FBQUFLQmdFQUFRQUFCWUFBQVFBQUNnQUNBUDBBQkFZRUFPY0FBQUFGQmdRQTZBQUFBQW9HQVFBQkFBQUZnQUVCQUFBS0FBSUEvZ0FFQmdRQTZBQUFBQVVHQkFEcEFBQUFBQVlDQUFJQUNnWUJBQUVBQUFXQUFnRUFBQW9BQWdEL0FBUUdCQURvQUFBQUJRWUVBT29BQUFBQUJnSUFBZ0FLQmdFQUFRQUFCWUFEQVFBQUNnQUNBQUFCQkFZRUFPZ0FBQUFGQmdRQTZ3QUFBQW9HQVFBQkFBQUZnQVFCQUFBS0FBSUFBUUVFQmdRQTVnQUFBQVVHQkFEc0FBQUFDZ1lCQUFFQUFBV0FCUUVBQUFvQUFnQUNBUVFHQkFEc0FBQUFCUVlFQU8wQUFBQUtCZ0VBQVFBQUJZQUdBUUFBQ2dBQ0FBTUJCQVlFQU8wQUFBQUZCZ1FBN2dBQUFBb0dBUUFCQUFBRmdBY0JBQUFLQUFJQUJBRUVCZ1FBN2dBQUFBVUdCQUR2QUFBQUNnWUJBQUVBQUFXQUNBRUFBQW9BQWdBRkFRUUdCQUR2QUFBQUJRWUVBUEFBQUFBS0JnRUFBUUFBQllBSkFRQUFDZ0FDQUFZQkJBWUVBUEFBQUFBRkJnUUE4UUFBQUFvR0FRQUJBQUFGZ0FvQkFBQUtBQUlBQndFRUJnUUE4UUFBQUFVR0JBRHlBQUFBQ2dZQkFBRUFBQVdBQ3dFQUFBb0FBZ0FJQVFRR0JBRHhBQUFBQlFZRUFQTUFBQUFLQmdFQUFRQUFCWUFNQVFBQUNnQUNBQWtCQkFZRUFQRUFBQUFGQmdRQTlBQUFBQW9HQVFBQkFBQUZnQTBCQUFBS0FBSUFDZ0VFQmdRQThBQUFBQVVHQkFEMUFBQUFDZ1lCQUFFQUFBV0FEZ0VBQUFvQUFnQUxBUVFHQkFEd0FBQUFCUVlFQVBZQUFBQUtCZ0VBQVFBQUJZQVBBUUFBQ2dBQ0FBd0JCQVlFQU84QUFBQUZCZ1FBOXdBQUFBb0dBUUFCQUFBRmdCQUJBQUFLQUFJQURRRUVCZ1FBN3dBQUFBVUdCQUQ0QUFBQUNnWUJBQUVBQUFXQUVRRUFBQW9BQWdBT0FRUUdCQUR1QUFBQUJRWUVBUGtBQUFBS0JnRUFBUUFBQllBU0FRQUFDZ0FDQUE4QkJBWUVBTzRBQUFBRkJnUUErZ0FBQUFvR0FRQUJBQUFGZ0JNQkFBQUtBQUlBRUFFRUJnUUE3UUFBQUFVR0JBRDdBQUFBQ2dZQkFBRUFBQVdBRkFFQUFBb0FBZ0FSQVFRR0JBRHRBQUFBQlFZRUFQd0FBQUFLQmdFQUFRQUFCWUFWQVFBQUNnQUNBQklCQkFZRUFPd0FBQUFGQmdRQS9RQUFBQW9HQVFBQkFBQUZnQllCQUFBS0FBSUFFd0VFQmdRQTdBQUFBQVVHQkFEK0FBQUFDZ1lCQUFFQUFBQUFBQUFBQUFBQQ==</t>
        </r>
      </text>
    </comment>
    <comment ref="D39" authorId="0" shapeId="0" xr:uid="{8F592984-B3A1-495B-ACB9-81CA9C319612}">
      <text>
        <r>
          <rPr>
            <sz val="9"/>
            <color indexed="81"/>
            <rFont val="Tahoma"/>
            <family val="2"/>
          </rPr>
          <t>QzE0SDE0RjE2Tk8yK3xQaWN0dXJlIDMwfFZtcERSREF4TURBRUF3SUJBQUFBQUFBQUFBQUFBQUNBQUFBQUFBTUFGZ0FBQUVOb1pXMUVjbUYzSURJeUxqSXVNQzR6TXpBd0NBQVRBQUFBVlc1MGFYUnNaV1FnUkc5amRXMWxiblFFQWhBQVA2V1hBQnYvS3dDbVM4d0F6UnNMQVFFSkNBQUFBQzBBQUFETkJRSUpDQUFBd0NFQUFNQzFBZzBJQVFBQkNBY0JBQUU2QkFFQUFUc0VBUUFBUlFRQkFBRThCQUVBQUVvRUFRQUFEQVlCQUFFUEJnRUFBUTBHQVFBQVFnUUJBQUJEQkFFQUFFUUVBUUFBRGdnQ0FMMEp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OTUlBQUFFQWhBQUFBQUFBQUFBQUFEMm9kVUE3N0NHQ1JZSUJBQUFBQ1FBR0FnRUFBQUFKQUFaQ0FBQUVBZ0NBQUVBRHdnQ0FBRUFBNENRQ0FBQUJBSVFBRCtsbHdBYi95c0Fwa3ZNQU0wYkN3RUtBQUlBc0FZRWdKRUlBQUFBQWdnQWM1aWxBRnVwTHdBS0FBSUFyd1lDQkFJQUNRQXJCQUlBQUFCSUJBQUFOd1FCQUFFR2dBQUFBQUFBQWdnQXBrdXFBQnYvS3dBRUFoQUFERktnQUJ2L0t3Q21TNm9BbTFNekFDTUlBUUFBQWdjQ0FBQUFBQWNOQUFFQUFBQURBR0FBOEFBQUFFWUpCdzBBQVFBQUFBTUFZQUR3QUFBQVJnQUFBQUFFZ0pJSUFBQUFBZ2dBY3hpdUFFeGlQZ0FLQUFJQXNRWTNCQUVBQVFBQUJJQ1RDQUFBQUFJSUFIT1l0Z0ErRzAwQUNnQUNBTE1HTndRQkFBRUFBQVNBbEFnQUFBQUNDQUJ6R0s0QUw5UmJBQW9BQWdDMUJqY0VBUUFCQUFBRWdKVUlBQUFBQWdnQWM1aTJBQ0NOYWdBS0FBSUF0d1kzQkFFQUFRQUFCSUNXQ0FBQUFBSUlBSE1ZcmdBU1Jua0FDZ0FDQUxrR053UUJBQUVBQUFTQWx3Z0FBQUFDQ0FCem1MWUFBLytIQUFvQUFnQzdCamNFQVFBQkFBQUVnSmdJQUFBQUFnZ0FjeGl1QVBTM2xnQUtBQUlBdlFZM0JBRUFBUUFBQklDWkNBQUFBQUlJQUhPWXRnRGxjS1VBQ2dBQ0FMOEdOd1FCQUFFQUFBU0FtZ2dBQUFBQ0NBQnpHSzRBMXltMEFBb0FBZ0RCQmpjRUFRQUJBQUFFZ0pzSUFBQUFBZ2dBY3hpZEFFeGlQZ0FLQUFJQXd3WUNCQUlBQ1FBckJBSUFBQUJJQkFBQU53UUJBQUVHZ0FBQUFBQUFBZ2dBcHN1aEFBeTRPZ0FFQWhBQUROS1hBQXk0T2dDbXk2RUFqQXhDQUNNSUFRQUFBZ2NDQUFBQUFBY05BQUVBQUFBREFHQUE4QUFBQUVZSkJ3MEFBUUFBQUFNQVlBRHdBQUFBUmdBQUFBQUVnSndJQUFBQUFnZ0FjNWkyQUZ1cEx3QUtBQUlBeFFZQ0JBSUFDUUFyQkFJQUFBQklCQUFBTndRQkFBRUdnQUFBQUFBQUFnZ0Fwa3U3QUJ2L0t3QUVBaEFBREZLeEFCdi9Ld0NtUzdzQW0xTXpBQ01JQVFBQUFnY0NBQUFBQUFjTkFBRUFBQUFEQUdBQThBQUFBRVlKQncwQUFRQUFBQU1BWUFEd0FBQUFSZ0FBQUFBRWdKMElBQUFBQWdnQVpWSEZBRDZiVlFBS0FBSUF4d1lDQkFJQUNRQXJCQUlBQUFCSUJBQUFOd1FCQUFFR2dBQUFBQUFBQWdnQW1BVEtBUDd3VVFBRUFoQUEvZ3JBQVA3d1VRQ1lCTW9BZmtWWkFDTUlBUUFBQWdjQ0FBQUFBQWNOQUFFQUFBQURBR0FBOEFBQUFFWUpCdzBBQVFBQUFBTUFZQUR3QUFBQVJnQUFBQUFFZ0o0SUFBQUFBZ2dBWlZIRkFENmJSQUFLQUFJQXlRWUNCQUlBQ1FBckJBSUFBQUJJQkFBQU53UUJBQUVHZ0FBQUFBQUFBZ2dBbUFUS0FQN3dRQUFFQWhBQS9nckFBUDd3UUFDWUJNb0Fma1ZJQUNNSUFRQUFBZ2NDQUFBQUFBY05BQUVBQUFBREFHQUE4QUFBQUVZSkJ3MEFBUUFBQUFNQVlBRHdBQUFBUmdBQUFBQUVnSjhJQUFBQUFnZ0FnbCtmQUM5VVV3QUtBQUlBeXdZQ0JBSUFDUUFyQkFJQUFBQklCQUFBTndRQkFBRUdnQUFBQUFBQUFnZ0F0UktrQU8rcFR3QUVBaEFBR3htYUFPK3BUd0MxRXFRQWIvNVdBQ01JQVFBQUFnY0NBQUFBQUFjTkFBRUFBQUFEQUdBQThBQUFBRVlKQncwQUFRQUFBQU1BWUFEd0FBQUFSZ0FBQUFBRWdLQUlBQUFBQWdnQWdsK2ZBQzlVWkFBS0FBSUF6UVlDQkFJQUNRQXJCQUlBQUFCSUJBQUFOd1FCQUFFR2dBQUFBQUFBQWdnQXRSS2tBTytwWUFBRUFoQUFHeG1hQU8rcFlBQzFFcVFBYi81bkFDTUlBUUFBQWdjQ0FBQUFBQWNOQUFFQUFBQURBR0FBOEFBQUFFWUpCdzBBQVFBQUFBTUFZQUR3QUFBQVJnQUFBQUFFZ0tFSUFBQUFBZ2dBWlZIRkFDQU5jd0FLQUFJQXp3WUNCQUlBQ1FBckJBSUFBQUJJQkFBQU53UUJBQUVHZ0FBQUFBQUFBZ2dBbUFUS0FPQmlid0FFQWhBQS9nckFBT0JpYndDWUJNb0FZTGQyQUNNSUFRQUFBZ2NDQUFBQUFBY05BQUVBQUFBREFHQUE4QUFBQUVZSkJ3MEFBUUFBQUFNQVlBRHdBQUFBUmdBQUFBQUVnS0lJQUFBQUFnZ0FaVkhGQUNBTllnQUtBQUlBMFFZQ0JBSUFDUUFyQkFJQUFBQklCQUFBTndRQkFBRUdnQUFBQUFBQUFnZ0FtQVRLQU9CaVhnQUVBaEFBL2dyQUFPQmlYZ0NZQk1vQVlMZGxBQ01JQVFBQUFnY0NBQUFBQUFjTkFBRUFBQUFEQUdBQThBQUFBRVlKQncwQUFRQUFBQU1BWUFEd0FBQUFSZ0FBQUFBRWdLTUlBQUFBQWdnQWN4aXVBTG1iMFFBS0FBSUEwd1lDQkFJQUJ3QXJCQUlBQUFBaEJBRUFBVWdFQUFBM0JBRUFBUWFBQUFBQUFBQUNDQUNteTdJQWVVYk5BQVFDRUFDRWlhY0FlVWJOQUtiTHNnQjVNdHNBSXdnQkFBQUNCd0lBQUFBRkJ3RUFBUUFIRGdBQkFBQUFBd0JnQVBBQUFBQk9Ld2tIRGdBQkFBQUFBd0JnQVBBQUFBQk9Ld0FBQUFBRWdLUUlBQUFBQWdnQWdsK2ZBQkxHY0FBS0FBSUExQVlDQkFJQUNRQXJCQUlBQUFCSUJBQUFOd1FCQUFFR2dBQUFBQUFBQWdnQXRSS2tBTkliYlFBRUFoQUFHeG1hQU5JYmJRQzFFcVFBVW5CMEFDTUlBUUFBQWdjQ0FBQUFBQWNOQUFFQUFBQURBR0FBOEFBQUFFWUpCdzBBQVFBQUFBTUFZQUR3QUFBQVJnQUFBQUFFZ0tVSUFBQUFBZ2dBZ2wrZkFCTEdnUUFLQUFJQTFnWUNCQUlBQ1FBckJBSUFBQUJJQkFBQU53UUJBQUVHZ0FBQUFBQUFBZ2dBdFJLa0FOSWJmZ0FFQWhBQUd4bWFBTkliZmdDMUVxUUFVbkNGQUNNSUFRQUFBZ2NDQUFBQUFBY05BQUVBQUFBREFHQUE4QUFBQUVZSkJ3MEFBUUFBQUFNQVlBRHdBQUFBUmdBQUFBQUVnS1lJQUFBQUFnZ0FaVkhGQUFOL2tBQUtBQUlBMkFZQ0JBSUFDUUFyQkFJQUFBQklCQUFBTndRQkFBRUdnQUFBQUFBQUFnZ0FtQVRLQU1QVWpBQUVBaEFBL2dyQUFNUFVqQUNZQk1vQVF5bVVBQ01JQVFBQUFnY0NBQUFBQUFjTkFBRUFBQUFEQUdBQThBQUFBRVlKQncwQUFRQUFBQU1BWUFEd0FBQUFSZ0FBQUFBRWdLY0lBQUFBQWdnQVpWSEZBQU4vZndBS0FBSUEyZ1lDQkFJQUNRQXJCQUlBQUFCSUJBQUFOd1FCQUFFR2dBQUFBQUFBQWdnQW1BVEtBTVBVZXdBRUFoQUEvZ3JBQU1QVWV3Q1lCTW9BUXltREFDTUlBUUFBQWdjQ0FBQUFBQWNOQUFFQUFBQURBR0FBOEFBQUFFWUpCdzBBQVFBQUFBTUFZQUR3QUFBQVJnQUFBQUFFZ0tnSUFBQUFBZ2dBYzVpMkFLdFU0QUFLQUFJQTNBWTNCQUVBQVFBQUJJQ3BDQUFBQUFJSUFJSmZud0M1RzhrQUNnQUNBTjRHTndRQkFBRUFBQVNBcWdnQUFBQUNDQUNDWDU4QXVSdmFBQW9BQWdEZ0JqY0VBUUFCQUFBRWdLc0lBQUFBQWdnQWN4aXVBSndON3dBS0FBSUE0Z1kzQkFFQUFRQUFCSUNzQ0FBQUFBSUlBSE9ZdGdDTnh2MEFDZ0FDQU9RR0FnUUNBQWdBS3dRQ0FBRUFTQVFBQURjRUFRQUJCb0FBQUFBQUFBSUlBS1pMdXdETkcva0FCQUlRQUQ4bHNRRE5HL2tBREhLN0FNMGJDd0VqQ0FFQUFBSUhBZ0FBQUFVSEFRQUJBQWNPQUFFQUFBQURBR0FBOEFBQUFFOUlDUWNPQUFFQUFBQURBR0FBOEFBQUFFOUlBQUFBQUFTQXJRZ0FBQUFDQ0FCekdKMEFuQTN2QUFvQUFnRG1CZ0lFQWdBSUFDc0VBZ0FBQUVnRUFBQTNCQUVBQVFhQUFBQUFBQUFDQ0FDbXk2RUEzR0xxQUFRQ0VBQS9wWmNBM0dMcUFBenlvUUJjdVBNQUl3Z0JBQUFDQndJQUFBQUFCdzBBQVFBQUFBTUFZQUR3QUFBQVR3a0hEUUFCQUFBQUF3QmdBUEFBQUFCUEFBQUFBQVNBcmdnQUFBQUNDQUNDWDU4QTlEZU9BQW9BQWdEb0JnSUVBZ0FKQUNzRUFnQUFBRWdFQUFBM0JBRUFBUWFBQUFBQUFBQUNDQUMxRXFRQXRJMktBQVFDRUFBYkdab0F0STJLQUxVU3BBQTA0cEVBSXdnQkFBQUNCd0lBQUFBQUJ3MEFBUUFBQUFNQVlBRHdBQUFBUmdrSERRQUJBQUFBQXdCZ0FQQUFBQUJHQUFBQUFBU0Fyd2dBQUFBQ0NBQ0NYNThBOURlZkFBb0FBZ0RxQmdJRUFnQUpBQ3NFQWdBQUFFZ0VBQUEzQkFFQUFRYUFBQUFBQUFBQ0NBQzFFcVFBdEkyYkFBUUNFQUFiR1pvQXRJMmJBTFVTcEFBMDRxSUFJd2dCQUFBQ0J3SUFBQUFBQncwQUFRQUFBQU1BWUFEd0FBQUFSZ2tIRFFBQkFBQUFBd0JnQVBBQUFBQkdBQUFBQUFTQXNBZ0FBQUFDQ0FCem1NY0E1WENsQUFvQUFnRHNCZ0lFQWdBSkFDc0VBZ0FBQUVnRUFBQTNCQUVBQVFhQUFBQUFBQUFDQ0FDbVM4d0FwY2FoQUFRQ0VBQU1Vc0lBcGNhaEFLWkx6QUFsRzZrQUl3Z0JBQUFDQndJQUFBQUFCdzBBQVFBQUFBTUFZQUR3QUFBQVJna0hEUUFCQUFBQUF3QmdBUEFBQUFCR0FBQUFBQVNBc1FnQUFBQUNDQUJ6bUxZQXlPTENBQW9BQWdEdUJqY0VBUUFCQUFBRmdMSUlBQUFLQUFJQXNnWUVCZ1FBa1FnQUFBVUdCQUNTQ0FBQUNnWUJBQUVBQUFXQXN3Z0FBQW9BQWdDMEJnUUdCQUNTQ0FBQUJRWUVBSk1JQUFBS0JnRUFBUUFBQllDMENBQUFDZ0FDQUxZR0JBWUVBSk1JQUFBRkJnUUFsQWdBQUFvR0FRQUJBQUFGZ0xVSUFBQUtBQUlBdUFZRUJnUUFsQWdBQUFVR0JBQ1ZDQUFBQ2dZQkFBRUFBQVdBdGdnQUFBb0FBZ0M2QmdRR0JBQ1ZDQUFBQlFZRUFKWUlBQUFLQmdFQUFRQUFCWUMzQ0FBQUNnQUNBTHdHQkFZRUFKWUlBQUFGQmdRQWx3Z0FBQW9HQVFBQkFBQUZnTGdJQUFBS0FBSUF2Z1lFQmdRQWx3Z0FBQVVHQkFDWUNBQUFDZ1lCQUFFQUFBV0F1UWdBQUFvQUFnREFCZ1FHQkFDWUNBQUFCUVlFQUprSUFBQUtCZ0VBQVFBQUJZQzZDQUFBQ2dBQ0FNSUdCQVlFQUprSUFBQUZCZ1FBbWdnQUFBb0dBUUFCQUFBRmdMc0lBQUFLQUFJQXhBWUVCZ1FBa2dnQUFBVUdCQUNiQ0FBQUNnWUJBQUVBQUFXQXZBZ0FBQW9BQWdER0JnUUdCQUNTQ0FBQUJRWUVBSndJQUFBS0JnRUFBUUFBQllDOUNBQUFDZ0FDQU1nR0JBWUVBSk1JQUFBRkJnUUFuUWdBQUFvR0FRQUJBQUFGZ0w0SUFBQUtBQUlBeWdZRUJnUUFrd2dBQUFVR0JBQ2VDQUFBQ2dZQkFBRUFBQVdBdndnQUFBb0FBZ0RNQmdRR0JBQ1VDQUFBQlFZRUFKOElBQUFLQmdFQUFRQUFCWURBQ0FBQUNnQUNBTTRHQkFZRUFKUUlBQUFGQmdRQW9BZ0FBQW9HQVFBQkFBQUZnTUVJQUFBS0FBSUEwQVlFQmdRQWxRZ0FBQVVHQkFDaENBQUFDZ1lCQUFFQUFBV0F3Z2dBQUFvQUFnRFNCZ1FHQkFDVkNBQUFCUVlFQUtJSUFBQUtCZ0VBQVFBQUJZRERDQUFBQ2dBQ0FOVUdCQVlFQUpZSUFBQUZCZ1FBcEFnQUFBb0dBUUFCQUFBRmdNUUlBQUFLQUFJQTF3WUVCZ1FBbGdnQUFBVUdCQUNsQ0FBQUNnWUJBQUVBQUFXQXhRZ0FBQW9BQWdEWkJnUUdCQUNYQ0FBQUJRWUVBS1lJQUFBS0JnRUFBUUFBQllER0NBQUFDZ0FDQU5zR0JBWUVBSmNJQUFBRkJnUUFwd2dBQUFvR0FRQUJBQUFGZ01jSUFBQUtBQUlBM1FZRUJnUUFvd2dBQUFVR0JBQ29DQUFBQ2dZQkFBRUFBQVdBeUFnQUFBb0FBZ0RmQmdRR0JBQ2pDQUFBQlFZRUFLa0lBQUFLQmdFQUFRQUFCWURKQ0FBQUNnQUNBT0VHQkFZRUFLTUlBQUFGQmdRQXFnZ0FBQW9HQVFBQkFBQUZnTW9JQUFBS0FBSUE0d1lFQmdRQXFBZ0FBQVVHQkFDckNBQUFDZ1lCQUFFQUFBV0F5d2dBQUFvQUFnRGxCZ1FHQkFDckNBQUFCUVlFQUt3SUFBQUtCZ0VBQVFBQUJZRE1DQUFBQ2dBQ0FPY0dCQVlFQUtzSUFBQUZCZ1FBclFnQUFBQUdBZ0FDQUFvR0FRQUJBQUFGZ00wSUFBQUtBQUlBNlFZRUJnUUFtQWdBQUFVR0JBQ3VDQUFBQ2dZQkFBRUFBQVdBemdnQUFBb0FBZ0RyQmdRR0JBQ1lDQUFBQlFZRUFLOElBQUFLQmdFQUFRQUFCWURQQ0FBQUNnQUNBTzBHQkFZRUFKa0lBQUFGQmdRQXNBZ0FBQW9HQVFBQkFBQUZnTkFJQUFBS0FBSUE3d1lFQmdRQXNRZ0FBQVVHQkFDakNBQUFDZ1lCQUFFQUFBV0EwUWdBQUFvQUFnRHdCZ1FHQkFDYUNBQUFCUVlFQUxFSUFBQUtCZ0VBQVFBQUFBQUFBQUFBQUFBPQ==</t>
        </r>
      </text>
    </comment>
    <comment ref="D40" authorId="0" shapeId="0" xr:uid="{E620B2A9-1A9F-4175-8698-6C54BC6A67BC}">
      <text>
        <r>
          <rPr>
            <sz val="9"/>
            <color indexed="81"/>
            <rFont val="Tahoma"/>
            <family val="2"/>
          </rPr>
          <t>QzE1SDE2RjE2Tk8yK3xQaWN0dXJlIDE3fFZtcERSREF4TURBRUF3SUJBQUFBQUFBQUFBQUFBQUNBQUFBQUFBTUFGZ0FBQUVOb1pXMUVjbUYzSURJeUxqSXVNQzR6TXpBd0NBQVRBQUFBVlc1MGFYUnNaV1FnUkc5amRXMWxiblFFQWhBQWlhcVhBQittSkFEd1VNd0F3bnNTQVFFSkNBQUFBQzBBQUFETkJRSUpDQUFBd0NFQUFNQzFBZzBJQVFBQkNBY0JBQUU2QkFFQUFUc0VBUUFBUlFRQkFBRThCQUVBQUVvRUFRQUFEQVlCQUFFUEJnRUFBUTBHQVFBQVFnUUJBQUJEQkFFQUFFUUVBUUFBRGdnQ0FPUUp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QOEVBQUFFQWhBQUFBQUFBQUFBQUFBamhkVUEzSk5ZQ1JZSUJBQUFBQ1FBR0FnRUFBQUFKQUFaQ0FBQUVBZ0NBQUVBRHdnQ0FBRUFBNEM2QkFBQUJBSVFBSW1xbHdBZnBpUUE4RkRNQU1KN0VnRUtBQUlBa3dNRWdMc0VBQUFBQWdnQXZSMi9BRjlRS0FBS0FBSUFrZ01DQkFJQUNRQXJCQUlBQUFCSUJBQUFOd1FCQUFFR2dBQUFBQUFBQWdnQThORERBQittSkFBRUFoQUFWdGU1QUIrbUpBRHcwTU1Bbi9vckFDTUlBUUFBQWdjQ0FBQUFBQWNOQUFFQUFBQURBR0FBOEFBQUFFWUpCdzBBQVFBQUFBTUFZQUR3QUFBQVJnQUFBQUFFZ0x3RUFBQUFBZ2dBdloyMkFGQUpOd0FLQUFJQWxBTTNCQUVBQVFBQUJJQzlCQUFBQUFJSUFMMGRyZ0JDd2tVQUNnQUNBSllETndRQkFBRUFBQVNBdmdRQUFBQUNDQUM5bmJZQU0zdFVBQW9BQWdDWUF6Y0VBUUFCQUFBRWdMOEVBQUFBQWdnQXZSMnVBQ1EwWXdBS0FBSUFtZ00zQkFFQUFRQUFCSURBQkFBQUFBSUlBTDJkdGdBVjdYRUFDZ0FDQUp3RE53UUJBQUVBQUFTQXdRUUFBQUFDQ0FDOUhhNEFCNmFBQUFvQUFnQ2VBemNFQVFBQkFBQUVnTUlFQUFBQUFnZ0F2WjIyQVBoZWp3QUtBQUlBb0FNM0JBRUFBUUFBQklEREJBQUFBQUlJQUwwZHJnRHBGNTRBQ2dBQ0FLSUROd1FCQUFFQUFBU0F4QVFBQUFBQ0NBQzluYllBMjlDc0FBb0FBZ0NrQXpjRUFRQUJBQUFFZ01VRUFBQUFBZ2dBdlIydUFNeUp1d0FLQUFJQXBnTTNCQUVBQVFBQUJJREdCQUFBQUFJSUFMMmR4d0JRQ1RjQUNnQUNBS2dEQWdRQ0FBa0FLd1FDQUFBQVNBUUFBRGNFQVFBQkJvQUFBQUFBQUFJSUFQQlF6QUFRWHpNQUJBSVFBRlpYd2dBUVh6TUE4RkRNQUpDek9nQWpDQUVBQUFJSEFnQUFBQUFIRFFBQkFBQUFBd0JnQVBBQUFBQkdDUWNOQUFFQUFBQURBR0FBOEFBQUFFWUFBQUFBQklESEJBQUFBQUlJQUwwZHJnQmZVQ2dBQ2dBQ0FLb0RBZ1FDQUFrQUt3UUNBQUFBU0FRQUFEY0VBUUFCQm9BQUFBQUFBQUlJQVBEUXNnQWZwaVFBQkFJUUFGYlhxQUFmcGlRQThOQ3lBSi82S3dBakNBRUFBQUlIQWdBQUFBQUhEUUFCQUFBQUF3QmdBUEFBQUFCR0NRY05BQUVBQUFBREFHQUE4QUFBQUVZQUFBQUFCSURJQkFBQUFBSUlBTXRrbndCQ1FrNEFDZ0FDQUt3REFnUUNBQWtBS3dRQ0FBQUFTQVFBQURjRUFRQUJCb0FBQUFBQUFBSUlBUDRYcEFBQ21Fb0FCQUlRQUdRZW1nQUNtRW9BL2hla0FJTHNVUUFqQ0FFQUFBSUhBZ0FBQUFBSERRQUJBQUFBQXdCZ0FQQUFBQUJHQ1FjTkFBRUFBQUFEQUdBQThBQUFBRVlBQUFBQUJJREpCQUFBQUFJSUFNdGtud0JDUWowQUNnQUNBSzREQWdRQ0FBa0FLd1FDQUFBQVNBUUFBRGNFQVFBQkJvQUFBQUFBQUFJSUFQNFhwQUFDbURrQUJBSVFBR1FlbWdBQ21Ea0EvaGVrQUlMc1FBQWpDQUVBQUFJSEFnQUFBQUFIRFFBQkFBQUFBd0JnQVBBQUFBQkdDUWNOQUFFQUFBQURBR0FBOEFBQUFFWUFBQUFBQklES0JBQUFBQUlJQUs1V3hRQXorMHNBQ2dBQ0FMQURBZ1FDQUFrQUt3UUNBQUFBU0FRQUFEY0VBUUFCQm9BQUFBQUFBQUlJQU9FSnlnRHpVRWdBQkFJUUFFY1F3QUR6VUVnQTRRbktBSE9sVHdBakNBRUFBQUlIQWdBQUFBQUhEUUFCQUFBQUF3QmdBUEFBQUFCR0NRY05BQUVBQUFBREFHQUE4QUFBQUVZQUFBQUFCSURMQkFBQUFBSUlBSzVXeFFBeisxd0FDZ0FDQUxJREFnUUNBQWtBS3dRQ0FBQUFTQVFBQURjRUFRQUJCb0FBQUFBQUFBSUlBT0VKeWdEelVGa0FCQUlRQUVjUXdBRHpVRmtBNFFuS0FIT2xZQUFqQ0FFQUFBSUhBZ0FBQUFBSERRQUJBQUFBQXdCZ0FQQUFBQUJHQ1FjTkFBRUFBQUFEQUdBQThBQUFBRVlBQUFBQUJJRE1CQUFBQUFJSUFNdGtud0FrdEdzQUNnQUNBTFFEQWdRQ0FBa0FLd1FDQUFBQVNBUUFBRGNFQVFBQkJvQUFBQUFBQUFJSUFQNFhwQURrQ1dnQUJBSVFBR1FlbWdEa0NXZ0EvaGVrQUdSZWJ3QWpDQUVBQUFJSEFnQUFBQUFIRFFBQkFBQUFBd0JnQVBBQUFBQkdDUWNOQUFFQUFBQURBR0FBOEFBQUFFWUFBQUFBQklETkJBQUFBQUlJQU10a253QWt0Rm9BQ2dBQ0FMWURBZ1FDQUFrQUt3UUNBQUFBU0FRQUFEY0VBUUFCQm9BQUFBQUFBQUlJQVA0WHBBRGtDVmNBQkFJUUFHUWVtZ0RrQ1ZjQS9oZWtBR1JlWGdBakNBRUFBQUlIQWdBQUFBQUhEUUFCQUFBQUF3QmdBUEFBQUFCR0NRY05BQUVBQUFBREFHQUE4QUFBQUVZQUFBQUFCSURPQkFBQUFBSUlBTDBkcmdDdSs5Z0FDZ0FDQUxnREFnUUNBQWNBS3dRQ0FBQUFJUVFCQUFGSUJBQUFOd1FCQUFFR2dBQUFBQUFBQWdnQThOQ3lBRzZtMUFBRUFoQUF6bzZuQUc2bTFBRHcwTElBYnBMaUFDTUlBUUFBQWdjQ0FBQUFCUWNCQUFFQUJ3NEFBUUFBQUFNQVlBRHdBQUFBVGlzSkJ3NEFBUUFBQUFNQVlBRHdBQUFBVGlzQUFBQUFCSURQQkFBQUFBSUlBSzVXeFFBVmJXa0FDZ0FDQUxrREFnUUNBQWtBS3dRQ0FBQUFTQVFBQURjRUFRQUJCb0FBQUFBQUFBSUlBT0VKeWdEVndtVUFCQUlRQUVjUXdBRFZ3bVVBNFFuS0FGVVhiUUFqQ0FFQUFBSUhBZ0FBQUFBSERRQUJBQUFBQXdCZ0FQQUFBQUJHQ1FjTkFBRUFBQUFEQUdBQThBQUFBRVlBQUFBQUJJRFFCQUFBQUFJSUFLNVd4UUFWYlhvQUNnQUNBTHNEQWdRQ0FBa0FLd1FDQUFBQVNBUUFBRGNFQVFBQkJvQUFBQUFBQUFJSUFPRUp5Z0RWd25ZQUJBSVFBRWNRd0FEVnduWUE0UW5LQUZVWGZnQWpDQUVBQUFJSEFnQUFBQUFIRFFBQkFBQUFBd0JnQVBBQUFBQkdDUWNOQUFFQUFBQURBR0FBOEFBQUFFWUFBQUFBQklEUkJBQUFBQUlJQU10a253QUhKb2tBQ2dBQ0FMMERBZ1FDQUFrQUt3UUNBQUFBU0FRQUFEY0VBUUFCQm9BQUFBQUFBQUlJQVA0WHBBREhlNFVBQkFJUUFHUWVtZ0RIZTRVQS9oZWtBRWZRakFBakNBRUFBQUlIQWdBQUFBQUhEUUFCQUFBQUF3QmdBUEFBQUFCR0NRY05BQUVBQUFBREFHQUE4QUFBQUVZQUFBQUFCSURTQkFBQUFBSUlBTXRrbndBSEpuZ0FDZ0FDQUw4REFnUUNBQWtBS3dRQ0FBQUFTQVFBQURjRUFRQUJCb0FBQUFBQUFBSUlBUDRYcEFESGUzUUFCQUlRQUdRZW1nREhlM1FBL2hla0FFZlFld0FqQ0FFQUFBSUhBZ0FBQUFBSERRQUJBQUFBQXdCZ0FQQUFBQUJHQ1FjTkFBRUFBQUFEQUdBQThBQUFBRVlBQUFBQUJJRFRCQUFBQUFJSUFMMmR0Z0NndE9jQUNnQUNBTUVETndRQkFBRUFBQVNBMUFRQUFBQUNDQURMWko4QXJudmhBQW9BQWdEREF6Y0VBUUFCQUFBRWdOVUVBQUFBQWdnQXkyU2ZBSzU3MEFBS0FBSUF4UU0zQkFFQUFRQUFCSURXQkFBQUFBSUlBTDBkcmdDUmJmWUFDZ0FDQU1jRE53UUJBQUVBQUFTQTF3UUFBQUFDQ0FDOW5iWUFnaVlGQVFvQUFnREpBd0lFQWdBSUFDc0VBZ0FCQUVnRUFBQTNCQUVBQVFhQUFBQUFBQUFDQ0FEd1VMc0F3bnNBQVFRQ0VBQ0pLckVBd25zQUFWWjN1d0RDZXhJQkl3Z0JBQUFDQndJQUFBQUZCd0VBQVFBSERnQUJBQUFBQXdCZ0FQQUFBQUJQU0FrSERnQUJBQUFBQXdCZ0FQQUFBQUJQU0FBQUFBQUVnTmdFQUFBQUFnZ0F2UjJkQUpGdDlnQUtBQUlBeXdNQ0JBSUFDQUFyQkFJQUFBQklCQUFBTndRQkFBRUdnQUFBQUFBQUFnZ0E4TkNoQU5IQzhRQUVBaEFBaWFxWEFOSEM4UUJXOTZFQVVSajdBQ01JQVFBQUFnY0NBQUFBQUFjTkFBRUFBQUFEQUdBQThBQUFBRThKQncwQUFRQUFBQU1BWUFEd0FBQUFUd0FBQUFBRWdOa0VBQUFBQWdnQXJsYkZBUGplaGdBS0FBSUF6UU1DQkFJQUNRQXJCQUlBQUFCSUJBQUFOd1FCQUFFR2dBQUFBQUFBQWdnQTRRbktBTGcwZ3dBRUFoQUFSeERBQUxnMGd3RGhDY29BT0ltS0FDTUlBUUFBQWdjQ0FBQUFBQWNOQUFFQUFBQURBR0FBOEFBQUFFWUpCdzBBQVFBQUFBTUFZQUR3QUFBQVJnQUFBQUFFZ05vRUFBQUFBZ2dBcmxiRkFQamVsd0FLQUFJQXp3TUNCQUlBQ1FBckJBSUFBQUJJQkFBQU53UUJBQUVHZ0FBQUFBQUFBZ2dBNFFuS0FMZzBsQUFFQWhBQVJ4REFBTGcwbEFEaENjb0FPSW1iQUNNSUFRQUFBZ2NDQUFBQUFBY05BQUVBQUFBREFHQUE4QUFBQUVZSkJ3MEFBUUFBQUFNQVlBRHdBQUFBUmdBQUFBQUVnTnNFQUFBQUFnZ0F2UjJkQU9rWG5nQUtBQUlBMFFNQ0JBSUFDUUFyQkFJQUFBQklCQUFBTndRQkFBRUdnQUFBQUFBQUFnZ0E4TkNoQUtsdG1nQUVBaEFBVnRlWEFLbHRtZ0R3MEtFQUtjS2hBQ01JQVFBQUFnY0NBQUFBQUFjTkFBRUFBQUFEQUdBQThBQUFBRVlKQncwQUFRQUFBQU1BWUFEd0FBQUFSZ0FBQUFBRWdOd0VBQUFBQWdnQXZaMjJBTDFDeWdBS0FBSUEwd00zQkFFQUFRQUFCWURkQkFBQUNnQUNBSlVEQkFZRUFMc0VBQUFGQmdRQXZBUUFBQW9HQVFBQkFBQUZnTjRFQUFBS0FBSUFsd01FQmdRQXZBUUFBQVVHQkFDOUJBQUFDZ1lCQUFFQUFBV0Ezd1FBQUFvQUFnQ1pBd1FHQkFDOUJBQUFCUVlFQUw0RUFBQUtCZ0VBQVFBQUJZRGdCQUFBQ2dBQ0FKc0RCQVlFQUw0RUFBQUZCZ1FBdndRQUFBb0dBUUFCQUFBRmdPRUVBQUFLQUFJQW5RTUVCZ1FBdndRQUFBVUdCQURBQkFBQUNnWUJBQUVBQUFXQTRnUUFBQW9BQWdDZkF3UUdCQURBQkFBQUJRWUVBTUVFQUFBS0JnRUFBUUFBQllEakJBQUFDZ0FDQUtFREJBWUVBTUVFQUFBRkJnUUF3Z1FBQUFvR0FRQUJBQUFGZ09RRUFBQUtBQUlBb3dNRUJnUUF3Z1FBQUFVR0JBRERCQUFBQ2dZQkFBRUFBQVdBNVFRQUFBb0FBZ0NsQXdRR0JBRERCQUFBQlFZRUFNUUVBQUFLQmdFQUFRQUFCWURtQkFBQUNnQUNBS2NEQkFZRUFNUUVBQUFGQmdRQXhRUUFBQW9HQVFBQkFBQUZnT2NFQUFBS0FBSUFxUU1FQmdRQXZBUUFBQVVHQkFER0JBQUFDZ1lCQUFFQUFBV0E2QVFBQUFvQUFnQ3JBd1FHQkFDOEJBQUFCUVlFQU1jRUFBQUtCZ0VBQVFBQUJZRHBCQUFBQ2dBQ0FLMERCQVlFQUwwRUFBQUZCZ1FBeUFRQUFBb0dBUUFCQUFBRmdPb0VBQUFLQUFJQXJ3TUVCZ1FBdlFRQUFBVUdCQURKQkFBQUNnWUJBQUVBQUFXQTZ3UUFBQW9BQWdDeEF3UUdCQUMrQkFBQUJRWUVBTW9FQUFBS0JnRUFBUUFBQllEc0JBQUFDZ0FDQUxNREJBWUVBTDRFQUFBRkJnUUF5d1FBQUFvR0FRQUJBQUFGZ08wRUFBQUtBQUlBdFFNRUJnUUF2d1FBQUFVR0JBRE1CQUFBQ2dZQkFBRUFBQVdBN2dRQUFBb0FBZ0MzQXdRR0JBQy9CQUFBQlFZRUFNMEVBQUFLQmdFQUFRQUFCWUR2QkFBQUNnQUNBTG9EQkFZRUFNQUVBQUFGQmdRQXp3UUFBQW9HQVFBQkFBQUZnUEFFQUFBS0FBSUF2QU1FQmdRQXdBUUFBQVVHQkFEUUJBQUFDZ1lCQUFFQUFBV0E4UVFBQUFvQUFnQytBd1FHQkFEQkJBQUFCUVlFQU5FRUFBQUtCZ0VBQVFBQUJZRHlCQUFBQ2dBQ0FNQURCQVlFQU1FRUFBQUZCZ1FBMGdRQUFBb0dBUUFCQUFBRmdQTUVBQUFLQUFJQXdnTUVCZ1FBemdRQUFBVUdCQURUQkFBQUNnWUJBQUVBQUFXQTlBUUFBQW9BQWdERUF3UUdCQURPQkFBQUJRWUVBTlFFQUFBS0JnRUFBUUFBQllEMUJBQUFDZ0FDQU1ZREJBWUVBTTRFQUFBRkJnUUExUVFBQUFvR0FRQUJBQUFGZ1BZRUFBQUtBQUlBeUFNRUJnUUEwd1FBQUFVR0JBRFdCQUFBQ2dZQkFBRUFBQVdBOXdRQUFBb0FBZ0RLQXdRR0JBRFdCQUFBQlFZRUFOY0VBQUFLQmdFQUFRQUFCWUQ0QkFBQUNnQUNBTXdEQkFZRUFOWUVBQUFGQmdRQTJBUUFBQUFHQWdBQ0FBb0dBUUFCQUFBRmdQa0VBQUFLQUFJQXpnTUVCZ1FBd2dRQUFBVUdCQURaQkFBQUNnWUJBQUVBQUFXQStnUUFBQW9BQWdEUUF3UUdCQURDQkFBQUJRWUVBTm9FQUFBS0JnRUFBUUFBQllEN0JBQUFDZ0FDQU5JREJBWUVBTU1FQUFBRkJnUUEyd1FBQUFvR0FRQUJBQUFGZ1B3RUFBQUtBQUlBMUFNRUJnUUF4UVFBQUFVR0JBRGNCQUFBQ2dZQkFBRUFBQVdBL1FRQUFBb0FBZ0RWQXdRR0JBRGNCQUFBQlFZRUFNNEVBQUFLQmdFQUFRQUFBQUFBQUFBQUFBQT0=</t>
        </r>
      </text>
    </comment>
    <comment ref="D41" authorId="0" shapeId="0" xr:uid="{6CAF64B0-16F7-4BC0-9FF0-13D6B51B09ED}">
      <text>
        <r>
          <rPr>
            <sz val="9"/>
            <color indexed="81"/>
            <rFont val="Tahoma"/>
            <family val="2"/>
          </rPr>
          <t>QzEySDEzRjEzTk8yK3xQaWN0dXJlIDM0fFZtcERSREF4TURBRUF3SUJBQUFBQUFBQUFBQUFBQUNBQUFBQUFBTUFGZ0FBQUVOb1pXMUVjbUYzSURJeUxqSXVNQzR6TXpBd0NBQVRBQUFBVlc1MGFYUnNaV1FnUkc5amRXMWxiblFFQWhBQWI5VXJBZmwxclFCMEVsNEJCb3B1QVFFSkNBQUF3TG9BQUVET0FBSUpDQUFBd0NFQUFNQzFBZzBJQVFBQkNBY0JBQUU2QkFFQUFUc0VBUUFBUlFRQkFBRThCQUVBQUVvRUFRQUFEQVlCQUFFUEJnRUFBUTBHQVFBQVFnUUJBQUJEQkFFQUFFUUVBUUFBRGdnQ0FNVU9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JSURBQUFFQWhBQUFBQUFBQUFBQUFEUkxZZ0JUNlBORFJZSUJBQUFBQ1FBR0FnRUFBQUFKQUFaQ0FBQUVBZ0NBQUVBRHdnQ0FBRUFBNEJJQXdBQUJBSVFBRy9WS3dINWRhMEFkQkplQVFhS2JnRUtBQUlBNFFFRWdFa0RBQUFBQWdnQUlUcENBZUhXRndFS0FBSUE0Z0UzQkFFQUFRQUFCSUJLQXdBQUFBSUlBT0N5U2dHQUtna0JDZ0FDQU9NQk53UUJBQUVBQUFTQVN3TUFBQUFDQ0FCQlgxa0JQNk1SQVFvQUFnRGtBUUlFQWdBSkFDc0VBZ0FBQUVnRUFBQTNCQUVBQVFhQUFBQUFBQUFDQ0FCMEVsNEIvL2dOQVFRQ0VBRGFHRlFCLy9nTkFYUVNYZ0YvVFJVQkl3Z0JBQUFDQndJQUFBQUFCdzBBQVFBQUFBTUFZQUR3QUFBQVJna0hEUUFCQUFBQUF3QmdBUEFBQUFCR0FBQUFBQVNBVEFNQUFBQUNDQUJCWDFrQndMRUFBUW9BQWdEbEFRSUVBZ0FKQUNzRUFnQUFBRWdFQUFBM0JBRUFBUWFBQUFBQUFBQUNDQUIwRWw0QmdBZjlBQVFDRUFEYUdGUUJnQWY5QUhRU1hnRUFYQVFCSXdnQkFBQUNCd0lBQUFBQUJ3MEFBUUFBQUFNQVlBRHdBQUFBUmdrSERRQUJBQUFBQXdCZ0FQQUFBQUJHQUFBQUFBU0FUUU1BQUFBQ0NBQWhPa0lCSG43NkFBb0FBZ0RtQVRjRUFRQUJBQUFFZ0U0REFBQUFBZ2dBd0kwekFWOEY4Z0FLQUFJQTV3RUNCQUlBQ1FBckJBSUFBQUJJQkFBQU53UUJBQUVHZ0FBQUFBQUFBZ2dBODBBNEFSOWI3Z0FFQWhBQVdVY3VBUjliN2dEelFEZ0JuNi8xQUNNSUFRQUFBZ2NDQUFBQUFBY05BQUVBQUFBREFHQUE4QUFBQUVZSkJ3MEFBUUFBQUFNQVlBRHdBQUFBUmdBQUFBQUVnRThEQUFBQUFnZ0F3STB6QWQ3MkFnRUtBQUlBNkFFQ0JBSUFDUUFyQkFJQUFBQklCQUFBTndRQkFBRUdnQUFBQUFBQUFnZ0E4MEE0QVo1TS93QUVBaEFBV1VjdUFaNU0vd0R6UURnQkhxRUdBU01JQVFBQUFnY0NBQUFBQUFjTkFBRUFBQUFEQUdBQThBQUFBRVlKQncwQUFRQUFBQU1BWUFEd0FBQUFSZ0FBQUFBRWdGQURBQUFBQWdnQTRMSktBYjNSNndBS0FBSUE2UUUzQkFFQUFRQUFCSUJSQXdBQUFBSUlBRUZmV1FGOFN2UUFDZ0FDQU9vQkFnUUNBQWtBS3dRQ0FBQUFTQVFBQURjRUFRQUJCb0FBQUFBQUFBSUlBSFFTWGdFOG9QQUFCQUlRQU5vWVZBRThvUEFBZEJKZUFiejA5d0FqQ0FFQUFBSUhBZ0FBQUFBSERRQUJBQUFBQXdCZ0FQQUFBQUJHQ1FjTkFBRUFBQUFEQUdBQThBQUFBRVlBQUFBQUJJQlNBd0FBQUFJSUFFRmZXUUgrV09NQUNnQUNBT3NCQWdRQ0FBa0FLd1FDQUFBQVNBUUFBRGNFQVFBQkJvQUFBQUFBQUFJSUFIUVNYZ0crcnQ4QUJBSVFBTm9ZVkFHK3J0OEFkQkplQVQ0RDV3QWpDQUVBQUFJSEFnQUFBQUFIRFFBQkFBQUFBd0JnQVBBQUFBQkdDUWNOQUFFQUFBQURBR0FBOEFBQUFFWUFBQUFBQklCVEF3QUFBQUlJQUNFNlFnRmNKZDBBQ2dBQ0FPd0JOd1FCQUFFQUFBU0FWQU1BQUFBQ0NBREFqVE1CbmF6VUFBb0FBZ0R0QVFJRUFnQUpBQ3NFQWdBQUFFZ0VBQUEzQkFFQUFRYUFBQUFBQUFBQ0NBRHpRRGdCWFFMUkFBUUNFQUJaUnk0QlhRTFJBUE5BT0FIZFZ0Z0FJd2dCQUFBQ0J3SUFBQUFBQncwQUFRQUFBQU1BWUFEd0FBQUFSZ2tIRFFBQkFBQUFBd0JnQVBBQUFBQkdBQUFBQUFTQVZRTUFBQUFDQ0FEQWpUTUJHNTdsQUFvQUFnRHVBUUlFQWdBSkFDc0VBZ0FBQUVnRUFBQTNCQUVBQVFhQUFBQUFBQUFDQ0FEelFEZ0IyL1BoQUFRQ0VBQlpSeTRCMi9QaEFQTkFPQUZiU09rQUl3Z0JBQUFDQndJQUFBQUFCdzBBQVFBQUFBTUFZQUR3QUFBQVJna0hEUUFCQUFBQUF3QmdBUEFBQUFCR0FBQUFBQVNBVmdNQUFBQUNDQURnc2tvQiszak9BQW9BQWdEdkFUY0VBUUFCQUFBRWdGY0RBQUFBQWdnQVFWOVpBYnJ4MWdBS0FBSUE4QUVDQkFJQUNRQXJCQUlBQUFCSUJBQUFOd1FCQUFFR2dBQUFBQUFBQWdnQWRCSmVBWHBIMHdBRUFoQUEyaGhVQVhwSDB3QjBFbDRCK3B2YUFDTUlBUUFBQWdjQ0FBQUFBQWNOQUFFQUFBQURBR0FBOEFBQUFFWUpCdzBBQVFBQUFBTUFZQUR3QUFBQVJnQUFBQUFFZ0ZnREFBQUFBZ2dBUVY5WkFUd0F4Z0FLQUFJQThRRUNCQUlBQ1FBckJBSUFBQUJJQkFBQU53UUJBQUVHZ0FBQUFBQUFBZ2dBZEJKZUFmeFZ3Z0FFQWhBQTJoaFVBZnhWd2dCMEVsNEJmS3JKQUNNSUFRQUFBZ2NDQUFBQUFBY05BQUVBQUFBREFHQUE4QUFBQUVZSkJ3MEFBUUFBQUFNQVlBRHdBQUFBUmdBQUFBQUVnRmtEQUFBQUFnZ0FJVHBDQVpyTXZ3QUtBQUlBOGdFM0JBRUFBUUFBQklCYUF3QUFBQUlJQUdMQk9RRTVJTEVBQ2dBQ0FQTUJBZ1FDQUFrQUt3UUNBQUFBU0FRQUFEY0VBUUFCQm9BQUFBQUFBQUlJQUpWMFBnSDVkYTBBQkFJUUFQdDZOQUg1ZGEwQWxYUStBWG5LdEFBakNBRUFBQUlIQWdBQUFBQUhEUUFCQUFBQUF3QmdBUEFBQUFCR0NRY05BQUVBQUFBREFHQUE4QUFBQUVZQUFBQUFCSUJiQXdBQUFBSUlBS05JTVFHYXpMOEFDZ0FDQVBRQkFnUUNBQWtBS3dRQ0FBQUFTQVFBQURjRUFRQUJCb0FBQUFBQUFBSUlBTmI3TlFGYUlyd0FCQUlRQUR3Q0xBRmFJcndBMXZzMUFkcDJ3d0FqQ0FFQUFBSUhBZ0FBQUFBSERRQUJBQUFBQXdCZ0FQQUFBQUJHQ1FjTkFBRUFBQUFEQUdBQThBQUFBRVlBQUFBQUJJQmNBd0FBQUFJSUFPQ3lTZ0U1SUxFQUNnQUNBUFVCQWdRQ0FBa0FLd1FDQUFBQVNBUUFBRGNFQVFBQkJvQUFBQUFBQUFJSUFCTm1Ud0g1ZGEwQUJBSVFBSGxzUlFINWRhMEFFMlpQQVhuS3RBQWpDQUVBQUFJSEFnQUFBQUFIRFFBQkFBQUFBd0JnQVBBQUFBQkdDUWNOQUFFQUFBQURBR0FBOEFBQUFFWUFBQUFBQklCZEF3QUFBQUlJQU9DeVNnRUUzRU1CQ2dBQ0FQWUJOd1FCQUFFQUFBU0FYZ01BQUFBQ0NBQWhPa0lCWlloU0FRb0FBZ0QzQVRjRUFRQUJBQUFFZ0Y4REFBQUFBZ2dBNExKS0FjWTBZUUVLQUFJQStBRUNCQUlBQ0FBckJBSUFBUUJJQkFBQU53UUJBQUVHZ0FBQUFBQUFBZ2dBRTJaUEFRYUtYQUVFQWhBQXJEOUZBUWFLWEFGNWpFOEJCb3B1QVNNSUFRQUFBZ2NDQUFBQUJRY0JBQUVBQnc0QUFRQUFBQU1BWUFEd0FBQUFUMGdKQnc0QUFRQUFBQU1BWUFEd0FBQUFUMGdBQUFBQUJJQmdBd0FBQUFJSUFLTklNUUZsaUZJQkNnQUNBUGtCQWdRQ0FBZ0FLd1FDQUFBQVNBUUFBRGNFQVFBQkJvQUFBQUFBQUFJSUFOYjdOUUdsM1UwQkJBSVFBRy9WS3dHbDNVMEJQQ0kyQVNVelZ3RWpDQUVBQUFJSEFnQUFBQUFIRFFBQkFBQUFBd0JnQVBBQUFBQlBDUWNOQUFFQUFBQURBR0FBOEFBQUFFOEFBQUFBQklCaEF3QUFBQUlJQUNFNlFnR2pMelVCQ2dBQ0FCQUNBZ1FDQUFjQUt3UUNBQUFBSVFRQkFBRklCQUFBTndRQkFBRUdnQUFBQUFBQUFnZ0FWTzFHQVdQYU1BRUVBaEFBTXFzN0FXUGFNQUZVN1VZQlk4WStBU01JQVFBQUFnY0NBQUFBQlFjQkFBRUFCdzRBQVFBQUFBTUFZQUR3QUFBQVRpc0pCdzRBQVFBQUFBTUFZQUR3QUFBQVRpc0FBQUFBQklCaUF3QUFBQUlJQU1DTk13SGt0aXdCQ2dBQ0FCRUNOd1FCQUFFQUFBU0FZd01BQUFBQ0NBREFqVE1CWXFnOUFRb0FBZ0FUQWpjRUFRQUJBQUFFZ0dRREFBQUFBZ2dBNExKS0FVS0RKZ0VLQUFJQUZnSTNCQUVBQVFBQUJZQmxBd0FBQ2dBQ0FQb0JCQVlFQUVvREFBQUZCZ1FBU3dNQUFBb0dBUUFCQUFBRmdHWURBQUFLQUFJQSt3RUVCZ1FBU2dNQUFBVUdCQUJNQXdBQUNnWUJBQUVBQUFXQVp3TUFBQW9BQWdEOEFRUUdCQUJLQXdBQUJRWUVBRTBEQUFBS0JnRUFBUUFBQllCb0F3QUFDZ0FDQVAwQkJBWUVBRTBEQUFBRkJnUUFUZ01BQUFvR0FRQUJBQUFGZ0drREFBQUtBQUlBL2dFRUJnUUFUUU1BQUFVR0JBQlBBd0FBQ2dZQkFBRUFBQVdBYWdNQUFBb0FBZ0QvQVFRR0JBQk5Bd0FBQlFZRUFGQURBQUFLQmdFQUFRQUFCWUJyQXdBQUNnQUNBQUFDQkFZRUFGQURBQUFGQmdRQVVRTUFBQW9HQVFBQkFBQUZnR3dEQUFBS0FBSUFBUUlFQmdRQVVBTUFBQVVHQkFCU0F3QUFDZ1lCQUFFQUFBV0FiUU1BQUFvQUFnQUNBZ1FHQkFCUUF3QUFCUVlFQUZNREFBQUtCZ0VBQVFBQUJZQnVBd0FBQ2dBQ0FBTUNCQVlFQUZNREFBQUZCZ1FBVkFNQUFBb0dBUUFCQUFBRmdHOERBQUFLQUFJQUJBSUVCZ1FBVXdNQUFBVUdCQUJWQXdBQUNnWUJBQUVBQUFXQWNBTUFBQW9BQWdBRkFnUUdCQUJUQXdBQUJRWUVBRllEQUFBS0JnRUFBUUFBQllCeEF3QUFDZ0FDQUFZQ0JBWUVBRllEQUFBRkJnUUFWd01BQUFvR0FRQUJBQUFGZ0hJREFBQUtBQUlBQndJRUJnUUFWZ01BQUFVR0JBQllBd0FBQ2dZQkFBRUFBQVdBY3dNQUFBb0FBZ0FJQWdRR0JBQldBd0FBQlFZRUFGa0RBQUFLQmdFQUFRQUFCWUIwQXdBQUNnQUNBQWtDQkFZRUFGa0RBQUFGQmdRQVdnTUFBQW9HQVFBQkFBQUZnSFVEQUFBS0FBSUFDZ0lFQmdRQVdRTUFBQVVHQkFCYkF3QUFDZ1lCQUFFQUFBV0FkZ01BQUFvQUFnQUxBZ1FHQkFCWkF3QUFCUVlFQUZ3REFBQUtCZ0VBQVFBQUJZQjNBd0FBQ2dBQ0FBd0NCQVlFQUYwREFBQUZCZ1FBWGdNQUFBb0dBUUFCQUFBRmdIZ0RBQUFLQUFJQURRSUVCZ1FBWGdNQUFBVUdCQUJmQXdBQUNnWUJBQUVBQUFXQWVRTUFBQW9BQWdBT0FnUUdCQUJlQXdBQUJRWUVBR0FEQUFBQUJnSUFBZ0FLQmdFQUFRQUFCWUI2QXdBQUNnQUNBQklDQkFZRUFHRURBQUFGQmdRQVlnTUFBQW9HQVFBQkFBQUZnSHNEQUFBS0FBSUFGQUlFQmdRQVlRTUFBQVVHQkFCakF3QUFDZ1lCQUFFQUFBV0FmQU1BQUFvQUFnQVZBZ1FHQkFCaEF3QUFCUVlFQUYwREFBQUtCZ0VBQVFBQUJZQjlBd0FBQ2dBQ0FCY0NCQVlFQUVrREFBQUZCZ1FBWkFNQUFBb0dBUUFCQUFBRmdINERBQUFLQUFJQUdBSUVCZ1FBWkFNQUFBVUdCQUJoQXdBQUNnWUJBQUVBQUFXQWZ3TUFBQW9BQWdBWkFnUUdCQUJLQXdBQUJRWUVBRWtEQUFBS0JnRUFBUUFBQUFBQUFBQUFBQUE9</t>
        </r>
      </text>
    </comment>
    <comment ref="D42" authorId="0" shapeId="0" xr:uid="{3A24D147-41D6-4F58-907F-640B032A1907}">
      <text>
        <r>
          <rPr>
            <sz val="9"/>
            <color indexed="81"/>
            <rFont val="Tahoma"/>
            <family val="2"/>
          </rPr>
          <t>QzE0SDE1RjE1Tk8yK3xQaWN0dXJlIDMyfFZtcERSREF4TURBRUF3SUJBQUFBQUFBQUFBQUFBQUNBQUFBQUFBTUFGZ0FBQUVOb1pXMUVjbUYzSURJeUxqSXVNQzR6TXpBd0NBQVRBQUFBVlc1MGFYUnNaV1FnUkc5amRXMWxiblFFQWhBQVhET1pBTjZYTEFCcmRNc0FZQmtMQVFFSkNBQUFBQzBBQUFETkJRSUpDQUFBd0NFQUFNQzFBZzBJQVFBQkNBY0JBQUU2QkFFQUFUc0VBUUFBUlFRQkFBRThCQUVBQUVvRUFRQUFEQVlCQUFFUEJnRUFBUTBHQVFBQVFnUUJBQUJEQkFFQUFFUUVBUUFBRGdnQ0FHMEp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Hc0lBQUFFQWhBQUFBQUFBQUFBQUFCYWpOUUF5ZHN5Q1JZSUJBQUFBQ1FBR0FnRUFBQUFKQUFaQ0FBQUVBZ0NBQUVBRHdnQ0FBRUFBNEFxQ0FBQUJBSVFBRnd6bVFEZWx5d0FhM1RMQUdBWkN3RUtBQUlBWmdZRWdDc0lBQUFBQWdnQXc1bXZBTlpldEFBS0FBSUFad1kzQkFFQUFRQUFCSUFzQ0FBQUFBSUlBRjBUdUFEN3NLVUFDZ0FDQUdnR053UUJBQUVBQUFTQUxRZ0FBQUFDQ0FERG1hOEFId09YQUFvQUFnQnBCamNFQVFBQkFBQUVnQzRJQUFBQUFnZ0FYUk80QUVOVmlBQUtBQUlBYWdZM0JBRUFBUUFBQklBdkNBQUFBQUlJQURqQnhnRGR6cEFBQ2dBQ0FHc0dBZ1FDQUFrQUt3UUNBQUFBU0FRQUFEY0VBUUFCQm9BQUFBQUFBQUlJQUd0MHl3Q2RKSTBBQkFJUUFORjZ3UUNkSkkwQWEzVExBQjE1bEFBakNBRUFBQUlIQWdBQUFBQUhEUUFCQUFBQUF3QmdBUEFBQUFCR0NRY05BQUVBQUFBREFHQUE4QUFBQUVZQUFBQUFCSUF3Q0FBQUFBSUlBRGpCeGdDcTIzOEFDZ0FDQUd3R0FnUUNBQWtBS3dRQ0FBQUFTQVFBQURjRUFRQUJCb0FBQUFBQUFBSUlBR3QweXdCcU1Yd0FCQUlRQU5GNndRQnFNWHdBYTNUTEFPcUZnd0FqQ0FFQUFBSUhBZ0FBQUFBSERRQUJBQUFBQXdCZ0FQQUFBQUJHQ1FjTkFBRUFBQUFEQUdBQThBQUFBRVlBQUFBQUJJQXhDQUFBQUFJSUFNT1pyd0JvcDNrQUNnQUNBRzBHTndRQkFBRUFBQVNBTWdnQUFBQUNDQURuNjZBQXppMXhBQW9BQWdCdUJnSUVBZ0FKQUNzRUFnQUFBRWdFQUFBM0JBRUFBUWFBQUFBQUFBQUNDQUFhbjZVQWpvTnRBQVFDRUFDQXBac0Fqb050QUJxZnBRQU8ySFFBSXdnQkFBQUNCd0lBQUFBQUJ3MEFBUUFBQUFNQVlBRHdBQUFBUmdrSERRQUJBQUFBQXdCZ0FQQUFBQUJHQUFBQUFBU0FNd2dBQUFBQ0NBRG42NkFBQWlHQ0FBb0FBZ0J2QmdJRUFnQUpBQ3NFQWdBQUFFZ0VBQUEzQkFFQUFRYUFBQUFBQUFBQ0NBQWFuNlVBd25aK0FBUUNFQUNBcFpzQXduWitBQnFmcFFCQ3k0VUFJd2dCQUFBQ0J3SUFBQUFBQncwQUFRQUFBQU1BWUFEd0FBQUFSZ2tIRFFBQkFBQUFBd0JnQVBBQUFBQkdBQUFBQUFTQU5BZ0FBQUFDQ0FCZEU3Z0FqUGxxQUFvQUFnQndCamNFQVFBQkFBQUVnRFVJQUFBQUFnZ0FPTUhHQUNaemN3QUtBQUlBY1FZQ0JBSUFDUUFyQkFJQUFBQklCQUFBTndRQkFBRUdnQUFBQUFBQUFnZ0FhM1RMQU9iSWJ3QUVBaEFBMFhyQkFPYklid0JyZE1zQVpoMTNBQ01JQVFBQUFnY0NBQUFBQUFjTkFBRUFBQUFEQUdBQThBQUFBRVlKQncwQUFRQUFBQU1BWUFEd0FBQUFSZ0FBQUFBRWdEWUlBQUFBQWdnQU9NSEdBUE4vWWdBS0FBSUFjZ1lDQkFJQUNRQXJCQUlBQUFCSUJBQUFOd1FCQUFFR2dBQUFBQUFBQWdnQWEzVExBTFBWWGdBRUFoQUEwWHJCQUxQVlhnQnJkTXNBTXlwbUFDTUlBUUFBQWdjQ0FBQUFBQWNOQUFFQUFBQURBR0FBOEFBQUFFWUpCdzBBQVFBQUFBTUFZQUR3QUFBQVJnQUFBQUFFZ0RjSUFBQUFBZ2dBdzVtdkFMRkxYQUFLQUFJQWN3WTNCQUVBQVFBQUJJQTRDQUFBQUFJSUFPZnJvQUFYMGxNQUNnQUNBSFFHQWdRQ0FBa0FLd1FDQUFBQVNBUUFBRGNFQVFBQkJvQUFBQUFBQUFJSUFCcWZwUURYSjFBQUJBSVFBSUNsbXdEWEoxQUFHcCtsQUZkOFZ3QWpDQUVBQUFJSEFnQUFBQUFIRFFBQkFBQUFBd0JnQVBBQUFBQkdDUWNOQUFFQUFBQURBR0FBOEFBQUFFWUFBQUFBQklBNUNBQUFBQUlJQU9mcm9BQkx4V1FBQ2dBQ0FIVUdBZ1FDQUFrQUt3UUNBQUFBU0FRQUFEY0VBUUFCQm9BQUFBQUFBQUlJQUJxZnBRQUxHMkVBQkFJUUFJQ2xtd0FMRzJFQUdwK2xBSXR2YUFBakNBRUFBQUlIQWdBQUFBQUhEUUFCQUFBQUF3QmdBUEFBQUFCR0NRY05BQUVBQUFBREFHQUE4QUFBQUVZQUFBQUFCSUE2Q0FBQUFBSUlBRjBUdUFEVm5VMEFDZ0FDQUhZR053UUJBQUVBQUFTQU93Z0FBQUFDQ0FBNHdjWUFieGRXQUFvQUFnQjNCZ0lFQWdBSkFDc0VBZ0FBQUVnRUFBQTNCQUVBQVFhQUFBQUFBQUFDQ0FCcmRNc0FMMjFTQUFRQ0VBRFJlc0VBTDIxU0FHdDB5d0N2d1ZrQUl3Z0JBQUFDQndJQUFBQUFCdzBBQVFBQUFBTUFZQUR3QUFBQVJna0hEUUFCQUFBQUF3QmdBUEFBQUFCR0FBQUFBQVNBUEFnQUFBQUNDQUE0d2NZQVBDUkZBQW9BQWdCNEJnSUVBZ0FKQUNzRUFnQUFBRWdFQUFBM0JBRUFBUWFBQUFBQUFBQUNDQUJyZE1zQS9IbEJBQVFDRUFEUmVzRUEvSGxCQUd0MHl3Qjh6a2dBSXdnQkFBQUNCd0lBQUFBQUJ3MEFBUUFBQUFNQVlBRHdBQUFBUmdrSERRQUJBQUFBQXdCZ0FQQUFBQUJHQUFBQUFBU0FQUWdBQUFBQ0NBRERtYThBK3U4K0FBb0FBZ0I1QmpjRUFRQUJBQUFFZ0Q0SUFBQUFBZ2dBS1NDbkFCNUNNQUFLQUFJQWVnWUNCQUlBQ1FBckJBSUFBQUJJQkFBQU53UUJBQUVHZ0FBQUFBQUFBZ2dBWE5PckFONlhMQUFFQWhBQXd0bWhBTjZYTEFCYzA2c0FYdXd6QUNNSUFRQUFBZ2NDQUFBQUFBY05BQUVBQUFBREFHQUE4QUFBQUVZSkJ3MEFBUUFBQUFNQVlBRHdBQUFBUmdBQUFBQUVnRDhJQUFBQUFnZ0FrS2FlQVBydlBnQUtBQUlBZXdZQ0JBSUFDUUFyQkFJQUFBQklCQUFBTndRQkFBRUdnQUFBQUFBQUFnZ0F3MW1qQUxwRk93QUVBaEFBS1dDWkFMcEZPd0REV2FNQU9wcENBQ01JQVFBQUFnY0NBQUFBQUFjTkFBRUFBQUFEQUdBQThBQUFBRVlKQncwQUFRQUFBQU1BWUFEd0FBQUFSZ0FBQUFBRWdFQUlBQUFBQWdnQVhSTzRBQjVDTUFBS0FBSUFmQVlDQkFJQUNRQXJCQUlBQUFCSUJBQUFOd1FCQUFFR2dBQUFBQUFBQWdnQWtNYThBTjZYTEFBRUFoQUE5c3l5QU42WExBQ1F4cndBWHV3ekFDTUlBUUFBQWdjQ0FBQUFBQWNOQUFFQUFBQURBR0FBOEFBQUFFWUpCdzBBQVFBQUFBTUFZQUR3QUFBQVJnQUFBQUFFZ0VFSUFBQUFBZ2dBWFJPNEFHbG80QUFLQUFJQWZRWTNCQUVBQVFBQUJJQkNDQUFBQUFJSUFNT1pyd0JFRnU4QUNnQUNBSDRHTndRQkFBRUFBQVNBUXdnQUFBQUNDQUJkRTdnQUlNVDlBQW9BQWdCL0JnSUVBZ0FJQUNzRUFnQUJBRWdFQUFBM0JBRUFBUWFBQUFBQUFBQUNDQUNReHJ3QVlCbjVBQVFDRUFBcG9MSUFZQm41QVBic3ZBQmdHUXNCSXdnQkFBQUNCd0lBQUFBRkJ3RUFBUUFIRGdBQkFBQUFBd0JnQVBBQUFBQlBTQWtIRGdBQkFBQUFBd0JnQVBBQUFBQlBTQUFBQUFBRWdFUUlBQUFBQWdnQWtLYWVBRVFXN3dBS0FBSUFnQVlDQkFJQUNBQXJCQUlBQUFCSUJBQUFOd1FCQUFFR2dBQUFBQUFBQWdnQXcxbWpBSVJyNmdBRUFoQUFYRE9aQUlScjZnQXBnS01BQk1IekFDTUlBUUFBQWdjQ0FBQUFBQWNOQUFFQUFBQURBR0FBOEFBQUFFOEpCdzBBQVFBQUFBTUFZQUR3QUFBQVR3QUFBQUFFZ0VVSUFBQUFBZ2dBdzVtdkFJMjYwUUFLQUFJQW1RWUNCQUlBQndBckJBSUFBQUFoQkFFQUFVZ0VBQUEzQkFFQUFRYUFBQUFBQUFBQ0NBRDJUTFFBVFdYTkFBUUNFQURVQ3FrQVRXWE5BUFpNdEFCTlVkc0FJd2dCQUFBQ0J3SUFBQUFGQndFQUFRQUhEZ0FCQUFBQUF3QmdBUEFBQUFCT0t3a0hEZ0FCQUFBQUF3QmdBUEFBQUFCT0t3QUFBQUFFZ0VZSUFBQUFBZ2dBNSt1Z0FQTkF5UUFLQUFJQW1nWTNCQUVBQVFBQUJJQkhDQUFBQUFJSUFPZnJvQUFuTk5vQUNnQUNBSndHTndRQkFBRUFBQVNBU0FnQUFBQUNDQUJkRTdnQXNnekRBQW9BQWdDZkJqY0VBUUFCQUFBRWdFa0lBQUFBQWdnQTUrdWdBSVdKamdBS0FBSUFvZ1lDQkFJQUNRQXJCQUlBQUFCSUJBQUFOd1FCQUFFR2dBQUFBQUFBQWdnQUdwK2xBRVhmaWdBRUFoQUFnS1diQUVYZmlnQWFuNlVBeFRPU0FDTUlBUUFBQWdjQ0FBQUFBQWNOQUFFQUFBQURBR0FBOEFBQUFFWUpCdzBBQVFBQUFBTUFZQUR3QUFBQVJnQUFBQUFFZ0VvSUFBQUFBZ2dBNSt1Z0FMbDhud0FLQUFJQXBBWUNCQUlBQ1FBckJBSUFBQUJJQkFBQU53UUJBQUVHZ0FBQUFBQUFBZ2dBR3ArbEFIblNtd0FFQWhBQWdLV2JBSG5TbXdBYW42VUErU2FqQUNNSUFRQUFBZ2NDQUFBQUFBY05BQUVBQUFBREFHQUE4QUFBQUVZSkJ3MEFBUUFBQUFNQVlBRHdBQUFBUmdBQUFBQUZnRXNJQUFBS0FBSUFnUVlFQmdRQUt3Z0FBQVVHQkFBc0NBQUFDZ1lCQUFFQUFBV0FUQWdBQUFvQUFnQ0NCZ1FHQkFBc0NBQUFCUVlFQUMwSUFBQUtCZ0VBQVFBQUJZQk5DQUFBQ2dBQ0FJTUdCQVlFQUMwSUFBQUZCZ1FBTGdnQUFBb0dBUUFCQUFBRmdFNElBQUFLQUFJQWhBWUVCZ1FBTGdnQUFBVUdCQUF2Q0FBQUNnWUJBQUVBQUFXQVR3Z0FBQW9BQWdDRkJnUUdCQUF1Q0FBQUJRWUVBREFJQUFBS0JnRUFBUUFBQllCUUNBQUFDZ0FDQUlZR0JBWUVBQzRJQUFBRkJnUUFNUWdBQUFvR0FRQUJBQUFGZ0ZFSUFBQUtBQUlBaHdZRUJnUUFNUWdBQUFVR0JBQXlDQUFBQ2dZQkFBRUFBQVdBVWdnQUFBb0FBZ0NJQmdRR0JBQXhDQUFBQlFZRUFETUlBQUFLQmdFQUFRQUFCWUJUQ0FBQUNnQUNBSWtHQkFZRUFERUlBQUFGQmdRQU5BZ0FBQW9HQVFBQkFBQUZnRlFJQUFBS0FBSUFpZ1lFQmdRQU5BZ0FBQVVHQkFBMUNBQUFDZ1lCQUFFQUFBV0FWUWdBQUFvQUFnQ0xCZ1FHQkFBMENBQUFCUVlFQURZSUFBQUtCZ0VBQVFBQUJZQldDQUFBQ2dBQ0FJd0dCQVlFQURRSUFBQUZCZ1FBTndnQUFBb0dBUUFCQUFBRmdGY0lBQUFLQUFJQWpRWUVCZ1FBTndnQUFBVUdCQUE0Q0FBQUNnWUJBQUVBQUFXQVdBZ0FBQW9BQWdDT0JnUUdCQUEzQ0FBQUJRWUVBRGtJQUFBS0JnRUFBUUFBQllCWkNBQUFDZ0FDQUk4R0JBWUVBRGNJQUFBRkJnUUFPZ2dBQUFvR0FRQUJBQUFGZ0ZvSUFBQUtBQUlBa0FZRUJnUUFPZ2dBQUFVR0JBQTdDQUFBQ2dZQkFBRUFBQVdBV3dnQUFBb0FBZ0NSQmdRR0JBQTZDQUFBQlFZRUFEd0lBQUFLQmdFQUFRQUFCWUJjQ0FBQUNnQUNBSklHQkFZRUFEb0lBQUFGQmdRQVBRZ0FBQW9HQVFBQkFBQUZnRjBJQUFBS0FBSUFrd1lFQmdRQVBRZ0FBQVVHQkFBK0NBQUFDZ1lCQUFFQUFBV0FYZ2dBQUFvQUFnQ1VCZ1FHQkFBOUNBQUFCUVlFQUQ4SUFBQUtCZ0VBQVFBQUJZQmZDQUFBQ2dBQ0FKVUdCQVlFQUQwSUFBQUZCZ1FBUUFnQUFBb0dBUUFCQUFBRmdHQUlBQUFLQUFJQWxnWUVCZ1FBUVFnQUFBVUdCQUJDQ0FBQUNnWUJBQUVBQUFXQVlRZ0FBQW9BQWdDWEJnUUdCQUJDQ0FBQUJRWUVBRU1JQUFBS0JnRUFBUUFBQllCaUNBQUFDZ0FDQUpnR0JBWUVBRUlJQUFBRkJnUUFSQWdBQUFBR0FnQUNBQW9HQVFBQkFBQUZnR01JQUFBS0FBSUFtd1lFQmdRQVJRZ0FBQVVHQkFCR0NBQUFDZ1lCQUFFQUFBV0FaQWdBQUFvQUFnQ2RCZ1FHQkFCRkNBQUFCUVlFQUVjSUFBQUtCZ0VBQVFBQUJZQmxDQUFBQ2dBQ0FKNEdCQVlFQUVVSUFBQUZCZ1FBUVFnQUFBb0dBUUFCQUFBRmdHWUlBQUFLQUFJQW9BWUVCZ1FBS3dnQUFBVUdCQUJJQ0FBQUNnWUJBQUVBQUFXQVp3Z0FBQW9BQWdDaEJnUUdCQUJJQ0FBQUJRWUVBRVVJQUFBS0JnRUFBUUFBQllCb0NBQUFDZ0FDQUtNR0JBWUVBQzBJQUFBRkJnUUFTUWdBQUFvR0FRQUJBQUFGZ0drSUFBQUtBQUlBcFFZRUJnUUFMUWdBQUFVR0JBQktDQUFBQ2dZQkFBRUFBQUFBQUFBQUFBQUE=</t>
        </r>
      </text>
    </comment>
    <comment ref="D43" authorId="0" shapeId="0" xr:uid="{FBDBF1FE-FD92-4035-B973-831550BEFBAE}">
      <text>
        <r>
          <rPr>
            <sz val="9"/>
            <color indexed="81"/>
            <rFont val="Tahoma"/>
            <family val="2"/>
          </rPr>
          <t>QzE0SDE3RjEzTk8yK3xQaWN0dXJlIDIwfFZtcERSREF4TURBRUF3SUJBQUFBQUFBQUFBQUFBQUNBQUFBQUFBTUFGZ0FBQUVOb1pXMUVjbUYzSURJeUxqSXVNQzR6TXpBd0NBQVRBQUFBVlc1MGFYUnNaV1FnUkc5amRXMWxiblFFQWhBQVJld1JBWksrVUFCMjcySUI3dDNNQVFFSkNBQUFnTFVBQUlDMUFBSUpDQUFBd0NFQUFNQzFBZzBJQVFBQkNBY0JBQUU2QkFFQUFUc0VBUUFBUlFRQkFBRThCQUVBQUVvRUFRQUFEQVlCQUFFUEJnRUFBUTBHQVFBQVFnUUJBQUJEQkFFQUFFUUVBUUFBRGdnQ0FQWVd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MMEVBQUFFQWhBQUFBQUFBQUFBQUFBSWY2SUJEaHdMRmhZSUJBQUFBQ1FBR0FnRUFBQUFKQUFaQ0FBQUVBZ0NBQUVBRHdnQ0FBRUFBNEIvQkFBQUJBSVFBRVhzRVFHU3ZsQUFkdTlpQWU3ZHpBRUtBQUlBc1FJRWdJQUVBQUFBQWdnQXJGSTFBYnJZUFFFS0FBSUFzZ0kzQkFFQUFRQUFCSUNCQkFBQUFBSUlBRVpNUkFHOTZDTUJDZ0FDQUxNQ053UUJBQUVBQUFTQWdnUUFBQUFDQ0FDc1VqVUJ3UGdKQVFvQUFnQzBBamNFQVFBQkFBQUVnSU1FQUFBQUFnZ0FSa3hFQWNJSThBQUtBQUlBdFFJM0JBRUFBUUFBQklDRUJBQUFBQUlJQUVNOFhnRmNBdjhBQ2dBQ0FMWUNBZ1FDQUFrQUt3UUNBQUFBU0FRQUFEY0VBUUFCQm9BQUFBQUFBQUlJQUhidllnRWNXUHNBQkFJUUFOejFXQUVjV1BzQWR1OWlBWnlzQWdFakNBRUFBQUlIQWdBQUFBQUhEUUFCQUFBQUF3QmdBUEFBQUFCR0NRY05BQUVBQUFBREFHQUE4QUFBQUVZQUFBQUFCSUNGQkFBQUFBSUlBRU04WGdFcEQrRUFDZ0FDQUxjQ0FnUUNBQWtBS3dRQ0FBQUFTQVFBQURjRUFRQUJCb0FBQUFBQUFBSUlBSGJ2WWdIcFpOMEFCQUlRQU56MVdBSHBaTjBBZHU5aUFXbTU1QUFqQ0FFQUFBSUhBZ0FBQUFBSERRQUJBQUFBQXdCZ0FQQUFBQUJHQ1FjTkFBRUFBQUFEQUdBQThBQUFBRVlBQUFBQUJJQ0dCQUFBQUFJSUFLeFNOUUhGR05ZQUNnQUNBTGdDTndRQkFBRUFBQVNBaHdRQUFBQUNDQUN2WWhzQkt4L0hBQW9BQWdDNUFnSUVBZ0FKQUNzRUFnQUFBRWdFQUFBM0JBRUFBUWFBQUFBQUFBQUNDQURpRlNBQjYzVERBQVFDRUFCSUhCWUI2M1REQU9JVklBRnJ5Y29BSXdnQkFBQUNCd0lBQUFBQUJ3MEFBUUFBQUFNQVlBRHdBQUFBUmdrSERRQUJBQUFBQXdCZ0FQQUFBQUJHQUFBQUFBU0FpQVFBQUFBQ0NBQ3ZZaHNCWGhMbEFBb0FBZ0M2QWdJRUFnQUpBQ3NFQWdBQUFFZ0VBQUEzQkFFQUFRYUFBQUFBQUFBQ0NBRGlGU0FCSG1qaEFBUUNFQUJJSEJZQkhtamhBT0lWSUFHZXZPZ0FJd2dCQUFBQ0J3SUFBQUFBQncwQUFRQUFBQU1BWUFEd0FBQUFSZ2tIRFFBQkFBQUFBd0JnQVBBQUFBQkdBQUFBQUFTQWlRUUFBQUFDQ0FCR1RFUUJ4eWk4QUFvQUFnQzdBamNFQVFBQkFBQUVnSW9FQUFBQUFnZ0FRenhlQVdFaXl3QUtBQUlBdkFJQ0JBSUFDUUFyQkFJQUFBQklCQUFBTndRQkFBRUdnQUFBQUFBQUFnZ0FkdTlpQVNGNHh3QUVBaEFBM1BWWUFTRjR4d0IyNzJJQm9jek9BQ01JQVFBQUFnY0NBQUFBQUFjTkFBRUFBQUFEQUdBQThBQUFBRVlKQncwQUFRQUFBQU1BWUFEd0FBQUFSZ0FBQUFBRWdJc0VBQUFBQWdnQVF6eGVBUzR2clFBS0FBSUF2UUlDQkFJQUNRQXJCQUlBQUFCSUJBQUFOd1FCQUFFR2dBQUFBQUFBQWdnQWR1OWlBZTZFcVFBRUFoQUEzUFZZQWU2RXFRQjI3MklCYnRtd0FDTUlBUUFBQWdjQ0FBQUFBQWNOQUFFQUFBQURBR0FBOEFBQUFFWUpCdzBBQVFBQUFBTUFZQUR3QUFBQVJnQUFBQUFFZ0l3RUFBQUFBZ2dBckZJMUFjbzRvZ0FLQUFJQXZnSTNCQUVBQVFBQUJJQ05CQUFBQUFJSUFLOWlHd0V3UDVNQUNnQUNBTDhDQWdRQ0FBa0FLd1FDQUFBQVNBUUFBRGNFQVFBQkJvQUFBQUFBQUFJSUFPSVZJQUh3bEk4QUJBSVFBRWdjRmdId2xJOEE0aFVnQVhEcGxnQWpDQUVBQUFJSEFnQUFBQUFIRFFBQkFBQUFBd0JnQVBBQUFBQkdDUWNOQUFFQUFBQURBR0FBOEFBQUFFWUFBQUFBQklDT0JBQUFBQUlJQUs5aUd3RmpNckVBQ2dBQ0FNQUNBZ1FDQUFrQUt3UUNBQUFBU0FRQUFEY0VBUUFCQm9BQUFBQUFBQUlJQU9JVklBRWppSzBBQkFJUUFFZ2NGZ0VqaUswQTRoVWdBYVBjdEFBakNBRUFBQUlIQWdBQUFBQUhEUUFCQUFBQUF3QmdBUEFBQUFCR0NRY05BQUVBQUFBREFHQUE4QUFBQUVZQUFBQUFCSUNQQkFBQUFBSUlBRVpNUkFITVNJZ0FDZ0FDQU1FQ053UUJBQUVBQUFTQWtBUUFBQUFDQ0FCRFBGNEJaa0tYQUFvQUFnRENBZ0lFQWdBSkFDc0VBZ0FBQUVnRUFBQTNCQUVBQVFhQUFBQUFBQUFDQ0FCMjcySUJKcGlUQUFRQ0VBRGM5VmdCSnBpVEFIYnZZZ0dtN0pvQUl3Z0JBQUFDQndJQUFBQUFCdzBBQVFBQUFBTUFZQUR3QUFBQVJna0hEUUFCQUFBQUF3QmdBUEFBQUFCR0FBQUFBQVNBa1FRQUFBQUNDQUJEUEY0Qk0wOTVBQW9BQWdEREFnSUVBZ0FKQUNzRUFnQUFBRWdFQUFBM0JBRUFBUWFBQUFBQUFBQUNDQUIyNzJJQjg2UjFBQVFDRUFEYzlWZ0I4NlIxQUhidllnRnorWHdBSXdnQkFBQUNCd0lBQUFBQUJ3MEFBUUFBQUFNQVlBRHdBQUFBUmdrSERRQUJBQUFBQXdCZ0FQQUFBQUJHQUFBQUFBU0FrZ1FBQUFBQ0NBQ3NValVCejFodUFBb0FBZ0RFQWpjRUFRQUJBQUFFZ0pNRUFBQUFBZ2dBRTFrbUFkSm9WQUFLQUFJQXhRSUNCQUlBQ1FBckJBSUFBQUJJQkFBQU53UUJBQUVHZ0FBQUFBQUFBZ2dBUmd3ckFaSytVQUFFQWhBQXJCSWhBWksrVUFCR0RDc0JFaE5ZQUNNSUFRQUFBZ2NDQUFBQUFBY05BQUVBQUFBREFHQUE4QUFBQUVZSkJ3MEFBUUFBQUFNQVlBRHdBQUFBUmdBQUFBQUVnSlFFQUFBQUFnZ0FlVjhYQWM5WWJnQUtBQUlBeGdJQ0JBSUFDUUFyQkFJQUFBQklCQUFBTndRQkFBRUdnQUFBQUFBQUFnZ0FyQkljQVkrdWFnQUVBaEFBRWhrU0FZK3VhZ0NzRWh3QkR3TnlBQ01JQVFBQUFnY0NBQUFBQUFjTkFBRUFBQUFEQUdBQThBQUFBRVlKQncwQUFRQUFBQU1BWUFEd0FBQUFSZ0FBQUFBRWdKVUVBQUFBQWdnQVJreEVBZEpvVkFBS0FBSUF4d0lDQkFJQUNRQXJCQUlBQUFCSUJBQUFOd1FCQUFFR2dBQUFBQUFBQWdnQWVmOUlBWksrVUFBRUFoQUEzd1UvQVpLK1VBQjUvMGdCRWhOWUFDTUlBUUFBQWdjQ0FBQUFBQWNOQUFFQUFBQURBR0FBOEFBQUFFWUpCdzBBQVFBQUFBTUFZQUR3QUFBQVJnQUFBQUFFZ0pZRUFBQUFBZ2dBUmt4RUFiT29pd0VLQUFJQXlBSTNCQUVBQVFBQUJJQ1hCQUFBQUFJSUFLeFNOUUd3bUtVQkNnQUNBTWtDTndRQkFBRUFBQVNBbUFRQUFBQUNDQUJHVEVRQnJvaS9BUW9BQWdES0FnSUVBZ0FJQUNzRUFnQUJBRWdFQUFBM0JBRUFBUWFBQUFBQUFBQUNDQUI1LzBnQjd0MjZBUVFDRUFBUzJUNEI3dDI2QWQ4bFNRSHUzY3dCSXdnQkFBQUNCd0lBQUFBRkJ3RUFBUUFIRGdBQkFBQUFBd0JnQVBBQUFBQlBTQWtIRGdBQkFBQUFBd0JnQVBBQUFBQlBTQUFBQUFBRWdKa0VBQUFBQWdnQWVWOFhBYkNZcFFFS0FBSUF5d0lDQkFJQUNBQXJCQUlBQUFCSUJBQUFOd1FCQUFFR2dBQUFBQUFBQWdnQXJCSWNBZkR0b0FFRUFoQUFSZXdSQWZEdG9BRVNPUndCY0VPcUFTTUlBUUFBQWdjQ0FBQUFBQWNOQUFFQUFBQURBR0FBOEFBQUFFOEpCdzBBQVFBQUFBTUFZQUR3QUFBQVR3QUFBQUFFZ0pvRUFBQUFBZ2dBckZJMUFiVzRjUUVLQUFJQTVRSUNCQUlBQndBckJBSUFBQUFoQkFFQUFVZ0VBQUEzQkFFQUFRYUFBQUFBQUFBQ0NBRGZCVG9CZFdOdEFRUUNFQUM5d3k0QmRXTnRBZDhGT2dGMVQzc0JJd2dCQUFBQ0J3SUFBQUFGQndFQUFRQUhEZ0FCQUFBQUF3QmdBUEFBQUFCT0t3a0hEZ0FCQUFBQUF3QmdBUEFBQUFCT0t3QUFBQUFFZ0pzRUFBQUFBZ2dBcjJJYkFSeS9ZZ0VLQUFJQTVnSTNCQUVBQVFBQUJJQ2NCQUFBQUFJSUFLOWlHd0ZQc29BQkNnQUNBT2dDTndRQkFBRUFBQVNBblFRQUFBQUNDQUJHVEVRQnVNaFhBUW9BQWdEckFqY0VBUUFCQUFBRmdKNEVBQUFLQUFJQXpBSUVCZ1FBZ0FRQUFBVUdCQUNCQkFBQUNnWUJBQUVBQUFXQW53UUFBQW9BQWdETkFnUUdCQUNCQkFBQUJRWUVBSUlFQUFBS0JnRUFBUUFBQllDZ0JBQUFDZ0FDQU00Q0JBWUVBSUlFQUFBRkJnUUFnd1FBQUFvR0FRQUJBQUFGZ0tFRUFBQUtBQUlBendJRUJnUUFnd1FBQUFVR0JBQ0VCQUFBQ2dZQkFBRUFBQVdBb2dRQUFBb0FBZ0RRQWdRR0JBQ0RCQUFBQlFZRUFJVUVBQUFLQmdFQUFRQUFCWUNqQkFBQUNnQUNBTkVDQkFZRUFJTUVBQUFGQmdRQWhnUUFBQW9HQVFBQkFBQUZnS1FFQUFBS0FBSUEwZ0lFQmdRQWhnUUFBQVVHQkFDSEJBQUFDZ1lCQUFFQUFBV0FwUVFBQUFvQUFnRFRBZ1FHQkFDR0JBQUFCUVlFQUlnRUFBQUtCZ0VBQVFBQUJZQ21CQUFBQ2dBQ0FOUUNCQVlFQUlZRUFBQUZCZ1FBaVFRQUFBb0dBUUFCQUFBRmdLY0VBQUFLQUFJQTFRSUVCZ1FBaVFRQUFBVUdCQUNLQkFBQUNnWUJBQUVBQUFXQXFBUUFBQW9BQWdEV0FnUUdCQUNKQkFBQUJRWUVBSXNFQUFBS0JnRUFBUUFBQllDcEJBQUFDZ0FDQU5jQ0JBWUVBSWtFQUFBRkJnUUFqQVFBQUFvR0FRQUJBQUFGZ0tvRUFBQUtBQUlBMkFJRUJnUUFqQVFBQUFVR0JBQ05CQUFBQ2dZQkFBRUFBQVdBcXdRQUFBb0FBZ0RaQWdRR0JBQ01CQUFBQlFZRUFJNEVBQUFLQmdFQUFRQUFCWUNzQkFBQUNnQUNBTm9DQkFZRUFJd0VBQUFGQmdRQWp3UUFBQW9HQVFBQkFBQUZnSzBFQUFBS0FBSUEyd0lFQmdRQWp3UUFBQVVHQkFDUUJBQUFDZ1lCQUFFQUFBV0FyZ1FBQUFvQUFnRGNBZ1FHQkFDUEJBQUFCUVlFQUpFRUFBQUtCZ0VBQVFBQUJZQ3ZCQUFBQ2dBQ0FOMENCQVlFQUk4RUFBQUZCZ1FBa2dRQUFBb0dBUUFCQUFBRmdMQUVBQUFLQUFJQTNnSUVCZ1FBa2dRQUFBVUdCQUNUQkFBQUNnWUJBQUVBQUFXQXNRUUFBQW9BQWdEZkFnUUdCQUNTQkFBQUJRWUVBSlFFQUFBS0JnRUFBUUFBQllDeUJBQUFDZ0FDQU9BQ0JBWUVBSklFQUFBRkJnUUFsUVFBQUFvR0FRQUJBQUFGZ0xNRUFBQUtBQUlBNFFJRUJnUUFsZ1FBQUFVR0JBQ1hCQUFBQ2dZQkFBRUFBQVdBdEFRQUFBb0FBZ0RpQWdRR0JBQ1hCQUFBQlFZRUFKZ0VBQUFLQmdFQUFRQUFCWUMxQkFBQUNnQUNBT01DQkFZRUFKY0VBQUFGQmdRQW1RUUFBQUFHQWdBQ0FBb0dBUUFCQUFBRmdMWUVBQUFLQUFJQTV3SUVCZ1FBbWdRQUFBVUdCQUNiQkFBQUNnWUJBQUVBQUFXQXR3UUFBQW9BQWdEcEFnUUdCQUNhQkFBQUJRWUVBSndFQUFBS0JnRUFBUUFBQllDNEJBQUFDZ0FDQU9vQ0JBWUVBSm9FQUFBRkJnUUFsZ1FBQUFvR0FRQUJBQUFGZ0xrRUFBQUtBQUlBN0FJRUJnUUFnQVFBQUFVR0JBQ2RCQUFBQ2dZQkFBRUFBQVdBdWdRQUFBb0FBZ0R0QWdRR0JBQ2RCQUFBQlFZRUFKb0VBQUFLQmdFQUFRQUFBQUFBQUFBQUFBQT0=</t>
        </r>
      </text>
    </comment>
    <comment ref="D44" authorId="0" shapeId="0" xr:uid="{70D16ADE-AEA9-46B7-B807-B457DE0F8AD0}">
      <text>
        <r>
          <rPr>
            <sz val="9"/>
            <color indexed="81"/>
            <rFont val="Tahoma"/>
            <family val="2"/>
          </rPr>
          <t>QzhINUYxM05PMlMtfFBpY3R1cmUgMjl8Vm1wRFJEQXhNREFFQXdJQkFBQUFBQUFBQUFBQUFBQ0FBQUFBQUFNQUZnQUFBRU5vWlcxRWNtRjNJREl5TGpJdU1DNHpNekF3Q0FBVEFBQUFWVzUwYVhSc1pXUWdSRzlqZFcxbGJuUUVBaEFBL3ZvUkFSQkxnd0NyNzJJQkVNT2FBUUVKQ0FBQWdFQUFBSUJBQUFJSkNBQUF3Q0VBQU1DMUFnMElBUUFCQ0FjQkFBRTZCQUVBQVRzRUFRQUFSUVFCQUFFOEJBRUFBRW9FQVFBQURBWUJBQUVQQmdFQUFRMEdBUUFBUWdRQkFBQkRCQUVBQUVRRUFRQUFEZ2dDQVBZV0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04wQkFBQUVBaEFBQUFBQUFBQUFBQUErZjZJQkRod0xGaFlJQkFBQUFDUUFHQWdFQUFBQUpBQVpDQUFBRUFnQ0FBRUFEd2dDQUFFQUE0Q3BBUUFBQkFJUUFQNzZFUUVRUzRNQXErOWlBUkREbWdFS0FBSUFRZ0VFZ0tvQkFBQUFBZ2dBWlVFbUFSREVpZ0VLQUFJQVF3RUNCQUlBQndBckJBSUFBUUFoQkFFQS8wZ0VBQUEzQkFFQUFRYUFBQUFBQUFBQ0NBQ1k5Q29CMEc2R0FRUUNFQUQrK2lBQjBHNkdBWmowS2dFUXc1b0JJd2dCQUFBQ0J3SUFBQUFGQndFQUFRQUhEd0FCQUFBQUF3QmdBUEFBQUFCT1NDMEpCdzhBQVFBQUFBTUFZQUR3QUFBQVRrZ3RBQUFBQUFTQXF3RUFBQUFDQ0FCbFFUVUIvY2h3QVFvQUFnQkVBUUlFQWdBUUFDc0VBZ0FBQUVnRUFBQTNCQUVBQVFhQUFBQUFBQUFDQ0FDWTlEa0JmY2hzQVFRQ0VBQXh6aThCZmNoc0FmNGFPZ0Y5eVhRQkl3Z0JBQUFDQndJQUFBQUFCdzBBQVFBQUFBTUFZQUR3QUFBQVV3a0hEUUFCQUFBQUF3QmdBUEFBQUFCVEFBQUFBQVNBckFFQUFBQUNDQUI0UEU4Qi9jaC9BUW9BQWdCRkFRSUVBZ0FJQUNzRUFnQUFBRWdFQUFBM0JBRUFBUWFBQUFBQUFBQUNDQUNyNzFNQlBSNTdBUVFDRUFCRXlVa0JQUjU3QVJFV1ZBRzljNFFCSXdnQkFBQUNCd0lBQUFBQUJ3MEFBUUFBQUFNQVlBRHdBQUFBVHdrSERRQUJBQUFBQXdCZ0FQQUFBQUJQQUFBQUFBU0FyUUVBQUFBQ0NBQlNSaHNCL2NoaEFRb0FBZ0JHQVFJRUFnQUlBQ3NFQWdBQUFFZ0VBQUEzQkFFQUFRYUFBQUFBQUFBQ0NBQ0YrUjhCUFI1ZEFRUUNFQUFlMHhVQlBSNWRBZXNmSUFHOWMyWUJJd2dCQUFBQ0J3SUFBQUFBQncwQUFRQUFBQU1BWUFEd0FBQUFUd2tIRFFBQkFBQUFBd0JnQVBBQUFBQlBBQUFBQUFTQXJnRUFBQUFDQ0FCbFFVUUI2czFXQVFvQUFnQkhBVGNFQVFBQkFBQUVnSzhCQUFBQUFnZ0FaVUUxQWRmU1BBRUtBQUlBU0FFM0JBRUFBUUFBQklDd0FRQUFBQUlJQUdWQlJBSEQxeUlCQ2dBQ0FFa0JOd1FCQUFFQUFBU0FzUUVBQUFBQ0NBQmxRVFVCc053SUFRb0FBZ0JLQVRjRUFRQUJBQUFFZ0xJQkFBQUFBZ2dBWlVGRUFaM2g3Z0FLQUFJQVN3RTNCQUVBQVFBQUJJQ3pBUUFBQUFJSUFHVkJOUUdLNXRRQUNnQUNBRXdCTndRQkFBRUFBQVNBdEFFQUFBQUNDQUJsUVVRQmQrdTZBQW9BQWdCTkFUY0VBUUFCQUFBRWdMVUJBQUFBQWdnQVpVRTFBV1B3b0FBS0FBSUFUZ0UzQkFFQUFRQUFCSUMyQVFBQUFBSUlBR1ZCRndGajhLQUFDZ0FDQUU4QkFnUUNBQWtBS3dRQ0FBQUFTQVFBQURjRUFRQUJCb0FBQUFBQUFBSUlBSmowR3dFalJwMEFCQUlRQVA3NkVRRWpScDBBbVBRYkFhT2FwQUFqQ0FFQUFBSUhBZ0FBQUFBSERRQUJBQUFBQXdCZ0FQQUFBQUJHQ1FjTkFBRUFBQUFEQUdBQThBQUFBRVlBQUFBQUJJQzNBUUFBQUFJSUFHVkJKZ0ZROVlZQUNnQUNBRkFCQWdRQ0FBa0FLd1FDQUFBQVNBUUFBRGNFQVFBQkJvQUFBQUFBQUFJSUFKajBLZ0VRUzRNQUJBSVFBUDc2SUFFUVM0TUFtUFFxQVpDZmlnQWpDQUVBQUFJSEFnQUFBQUFIRFFBQkFBQUFBd0JnQVBBQUFBQkdDUWNOQUFFQUFBQURBR0FBOEFBQUFFWUFBQUFBQklDNEFRQUFBQUlJQUdWQlJBRlE5WVlBQ2dBQ0FGRUJBZ1FDQUFrQUt3UUNBQUFBU0FRQUFEY0VBUUFCQm9BQUFBQUFBQUlJQUpqMFNBRVFTNE1BQkFJUUFQNzZQZ0VRUzRNQW1QUklBWkNmaWdBakNBRUFBQUlIQWdBQUFBQUhEUUFCQUFBQUF3QmdBUEFBQUFCR0NRY05BQUVBQUFBREFHQUE4QUFBQUVZQUFBQUFCSUM1QVFBQUFBSUlBSGc4WGdGMzY2c0FDZ0FDQUZJQkFnUUNBQWtBS3dRQ0FBQUFTQVFBQURjRUFRQUJCb0FBQUFBQUFBSUlBS3Z2WWdFM1FhZ0FCQUlRQUJIMldBRTNRYWdBcSs5aUFiZVZyd0FqQ0FFQUFBSUhBZ0FBQUFBSERRQUJBQUFBQXdCZ0FQQUFBQUJHQ1FjTkFBRUFBQUFEQUdBQThBQUFBRVlBQUFBQUJJQzZBUUFBQUFJSUFIZzhYZ0YzNjhrQUNnQUNBRk1CQWdRQ0FBa0FLd1FDQUFBQVNBUUFBRGNFQVFBQkJvQUFBQUFBQUFJSUFLdnZZZ0UzUWNZQUJBSVFBQkgyV0FFM1FjWUFxKzlpQWJlVnpRQWpDQUVBQUFJSEFnQUFBQUFIRFFBQkFBQUFBd0JnQVBBQUFBQkdDUWNOQUFFQUFBQURBR0FBOEFBQUFFWUFBQUFBQklDN0FRQUFBQUlJQUZKR0d3R0s1dU1BQ2dBQ0FGUUJBZ1FDQUFrQUt3UUNBQUFBU0FRQUFEY0VBUUFCQm9BQUFBQUFBQUlJQUlYNUh3RktQT0FBQkFJUUFPdi9GUUZLUE9BQWhma2ZBY3FRNXdBakNBRUFBQUlIQWdBQUFBQUhEUUFCQUFBQUF3QmdBUEFBQUFCR0NRY05BQUVBQUFBREFHQUE4QUFBQUVZQUFBQUFCSUM4QVFBQUFBSUlBRkpHR3dHSzVzVUFDZ0FDQUZVQkFnUUNBQWtBS3dRQ0FBQUFTQVFBQURjRUFRQUJCb0FBQUFBQUFBSUlBSVg1SHdGS1BNSUFCQUlRQU92L0ZRRktQTUlBaGZrZkFjcVF5UUFqQ0FFQUFBSUhBZ0FBQUFBSERRQUJBQUFBQXdCZ0FQQUFBQUJHQ1FjTkFBRUFBQUFEQUdBQThBQUFBRVlBQUFBQUJJQzlBUUFBQUFJSUFIZzhYZ0dkNGQ4QUNnQUNBRllCQWdRQ0FBa0FLd1FDQUFBQVNBUUFBRGNFQVFBQkJvQUFBQUFBQUFJSUFLdnZZZ0ZkTjl3QUJBSVFBQkgyV0FGZE45d0FxKzlpQWQyTDR3QWpDQUVBQUFJSEFnQUFBQUFIRFFBQkFBQUFBd0JnQVBBQUFBQkdDUWNOQUFFQUFBQURBR0FBOEFBQUFFWUFBQUFBQklDK0FRQUFBQUlJQUhnOFhnR2Q0ZjBBQ2dBQ0FGY0JBZ1FDQUFrQUt3UUNBQUFBU0FRQUFEY0VBUUFCQm9BQUFBQUFBQUlJQUt2dllnRmROL29BQkFJUUFCSDJXQUZkTi9vQXErOWlBZDJMQVFFakNBRUFBQUlIQWdBQUFBQUhEUUFCQUFBQUF3QmdBUEFBQUFCR0NRY05BQUVBQUFBREFHQUE4QUFBQUVZQUFBQUFCSUMvQVFBQUFBSUlBRkpHR3dHdzNCY0JDZ0FDQUZnQkFnUUNBQWtBS3dRQ0FBQUFTQVFBQURjRUFRQUJCb0FBQUFBQUFBSUlBSVg1SHdGd01oUUJCQUlRQU92L0ZRRndNaFFCaGZrZkFmQ0dHd0VqQ0FFQUFBSUhBZ0FBQUFBSERRQUJBQUFBQXdCZ0FQQUFBQUJHQ1FjTkFBRUFBQUFEQUdBQThBQUFBRVlBQUFBQUJJREFBUUFBQUFJSUFGSkdHd0d3M1BrQUNnQUNBRmtCQWdRQ0FBa0FLd1FDQUFBQVNBUUFBRGNFQVFBQkJvQUFBQUFBQUFJSUFJWDVId0Z3TXZZQUJBSVFBT3YvRlFGd012WUFoZmtmQWZDRy9RQWpDQUVBQUFJSEFnQUFBQUFIRFFBQkFBQUFBd0JnQVBBQUFBQkdDUWNOQUFFQUFBQURBR0FBOEFBQUFFWUFBQUFBQklEQkFRQUFBQUlJQUhnOFhnSEQxeE1CQ2dBQ0FGb0JBZ1FDQUFrQUt3UUNBQUFBU0FRQUFEY0VBUUFCQm9BQUFBQUFBQUlJQUt2dllnR0RMUkFCQkFJUUFCSDJXQUdETFJBQnErOWlBUU9DRndFakNBRUFBQUlIQWdBQUFBQUhEUUFCQUFBQUF3QmdBUEFBQUFCR0NRY05BQUVBQUFBREFHQUE4QUFBQUVZQUFBQUFCSURDQVFBQUFBSUlBSGc4WGdIRDF6RUJDZ0FDQUZzQkFnUUNBQWtBS3dRQ0FBQUFTQVFBQURjRUFRQUJCb0FBQUFBQUFBSUlBS3Z2WWdHRExTNEJCQUlRQUJIMldBR0RMUzRCcSs5aUFRT0NOUUVqQ0FFQUFBSUhBZ0FBQUFBSERRQUJBQUFBQXdCZ0FQQUFBQUJHQ1FjTkFBRUFBQUFEQUdBQThBQUFBRVlBQUFBQUJZRERBUUFBQ2dBQ0FGd0JCQVlFQUtvQkFBQUZCZ1FBcXdFQUFBb0dBUUFCQUFBRmdNUUJBQUFLQUFJQVhRRUVCZ1FBcXdFQUFBVUdCQUNzQVFBQUFBWUNBQUlBQ2dZQkFBRUFBQVdBeFFFQUFBb0FBZ0JlQVFRR0JBQ3JBUUFBQlFZRUFLMEJBQUFBQmdJQUFnQUtCZ0VBQVFBQUJZREdBUUFBQ2dBQ0FGOEJCQVlFQUtzQkFBQUZCZ1FBcmdFQUFBb0dBUUFCQUFBRmdNY0JBQUFLQUFJQVlBRUVCZ1FBcmdFQUFBVUdCQUN2QVFBQUNnWUJBQUVBQUFXQXlBRUFBQW9BQWdCaEFRUUdCQUN2QVFBQUJRWUVBTEFCQUFBS0JnRUFBUUFBQllESkFRQUFDZ0FDQUdJQkJBWUVBTEFCQUFBRkJnUUFzUUVBQUFvR0FRQUJBQUFGZ01vQkFBQUtBQUlBWXdFRUJnUUFzUUVBQUFVR0JBQ3lBUUFBQ2dZQkFBRUFBQVdBeXdFQUFBb0FBZ0JrQVFRR0JBQ3lBUUFBQlFZRUFMTUJBQUFLQmdFQUFRQUFCWURNQVFBQUNnQUNBR1VCQkFZRUFMTUJBQUFGQmdRQXRBRUFBQW9HQVFBQkFBQUZnTTBCQUFBS0FBSUFaZ0VFQmdRQXRBRUFBQVVHQkFDMUFRQUFDZ1lCQUFFQUFBV0F6Z0VBQUFvQUFnQm5BUVFHQkFDMUFRQUFCUVlFQUxZQkFBQUtCZ0VBQVFBQUJZRFBBUUFBQ2dBQ0FHZ0JCQVlFQUxVQkFBQUZCZ1FBdHdFQUFBb0dBUUFCQUFBRmdOQUJBQUFLQUFJQWFRRUVCZ1FBdFFFQUFBVUdCQUM0QVFBQUNnWUJBQUVBQUFXQTBRRUFBQW9BQWdCcUFRUUdCQUMwQVFBQUJRWUVBTGtCQUFBS0JnRUFBUUFBQllEU0FRQUFDZ0FDQUdzQkJBWUVBTFFCQUFBRkJnUUF1Z0VBQUFvR0FRQUJBQUFGZ05NQkFBQUtBQUlBYkFFRUJnUUFzd0VBQUFVR0JBQzdBUUFBQ2dZQkFBRUFBQVdBMUFFQUFBb0FBZ0J0QVFRR0JBQ3pBUUFBQlFZRUFMd0JBQUFLQmdFQUFRQUFCWURWQVFBQUNnQUNBRzRCQkFZRUFMSUJBQUFGQmdRQXZRRUFBQW9HQVFBQkFBQUZnTllCQUFBS0FBSUFid0VFQmdRQXNnRUFBQVVHQkFDK0FRQUFDZ1lCQUFFQUFBV0Exd0VBQUFvQUFnQndBUVFHQkFDeEFRQUFCUVlFQUw4QkFBQUtCZ0VBQVFBQUJZRFlBUUFBQ2dBQ0FIRUJCQVlFQUxFQkFBQUZCZ1FBd0FFQUFBb0dBUUFCQUFBRmdOa0JBQUFLQUFJQWNnRUVCZ1FBc0FFQUFBVUdCQURCQVFBQUNnWUJBQUVBQUFXQTJnRUFBQW9BQWdCekFRUUdCQUN3QVFBQUJRWUVBTUlCQUFBS0JnRUFBUUFBQUFBQUFBQUFBQUE9</t>
        </r>
      </text>
    </comment>
    <comment ref="D45" authorId="0" shapeId="0" xr:uid="{3E84210D-9C0A-4E5E-AD74-E4845FE0E3CC}">
      <text>
        <r>
          <rPr>
            <sz val="9"/>
            <color indexed="81"/>
            <rFont val="Tahoma"/>
            <family val="2"/>
          </rPr>
          <t>QzE2SDhGMjZOTzRTMi18UGljdHVyZSA1MnxWbXBEUkRBeE1EQUVBd0lCQUFBQUFBQUFBQUFBQUFDQUFBQUFBQU1BRmdBQUFFTm9aVzFFY21GM0lESXlMakl1TUM0ek16QXdDQUFUQUFBQVZXNTBhWFJzWldRZ1JHOWpkVzFsYm5RRUFoQUFvR3BZQVJqVnB3QXNuWW9CY3B6VkFRRUpDQUFBZ0VBQUFJQkFBQUlKQ0FBQXdDRUFBTUMxQWcwSUFRQUJDQWNCQUFFNkJBRUFBVHNFQVFBQVJRUUJBQUU4QkFFQUFFb0VBUUFBREFZQkFBRVBCZ0VBQVEwR0FRQUFRZ1FCQUFCREJBRUFBRVFFQVFBQURnZ0NBRHdKQ2dnSUFBTUFZQUR3QUFNQUN3Z0lBQU1BQUFEd0FBTUFDUWdFQUFDYUFnQUlDQVFBQUFBQ0FBY0lCQUFBd0FBQUJnZ0VBQUNhQWdBRkNBUUFBQUFSQUFRSUFnQzBBQU1JQkFBQUFIZ0FJd2dCQUFVTUNBRUFBQ2dJQVFBQktRZ0JBQUVxQ0FFQUFUSUlBUUFBS3dnQkFDZ3NDQUVBQ2dJSUVBQUFBQ1FBQUFBa0FBQUFKQUFBQUNRQUFRTUNBQUFBQWdNQ0FBRUFBQU15QUFnQS8vLy8vLy8vQUFBQUFBQUEvLzhBQUFBQS8vLy8vd0FBQUFELy93QUFBQUQvLy8vL0FBQUFBUC8vLy84QUFQLy9BQUVQQUFBQUFRQURBT1FFQlFCQmNtbGhiTF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TlVIQUFBRUFoQUFBQUFBQUFBQUFBRDVlcE1CT2lCZUNCWUlCQUFBQUNRQUdBZ0VBQUFBSkFBWkNBQUFFQWdDQUFFQUR3Z0NBQUVBQTRCeUJ3QUFCQUlRQUtCcVdBRVkxYWNBTEoyS0FYS2MxUUVLQUFJQWt3UUVnSE1IQUFBQUFnZ0ErZWwwQWRUL0x3RUtBQUlBTXdRQ0JBSUFFQUFyQkFJQUFBQklCQUFBTndRQkFBRUdnQUFBQUFBQUFnZ0FMSjE1QVZUL0t3RUVBaEFBeFhadkFWVC9Ld0dTdzNrQlZBQTBBU01JQVFBQUFnY0NBQUFBQlFjQkFBRUFCdzBBQVFBQUFBTUFZQUR3QUFBQVV3a0hEUUFCQUFBQUF3QmdBUEFBQUFCVEFBQUFBQVNBZEFjQUFBQUNDQUFITVdZQjFIODRBUW9BQWdBMEJBSUVBZ0FJQUNzRUFnQUFBRWdFQUFBM0JBRUFBUWFBQUFBQUFBQUNDQUE2NUdvQkZOVXpBUVFDRUFEVHZXQUJGTlV6QWFBS2F3R1VLajBCSXdnQkFBQUNCd0lBQUFBQUJ3MEFBUUFBQUFNQVlBRHdBQUFBVHdrSERRQUJBQUFBQXdCZ0FQQUFBQUJQQUFBQUFBU0FkUWNBQUFBQ0NBRHFvb01CMUg4bkFRb0FBZ0ExQkFJRUFnQUlBQ3NFQWdBQUFFZ0VBQUEzQkFFQUFRYUFBQUFBQUFBQ0NBQWRWb2dCRk5VaUFRUUNFQUMyTDM0QkZOVWlBWU44aUFHVUtpd0JJd2dCQUFBQ0J3SUFBQUFBQncwQUFRQUFBQU1BWUFEd0FBQUFUd2tIRFFBQkFBQUFBd0JnQVBBQUFBQlBBQUFBQUFTQWRnY0FBQUFDQ0FENWFXd0I0a1loQVFvQUFnQTJCRGNFQVFBQkFBQUVnSGNIQUFBQUFnZ0ErZWwwQWZHTkVnRUtBQUlBTndRM0JBRUFBUUFBQklCNEJ3QUFBQUlJQVBscGJBRUExUU1CQ2dBQ0FEZ0VOd1FCQUFFQUFBU0FlUWNBQUFBQ0NBRDU2WFFCRHh6MUFBb0FBZ0E1QkRjRUFRQUJBQUFFZ0hvSEFBQUFBZ2dBK1dsc0FSMWo1Z0FLQUFJQU9nUTNCQUVBQVFBQUJJQjdCd0FBQUFJSUFQbnBkQUVzcXRjQUNnQUNBRHNFTndRQkFBRUFBQVNBZkFjQUFBQUNDQUQ1YVd3Qk8vSElBQW9BQWdBOEJEY0VBUUFCQUFBRWdIMEhBQUFBQWdnQStlbDBBVWs0dWdBS0FBSUFQUVEzQkFFQUFRQUFCSUIrQndBQUFBSUlBUGxwZlFGWWY2c0FDZ0FDQUQ0RUFnUUNBQWtBS3dRQ0FBQUFTQVFBQURjRUFRQUJCb0FBQUFBQUFBSUlBQ3dkZ2dFWTFhY0FCQUlRQUpJamVBRVkxYWNBTEIyQ0FaZ3Byd0FqQ0FFQUFBSUhBZ0FBQUFBSERRQUJBQUFBQXdCZ0FQQUFBQUJHQ1FjTkFBRUFBQUFEQUdBQThBQUFBRVlBQUFBQUJJQi9Cd0FBQUFJSUFQbnBoUUZKT0xvQUNnQUNBRDhFQWdRQ0FBa0FLd1FDQUFBQVNBUUFBRGNFQVFBQkJvQUFBQUFBQUFJSUFDeWRpZ0VKanJZQUJBSVFBSktqZ0FFSmpyWUFMSjJLQVluaXZRQWpDQUVBQUFJSEFnQUFBQUFIRFFBQkFBQUFBd0JnQVBBQUFBQkdDUWNOQUFFQUFBQURBR0FBOEFBQUFFWUFBQUFBQklDQUJ3QUFBQUlJQVBscGJBRllmNnNBQ2dBQ0FFQUVBZ1FDQUFrQUt3UUNBQUFBU0FRQUFEY0VBUUFCQm9BQUFBQUFBQUlJQUN3ZGNRRVkxYWNBQkFJUUFKSWpad0VZMWFjQUxCMXhBWmdwcndBakNBRUFBQUlIQWdBQUFBQUhEUUFCQUFBQUF3QmdBUEFBQUFCR0NRY05BQUVBQUFBREFHQUE4QUFBQUVZQUFBQUFCSUNCQndBQUFBSUlBQWV4WFFFN2NkRUFDZ0FDQUVFRUFnUUNBQWtBS3dRQ0FBQUFTQVFBQURjRUFRQUJCb0FBQUFBQUFBSUlBRHBrWWdIN3hzMEFCQUlRQUtCcVdBSDd4czBBT21SaUFYc2IxUUFqQ0FFQUFBSUhBZ0FBQUFBSERRQUJBQUFBQXdCZ0FQQUFBQUJHQ1FjTkFBRUFBQUFEQUdBQThBQUFBRVlBQUFBQUJJQ0NCd0FBQUFJSUFBZXhYUUU3Y2NBQUNnQUNBRUlFQWdRQ0FBa0FLd1FDQUFBQVNBUUFBRGNFQVFBQkJvQUFBQUFBQUFJSUFEcGtZZ0g3eHJ3QUJBSVFBS0JxV0FIN3hyd0FPbVJpQVhzYnhBQWpDQUVBQUFJSEFnQUFBQUFIRFFBQkFBQUFBd0JnQVBBQUFBQkdDUWNOQUFFQUFBQURBR0FBOEFBQUFFWUFBQUFBQklDREJ3QUFBQUlJQU9xaWd3RXNLczhBQ2dBQ0FFTUVBZ1FDQUFrQUt3UUNBQUFBU0FRQUFEY0VBUUFCQm9BQUFBQUFBQUlJQUIxV2lBSHNmOHNBQkFJUUFJTmNmZ0hzZjhzQUhWYUlBV3pVMGdBakNBRUFBQUlIQWdBQUFBQUhEUUFCQUFBQUF3QmdBUEFBQUFCR0NRY05BQUVBQUFBREFHQUE4QUFBQUVZQUFBQUFCSUNFQndBQUFBSUlBT3FpZ3dFc0t1QUFDZ0FDQUVRRUFnUUNBQWtBS3dRQ0FBQUFTQVFBQURjRUFRQUJCb0FBQUFBQUFBSUlBQjFXaUFIc2Y5d0FCQUlRQUlOY2ZnSHNmOXdBSFZhSUFXelU0d0FqQ0FFQUFBSUhBZ0FBQUFBSERRQUJBQUFBQXdCZ0FQQUFBQUJHQ1FjTkFBRUFBQUFEQUdBQThBQUFBRVlBQUFBQUJJQ0ZCd0FBQUFJSUFBZXhYUUVkNCs0QUNnQUNBRVVFQWdRQ0FBa0FLd1FDQUFBQVNBUUFBRGNFQVFBQkJvQUFBQUFBQUFJSUFEcGtZZ0hkT09zQUJBSVFBS0JxV0FIZE9Pc0FPbVJpQVYyTjhnQWpDQUVBQUFJSEFnQUFBQUFIRFFBQkFBQUFBd0JnQVBBQUFBQkdDUWNOQUFFQUFBQURBR0FBOEFBQUFFWUFBQUFBQklDR0J3QUFBQUlJQUFleFhRRWQ0OTBBQ2dBQ0FFWUVBZ1FDQUFrQUt3UUNBQUFBU0FRQUFEY0VBUUFCQm9BQUFBQUFBQUlJQURwa1lnSGRPTm9BQkFJUUFLQnFXQUhkT05vQU9tUmlBVjJONFFBakNBRUFBQUlIQWdBQUFBQUhEUUFCQUFBQUF3QmdBUEFBQUFCR0NRY05BQUVBQUFBREFHQUE4QUFBQUVZQUFBQUFCSUNIQndBQUFBSUlBT3FpZ3dFUG5Pd0FDZ0FDQUVjRUFnUUNBQWtBS3dRQ0FBQUFTQVFBQURjRUFRQUJCb0FBQUFBQUFBSUlBQjFXaUFIUDhlZ0FCQUlRQUlOY2ZnSFA4ZWdBSFZhSUFVOUc4QUFqQ0FFQUFBSUhBZ0FBQUFBSERRQUJBQUFBQXdCZ0FQQUFBQUJHQ1FjTkFBRUFBQUFEQUdBQThBQUFBRVlBQUFBQUJJQ0lCd0FBQUFJSUFPcWlnd0VQblAwQUNnQUNBRWdFQWdRQ0FBa0FLd1FDQUFBQVNBUUFBRGNFQVFBQkJvQUFBQUFBQUFJSUFCMVdpQUhQOGZrQUJBSVFBSU5jZmdIUDhma0FIVmFJQVU5R0FRRWpDQUVBQUFJSEFnQUFBQUFIRFFBQkFBQUFBd0JnQVBBQUFBQkdDUWNOQUFFQUFBQURBR0FBOEFBQUFFWUFBQUFBQklDSkJ3QUFBQUlJQUFleFhRRUFWUXdCQ2dBQ0FFa0VBZ1FDQUFrQUt3UUNBQUFBU0FRQUFEY0VBUUFCQm9BQUFBQUFBQUlJQURwa1lnSEFxZ2dCQkFJUUFLQnFXQUhBcWdnQk9tUmlBVUQvRHdFakNBRUFBQUlIQWdBQUFBQUhEUUFCQUFBQUF3QmdBUEFBQUFCR0NRY05BQUVBQUFBREFHQUE4QUFBQUVZQUFBQUFCSUNLQndBQUFBSUlBQWV4WFFFQVZmc0FDZ0FDQUVvRUFnUUNBQWtBS3dRQ0FBQUFTQVFBQURjRUFRQUJCb0FBQUFBQUFBSUlBRHBrWWdIQXF2Y0FCQUlRQUtCcVdBSEFxdmNBT21SaUFVRC8vZ0FqQ0FFQUFBSUhBZ0FBQUFBSERRQUJBQUFBQXdCZ0FQQUFBQUJHQ1FjTkFBRUFBQUFEQUdBQThBQUFBRVlBQUFBQUJJQ0xCd0FBQUFJSUFQbHBmUUhGdUQ0QkNnQUNBR0lFQWdRQ0FBY0FLd1FDQUFBQUlRUUJBUDlJQkFBQU53UUJBQUVHZ0FBQUFBQUFBZ2dBTEIyQ0FZVmpPZ0VFQWhBQWtpTjRBWVZqT2dFc0hZSUJSUTFHQVNNSUFRQUFBZ2NDQUFBQUJRY0JBQUVBQnc0QUFRQUFBQU1BWUFEd0FBQUFUaTBKQnc0QUFRQUFBQU1BWUFEd0FBQUFUaTBBQUFBQUJJQ01Cd0FBQUFJSUFQbnBkQUcyY1UwQkNnQUNBR01FQWdRQ0FCQUFLd1FDQUFBQVNBUUFBRGNFQVFBQkJvQUFBQUFBQUFJSUFDeWRlUUUyY1VrQkJBSVFBTVYyYndFMmNVa0Jrc041QVRaeVVRRWpDQUVBQUFJSEFnQUFBQUFIRFFBQkFBQUFBd0JnQVBBQUFBQlRDUWNOQUFFQUFBQURBR0FBOEFBQUFGTUFBQUFBQklDTkJ3QUFBQUlJQU9xaWd3RzI4VlVCQ2dBQ0FHUUVBZ1FDQUFnQUt3UUNBQUFBU0FRQUFEY0VBUUFCQm9BQUFBQUFBQUlJQUIxV2lBSDJSbEVCQkFJUUFMWXZmZ0gyUmxFQmczeUlBWGFjV2dFakNBRUFBQUlIQWdBQUFBQUhEUUFCQUFBQUF3QmdBUEFBQUFCUENRY05BQUVBQUFBREFHQUE4QUFBQUU4QUFBQUFCSUNPQndBQUFBSUlBQWN4WmdHMjhVUUJDZ0FDQUdVRUFnUUNBQWdBS3dRQ0FBQUFTQVFBQURjRUFRQUJCb0FBQUFBQUFBSUlBRHJrYWdIMlJrQUJCQUlRQU5POVlBSDJSa0FCb0FwckFYYWNTUUVqQ0FFQUFBSUhBZ0FBQUFBSERRQUJBQUFBQXdCZ0FQQUFBQUJQQ1FjTkFBRUFBQUFEQUdBQThBQUFBRThBQUFBQUJJQ1BCd0FBQUFJSUFQbHBiQUdvS2x3QkNnQUNBR1lFTndRQkFBRUFBQVNBa0FjQUFBQUNDQUQ1NlhRQm1lTnFBUW9BQWdCbkJEY0VBUUFCQUFBRWdKRUhBQUFBQWdnQStXbHNBWXFjZVFFS0FBSUFhQVEzQkFFQUFRQUFCSUNTQndBQUFBSUlBUG5wZEFGN1ZZZ0JDZ0FDQUdrRU53UUJBQUVBQUFTQWt3Y0FBQUFDQ0FENWFXd0JiUTZYQVFvQUFnQnFCRGNFQVFBQkFBQUVnSlFIQUFBQUFnZ0ErZWwwQVY3SHBRRUtBQUlBYXdRM0JBRUFBUUFBQklDVkJ3QUFBQUlJQVBscGJBRlBnTFFCQ2dBQ0FHd0VOd1FCQUFFQUFBU0FsZ2NBQUFBQ0NBRDU2WFFCUVRuREFRb0FBZ0J0QkRjRUFRQUJBQUFFZ0pjSEFBQUFBZ2dBK1dsc0FUTHkwUUVLQUFJQWJnUUNCQUlBQ1FBckJBSUFBQUJJQkFBQU53UUJBQUVHZ0FBQUFBQUFBZ2dBTEIxeEFmSkh6Z0VFQWhBQWtpTm5BZkpIemdFc0hYRUJjcHpWQVNNSUFRQUFBZ2NDQUFBQUFBY05BQUVBQUFBREFHQUE4QUFBQUVZSkJ3MEFBUUFBQUFNQVlBRHdBQUFBUmdBQUFBQUVnSmdIQUFBQUFnZ0ErZW1GQVVFNXd3RUtBQUlBYndRQ0JBSUFDUUFyQkFJQUFBQklCQUFBTndRQkFBRUdnQUFBQUFBQUFnZ0FMSjJLQVFHUHZ3RUVBaEFBa3FPQUFRR1B2d0VzbllvQmdlUEdBU01JQVFBQUFnY0NBQUFBQUFjTkFBRUFBQUFEQUdBQThBQUFBRVlKQncwQUFRQUFBQU1BWUFEd0FBQUFSZ0FBQUFBRWdKa0hBQUFBQWdnQStXbDlBVEx5MFFFS0FBSUFjQVFDQkFJQUNRQXJCQUlBQUFCSUJBQUFOd1FCQUFFR2dBQUFBQUFBQWdnQUxCMkNBZkpIemdFRUFoQUFraU40QWZKSHpnRXNIWUlCY3B6VkFTTUlBUUFBQWdjQ0FBQUFBQWNOQUFFQUFBQURBR0FBOEFBQUFFWUpCdzBBQVFBQUFBTUFZQUR3QUFBQVJnQUFBQUFFZ0pvSEFBQUFBZ2dBQjdGZEFVOEF2UUVLQUFJQWNRUUNCQUlBQ1FBckJBSUFBQUJJQkFBQU53UUJBQUVHZ0FBQUFBQUFBZ2dBT21SaUFROVd1UUVFQWhBQW9HcFlBUTlXdVFFNlpHSUJqNnJBQVNNSUFRQUFBZ2NDQUFBQUFBY05BQUVBQUFBREFHQUE4QUFBQUVZSkJ3MEFBUUFBQUFNQVlBRHdBQUFBUmdBQUFBQUVnSnNIQUFBQUFnZ0FCN0ZkQVU4QXJBRUtBQUlBY2dRQ0JBSUFDUUFyQkFJQUFBQklCQUFBTndRQkFBRUdnQUFBQUFBQUFnZ0FPbVJpQVE5V3FBRUVBaEFBb0dwWUFROVdxQUU2WkdJQmo2cXZBU01JQVFBQUFnY0NBQUFBQUFjTkFBRUFBQUFEQUdBQThBQUFBRVlKQncwQUFRQUFBQU1BWUFEd0FBQUFSZ0FBQUFBRWdKd0hBQUFBQWdnQTZxS0RBVjVIblFFS0FBSUFjd1FDQkFJQUNRQXJCQUlBQUFCSUJBQUFOd1FCQUFFR2dBQUFBQUFBQWdnQUhWYUlBUjZkbVFFRUFoQUFnMXgrQVI2ZG1RRWRWb2dCbnZHZ0FTTUlBUUFBQWdjQ0FBQUFBQWNOQUFFQUFBQURBR0FBOEFBQUFFWUpCdzBBQVFBQUFBTUFZQUR3QUFBQVJnQUFBQUFFZ0owSEFBQUFBZ2dBNnFLREFWNUhyZ0VLQUFJQWRBUUNCQUlBQ1FBckJBSUFBQUJJQkFBQU53UUJBQUVHZ0FBQUFBQUFBZ2dBSFZhSUFSNmRxZ0VFQWhBQWcxeCtBUjZkcWdFZFZvZ0Judkd4QVNNSUFRQUFBZ2NDQUFBQUFBY05BQUVBQUFBREFHQUE4QUFBQUVZSkJ3MEFBUUFBQUFNQVlBRHdBQUFBUmdBQUFBQUVnSjRIQUFBQUFnZ0FCN0ZkQVcyT253RUtBQUlBZFFRQ0JBSUFDUUFyQkFJQUFBQklCQUFBTndRQkFBRUdnQUFBQUFBQUFnZ0FPbVJpQVMza213RUVBaEFBb0dwWUFTM2ttd0U2WkdJQnJUaWpBU01JQVFBQUFnY0NBQUFBQUFjTkFBRUFBQUFEQUdBQThBQUFBRVlKQncwQUFRQUFBQU1BWUFEd0FBQUFSZ0FBQUFBRWdKOEhBQUFBQWdnQUI3RmRBVzJPamdFS0FBSUFkZ1FDQkFJQUNRQXJCQUlBQUFCSUJBQUFOd1FCQUFFR2dBQUFBQUFBQWdnQU9tUmlBUzNraWdFRUFoQUFvR3BZQVMza2lnRTZaR0lCclRpU0FTTUlBUUFBQWdjQ0FBQUFBQWNOQUFFQUFBQURBR0FBOEFBQUFFWUpCdzBBQVFBQUFBTUFZQUR3QUFBQVJnQUFBQUFFZ0tBSEFBQUFBZ2dBNnFLREFYdlZmd0VLQUFJQWR3UUNCQUlBQ1FBckJBSUFBQUJJQkFBQU53UUJBQUVHZ0FBQUFBQUFBZ2dBSFZhSUFUc3JmQUVFQWhBQWcxeCtBVHNyZkFFZFZvZ0J1MytEQVNNSUFRQUFBZ2NDQUFBQUFBY05BQUVBQUFBREFHQUE4QUFBQUVZSkJ3MEFBUUFBQUFNQVlBRHdBQUFBUmdBQUFBQUVnS0VIQUFBQUFnZ0E2cUtEQVh2VmtBRUtBQUlBZUFRQ0JBSUFDUUFyQkFJQUFBQklCQUFBTndRQkFBRUdnQUFBQUFBQUFnZ0FIVmFJQVRzcmpRRUVBaEFBZzF4K0FUc3JqUUVkVm9nQnUzK1VBU01JQVFBQUFnY0NBQUFBQUFjTkFBRUFBQUFEQUdBQThBQUFBRVlKQncwQUFRQUFBQU1BWUFEd0FBQUFSZ0FBQUFBRWdLSUhBQUFBQWdnQUI3RmRBWW9jZ2dFS0FBSUFlUVFDQkFJQUNRQXJCQUlBQUFCSUJBQUFOd1FCQUFFR2dBQUFBQUFBQWdnQU9tUmlBVXB5ZmdFRUFoQUFvR3BZQVVweWZnRTZaR0lCeXNhRkFTTUlBUUFBQWdjQ0FBQUFBQWNOQUFFQUFBQURBR0FBOEFBQUFFWUpCdzBBQVFBQUFBTUFZQUR3QUFBQVJnQUFBQUFFZ0tNSEFBQUFBZ2dBQjdGZEFZb2NjUUVLQUFJQWVnUUNCQUlBQ1FBckJBSUFBQUJJQkFBQU53UUJBQUVHZ0FBQUFBQUFBZ2dBT21SaUFVcHliUUVFQWhBQW9HcFlBVXB5YlFFNlpHSUJ5c1owQVNNSUFRQUFBZ2NDQUFBQUFBY05BQUVBQUFBREFHQUE4QUFBQUVZSkJ3MEFBUUFBQUFNQVlBRHdBQUFBUmdBQUFBQUZnS1FIQUFBS0FBSUFTd1FFQmdRQWN3Y0FBQVVHQkFCMEJ3QUFBQVlDQUFJQUNnWUJBQUVBQUFXQXBRY0FBQW9BQWdCTUJBUUdCQUJ6QndBQUJRWUVBSFVIQUFBQUJnSUFBZ0FLQmdFQUFRQUFCWUNtQndBQUNnQUNBRTBFQkFZRUFITUhBQUFGQmdRQWRnY0FBQW9HQVFBQkFBQUZnS2NIQUFBS0FBSUFUZ1FFQmdRQWRnY0FBQVVHQkFCM0J3QUFDZ1lCQUFFQUFBV0FxQWNBQUFvQUFnQlBCQVFHQkFCM0J3QUFCUVlFQUhnSEFBQUtCZ0VBQVFBQUJZQ3BCd0FBQ2dBQ0FGQUVCQVlFQUhnSEFBQUZCZ1FBZVFjQUFBb0dBUUFCQUFBRmdLb0hBQUFLQUFJQVVRUUVCZ1FBZVFjQUFBVUdCQUI2QndBQUNnWUJBQUVBQUFXQXF3Y0FBQW9BQWdCU0JBUUdCQUI2QndBQUJRWUVBSHNIQUFBS0JnRUFBUUFBQllDc0J3QUFDZ0FDQUZNRUJBWUVBSHNIQUFBRkJnUUFmQWNBQUFvR0FRQUJBQUFGZ0swSEFBQUtBQUlBVkFRRUJnUUFmQWNBQUFVR0JBQjlCd0FBQ2dZQkFBRUFBQVdBcmdjQUFBb0FBZ0JWQkFRR0JBQjlCd0FBQlFZRUFINEhBQUFLQmdFQUFRQUFCWUN2QndBQUNnQUNBRllFQkFZRUFIMEhBQUFGQmdRQWZ3Y0FBQW9HQVFBQkFBQUZnTEFIQUFBS0FBSUFWd1FFQmdRQWZRY0FBQVVHQkFDQUJ3QUFDZ1lCQUFFQUFBV0FzUWNBQUFvQUFnQllCQVFHQkFCOEJ3QUFCUVlFQUlFSEFBQUtCZ0VBQVFBQUJZQ3lCd0FBQ2dBQ0FGa0VCQVlFQUh3SEFBQUZCZ1FBZ2djQUFBb0dBUUFCQUFBRmdMTUhBQUFLQUFJQVdnUUVCZ1FBZXdjQUFBVUdCQUNEQndBQUNnWUJBQUVBQUFXQXRBY0FBQW9BQWdCYkJBUUdCQUI3QndBQUJRWUVBSVFIQUFBS0JnRUFBUUFBQllDMUJ3QUFDZ0FDQUZ3RUJBWUVBSG9IQUFBRkJnUUFoUWNBQUFvR0FRQUJBQUFGZ0xZSEFBQUtBQUlBWFFRRUJnUUFlZ2NBQUFVR0JBQ0dCd0FBQ2dZQkFBRUFBQVdBdHdjQUFBb0FBZ0JlQkFRR0JBQjVCd0FBQlFZRUFJY0hBQUFLQmdFQUFRQUFCWUM0QndBQUNnQUNBRjhFQkFZRUFIa0hBQUFGQmdRQWlBY0FBQW9HQVFBQkFBQUZnTGtIQUFBS0FBSUFZQVFFQmdRQWVBY0FBQVVHQkFDSkJ3QUFDZ1lCQUFFQUFBV0F1Z2NBQUFvQUFnQmhCQVFHQkFCNEJ3QUFCUVlFQUlvSEFBQUtCZ0VBQVFBQUJZQzdCd0FBQ2dBQ0FIc0VCQVlFQUlzSEFBQUZCZ1FBakFjQUFBb0dBUUFCQUFBRmdMd0hBQUFLQUFJQWZBUUVCZ1FBakFjQUFBVUdCQUNOQndBQUFBWUNBQUlBQ2dZQkFBRUFBQVdBdlFjQUFBb0FBZ0I5QkFRR0JBQ01Cd0FBQlFZRUFJNEhBQUFBQmdJQUFnQUtCZ0VBQVFBQUJZQytCd0FBQ2dBQ0FINEVCQVlFQUl3SEFBQUZCZ1FBandjQUFBb0dBUUFCQUFBRmdMOEhBQUFLQUFJQWZ3UUVCZ1FBandjQUFBVUdCQUNRQndBQUNnWUJBQUVBQUFXQXdBY0FBQW9BQWdDQUJBUUdCQUNRQndBQUJRWUVBSkVIQUFBS0JnRUFBUUFBQllEQkJ3QUFDZ0FDQUlFRUJBWUVBSkVIQUFBRkJnUUFrZ2NBQUFvR0FRQUJBQUFGZ01JSEFBQUtBQUlBZ2dRRUJnUUFrZ2NBQUFVR0JBQ1RCd0FBQ2dZQkFBRUFBQVdBd3djQUFBb0FBZ0NEQkFRR0JBQ1RCd0FBQlFZRUFKUUhBQUFLQmdFQUFRQUFCWURFQndBQUNnQUNBSVFFQkFZRUFKUUhBQUFGQmdRQWxRY0FBQW9HQVFBQkFBQUZnTVVIQUFBS0FBSUFoUVFFQmdRQWxRY0FBQVVHQkFDV0J3QUFDZ1lCQUFFQUFBV0F4Z2NBQUFvQUFnQ0dCQVFHQkFDV0J3QUFCUVlFQUpjSEFBQUtCZ0VBQVFBQUJZREhCd0FBQ2dBQ0FJY0VCQVlFQUpZSEFBQUZCZ1FBbUFjQUFBb0dBUUFCQUFBRmdNZ0hBQUFLQUFJQWlBUUVCZ1FBbGdjQUFBVUdCQUNaQndBQUNnWUJBQUVBQUFXQXlRY0FBQW9BQWdDSkJBUUdCQUNWQndBQUJRWUVBSm9IQUFBS0JnRUFBUUFBQllES0J3QUFDZ0FDQUlvRUJBWUVBSlVIQUFBRkJnUUFtd2NBQUFvR0FRQUJBQUFGZ01zSEFBQUtBQUlBaXdRRUJnUUFsQWNBQUFVR0JBQ2NCd0FBQ2dZQkFBRUFBQVdBekFjQUFBb0FBZ0NNQkFRR0JBQ1VCd0FBQlFZRUFKMEhBQUFLQmdFQUFRQUFCWUROQndBQUNnQUNBSTBFQkFZRUFKTUhBQUFGQmdRQW5nY0FBQW9HQVFBQkFBQUZnTTRIQUFBS0FBSUFqZ1FFQmdRQWt3Y0FBQVVHQkFDZkJ3QUFDZ1lCQUFFQUFBV0F6d2NBQUFvQUFnQ1BCQVFHQkFDU0J3QUFCUVlFQUtBSEFBQUtCZ0VBQVFBQUJZRFFCd0FBQ2dBQ0FKQUVCQVlFQUpJSEFBQUZCZ1FBb1FjQUFBb0dBUUFCQUFBRmdORUhBQUFLQUFJQWtRUUVCZ1FBa1FjQUFBVUdCQUNpQndBQUNnWUJBQUVBQUFXQTBnY0FBQW9BQWdDU0JBUUdCQUNSQndBQUJRWUVBS01IQUFBS0JnRUFBUUFBQllEVEJ3QUFDZ0FDQUpRRUJBWUVBSXNIQUFBRkJnUUFjd2NBQUFvR0FRQUJBQUFBQUFBQUFBQUFBQT09</t>
        </r>
      </text>
    </comment>
    <comment ref="D46" authorId="0" shapeId="0" xr:uid="{6A1FF84B-396D-4543-9276-FDBCF70B0088}">
      <text>
        <r>
          <rPr>
            <b/>
            <sz val="9"/>
            <color indexed="81"/>
            <rFont val="Tahoma"/>
            <family val="2"/>
          </rPr>
          <t>QzEwSDlGMTNOTzJTLXxQaWN0dXJlIDU5fFZtcERSREF4TURBRUF3SUJBQUFBQUFBQUFBQUFBQUNBQUFBQUFBTUFGZ0FBQUVOb1pXMUVjbUYzSURJeUxqSXVNQzR6TXpBd0NBQVRBQUFBVlc1MGFYUnNaV1FnUkc5amRXMWxiblFFQWhBQVU5QVNBY2lNY0FEZUltSUJOM09yQVFFSkNBQUFBQzBBQUFETkJRSUpDQUFBd0NFQUFNQzFBZzBJQVFBQkNBY0JBQUU2QkFFQUFUc0VBUUFBUlFRQkFBRThCQUVBQUVvRUFRQUFEQVlCQUFFUEJnRUFBUTBHQVFBQVFnUUJBQUJEQkFFQUFFUUVBUUFBRGdnQ0FOb1dDZ2dJQUFNQVlBRElBQU1BQ3dnSUFCUUFBQUR3QUFNQUNRZ0VBRE96QWdBSUNBUUFBQUFDQUFjSUJBQUFBQUVBQmdnRUFBQUFCQUFGQ0FRQUFBQWVBQVFJQWdCNEFBTUlCQUFBQUhnQUl3Z0JBQVVNQ0FFQUFDZ0lBUUFCS1FnQkFBRXFDQUVBQVRJSUFRQUFLd2dCQUNnc0NBRUFDZ0lJRUFBQUFDUUFBQUFrQUFBQUpBQUFBQ1FBQVFNQ0FBQUFBZ01DQUFFQUFBTXlBQWdBLy8vLy8vLy9BQUFBQUFBQS8vOEFBQUFBLy8vLy93QUFBQUQvL3dBQUFBRC8vLy8vQUFBQUFQLy8vLzhBQVAvL0FBRWtBQUFBQWdBREFPUUVCUUJCY21saGJCUUE1QVFQQUZScGJXVnpJRTVsZHlCU2IyMWhicl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R0lDQUFBRUFoQUFBQUFBQUFBQUFBQ2haS0lCRVpidkZSWUlCQUFBQUNRQUdBZ0VBQUFBSkFBWkNBQUFFQWdDQUFFQUR3Z0NBQUVBQTRBcUFnQUFCQUlRQUZQUUVnSElqSEFBM2lKaUFUZHpxd0VLQUFJQWJBSUVnQ3NDQUFBQUFnZ0FNazRtQVR4VGR3RUtBQUlBYlFJQ0JBSUFCd0FyQkFJQUFBQWhCQUVBLzBnRUFBQTNCQUVBQVFhQUFBQUFBQUFDQ0FDWU5Db0IzTFp6QVFRQ0VBQWczU0VCM0xaekFaZzBLZ0g4Ym4wQkl3Z0JBQUFDQndJQUFBQUZCd0VBQVFBSERnQUJBQUFBQXdCZ0FNZ0FBQUJPTFFrSERnQUJBQUFBQXdCZ0FNZ0FBQUJPTFFBQUFBQUVnQ3dDQUFBQUFnZ0F6RWMxQVQ5alhRRUtBQUlBYmdJQ0JBSUFFQUFyQkFJQUFBQklCQUFBTndRQkFBRUdnQUFBQUFBQUFnZ0FNaTQ1QVg4TldnRUVBaEFBM2Jnd0FYOE5XZ0hNUnprQi83aGdBU01JQVFBQUFnY0NBQUFBQUFjTkFBRUFBQUFEQUdBQXlBQUFBRk1KQncwQUFRQUFBQU1BWUFESUFBQUFVd0FBQUFBRWdDMENBQUFBQWdnQXlUZFBBZGxjYkFFS0FBSUFid0lDQkFJQUNBQXJCQUlBQUFCSUJBQUFOd1FCQUFFR2dBQUFBQUFBQWdnQUx4NVRBVGw1YUFFRUFoQUEycWhLQVRsNWFBSEpOMU1CZVVCd0FTTUlBUUFBQWdjQ0FBQUFBQWNOQUFFQUFBQURBR0FBeUFBQUFFOEpCdzBBQVFBQUFBTUFZQURJQUFBQVR3QUFBQUFFZ0M0Q0FBQUFBZ2dBemxjYkFhVnBUZ0VLQUFJQWNBSUNCQUlBQ0FBckJBSUFBQUJJQkFBQU53UUJBQUVHZ0FBQUFBQUFBZ2dBTkQ0ZkFRV0dTZ0VFQWhBQTM4Z1dBUVdHU2dIT1Z4OEJSVTFTQVNNSUFRQUFBZ2NDQUFBQUFBY05BQUVBQUFBREFHQUF5QUFBQUU4SkJ3MEFBUUFBQUFNQVlBRElBQUFBVHdBQUFBQUVnQzhDQUFBQUFnZ0FaVUZFQVVKelF3RUtBQUlBY1FJM0JBRUFBUUFBQklBd0FnQUFBQUlJQUdWQk5RRXZlQ2tCQ2dBQ0FISUNOd1FCQUFFQUFBU0FNUUlBQUFBQ0NBQmxRVVFCRzMwUEFRb0FBZ0J6QWpjRUFRQUJBQUFFZ0RJQ0FBQUFBZ2dBWlVFMUFRaUM5UUFLQUFJQWRBSTNCQUVBQVFBQUJJQXpBZ0FBQUFJSUFHVkJSQUgxaHRzQUNnQUNBSFVDTndRQkFBRUFBQVNBTkFJQUFBQUNDQUJsUVRVQjRvdkJBQW9BQWdCMkFqY0VBUUFCQUFBRWdEVUNBQUFBQWdnQVpVRkVBYytRcHdBS0FBSUFkd0kzQkFFQUFRQUFCSUEyQWdBQUFBSUlBR1ZCTlFHN2xZMEFDZ0FDQUhnQ053UUJBQUVBQUFTQU53SUFBQUFDQ0FCbFFSY0J1NVdOQUFvQUFnQjVBZ0lFQWdBSkFDc0VBZ0FBQUVnRUFBQTNCQUVBQVFhQUFBQUFBQUFDQ0FETEp4c0IyNGVLQUFRQ0VBQlQwQklCMjRlS0FNc25Hd0dibzVBQUl3Z0JBQUFDQndJQUFBQUFCdzBBQVFBQUFBTUFZQURJQUFBQVJna0hEUUFCQUFBQUF3QmdBTWdBQUFCR0FBQUFBQVNBT0FJQUFBQUNDQUJsUVNZQnFKcHpBQW9BQWdCNkFnSUVBZ0FKQUNzRUFnQUFBRWdFQUFBM0JBRUFBUWFBQUFBQUFBQUNDQURMSnlvQnlJeHdBQVFDRUFCVDBDRUJ5SXh3QU1zbktnR0lxSFlBSXdnQkFBQUNCd0lBQUFBQUJ3MEFBUUFBQUFNQVlBRElBQUFBUmdrSERRQUJBQUFBQXdCZ0FNZ0FBQUJHQUFBQUFBU0FPUUlBQUFBQ0NBQmxRVVFCcUpwekFBb0FBZ0I3QWdJRUFnQUpBQ3NFQWdBQUFFZ0VBQUEzQkFFQUFRYUFBQUFBQUFBQ0NBRExKMGdCeUl4d0FBUUNFQUJUMEQ4QnlJeHdBTXNuU0FHSXFIWUFJd2dCQUFBQ0J3SUFBQUFBQncwQUFRQUFBQU1BWUFESUFBQUFSZ2tIRFFBQkFBQUFBd0JnQU1nQUFBQkdBQUFBQUFTQU9nSUFBQUFDQ0FCNFBGNEJ6NUNZQUFvQUFnQjhBZ0lFQWdBSkFDc0VBZ0FBQUVnRUFBQTNCQUVBQVFhQUFBQUFBQUFDQ0FEZUltSUI3NEtWQUFRQ0VBQm15MWtCNzRLVkFONGlZZ0d2bnBzQUl3Z0JBQUFDQndJQUFBQUFCdzBBQVFBQUFBTUFZQURJQUFBQVJna0hEUUFCQUFBQUF3QmdBTWdBQUFCR0FBQUFBQVNBT3dJQUFBQUNDQUI0UEY0Qno1QzJBQW9BQWdCOUFnSUVBZ0FKQUNzRUFnQUFBRWdFQUFBM0JBRUFBUWFBQUFBQUFBQUNDQURlSW1JQjc0S3pBQVFDRUFCbXkxa0I3NEt6QU40aVlnR3ZucmtBSXdnQkFBQUNCd0lBQUFBQUJ3MEFBUUFBQUFNQVlBRElBQUFBUmdrSERRQUJBQUFBQXdCZ0FNZ0FBQUJHQUFBQUFBU0FQQUlBQUFBQ0NBQlNSaHNCNG92UUFBb0FBZ0IrQWdJRUFnQUpBQ3NFQWdBQUFFZ0VBQUEzQkFFQUFRYUFBQUFBQUFBQ0NBQzRMQjhCQW43TkFBUUNFQUJBMVJZQkFuN05BTGdzSHdIQ21kTUFJd2dCQUFBQ0J3SUFBQUFBQncwQUFRQUFBQU1BWUFESUFBQUFSZ2tIRFFBQkFBQUFBd0JnQU1nQUFBQkdBQUFBQUFTQVBRSUFBQUFDQ0FCU1Joc0I0b3V5QUFvQUFnQi9BZ0lFQWdBSkFDc0VBZ0FBQUVnRUFBQTNCQUVBQVFhQUFBQUFBQUFDQ0FDNExCOEJBbjZ2QUFRQ0VBQkExUllCQW42dkFMZ3NId0hDbWJVQUl3Z0JBQUFDQndJQUFBQUFCdzBBQVFBQUFBTUFZQURJQUFBQVJna0hEUUFCQUFBQUF3QmdBTWdBQUFCR0FBQUFBQVNBUGdJQUFBQUNDQUI0UEY0QjlZYk1BQW9BQWdDQUFnSUVBZ0FKQUNzRUFnQUFBRWdFQUFBM0JBRUFBUWFBQUFBQUFBQUNDQURlSW1JQkZYbkpBQVFDRUFCbXkxa0JGWG5KQU40aVlnSFZsTThBSXdnQkFBQUNCd0lBQUFBQUJ3MEFBUUFBQUFNQVlBRElBQUFBUmdrSERRQUJBQUFBQXdCZ0FNZ0FBQUJHQUFBQUFBU0FQd0lBQUFBQ0NBQjRQRjRCOVlicUFBb0FBZ0NCQWdJRUFnQUpBQ3NFQWdBQUFFZ0VBQUEzQkFFQUFRYUFBQUFBQUFBQ0NBRGVJbUlCRlhubkFBUUNFQUJteTFrQkZYbm5BTjRpWWdIVmxPMEFJd2dCQUFBQ0J3SUFBQUFBQncwQUFRQUFBQU1BWUFESUFBQUFSZ2tIRFFBQkFBQUFBd0JnQU1nQUFBQkdBQUFBQUFTQVFBSUFBQUFDQ0FCU1Joc0JDSUlFQVFvQUFnQ0NBZ0lFQWdBSkFDc0VBZ0FBQUVnRUFBQTNCQUVBQVFhQUFBQUFBQUFDQ0FDNExCOEJLSFFCQVFRQ0VBQkExUllCS0hRQkFiZ3NId0hvandjQkl3Z0JBQUFDQndJQUFBQUFCdzBBQVFBQUFBTUFZQURJQUFBQVJna0hEUUFCQUFBQUF3QmdBTWdBQUFCR0FBQUFBQVNBUVFJQUFBQUNDQUJTUmhzQkNJTG1BQW9BQWdDREFnSUVBZ0FKQUNzRUFnQUFBRWdFQUFBM0JBRUFBUWFBQUFBQUFBQUNDQUM0TEI4QktIVGpBQVFDRUFCQTFSWUJLSFRqQUxnc0h3SG9qK2tBSXdnQkFBQUNCd0lBQUFBQUJ3MEFBUUFBQUFNQVlBRElBQUFBUmdrSERRQUJBQUFBQXdCZ0FNZ0FBQUJHQUFBQUFBU0FRZ0lBQUFBQ0NBQjRQRjRCRzMwQUFRb0FBZ0NFQWdJRUFnQUpBQ3NFQWdBQUFFZ0VBQUEzQkFFQUFRYUFBQUFBQUFBQ0NBRGVJbUlCTzIvOUFBUUNFQUJteTFrQk8yLzlBTjRpWWdIN2lnTUJJd2dCQUFBQ0J3SUFBQUFBQncwQUFRQUFBQU1BWUFESUFBQUFSZ2tIRFFBQkFBQUFBd0JnQU1nQUFBQkdBQUFBQUFTQVF3SUFBQUFDQ0FCNFBGNEJHMzBlQVFvQUFnQ0ZBZ0lFQWdBSkFDc0VBZ0FBQUVnRUFBQTNCQUVBQVFhQUFBQUFBQUFDQ0FEZUltSUJPMjhiQVFRQ0VBQm15MWtCTzI4YkFkNGlZZ0g3aWlFQkl3Z0JBQUFDQndJQUFBQUFCdzBBQVFBQUFBTUFZQURJQUFBQVJna0hEUUFCQUFBQUF3QmdBTWdBQUFCR0FBQUFBQVNBUkFJQUFBQUNDQURNUnpVQk9rT1JBUW9BQWdDZkFqY0VBUUFCQUFBRWdFVUNBQUFBQWdnQU1rNG1BVGN6cXdFS0FBSUFvUUkzQkFFQUFRQUFCWUJHQWdBQUNnQUNBSVlDQkFZRUFDc0NBQUFGQmdRQUxBSUFBQW9HQVFBQkFBQUZnRWNDQUFBS0FBSUFod0lFQmdRQUxBSUFBQVVHQkFBdEFnQUFBQVlDQUFJQUNnWUJBQUVBQUFXQVNBSUFBQW9BQWdDSUFnUUdCQUFzQWdBQUJRWUVBQzRDQUFBQUJnSUFBZ0FLQmdFQUFRQUFCWUJKQWdBQUNnQUNBSWtDQkFZRUFDd0NBQUFGQmdRQUx3SUFBQW9HQVFBQkFBQUZnRW9DQUFBS0FBSUFpZ0lFQmdRQUx3SUFBQVVHQkFBd0FnQUFDZ1lCQUFFQUFBV0FTd0lBQUFvQUFnQ0xBZ1FHQkFBd0FnQUFCUVlFQURFQ0FBQUtCZ0VBQVFBQUJZQk1BZ0FBQ2dBQ0FJd0NCQVlFQURFQ0FBQUZCZ1FBTWdJQUFBb0dBUUFCQUFBRmdFMENBQUFLQUFJQWpRSUVCZ1FBTWdJQUFBVUdCQUF6QWdBQUNnWUJBQUVBQUFXQVRnSUFBQW9BQWdDT0FnUUdCQUF6QWdBQUJRWUVBRFFDQUFBS0JnRUFBUUFBQllCUEFnQUFDZ0FDQUk4Q0JBWUVBRFFDQUFBRkJnUUFOUUlBQUFvR0FRQUJBQUFGZ0ZBQ0FBQUtBQUlBa0FJRUJnUUFOUUlBQUFVR0JBQTJBZ0FBQ2dZQkFBRUFBQVdBVVFJQUFBb0FBZ0NSQWdRR0JBQTJBZ0FBQlFZRUFEY0NBQUFLQmdFQUFRQUFCWUJTQWdBQUNnQUNBSklDQkFZRUFEWUNBQUFGQmdRQU9BSUFBQW9HQVFBQkFBQUZnRk1DQUFBS0FBSUFrd0lFQmdRQU5nSUFBQVVHQkFBNUFnQUFDZ1lCQUFFQUFBV0FWQUlBQUFvQUFnQ1VBZ1FHQkFBMUFnQUFCUVlFQURvQ0FBQUtCZ0VBQVFBQUJZQlZBZ0FBQ2dBQ0FKVUNCQVlFQURVQ0FBQUZCZ1FBT3dJQUFBb0dBUUFCQUFBRmdGWUNBQUFLQUFJQWxnSUVCZ1FBTkFJQUFBVUdCQUE4QWdBQUNnWUJBQUVBQUFXQVZ3SUFBQW9BQWdDWEFnUUdCQUEwQWdBQUJRWUVBRDBDQUFBS0JnRUFBUUFBQllCWUFnQUFDZ0FDQUpnQ0JBWUVBRE1DQUFBRkJnUUFQZ0lBQUFvR0FRQUJBQUFGZ0ZrQ0FBQUtBQUlBbVFJRUJnUUFNd0lBQUFVR0JBQS9BZ0FBQ2dZQkFBRUFBQVdBV2dJQUFBb0FBZ0NhQWdRR0JBQXlBZ0FBQlFZRUFFQUNBQUFLQmdFQUFRQUFCWUJiQWdBQUNnQUNBSnNDQkFZRUFESUNBQUFGQmdRQVFRSUFBQW9HQVFBQkFBQUZnRndDQUFBS0FBSUFuQUlFQmdRQU1RSUFBQVVHQkFCQ0FnQUFDZ1lCQUFFQUFBV0FYUUlBQUFvQUFnQ2RBZ1FHQkFBeEFnQUFCUVlFQUVNQ0FBQUtCZ0VBQVFBQUJZQmVBZ0FBQ2dBQ0FLQUNCQVlFQUNzQ0FBQUZCZ1FBUkFJQUFBb0dBUUFCQUFBRmdGOENBQUFLQUFJQW9nSUVCZ1FBUkFJQUFBVUdCQUJGQWdBQUNnWUJBQUVBQUFBQUFBQUFBQUFB</t>
        </r>
      </text>
    </comment>
    <comment ref="D47" authorId="0" shapeId="0" xr:uid="{D4091B47-66E7-4D4F-BB6B-EA7B0EFAEF53}">
      <text>
        <r>
          <rPr>
            <b/>
            <sz val="9"/>
            <color indexed="81"/>
            <rFont val="Tahoma"/>
            <family val="2"/>
          </rPr>
          <t>QzEwSDdGMTNOTzNTLXxQaWN0dXJlIDYzfFZtcERSREF4TURBRUF3SUJBQUFBQUFBQUFBQUFBQUNBQUFBQUFBTUFGZ0FBQUVOb1pXMUVjbUYzSURJeUxqSXVNQzR6TXpBd0NBQVRBQUFBVlc1MGFYUnNaV1FnUkc5amRXMWxiblFFQWhBQVU5QVNBYUl3WWdEZUltSUJYYys1QVFFSkNBQUFBQzBBQUFETkJRSUpDQUFBd0NFQUFNQzFBZzBJQVFBQkNBY0JBQUU2QkFFQUFUc0VBUUFBUlFRQkFBRThCQUVBQUVvRUFRQUFEQVlCQUFFUEJnRUFBUTBHQVFBQVFnUUJBQUJEQkFFQUFFUUVBUUFBRGdnQ0FOb1dDZ2dJQUFNQVlBRElBQU1BQ3dnSUFCUUFBQUR3QUFNQUNRZ0VBRE96QWdBSUNBUUFBQUFDQUFjSUJBQUFBQUVBQmdnRUFBQUFCQUFGQ0FRQUFBQWVBQVFJQWdCNEFBTUlCQUFBQUhnQUl3Z0JBQVVNQ0FFQUFDZ0lBUUFCS1FnQkFBRXFDQUVBQVRJSUFRQUFLd2dCQUNnc0NBRUFDZ0lJRUFBQUFDUUFBQUFrQUFBQUpBQUFBQ1FBQVFNQ0FBQUFBZ01DQUFFQUFBTXlBQWdBLy8vLy8vLy9BQUFBQUFBQS8vOEFBQUFBLy8vLy93QUFBQUQvL3dBQUFBRC8vLy8vQUFBQUFQLy8vLzhBQVAvL0FBRWtBQUFBQWdBREFPUUVCUUJCY21saGJCUUE1QVFQQUZScGJXVnpJRTVsZHlCU2IyMWhicl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R29DQUFBRUFoQUFBQUFBQUFBQUFBQ2laS0lCUmxqckZSWUlCQUFBQUNRQUdBZ0VBQUFBSkFBWkNBQUFFQWdDQUFFQUR3Z0NBQUVBQTRBd0FnQUFCQUlRQUZQUUVnR2lNR0lBM2lKaUFWM1B1UUVLQUFJQWd3SUVnREVDQUFBQUFnZ0FNazRtQVJiM2FBRUtBQUlBaEFJQ0JBSUFCd0FyQkFJQUFBQWhCQUVBLzBnRUFBQTNCQUVBQVFhQUFBQUFBQUFDQ0FDWU5Db0J0bHBsQVFRQ0VBQWczU0VCdGxwbEFaZzBLZ0hXRW04Qkl3Z0JBQUFDQndJQUFBQUZCd0VBQVFBSERnQUJBQUFBQXdCZ0FNZ0FBQUJPTFFrSERnQUJBQUFBQXdCZ0FNZ0FBQUJPTFFBQUFBQUVnRElDQUFBQUFnZ0F6RWMxQVJrSFR3RUtBQUlBaFFJQ0JBSUFFQUFyQkFJQUFBQklCQUFBTndRQkFBRUdnQUFBQUFBQUFnZ0FNaTQ1QVZteFN3RUVBaEFBM2Jnd0FWbXhTd0hNUnprQjJWeFNBU01JQVFBQUFnY0NBQUFBQUFjTkFBRUFBQUFEQUdBQXlBQUFBRk1KQncwQUFRQUFBQU1BWUFESUFBQUFVd0FBQUFBRWdETUNBQUFBQWdnQXlUZFBBYk1BWGdFS0FBSUFoZ0lDQkFJQUNBQXJCQUlBQUFCSUJBQUFOd1FCQUFFR2dBQUFBQUFBQWdnQUx4NVRBUk1kV2dFRUFoQUEycWhLQVJNZFdnSEpOMU1CVStSaEFTTUlBUUFBQWdjQ0FBQUFBQWNOQUFFQUFBQURBR0FBeUFBQUFFOEpCdzBBQVFBQUFBTUFZQURJQUFBQVR3QUFBQUFFZ0RRQ0FBQUFBZ2dBemxjYkFYOE5RQUVLQUFJQWh3SUNCQUlBQ0FBckJBSUFBQUJJQkFBQU53UUJBQUVHZ0FBQUFBQUFBZ2dBTkQ0ZkFkOHBQQUVFQWhBQTM4Z1dBZDhwUEFIT1Z4OEJIL0ZEQVNNSUFRQUFBZ2NDQUFBQUFBY05BQUVBQUFBREFHQUF5QUFBQUU4SkJ3MEFBUUFBQUFNQVlBRElBQUFBVHdBQUFBQUVnRFVDQUFBQUFnZ0FaVUZFQVJ3WE5RRUtBQUlBaUFJM0JBRUFBUUFBQklBMkFnQUFBQUlJQUdWQk5RRUpIQnNCQ2dBQ0FJa0NOd1FCQUFFQUFBU0FOd0lBQUFBQ0NBQmxRVVFCOVNBQkFRb0FBZ0NLQWpjRUFRQUJBQUFFZ0RnQ0FBQUFBZ2dBWlVFMUFlSWw1d0FLQUFJQWl3STNCQUVBQVFBQUJJQTVBZ0FBQUFJSUFHVkJSQUhQS3MwQUNnQUNBSXdDTndRQkFBRUFBQVNBT2dJQUFBQUNDQUJsUVRVQnZDK3pBQW9BQWdDTkFqY0VBUUFCQUFBRWdEc0NBQUFBQWdnQVpVRkVBYWswbVFBS0FBSUFqZ0kzQkFFQUFRQUFCSUE4QWdBQUFBSUlBR1ZCTlFHVk9YOEFDZ0FDQUk4Q053UUJBQUVBQUFTQVBRSUFBQUFDQ0FCbFFSY0JsVGwvQUFvQUFnQ1FBZ0lFQWdBSkFDc0VBZ0FBQUVnRUFBQTNCQUVBQVFhQUFBQUFBQUFDQ0FETEp4c0J0U3Q4QUFRQ0VBQlQwQklCdFN0OEFNc25Hd0YxUjRJQUl3Z0JBQUFDQndJQUFBQUFCdzBBQVFBQUFBTUFZQURJQUFBQVJna0hEUUFCQUFBQUF3QmdBTWdBQUFCR0FBQUFBQVNBUGdJQUFBQUNDQUJsUVNZQmdqNWxBQW9BQWdDUkFnSUVBZ0FKQUNzRUFnQUFBRWdFQUFBM0JBRUFBUWFBQUFBQUFBQUNDQURMSnlvQm9qQmlBQVFDRUFCVDBDRUJvakJpQU1zbktnRmlUR2dBSXdnQkFBQUNCd0lBQUFBQUJ3MEFBUUFBQUFNQVlBRElBQUFBUmdrSERRQUJBQUFBQXdCZ0FNZ0FBQUJHQUFBQUFBU0FQd0lBQUFBQ0NBQmxRVVFCZ2o1bEFBb0FBZ0NTQWdJRUFnQUpBQ3NFQWdBQUFFZ0VBQUEzQkFFQUFRYUFBQUFBQUFBQ0NBRExKMGdCb2pCaUFBUUNFQUJUMEQ4Qm9qQmlBTXNuU0FGaVRHZ0FJd2dCQUFBQ0J3SUFBQUFBQncwQUFRQUFBQU1BWUFESUFBQUFSZ2tIRFFBQkFBQUFBd0JnQU1nQUFBQkdBQUFBQUFTQVFBSUFBQUFDQ0FCNFBGNEJxVFNLQUFvQUFnQ1RBZ0lFQWdBSkFDc0VBZ0FBQUVnRUFBQTNCQUVBQVFhQUFBQUFBQUFDQ0FEZUltSUJ5U2FIQUFRQ0VBQm15MWtCeVNhSEFONGlZZ0dKUW8wQUl3Z0JBQUFDQndJQUFBQUFCdzBBQVFBQUFBTUFZQURJQUFBQVJna0hEUUFCQUFBQUF3QmdBTWdBQUFCR0FBQUFBQVNBUVFJQUFBQUNDQUI0UEY0QnFUU29BQW9BQWdDVUFnSUVBZ0FKQUNzRUFnQUFBRWdFQUFBM0JBRUFBUWFBQUFBQUFBQUNDQURlSW1JQnlTYWxBQVFDRUFCbXkxa0J5U2FsQU40aVlnR0pRcXNBSXdnQkFBQUNCd0lBQUFBQUJ3MEFBUUFBQUFNQVlBRElBQUFBUmdrSERRQUJBQUFBQXdCZ0FNZ0FBQUJHQUFBQUFBU0FRZ0lBQUFBQ0NBQlNSaHNCdkMvQ0FBb0FBZ0NWQWdJRUFnQUpBQ3NFQWdBQUFFZ0VBQUEzQkFFQUFRYUFBQUFBQUFBQ0NBQzRMQjhCM0NHL0FBUUNFQUJBMVJZQjNDRy9BTGdzSHdHY1BjVUFJd2dCQUFBQ0J3SUFBQUFBQncwQUFRQUFBQU1BWUFESUFBQUFSZ2tIRFFBQkFBQUFBd0JnQU1nQUFBQkdBQUFBQUFTQVF3SUFBQUFDQ0FCU1Joc0J2QytrQUFvQUFnQ1dBZ0lFQWdBSkFDc0VBZ0FBQUVnRUFBQTNCQUVBQVFhQUFBQUFBQUFDQ0FDNExCOEIzQ0doQUFRQ0VBQkExUllCM0NHaEFMZ3NId0djUGFjQUl3Z0JBQUFDQndJQUFBQUFCdzBBQVFBQUFBTUFZQURJQUFBQVJna0hEUUFCQUFBQUF3QmdBTWdBQUFCR0FBQUFBQVNBUkFJQUFBQUNDQUI0UEY0Qnp5cStBQW9BQWdDWEFnSUVBZ0FKQUNzRUFnQUFBRWdFQUFBM0JBRUFBUWFBQUFBQUFBQUNDQURlSW1JQjd4eTdBQVFDRUFCbXkxa0I3eHk3QU40aVlnR3ZPTUVBSXdnQkFBQUNCd0lBQUFBQUJ3MEFBUUFBQUFNQVlBRElBQUFBUmdrSERRQUJBQUFBQXdCZ0FNZ0FBQUJHQUFBQUFBU0FSUUlBQUFBQ0NBQjRQRjRCenlyY0FBb0FBZ0NZQWdJRUFnQUpBQ3NFQWdBQUFFZ0VBQUEzQkFFQUFRYUFBQUFBQUFBQ0NBRGVJbUlCN3h6WkFBUUNFQUJteTFrQjd4elpBTjRpWWdHdk9OOEFJd2dCQUFBQ0J3SUFBQUFBQncwQUFRQUFBQU1BWUFESUFBQUFSZ2tIRFFBQkFBQUFBd0JnQU1nQUFBQkdBQUFBQUFTQVJnSUFBQUFDQ0FCU1Joc0I0aVgyQUFvQUFnQ1pBZ0lFQWdBSkFDc0VBZ0FBQUVnRUFBQTNCQUVBQVFhQUFBQUFBQUFDQ0FDNExCOEJBaGp6QUFRQ0VBQkExUllCQWhqekFMZ3NId0hDTS9rQUl3Z0JBQUFDQndJQUFBQUFCdzBBQVFBQUFBTUFZQURJQUFBQVJna0hEUUFCQUFBQUF3QmdBTWdBQUFCR0FBQUFBQVNBUndJQUFBQUNDQUJTUmhzQjRpWFlBQW9BQWdDYUFnSUVBZ0FKQUNzRUFnQUFBRWdFQUFBM0JBRUFBUWFBQUFBQUFBQUNDQUM0TEI4QkFoalZBQVFDRUFCQTFSWUJBaGpWQUxnc0h3SENNOXNBSXdnQkFBQUNCd0lBQUFBQUJ3MEFBUUFBQUFNQVlBRElBQUFBUmdrSERRQUJBQUFBQXdCZ0FNZ0FBQUJHQUFBQUFBU0FTQUlBQUFBQ0NBQjRQRjRCOVNEeUFBb0FBZ0NiQWdJRUFnQUpBQ3NFQWdBQUFFZ0VBQUEzQkFFQUFRYUFBQUFBQUFBQ0NBRGVJbUlCRlJQdkFBUUNFQUJteTFrQkZSUHZBTjRpWWdIVkx2VUFJd2dCQUFBQ0J3SUFBQUFBQncwQUFRQUFBQU1BWUFESUFBQUFSZ2tIRFFBQkFBQUFBd0JnQU1nQUFBQkdBQUFBQUFTQVNRSUFBQUFDQ0FCNFBGNEI5U0FRQVFvQUFnQ2NBZ0lFQWdBSkFDc0VBZ0FBQUVnRUFBQTNCQUVBQVFhQUFBQUFBQUFDQ0FEZUltSUJGUk1OQVFRQ0VBQm15MWtCRlJNTkFkNGlZZ0hWTGhNQkl3Z0JBQUFDQndJQUFBQUFCdzBBQVFBQUFBTUFZQURJQUFBQVJna0hEUUFCQUFBQUF3QmdBTWdBQUFCR0FBQUFBQVNBU2dJQUFBQUNDQURNUnpVQkZPZUNBUW9BQWdDMkFqY0VBUUFCQUFBRWdFc0NBQUFBQWdnQU1rNG1BUkhYbkFFS0FBSUF1QUkzQkFFQUFRQUFCSUJNQWdBQUFBSUlBREpPTlFFazByWUJDZ0FDQUxvQ0FnUUNBQWdBS3dRQ0FBQUFTQVFBQURjRUFRQUJCb0FBQUFBQUFBSUlBS2pET2dFZENMSUJCQUlRQUZOT01nRWRDTElCUXQwNkFWM1B1UUVqQ0FFQUFBSUhBZ0FBQUFVSEFRQUZBQWNOQUFFQUFBQURBR0FBeUFBQUFFOEpCdzBBQVFBQUFBTUFZQURJQUFBQVR3QUFBQUFGZ0UwQ0FBQUtBQUlBblFJRUJnUUFNUUlBQUFVR0JBQXlBZ0FBQ2dZQkFBRUFBQVdBVGdJQUFBb0FBZ0NlQWdRR0JBQXlBZ0FBQlFZRUFETUNBQUFBQmdJQUFnQUtCZ0VBQVFBQUJZQlBBZ0FBQ2dBQ0FKOENCQVlFQURJQ0FBQUZCZ1FBTkFJQUFBQUdBZ0FDQUFvR0FRQUJBQUFGZ0ZBQ0FBQUtBQUlBb0FJRUJnUUFNZ0lBQUFVR0JBQTFBZ0FBQ2dZQkFBRUFBQVdBVVFJQUFBb0FBZ0NoQWdRR0JBQTFBZ0FBQlFZRUFEWUNBQUFLQmdFQUFRQUFCWUJTQWdBQUNnQUNBS0lDQkFZRUFEWUNBQUFGQmdRQU53SUFBQW9HQVFBQkFBQUZnRk1DQUFBS0FBSUFvd0lFQmdRQU53SUFBQVVHQkFBNEFnQUFDZ1lCQUFFQUFBV0FWQUlBQUFvQUFnQ2tBZ1FHQkFBNEFnQUFCUVlFQURrQ0FBQUtCZ0VBQVFBQUJZQlZBZ0FBQ2dBQ0FLVUNCQVlFQURrQ0FBQUZCZ1FBT2dJQUFBb0dBUUFCQUFBRmdGWUNBQUFLQUFJQXBnSUVCZ1FBT2dJQUFBVUdCQUE3QWdBQUNnWUJBQUVBQUFXQVZ3SUFBQW9BQWdDbkFnUUdCQUE3QWdBQUJRWUVBRHdDQUFBS0JnRUFBUUFBQllCWUFnQUFDZ0FDQUtnQ0JBWUVBRHdDQUFBRkJnUUFQUUlBQUFvR0FRQUJBQUFGZ0ZrQ0FBQUtBQUlBcVFJRUJnUUFQQUlBQUFVR0JBQStBZ0FBQ2dZQkFBRUFBQVdBV2dJQUFBb0FBZ0NxQWdRR0JBQThBZ0FBQlFZRUFEOENBQUFLQmdFQUFRQUFCWUJiQWdBQUNnQUNBS3NDQkFZRUFEc0NBQUFGQmdRQVFBSUFBQW9HQVFBQkFBQUZnRndDQUFBS0FBSUFyQUlFQmdRQU93SUFBQVVHQkFCQkFnQUFDZ1lCQUFFQUFBV0FYUUlBQUFvQUFnQ3RBZ1FHQkFBNkFnQUFCUVlFQUVJQ0FBQUtCZ0VBQVFBQUJZQmVBZ0FBQ2dBQ0FLNENCQVlFQURvQ0FBQUZCZ1FBUXdJQUFBb0dBUUFCQUFBRmdGOENBQUFLQUFJQXJ3SUVCZ1FBT1FJQUFBVUdCQUJFQWdBQUNnWUJBQUVBQUFXQVlBSUFBQW9BQWdDd0FnUUdCQUE1QWdBQUJRWUVBRVVDQUFBS0JnRUFBUUFBQllCaEFnQUFDZ0FDQUxFQ0JBWUVBRGdDQUFBRkJnUUFSZ0lBQUFvR0FRQUJBQUFGZ0dJQ0FBQUtBQUlBc2dJRUJnUUFPQUlBQUFVR0JBQkhBZ0FBQ2dZQkFBRUFBQVdBWXdJQUFBb0FBZ0N6QWdRR0JBQTNBZ0FBQlFZRUFFZ0NBQUFLQmdFQUFRQUFCWUJrQWdBQUNnQUNBTFFDQkFZRUFEY0NBQUFGQmdRQVNRSUFBQW9HQVFBQkFBQUZnR1VDQUFBS0FBSUF0d0lFQmdRQU1RSUFBQVVHQkFCS0FnQUFDZ1lCQUFFQUFBV0FaZ0lBQUFvQUFnQzVBZ1FHQkFCS0FnQUFCUVlFQUVzQ0FBQUtCZ0VBQVFBQUJZQm5BZ0FBQ2dBQ0FMc0NCQVlFQUVzQ0FBQUZCZ1FBVEFJQUFBQUdBZ0FDQUFNR0FnQUNBQW9HQVFBQkFBQUFBQUFBQUFBQUFBPT0=</t>
        </r>
      </text>
    </comment>
    <comment ref="D48" authorId="0" shapeId="0" xr:uid="{8F921F15-54A2-4F15-ADE4-1BBCF16B18D3}">
      <text>
        <r>
          <rPr>
            <b/>
            <sz val="9"/>
            <color indexed="81"/>
            <rFont val="Tahoma"/>
            <family val="2"/>
          </rPr>
          <t>QzEwSDlGMTNOTzNTLXxQaWN0dXJlIDY3fFZtcERSREF4TURBRUF3SUJBQUFBQUFBQUFBQUFBQUNBQUFBQUFBTUFGZ0FBQUVOb1pXMUVjbUYzSURJeUxqSXVNQzR6TXpBd0NBQVRBQUFBVlc1MGFYUnNaV1FnUkc5amRXMWxiblFFQWhBQVU5QVNBUThoWGdEZUltSUI4ZDY5QVFFSkNBQUFBQzBBQUFETkJRSUpDQUFBd0NFQUFNQzFBZzBJQVFBQkNBY0JBQUU2QkFFQUFUc0VBUUFBUlFRQkFBRThCQUVBQUVvRUFRQUFEQVlCQUFFUEJnRUFBUTBHQVFBQVFnUUJBQUJEQkFFQUFFUUVBUUFBRGdnQ0FOb1dDZ2dJQUFNQVlBRElBQU1BQ3dnSUFCUUFBQUR3QUFNQUNRZ0VBRE96QWdBSUNBUUFBQUFDQUFjSUJBQUFBQUVBQmdnRUFBQUFCQUFGQ0FRQUFBQWVBQVFJQWdCNEFBTUlCQUFBQUhnQUl3Z0JBQVVNQ0FFQUFDZ0lBUUFCS1FnQkFBRXFDQUVBQVRJSUFRQUFLd2dCQUNnc0NBRUFDZ0lJRUFBQUFDUUFBQUFrQUFBQUpBQUFBQ1FBQVFNQ0FBQUFBZ01DQUFFQUFBTXlBQWdBLy8vLy8vLy9BQUFBQUFBQS8vOEFBQUFBLy8vLy93QUFBQUQvL3dBQUFBRC8vLy8vQUFBQUFQLy8vLzhBQVAvL0FBRWtBQUFBQWdBREFPUUVCUUJCY21saGJCUUE1QVFQQUZScGJXVnpJRTVsZHlCU2IyMWhicl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QTRDQUFBRUFoQUFBQUFBQUFBQUFBQ2laS0lCUmxqckZSWUlCQUFBQUNRQUdBZ0VBQUFBSkFBWkNBQUFFQWdDQUFFQUR3Z0NBQUVBQTREVUFRQUFCQUlRQUZQUUVnRVBJVjRBM2lKaUFmSGV2UUVLQUFJQVRRSUVnTlVCQUFBQUFnZ0FNazRtQVlQblpBRUtBQUlBVGdJQ0JBSUFCd0FyQkFJQUFBQWhCQUVBLzBnRUFBQTNCQUVBQVFhQUFBQUFBQUFDQ0FDWU5Db0JJMHRoQVFRQ0VBQWczU0VCSTB0aEFaZzBLZ0ZEQTJzQkl3Z0JBQUFDQndJQUFBQUZCd0VBQVFBSERnQUJBQUFBQXdCZ0FNZ0FBQUJPTFFrSERnQUJBQUFBQXdCZ0FNZ0FBQUJPTFFBQUFBQUVnTllCQUFBQUFnZ0F6RWMxQVliM1NnRUtBQUlBVHdJQ0JBSUFFQUFyQkFJQUFBQklCQUFBTndRQkFBRUdnQUFBQUFBQUFnZ0FNaTQ1QWNhaFJ3RUVBaEFBM2Jnd0FjYWhSd0hNUnprQlJrMU9BU01JQVFBQUFnY0NBQUFBQUFjTkFBRUFBQUFEQUdBQXlBQUFBRk1KQncwQUFRQUFBQU1BWUFESUFBQUFVd0FBQUFBRWdOY0JBQUFBQWdnQXlUZFBBU0R4V1FFS0FBSUFVQUlDQkFJQUNBQXJCQUlBQUFCSUJBQUFOd1FCQUFFR2dBQUFBQUFBQWdnQUx4NVRBWUFOVmdFRUFoQUEycWhLQVlBTlZnSEpOMU1Cd05SZEFTTUlBUUFBQWdjQ0FBQUFBQWNOQUFFQUFBQURBR0FBeUFBQUFFOEpCdzBBQVFBQUFBTUFZQURJQUFBQVR3QUFBQUFFZ05nQkFBQUFBZ2dBemxjYkFlejlPd0VLQUFJQVVRSUNCQUlBQ0FBckJBSUFBQUJJQkFBQU53UUJBQUVHZ0FBQUFBQUFBZ2dBTkQ0ZkFVd2FPQUVFQWhBQTM4Z1dBVXdhT0FIT1Z4OEJqT0UvQVNNSUFRQUFBZ2NDQUFBQUFBY05BQUVBQUFBREFHQUF5QUFBQUU4SkJ3MEFBUUFBQUFNQVlBRElBQUFBVHdBQUFBQUVnTmtCQUFBQUFnZ0FaVUZFQVlrSE1RRUtBQUlBVWdJM0JBRUFBUUFBQklEYUFRQUFBQUlJQUdWQk5RRjJEQmNCQ2dBQ0FGTUNOd1FCQUFFQUFBU0Eyd0VBQUFBQ0NBQmxRVVFCWWhIOUFBb0FBZ0JVQWpjRUFRQUJBQUFFZ053QkFBQUFBZ2dBWlVFMUFVOFc0d0FLQUFJQVZRSTNCQUVBQVFBQUJJRGRBUUFBQUFJSUFHVkJSQUU4RzhrQUNnQUNBRllDTndRQkFBRUFBQVNBM2dFQUFBQUNDQUJsUVRVQktTQ3ZBQW9BQWdCWEFqY0VBUUFCQUFBRWdOOEJBQUFBQWdnQVpVRkVBUllsbFFBS0FBSUFXQUkzQkFFQUFRQUFCSURnQVFBQUFBSUlBR1ZCTlFFQ0tuc0FDZ0FDQUZrQ053UUJBQUVBQUFTQTRRRUFBQUFDQ0FCbFFSY0JBaXA3QUFvQUFnQmFBZ0lFQWdBSkFDc0VBZ0FBQUVnRUFBQTNCQUVBQVFhQUFBQUFBQUFDQ0FETEp4c0JJaHg0QUFRQ0VBQlQwQklCSWh4NEFNc25Hd0hpTjM0QUl3Z0JBQUFDQndJQUFBQUFCdzBBQVFBQUFBTUFZQURJQUFBQVJna0hEUUFCQUFBQUF3QmdBTWdBQUFCR0FBQUFBQVNBNGdFQUFBQUNDQUJsUVNZQjd5NWhBQW9BQWdCYkFnSUVBZ0FKQUNzRUFnQUFBRWdFQUFBM0JBRUFBUWFBQUFBQUFBQUNDQURMSnlvQkR5RmVBQVFDRUFCVDBDRUJEeUZlQU1zbktnSFBQR1FBSXdnQkFBQUNCd0lBQUFBQUJ3MEFBUUFBQUFNQVlBRElBQUFBUmdrSERRQUJBQUFBQXdCZ0FNZ0FBQUJHQUFBQUFBU0E0d0VBQUFBQ0NBQmxRVVFCN3k1aEFBb0FBZ0JjQWdJRUFnQUpBQ3NFQWdBQUFFZ0VBQUEzQkFFQUFRYUFBQUFBQUFBQ0NBRExKMGdCRHlGZUFBUUNFQUJUMEQ4QkR5RmVBTXNuU0FIUFBHUUFJd2dCQUFBQ0J3SUFBQUFBQncwQUFRQUFBQU1BWUFESUFBQUFSZ2tIRFFBQkFBQUFBd0JnQU1nQUFBQkdBQUFBQUFTQTVBRUFBQUFDQ0FCNFBGNEJGaVdHQUFvQUFnQmRBZ0lFQWdBSkFDc0VBZ0FBQUVnRUFBQTNCQUVBQVFhQUFBQUFBQUFDQ0FEZUltSUJOaGVEQUFRQ0VBQm15MWtCTmhlREFONGlZZ0gyTW9rQUl3Z0JBQUFDQndJQUFBQUFCdzBBQVFBQUFBTUFZQURJQUFBQVJna0hEUUFCQUFBQUF3QmdBTWdBQUFCR0FBQUFBQVNBNVFFQUFBQUNDQUI0UEY0QkZpV2tBQW9BQWdCZUFnSUVBZ0FKQUNzRUFnQUFBRWdFQUFBM0JBRUFBUWFBQUFBQUFBQUNDQURlSW1JQk5oZWhBQVFDRUFCbXkxa0JOaGVoQU40aVlnSDJNcWNBSXdnQkFBQUNCd0lBQUFBQUJ3MEFBUUFBQUFNQVlBRElBQUFBUmdrSERRQUJBQUFBQXdCZ0FNZ0FBQUJHQUFBQUFBU0E1Z0VBQUFBQ0NBQlNSaHNCS1NDK0FBb0FBZ0JmQWdJRUFnQUpBQ3NFQWdBQUFFZ0VBQUEzQkFFQUFRYUFBQUFBQUFBQ0NBQzRMQjhCU1JLN0FBUUNFQUJBMVJZQlNSSzdBTGdzSHdFSkxzRUFJd2dCQUFBQ0J3SUFBQUFBQncwQUFRQUFBQU1BWUFESUFBQUFSZ2tIRFFBQkFBQUFBd0JnQU1nQUFBQkdBQUFBQUFTQTV3RUFBQUFDQ0FCU1Joc0JLU0NnQUFvQUFnQmdBZ0lFQWdBSkFDc0VBZ0FBQUVnRUFBQTNCQUVBQVFhQUFBQUFBQUFDQ0FDNExCOEJTUktkQUFRQ0VBQkExUllCU1JLZEFMZ3NId0VKTHFNQUl3Z0JBQUFDQndJQUFBQUFCdzBBQVFBQUFBTUFZQURJQUFBQVJna0hEUUFCQUFBQUF3QmdBTWdBQUFCR0FBQUFBQVNBNkFFQUFBQUNDQUI0UEY0QlBCdTZBQW9BQWdCaEFnSUVBZ0FKQUNzRUFnQUFBRWdFQUFBM0JBRUFBUWFBQUFBQUFBQUNDQURlSW1JQlhBMjNBQVFDRUFCbXkxa0JYQTIzQU40aVlnRWNLYjBBSXdnQkFBQUNCd0lBQUFBQUJ3MEFBUUFBQUFNQVlBRElBQUFBUmdrSERRQUJBQUFBQXdCZ0FNZ0FBQUJHQUFBQUFBU0E2UUVBQUFBQ0NBQjRQRjRCUEJ2WUFBb0FBZ0JpQWdJRUFnQUpBQ3NFQWdBQUFFZ0VBQUEzQkFFQUFRYUFBQUFBQUFBQ0NBRGVJbUlCWEEzVkFBUUNFQUJteTFrQlhBM1ZBTjRpWWdFY0tkc0FJd2dCQUFBQ0J3SUFBQUFBQncwQUFRQUFBQU1BWUFESUFBQUFSZ2tIRFFBQkFBQUFBd0JnQU1nQUFBQkdBQUFBQUFTQTZnRUFBQUFDQ0FCU1Joc0JUeGJ5QUFvQUFnQmpBZ0lFQWdBSkFDc0VBZ0FBQUVnRUFBQTNCQUVBQVFhQUFBQUFBQUFDQ0FDNExCOEJid2p2QUFRQ0VBQkExUllCYndqdkFMZ3NId0V2SlBVQUl3Z0JBQUFDQndJQUFBQUFCdzBBQVFBQUFBTUFZQURJQUFBQVJna0hEUUFCQUFBQUF3QmdBTWdBQUFCR0FBQUFBQVNBNndFQUFBQUNDQUJTUmhzQlR4YlVBQW9BQWdCa0FnSUVBZ0FKQUNzRUFnQUFBRWdFQUFBM0JBRUFBUWFBQUFBQUFBQUNDQUM0TEI4QmJ3alJBQVFDRUFCQTFSWUJid2pSQUxnc0h3RXZKTmNBSXdnQkFBQUNCd0lBQUFBQUJ3MEFBUUFBQUFNQVlBRElBQUFBUmdrSERRQUJBQUFBQXdCZ0FNZ0FBQUJHQUFBQUFBU0E3QUVBQUFBQ0NBQjRQRjRCWWhIdUFBb0FBZ0JsQWdJRUFnQUpBQ3NFQWdBQUFFZ0VBQUEzQkFFQUFRYUFBQUFBQUFBQ0NBRGVJbUlCZ2dQckFBUUNFQUJteTFrQmdnUHJBTjRpWWdGQ0gvRUFJd2dCQUFBQ0J3SUFBQUFBQncwQUFRQUFBQU1BWUFESUFBQUFSZ2tIRFFBQkFBQUFBd0JnQU1nQUFBQkdBQUFBQUFTQTdRRUFBQUFDQ0FCNFBGNEJZaEVNQVFvQUFnQm1BZ0lFQWdBSkFDc0VBZ0FBQUVnRUFBQTNCQUVBQVFhQUFBQUFBQUFDQ0FEZUltSUJnZ01KQVFRQ0VBQm15MWtCZ2dNSkFkNGlZZ0ZDSHc4Qkl3Z0JBQUFDQndJQUFBQUFCdzBBQVFBQUFBTUFZQURJQUFBQVJna0hEUUFCQUFBQUF3QmdBTWdBQUFCR0FBQUFBQVNBN2dFQUFBQUNDQURNUnpVQmdkZCtBUW9BQWdDQUFqY0VBUUFCQUFBRWdPOEJBQUFBQWdnQU1rNG1BWDdIbUFFS0FBSUFnZ0kzQkFFQUFRQUFCSUR3QVFBQUFBSUlBREpPTlFHUndySUJDZ0FDQUlRQ0FnUUNBQWdBS3dRQ0FBRUFTQVFBQURjRUFRQUJCb0FBQUFBQUFBSUlBSmcwT1FIeDNxNEJCQUlRQUVPL01BSHgzcTRCTWs0NUFmSGV2UUVqQ0FFQUFBSUhBZ0FBQUFVSEFRQUJBQWNPQUFFQUFBQURBR0FBeUFBQUFFOUlDUWNPQUFFQUFBQURBR0FBeUFBQUFFOUlBQUFBQUFXQThRRUFBQW9BQWdCbkFnUUdCQURWQVFBQUJRWUVBTllCQUFBS0JnRUFBUUFBQllEeUFRQUFDZ0FDQUdnQ0JBWUVBTllCQUFBRkJnUUExd0VBQUFBR0FnQUNBQW9HQVFBQkFBQUZnUE1CQUFBS0FBSUFhUUlFQmdRQTFnRUFBQVVHQkFEWUFRQUFBQVlDQUFJQUNnWUJBQUVBQUFXQTlBRUFBQW9BQWdCcUFnUUdCQURXQVFBQUJRWUVBTmtCQUFBS0JnRUFBUUFBQllEMUFRQUFDZ0FDQUdzQ0JBWUVBTmtCQUFBRkJnUUEyZ0VBQUFvR0FRQUJBQUFGZ1BZQkFBQUtBQUlBYkFJRUJnUUEyZ0VBQUFVR0JBRGJBUUFBQ2dZQkFBRUFBQVdBOXdFQUFBb0FBZ0J0QWdRR0JBRGJBUUFBQlFZRUFOd0JBQUFLQmdFQUFRQUFCWUQ0QVFBQUNnQUNBRzRDQkFZRUFOd0JBQUFGQmdRQTNRRUFBQW9HQVFBQkFBQUZnUGtCQUFBS0FBSUFid0lFQmdRQTNRRUFBQVVHQkFEZUFRQUFDZ1lCQUFFQUFBV0ErZ0VBQUFvQUFnQndBZ1FHQkFEZUFRQUFCUVlFQU44QkFBQUtCZ0VBQVFBQUJZRDdBUUFBQ2dBQ0FIRUNCQVlFQU44QkFBQUZCZ1FBNEFFQUFBb0dBUUFCQUFBRmdQd0JBQUFLQUFJQWNnSUVCZ1FBNEFFQUFBVUdCQURoQVFBQUNnWUJBQUVBQUFXQS9RRUFBQW9BQWdCekFnUUdCQURnQVFBQUJRWUVBT0lCQUFBS0JnRUFBUUFBQllEK0FRQUFDZ0FDQUhRQ0JBWUVBT0FCQUFBRkJnUUE0d0VBQUFvR0FRQUJBQUFGZ1A4QkFBQUtBQUlBZFFJRUJnUUEzd0VBQUFVR0JBRGtBUUFBQ2dZQkFBRUFBQVdBQUFJQUFBb0FBZ0IyQWdRR0JBRGZBUUFBQlFZRUFPVUJBQUFLQmdFQUFRQUFCWUFCQWdBQUNnQUNBSGNDQkFZRUFONEJBQUFGQmdRQTVnRUFBQW9HQVFBQkFBQUZnQUlDQUFBS0FBSUFlQUlFQmdRQTNnRUFBQVVHQkFEbkFRQUFDZ1lCQUFFQUFBV0FBd0lBQUFvQUFnQjVBZ1FHQkFEZEFRQUFCUVlFQU9nQkFBQUtCZ0VBQVFBQUJZQUVBZ0FBQ2dBQ0FIb0NCQVlFQU4wQkFBQUZCZ1FBNlFFQUFBb0dBUUFCQUFBRmdBVUNBQUFLQUFJQWV3SUVCZ1FBM0FFQUFBVUdCQURxQVFBQUNnWUJBQUVBQUFXQUJnSUFBQW9BQWdCOEFnUUdCQURjQVFBQUJRWUVBT3NCQUFBS0JnRUFBUUFBQllBSEFnQUFDZ0FDQUgwQ0JBWUVBTnNCQUFBRkJnUUE3QUVBQUFvR0FRQUJBQUFGZ0FnQ0FBQUtBQUlBZmdJRUJnUUEyd0VBQUFVR0JBRHRBUUFBQ2dZQkFBRUFBQVdBQ1FJQUFBb0FBZ0NCQWdRR0JBRFZBUUFBQlFZRUFPNEJBQUFLQmdFQUFRQUFCWUFLQWdBQUNnQUNBSU1DQkFZRUFPNEJBQUFGQmdRQTd3RUFBQW9HQVFBQkFBQUZnQXNDQUFBS0FBSUFoUUlFQmdRQTd3RUFBQVVHQkFEd0FRQUFDZ1lCQUFFQUFBQUFBQUFBQUFBQQ==</t>
        </r>
      </text>
    </comment>
    <comment ref="D49" authorId="0" shapeId="0" xr:uid="{98A20CC6-A449-4FE9-AA36-0764045862E1}">
      <text>
        <r>
          <rPr>
            <sz val="9"/>
            <color indexed="81"/>
            <rFont val="Tahoma"/>
            <family val="2"/>
          </rPr>
          <t>QzEySDE2RjEzTjJPMlMrfFBpY3R1cmUgNnxWbXBEUkRBeE1EQUVBd0lCQUFBQUFBQUFBQUFBQUFDQUFBQUFBQU1BRmdBQUFFTm9aVzFFY21GM0lESXlMakl1TUM0ek16QXdDQUFUQUFBQVZXNTBhWFJzWldRZ1JHOWpkVzFsYm5RRUFoQUEvdm9SQVovaFNBQ3M3MklCLzNIU0FRRUpDQUFBQUMwQUFBQXRBQUlKQ0FBQXdDRUFBTUMxQWcwSUFRQUJDQWNCQUFFNkJBRUFBVHNFQVFBQVJRUUJBQUU4QkFFQUFFb0VBUUFBREFZQkFBRVBCZ0VBQVEwR0FRQUFRZ1FCQUFCREJBRUFBRVFFQVFBQURnZ0NBRVlXQ2dnSUFBTUFZQUR3QUFNQUN3Z0lBQU1BQUFEd0FBTUFDUWdFQUFDYUFnQUlDQVFBQUFBQ0FBY0lCQUFBd0FBQUJnZ0VBQUNhQWdBRkNBUUFBQUFSQUFRSUFnQzBBQU1JQkFBQUFIZ0FJd2dCQUFVTUNBRUFBQ2dJQVFBQktRZ0JBQUVxQ0FFQUFUSUlBUUFBS3dnQkFDZ3NDQUVBQ2dJSUVBQUFBQ1FBQUFBa0FBQUFKQUFBQUNRQUFRTUNBQUFBQWdNQ0FBRUFBQU15QUFnQS8vLy8vLy8vQUFBQUFBQUEvLzhBQUFBQS8vLy8vd0FBQUFELy93QUFBQUQvLy8vL0FBQUFBUC8vLy84QUFQLy9BQUVQQUFBQUFRQURBT1FFQlFCQmNtbGhiTF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Sm9DQUFBRUFoQUFBQUFBQUFBQUFBQkxrcUlCMGRBZUZoWUlCQUFBQUNRQUdBZ0VBQUFBSkFBWkNBQUFFQWdDQUFNQUR3Z0NBQUVBQTRCY0FnQUFCQUlRQVA3NkVRR2Y0VWdBck85aUFmOXgwZ0VLQUFJQXNnSUVnRjBDQUFBQUFnZ0FlVHhBQWZLR1pnQUtBQUlBc1FJM0JBRUFBUUFBQklCZUFnQUFBQUlJQUhrOE1RRUdnb0FBQ2dBQ0FMTUNOd1FCQUFFQUFBU0FYd0lBQUFBQ0NBQjVQRUFCR1gyYUFBb0FBZ0MxQWpjRUFRQUJBQUFFZ0dBQ0FBQUFBZ2dBZVR3eEFTeDR0QUFLQUFJQXR3STNCQUVBQVFBQUJJQmhBZ0FBQUFJSUFIazhRQUUvYzg0QUNnQUNBTGtDTndRQkFBRUFBQVNBWWdJQUFBQUNDQUI1UERFQlUyN29BQW9BQWdDN0FqY0VBUUFCQUFBRWdHTUNBQUFBQWdnQWVUeEFBV1pwQWdFS0FBSUF2UUkzQkFFQUFRQUFCSUJrQWdBQUFBSUlBSGs4TVFGNVpCd0JDZ0FDQUw4Q053UUJBQUVBQUFTQVpRSUFBQUFDQ0FCNVBFQUJqRjgyQVFvQUFnREJBZ0lFQWdBUUFDc0VBZ0FBQUVnRUFBQTNCQUVBQVFhQUFBQUFBQUFDQ0FDczcwUUJERjh5QVFRQ0VBQkZ5VG9CREY4eUFSSVdSUUVNWURvQkl3Z0JBQUFDQndJQUFBQUZCd0VBQVFBSERRQUJBQUFBQXdCZ0FQQUFBQUJUQ1FjTkFBRUFBQUFEQUdBQThBQUFBRk1BQUFBQUJJQm1BZ0FBQUFJSUFHVkJKZ0dNWDBVQkNnQUNBTU1DQWdRQ0FBZ0FLd1FDQUFBQVNBUUFBRGNFQVFBQkJvQUFBQUFBQUFJSUFKajBLZ0hNdEVBQkJBSVFBREhPSUFITXRFQUIvaG9yQVV3S1NnRWpDQUVBQUFJSEFnQUFBQUFIRFFBQkFBQUFBd0JnQVBBQUFBQlBDUWNOQUFFQUFBQURBR0FBOEFBQUFFOEFBQUFBQklCbkFnQUFBQUlJQUl3M1dnR01YeWNCQ2dBQ0FNVUNBZ1FDQUFnQUt3UUNBQUFBU0FRQUFEY0VBUUFCQm9BQUFBQUFBQUlJQUwvcVhnSE10Q0lCQkFJUUFGakVWQUhNdENJQkpSRmZBVXdLTEFFakNBRUFBQUlIQWdBQUFBQUhEUUFCQUFBQUF3QmdBUEFBQUFCUENRY05BQUVBQUFBREFHQUE4QUFBQUU4QUFBQUFCSUJvQWdBQUFBSUlBSGs4VHdHZldsQUJDZ0FDQU1jQ0FnUUNBQWNBS3dRQ0FBSUFJUVFCQUFGSUJBQUFOd1FCQUFFR2dBQUFBQUFBQWdnQXJPOVRBVjhGVEFFRUFoQUFFdlpKQVY4RlRBRm55MkVCdi9KZUFTTUlBUUFBQWdjQ0FBQUFCUWNCQUFVRUJ3WUFBZ0FDQUFVQUFBY1FBQUVBQUFBREFHQUE4QUFBQUU1SU1pc0pCeEFBQVFBQUFBTUFZQUR3QUFBQVRrZ3lLd0FBQUFBRWdHa0NBQUFBQWdnQWVUeEFBYk5WYWdFS0FBSUF5UUkzQkFFQUFRQUFCSUJxQWdBQUFBSUlBSGs4VHdIR1VJUUJDZ0FDQU1zQ053UUJBQUVBQUFTQWF3SUFBQUFDQ0FCNVBFQUIyVXVlQVFvQUFnRE5BamNFQVFBQkFBQUVnR3dDQUFBQUFnZ0FlVHhQQWV4R3VBRUtBQUlBendJQ0JBSUFCd0FyQkFJQUFRQklCQUFBTndRQkFBRUdnQUFBQUFBQUFnZ0FyTzlUQWF6eHN3RUVBaEFBRXZaSkFhenhzd0ZGNlYwQkxKeThBU01JQVFBQUFnY0NBQUFBQlFjQkFBVUVCd1lBQWdBQ0FBTUFBQWNPQUFFQUFBQURBR0FBOEFBQUFFNUlDUWNPQUFFQUFBQURBR0FBOEFBQUFFNUlBQUFBQUFTQWJRSUFBQUFDQ0FCNVBFQUJBRUxTQVFvQUFnRFJBamNFQVFBQkFBQUVnRzRDQUFBQUFnZ0FlVHhQQWQrTFRBQUtBQUlBMHdJQ0JBSUFDUUFyQkFJQUFBQklCQUFBTndRQkFBRUdnQUFBQUFBQUFnZ0FyTzlUQVovaFNBQUVBaEFBRXZaSkFaL2hTQUNzNzFNQkh6WlFBQ01JQVFBQUFnY0NBQUFBQUFjTkFBRUFBQUFEQUdBQThBQUFBRVlKQncwQUFRQUFBQU1BWUFEd0FBQUFSZ0FBQUFBRWdHOENBQUFBQWdnQWVUeGVBZktHWmdBS0FBSUExUUlDQkFJQUNRQXJCQUlBQUFCSUJBQUFOd1FCQUFFR2dBQUFBQUFBQWdnQXJPOWlBYkxjWWdBRUFoQUFFdlpZQWJMY1lnQ3M3MklCTWpGcUFDTUlBUUFBQWdjQ0FBQUFBQWNOQUFFQUFBQURBR0FBOEFBQUFFWUpCdzBBQVFBQUFBTUFZQUR3QUFBQVJnQUFBQUFFZ0hBQ0FBQUFBZ2dBZVR3eEFkK0xUQUFLQUFJQTF3SUNCQUlBQ1FBckJBSUFBQUJJQkFBQU53UUJBQUVHZ0FBQUFBQUFBZ2dBck84MUFaL2hTQUFFQWhBQUV2WXJBWi9oU0FDczd6VUJIelpRQUNNSUFRQUFBZ2NDQUFBQUFBY05BQUVBQUFBREFHQUE4QUFBQUVZSkJ3MEFBUUFBQUFNQVlBRHdBQUFBUmdBQUFBQUVnSEVDQUFBQUFnZ0FaVUVYQVFhQ2NRQUtBQUlBMlFJQ0JBSUFDUUFyQkFJQUFBQklCQUFBTndRQkFBRUdnQUFBQUFBQUFnZ0FtUFFiQWNiWGJRQUVBaEFBL3ZvUkFjYlhiUUNZOUJzQlJpeDFBQ01JQVFBQUFnY0NBQUFBQUFjTkFBRUFBQUFEQUdBQThBQUFBRVlKQncwQUFRQUFBQU1BWUFEd0FBQUFSZ0FBQUFBRWdISUNBQUFBQWdnQVpVRVhBUWFDandBS0FBSUEyd0lDQkFJQUNRQXJCQUlBQUFCSUJBQUFOd1FCQUFFR2dBQUFBQUFBQWdnQW1QUWJBY2JYaXdBRUFoQUEvdm9SQWNiWGl3Q1k5QnNCUml5VEFDTUlBUUFBQWdjQ0FBQUFBQWNOQUFFQUFBQURBR0FBOEFBQUFFWUpCdzBBQVFBQUFBTUFZQUR3QUFBQVJnQUFBQUFFZ0hNQ0FBQUFBZ2dBakRkYUFSbDlpd0FLQUFJQTNRSUNCQUlBQ1FBckJBSUFBQUJJQkFBQU53UUJBQUVHZ0FBQUFBQUFBZ2dBditwZUFkblNod0FFQWhBQUpmRlVBZG5TaHdDLzZsNEJXU2VQQUNNSUFRQUFBZ2NDQUFBQUFBY05BQUVBQUFBREFHQUE4QUFBQUVZSkJ3MEFBUUFBQUFNQVlBRHdBQUFBUmdBQUFBQUVnSFFDQUFBQUFnZ0FqRGRhQVJsOXFRQUtBQUlBM3dJQ0JBSUFDUUFyQkFJQUFBQklCQUFBTndRQkFBRUdnQUFBQUFBQUFnZ0F2K3BlQWRuU3BRQUVBaEFBSmZGVUFkblNwUUMvNmw0QldTZXRBQ01JQVFBQUFnY0NBQUFBQUFjTkFBRUFBQUFEQUdBQThBQUFBRVlKQncwQUFRQUFBQU1BWUFEd0FBQUFSZ0FBQUFBRWdIVUNBQUFBQWdnQVpVRVhBU3g0cFFBS0FBSUE0UUlDQkFJQUNRQXJCQUlBQUFCSUJBQUFOd1FCQUFFR2dBQUFBQUFBQWdnQW1QUWJBZXpOb1FBRUFoQUEvdm9SQWV6Tm9RQ1k5QnNCYkNLcEFDTUlBUUFBQWdjQ0FBQUFBQWNOQUFFQUFBQURBR0FBOEFBQUFFWUpCdzBBQVFBQUFBTUFZQUR3QUFBQVJnQUFBQUFFZ0hZQ0FBQUFBZ2dBWlVFWEFTeDR3d0FLQUFJQTR3SUNCQUlBQ1FBckJBSUFBQUJJQkFBQU53UUJBQUVHZ0FBQUFBQUFBZ2dBbVBRYkFlek52d0FFQWhBQS92b1JBZXpOdndDWTlCc0JiQ0xIQUNNSUFRQUFBZ2NDQUFBQUFBY05BQUVBQUFBREFHQUE4QUFBQUVZSkJ3MEFBUUFBQUFNQVlBRHdBQUFBUmdBQUFBQUVnSGNDQUFBQUFnZ0FqRGRhQVQ5enZ3QUtBQUlBNVFJQ0JBSUFDUUFyQkFJQUFBQklCQUFBTndRQkFBRUdnQUFBQUFBQUFnZ0F2K3BlQWYvSXV3QUVBaEFBSmZGVUFmL0l1d0MvNmw0QmZ4M0RBQ01JQVFBQUFnY0NBQUFBQUFjTkFBRUFBQUFEQUdBQThBQUFBRVlKQncwQUFRQUFBQU1BWUFEd0FBQUFSZ0FBQUFBRWdIZ0NBQUFBQWdnQWpEZGFBVDl6M1FBS0FBSUE1d0lDQkFJQUNRQXJCQUlBQUFCSUJBQUFOd1FCQUFFR2dBQUFBQUFBQWdnQXYrcGVBZi9JMlFBRUFoQUFKZkZVQWYvSTJRQy82bDRCZngzaEFDTUlBUUFBQWdjQ0FBQUFBQWNOQUFFQUFBQURBR0FBOEFBQUFFWUpCdzBBQVFBQUFBTUFZQUR3QUFBQVJnQUFBQUFFZ0hrQ0FBQUFBZ2dBWlVFWEFWTnUyUUFLQUFJQTZRSUNCQUlBQ1FBckJBSUFBQUJJQkFBQU53UUJBQUVHZ0FBQUFBQUFBZ2dBbVBRYkFSUEUxUUFFQWhBQS92b1JBUlBFMVFDWTlCc0JreGpkQUNNSUFRQUFBZ2NDQUFBQUFBY05BQUVBQUFBREFHQUE4QUFBQUVZSkJ3MEFBUUFBQUFNQVlBRHdBQUFBUmdBQUFBQUVnSG9DQUFBQUFnZ0FaVUVYQVZOdTl3QUtBQUlBNndJQ0JBSUFDUUFyQkFJQUFBQklCQUFBTndRQkFBRUdnQUFBQUFBQUFnZ0FtUFFiQVJQRTh3QUVBaEFBL3ZvUkFSUEU4d0NZOUJzQmt4ajdBQ01JQVFBQUFnY0NBQUFBQUFjTkFBRUFBQUFEQUdBQThBQUFBRVlKQncwQUFRQUFBQU1BWUFEd0FBQUFSZ0FBQUFBRmdIc0NBQUFLQUFJQXRBSUVCZ1FBWFFJQUFBVUdCQUJlQWdBQUNnWUJBQUVBQUFXQWZBSUFBQW9BQWdDMkFnUUdCQUJlQWdBQUJRWUVBRjhDQUFBS0JnRUFBUUFBQllCOUFnQUFDZ0FDQUxnQ0JBWUVBRjhDQUFBRkJnUUFZQUlBQUFvR0FRQUJBQUFGZ0g0Q0FBQUtBQUlBdWdJRUJnUUFZQUlBQUFVR0JBQmhBZ0FBQ2dZQkFBRUFBQVdBZndJQUFBb0FBZ0M4QWdRR0JBQmhBZ0FBQlFZRUFHSUNBQUFLQmdFQUFRQUFCWUNBQWdBQUNnQUNBTDRDQkFZRUFHSUNBQUFGQmdRQVl3SUFBQW9HQVFBQkFBQUZnSUVDQUFBS0FBSUF3QUlFQmdRQVl3SUFBQVVHQkFCa0FnQUFDZ1lCQUFFQUFBV0FnZ0lBQUFvQUFnRENBZ1FHQkFCa0FnQUFCUVlFQUdVQ0FBQUtCZ0VBQVFBQUJZQ0RBZ0FBQ2dBQ0FNUUNCQVlFQUdVQ0FBQUZCZ1FBWmdJQUFBQUdBZ0FDQUFvR0FRQUJBQUFGZ0lRQ0FBQUtBQUlBeGdJRUJnUUFaUUlBQUFVR0JBQm5BZ0FBQUFZQ0FBSUFDZ1lCQUFFQUFBV0FoUUlBQUFvQUFnRElBZ1FHQkFCbEFnQUFCUVlFQUdnQ0FBQUtCZ0VBQVFBQUJZQ0dBZ0FBQ2dBQ0FNb0NCQVlFQUdnQ0FBQUZCZ1FBYVFJQUFBb0dBUUFCQUFBRmdJY0NBQUFLQUFJQXpBSUVCZ1FBYVFJQUFBVUdCQUJxQWdBQUNnWUJBQUVBQUFXQWlBSUFBQW9BQWdET0FnUUdCQUJxQWdBQUJRWUVBR3NDQUFBS0JnRUFBUUFBQllDSkFnQUFDZ0FDQU5BQ0JBWUVBR3NDQUFBRkJnUUFiQUlBQUFvR0FRQUJBQUFGZ0lvQ0FBQUtBQUlBMGdJRUJnUUFiQUlBQUFVR0JBQnRBZ0FBQ2dZQkFBRUFBQVdBaXdJQUFBb0FBZ0RVQWdRR0JBQmRBZ0FBQlFZRUFHNENBQUFLQmdFQUFRQUFCWUNNQWdBQUNnQUNBTllDQkFZRUFGMENBQUFGQmdRQWJ3SUFBQW9HQVFBQkFBQUZnSTBDQUFBS0FBSUEyQUlFQmdRQVhRSUFBQVVHQkFCd0FnQUFDZ1lCQUFFQUFBV0FqZ0lBQUFvQUFnRGFBZ1FHQkFCZUFnQUFCUVlFQUhFQ0FBQUtCZ0VBQVFBQUJZQ1BBZ0FBQ2dBQ0FOd0NCQVlFQUY0Q0FBQUZCZ1FBY2dJQUFBb0dBUUFCQUFBRmdKQUNBQUFLQUFJQTNnSUVCZ1FBWHdJQUFBVUdCQUJ6QWdBQUNnWUJBQUVBQUFXQWtRSUFBQW9BQWdEZ0FnUUdCQUJmQWdBQUJRWUVBSFFDQUFBS0JnRUFBUUFBQllDU0FnQUFDZ0FDQU9JQ0JBWUVBR0FDQUFBRkJnUUFkUUlBQUFvR0FRQUJBQUFGZ0pNQ0FBQUtBQUlBNUFJRUJnUUFZQUlBQUFVR0JBQjJBZ0FBQ2dZQkFBRUFBQVdBbEFJQUFBb0FBZ0RtQWdRR0JBQmhBZ0FBQlFZRUFIY0NBQUFLQmdFQUFRQUFCWUNWQWdBQUNnQUNBT2dDQkFZRUFHRUNBQUFGQmdRQWVBSUFBQW9HQVFBQkFBQUZnSllDQUFBS0FBSUE2Z0lFQmdRQVlnSUFBQVVHQkFCNUFnQUFDZ1lCQUFFQUFBV0Fsd0lBQUFvQUFnRHNBZ1FHQkFCaUFnQUFCUVlFQUhvQ0FBQUtCZ0VBQVFBQUFBQUFBQUFBQUFBPQ==</t>
        </r>
      </text>
    </comment>
    <comment ref="D50" authorId="0" shapeId="0" xr:uid="{491F2081-6B79-4CF2-AF53-3817F4F09353}">
      <text>
        <r>
          <rPr>
            <sz val="9"/>
            <color indexed="81"/>
            <rFont val="Tahoma"/>
            <family val="2"/>
          </rPr>
          <t>QzEySDE0RjEzTjJPMlMtfFBpY3R1cmUgNjR8Vm1wRFJEQXhNREFFQXdJQkFBQUFBQUFBQUFBQUFBQ0FBQUFBQUFNQUZnQUFBRU5vWlcxRWNtRjNJREl5TGpJdU1DNHpNekF3Q0FBVEFBQUFWVzUwYVhSc1pXUWdSRzlqZFcxbGJuUUVBaEFBL3ZvUkFaL2hTQUNzNzJJQi8zSFNBUUVKQ0FBQWdFQUFBSUJBQUFJSkNBQUF3Q0VBQU1DMUFnMElBUUFCQ0FjQkFBRTZCQUVBQVRzRUFRQUFSUVFCQUFFOEJBRUFBRW9FQVFBQURBWUJBQUVQQmdFQUFRMEdBUUFBUWdRQkFBQkRCQUVBQUVRRUFRQUFEZ2dDQVBZV0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tjQ0FBQUVBaEFBQUFBQUFBQUFBQUErZjZJQkRod0xGaFlJQkFBQUFDUUFHQWdFQUFBQUpBQVpDQUFBRUFnQ0FBRUFEd2dDQUFFQUE0QnBBZ0FBQkFJUUFQNzZFUUdmNFVnQXJPOWlBZjl4MGdFS0FBSUFzZ0lFZ0dvQ0FBQUFBZ2dBZVR4QUFmS0daZ0FLQUFJQXNRSTNCQUVBQVFBQUJJQnJBZ0FBQUFJSUFIazhNUUVHZ29BQUNnQUNBTE1DTndRQkFBRUFBQVNBYkFJQUFBQUNDQUI1UEVBQkdYMmFBQW9BQWdDMUFqY0VBUUFCQUFBRWdHMENBQUFBQWdnQWVUd3hBU3g0dEFBS0FBSUF0d0kzQkFFQUFRQUFCSUJ1QWdBQUFBSUlBSGs4UUFFL2M4NEFDZ0FDQUxrQ053UUJBQUVBQUFTQWJ3SUFBQUFDQ0FCNVBERUJVMjdvQUFvQUFnQzdBamNFQVFBQkFBQUVnSEFDQUFBQUFnZ0FlVHhBQVdacEFnRUtBQUlBdlFJM0JBRUFBUUFBQklCeEFnQUFBQUlJQUhrOE1RRjVaQndCQ2dBQ0FMOENOd1FCQUFFQUFBU0FjZ0lBQUFBQ0NBQjVQRUFCakY4MkFRb0FBZ0RCQWdJRUFnQVFBQ3NFQWdBQUFFZ0VBQUEzQkFFQUFRYUFBQUFBQUFBQ0NBQ3M3MFFCREY4eUFRUUNFQUJGeVRvQkRGOHlBUklXUlFFTVlEb0JJd2dCQUFBQ0J3SUFBQUFGQndFQUFRQUhEUUFCQUFBQUF3QmdBUEFBQUFCVENRY05BQUVBQUFBREFHQUE4QUFBQUZNQUFBQUFCSUJ6QWdBQUFBSUlBR1ZCSmdHTVgwVUJDZ0FDQU1NQ0FnUUNBQWdBS3dRQ0FBQUFTQVFBQURjRUFRQUJCb0FBQUFBQUFBSUlBSmowS2dITXRFQUJCQUlRQURIT0lBSE10RUFCL2hvckFVd0tTZ0VqQ0FFQUFBSUhBZ0FBQUFBSERRQUJBQUFBQXdCZ0FQQUFBQUJQQ1FjTkFBRUFBQUFEQUdBQThBQUFBRThBQUFBQUJJQjBBZ0FBQUFJSUFJdzNXZ0dNWHljQkNnQUNBTVVDQWdRQ0FBZ0FLd1FDQUFBQVNBUUFBRGNFQVFBQkJvQUFBQUFBQUFJSUFML3FYZ0hNdENJQkJBSVFBRmpFVkFITXRDSUJKUkZmQVV3S0xBRWpDQUVBQUFJSEFnQUFBQUFIRFFBQkFBQUFBd0JnQVBBQUFBQlBDUWNOQUFFQUFBQURBR0FBOEFBQUFFOEFBQUFBQklCMUFnQUFBQUlJQUhrOFR3R2ZXbEFCQ2dBQ0FNY0NBZ1FDQUFjQUt3UUNBQUVBU0FRQUFEY0VBUUFCQm9BQUFBQUFBQUlJQUt6dlV3RmZCVXdCQkFJUUFCTDJTUUZmQlV3QlJlbGRBZCt2VkFFakNBRUFBQUlIQWdBQUFBVUhBUUFGQkFjR0FBSUFBZ0FEQUFBSERnQUJBQUFBQXdCZ0FQQUFBQUJPU0FrSERnQUJBQUFBQXdCZ0FQQUFBQUJPU0FBQUFBQUVnSFlDQUFBQUFnZ0FlVHhBQWJOVmFnRUtBQUlBeVFJM0JBRUFBUUFBQklCM0FnQUFBQUlJQUhrOFR3SEdVSVFCQ2dBQ0FNc0NOd1FCQUFFQUFBU0FlQUlBQUFBQ0NBQjVQRUFCMlV1ZUFRb0FBZ0ROQWpjRUFRQUJBQUFFZ0hrQ0FBQUFBZ2dBZVR4UEFleEd1QUVLQUFJQXp3SUNCQUlBQndBckJBSUFBQUFoQkFFQS8wZ0VBQUEzQkFFQUFRYUFBQUFBQUFBQ0NBQ3M3MU1CclBHekFRUUNFQUFTOWtrQnJQR3pBYXp2VXdGc203OEJJd2dCQUFBQ0J3SUFBQUFGQndFQUFRQUhEZ0FCQUFBQUF3QmdBUEFBQUFCT0xRa0hEZ0FCQUFBQUF3QmdBUEFBQUFCT0xRQUFBQUFFZ0hvQ0FBQUFBZ2dBZVR4QUFRQkMwZ0VLQUFJQTBRSTNCQUVBQVFBQUJJQjdBZ0FBQUFJSUFIazhUd0hmaTB3QUNnQUNBTk1DQWdRQ0FBa0FLd1FDQUFBQVNBUUFBRGNFQVFBQkJvQUFBQUFBQUFJSUFLenZVd0dmNFVnQUJBSVFBQkwyU1FHZjRVZ0FyTzlUQVI4MlVBQWpDQUVBQUFJSEFnQUFBQUFIRFFBQkFBQUFBd0JnQVBBQUFBQkdDUWNOQUFFQUFBQURBR0FBOEFBQUFFWUFBQUFBQklCOEFnQUFBQUlJQUhrOFhnSHlobVlBQ2dBQ0FOVUNBZ1FDQUFrQUt3UUNBQUFBU0FRQUFEY0VBUUFCQm9BQUFBQUFBQUlJQUt6dllnR3kzR0lBQkFJUUFCTDJXQUd5M0dJQXJPOWlBVEl4YWdBakNBRUFBQUlIQWdBQUFBQUhEUUFCQUFBQUF3QmdBUEFBQUFCR0NRY05BQUVBQUFBREFHQUE4QUFBQUVZQUFBQUFCSUI5QWdBQUFBSUlBSGs4TVFIZmkwd0FDZ0FDQU5jQ0FnUUNBQWtBS3dRQ0FBQUFTQVFBQURjRUFRQUJCb0FBQUFBQUFBSUlBS3p2TlFHZjRVZ0FCQUlRQUJMMkt3R2Y0VWdBck84MUFSODJVQUFqQ0FFQUFBSUhBZ0FBQUFBSERRQUJBQUFBQXdCZ0FQQUFBQUJHQ1FjTkFBRUFBQUFEQUdBQThBQUFBRVlBQUFBQUJJQitBZ0FBQUFJSUFHVkJGd0VHZ25FQUNnQUNBTmtDQWdRQ0FBa0FLd1FDQUFBQVNBUUFBRGNFQVFBQkJvQUFBQUFBQUFJSUFKajBHd0hHMTIwQUJBSVFBUDc2RVFIRzEyMEFtUFFiQVVZc2RRQWpDQUVBQUFJSEFnQUFBQUFIRFFBQkFBQUFBd0JnQVBBQUFBQkdDUWNOQUFFQUFBQURBR0FBOEFBQUFFWUFBQUFBQklCL0FnQUFBQUlJQUdWQkZ3RUdnbzhBQ2dBQ0FOc0NBZ1FDQUFrQUt3UUNBQUFBU0FRQUFEY0VBUUFCQm9BQUFBQUFBQUlJQUpqMEd3SEcxNHNBQkFJUUFQNzZFUUhHMTRzQW1QUWJBVVlza3dBakNBRUFBQUlIQWdBQUFBQUhEUUFCQUFBQUF3QmdBUEFBQUFCR0NRY05BQUVBQUFBREFHQUE4QUFBQUVZQUFBQUFCSUNBQWdBQUFBSUlBSXczV2dFWmZZc0FDZ0FDQU4wQ0FnUUNBQWtBS3dRQ0FBQUFTQVFBQURjRUFRQUJCb0FBQUFBQUFBSUlBTC9xWGdIWjBvY0FCQUlRQUNYeFZBSFowb2NBditwZUFWa25qd0FqQ0FFQUFBSUhBZ0FBQUFBSERRQUJBQUFBQXdCZ0FQQUFBQUJHQ1FjTkFBRUFBQUFEQUdBQThBQUFBRVlBQUFBQUJJQ0JBZ0FBQUFJSUFJdzNXZ0VaZmFrQUNnQUNBTjhDQWdRQ0FBa0FLd1FDQUFBQVNBUUFBRGNFQVFBQkJvQUFBQUFBQUFJSUFML3FYZ0haMHFVQUJBSVFBQ1h4VkFIWjBxVUF2K3BlQVZrbnJRQWpDQUVBQUFJSEFnQUFBQUFIRFFBQkFBQUFBd0JnQVBBQUFBQkdDUWNOQUFFQUFBQURBR0FBOEFBQUFFWUFBQUFBQklDQ0FnQUFBQUlJQUdWQkZ3RXNlS1VBQ2dBQ0FPRUNBZ1FDQUFrQUt3UUNBQUFBU0FRQUFEY0VBUUFCQm9BQUFBQUFBQUlJQUpqMEd3SHN6YUVBQkFJUUFQNzZFUUhzemFFQW1QUWJBV3dpcVFBakNBRUFBQUlIQWdBQUFBQUhEUUFCQUFBQUF3QmdBUEFBQUFCR0NRY05BQUVBQUFBREFHQUE4QUFBQUVZQUFBQUFCSUNEQWdBQUFBSUlBR1ZCRndFc2VNTUFDZ0FDQU9NQ0FnUUNBQWtBS3dRQ0FBQUFTQVFBQURjRUFRQUJCb0FBQUFBQUFBSUlBSmowR3dIc3piOEFCQUlRQVA3NkVRSHN6YjhBbVBRYkFXd2l4d0FqQ0FFQUFBSUhBZ0FBQUFBSERRQUJBQUFBQXdCZ0FQQUFBQUJHQ1FjTkFBRUFBQUFEQUdBQThBQUFBRVlBQUFBQUJJQ0VBZ0FBQUFJSUFJdzNXZ0UvYzc4QUNnQUNBT1VDQWdRQ0FBa0FLd1FDQUFBQVNBUUFBRGNFQVFBQkJvQUFBQUFBQUFJSUFML3FYZ0gveUxzQUJBSVFBQ1h4VkFIL3lMc0F2K3BlQVg4ZHd3QWpDQUVBQUFJSEFnQUFBQUFIRFFBQkFBQUFBd0JnQVBBQUFBQkdDUWNOQUFFQUFBQURBR0FBOEFBQUFFWUFBQUFBQklDRkFnQUFBQUlJQUl3M1dnRS9jOTBBQ2dBQ0FPY0NBZ1FDQUFrQUt3UUNBQUFBU0FRQUFEY0VBUUFCQm9BQUFBQUFBQUlJQUwvcVhnSC95TmtBQkFJUUFDWHhWQUgveU5rQXYrcGVBWDhkNFFBakNBRUFBQUlIQWdBQUFBQUhEUUFCQUFBQUF3QmdBUEFBQUFCR0NRY05BQUVBQUFBREFHQUE4QUFBQUVZQUFBQUFCSUNHQWdBQUFBSUlBR1ZCRndGVGJ0a0FDZ0FDQU9rQ0FnUUNBQWtBS3dRQ0FBQUFTQVFBQURjRUFRQUJCb0FBQUFBQUFBSUlBSmowR3dFVHhOVUFCQUlRQVA3NkVRRVR4TlVBbVBRYkFaTVkzUUFqQ0FFQUFBSUhBZ0FBQUFBSERRQUJBQUFBQXdCZ0FQQUFBQUJHQ1FjTkFBRUFBQUFEQUdBQThBQUFBRVlBQUFBQUJJQ0hBZ0FBQUFJSUFHVkJGd0ZUYnZjQUNnQUNBT3NDQWdRQ0FBa0FLd1FDQUFBQVNBUUFBRGNFQVFBQkJvQUFBQUFBQUFJSUFKajBHd0VUeFBNQUJBSVFBUDc2RVFFVHhQTUFtUFFiQVpNWSt3QWpDQUVBQUFJSEFnQUFBQUFIRFFBQkFBQUFBd0JnQVBBQUFBQkdDUWNOQUFFQUFBQURBR0FBOEFBQUFFWUFBQUFBQllDSUFnQUFDZ0FDQUxRQ0JBWUVBR29DQUFBRkJnUUFhd0lBQUFvR0FRQUJBQUFGZ0lrQ0FBQUtBQUlBdGdJRUJnUUFhd0lBQUFVR0JBQnNBZ0FBQ2dZQkFBRUFBQVdBaWdJQUFBb0FBZ0M0QWdRR0JBQnNBZ0FBQlFZRUFHMENBQUFLQmdFQUFRQUFCWUNMQWdBQUNnQUNBTG9DQkFZRUFHMENBQUFGQmdRQWJnSUFBQW9HQVFBQkFBQUZnSXdDQUFBS0FBSUF2QUlFQmdRQWJnSUFBQVVHQkFCdkFnQUFDZ1lCQUFFQUFBV0FqUUlBQUFvQUFnQytBZ1FHQkFCdkFnQUFCUVlFQUhBQ0FBQUtCZ0VBQVFBQUJZQ09BZ0FBQ2dBQ0FNQUNCQVlFQUhBQ0FBQUZCZ1FBY1FJQUFBb0dBUUFCQUFBRmdJOENBQUFLQUFJQXdnSUVCZ1FBY1FJQUFBVUdCQUJ5QWdBQUNnWUJBQUVBQUFXQWtBSUFBQW9BQWdERUFnUUdCQUJ5QWdBQUJRWUVBSE1DQUFBQUJnSUFBZ0FLQmdFQUFRQUFCWUNSQWdBQUNnQUNBTVlDQkFZRUFISUNBQUFGQmdRQWRBSUFBQUFHQWdBQ0FBb0dBUUFCQUFBRmdKSUNBQUFLQUFJQXlBSUVCZ1FBY2dJQUFBVUdCQUIxQWdBQUNnWUJBQUVBQUFXQWt3SUFBQW9BQWdES0FnUUdCQUIxQWdBQUJRWUVBSFlDQUFBS0JnRUFBUUFBQllDVUFnQUFDZ0FDQU13Q0JBWUVBSFlDQUFBRkJnUUFkd0lBQUFvR0FRQUJBQUFGZ0pVQ0FBQUtBQUlBemdJRUJnUUFkd0lBQUFVR0JBQjRBZ0FBQ2dZQkFBRUFBQVdBbGdJQUFBb0FBZ0RRQWdRR0JBQjRBZ0FBQlFZRUFIa0NBQUFLQmdFQUFRQUFCWUNYQWdBQUNnQUNBTklDQkFZRUFIa0NBQUFGQmdRQWVnSUFBQW9HQVFBQkFBQUZnSmdDQUFBS0FBSUExQUlFQmdRQWFnSUFBQVVHQkFCN0FnQUFDZ1lCQUFFQUFBV0FtUUlBQUFvQUFnRFdBZ1FHQkFCcUFnQUFCUVlFQUh3Q0FBQUtCZ0VBQVFBQUJZQ2FBZ0FBQ2dBQ0FOZ0NCQVlFQUdvQ0FBQUZCZ1FBZlFJQUFBb0dBUUFCQUFBRmdKc0NBQUFLQUFJQTJnSUVCZ1FBYXdJQUFBVUdCQUIrQWdBQUNnWUJBQUVBQUFXQW5BSUFBQW9BQWdEY0FnUUdCQUJyQWdBQUJRWUVBSDhDQUFBS0JnRUFBUUFBQllDZEFnQUFDZ0FDQU40Q0JBWUVBR3dDQUFBRkJnUUFnQUlBQUFvR0FRQUJBQUFGZ0o0Q0FBQUtBQUlBNEFJRUJnUUFiQUlBQUFVR0JBQ0JBZ0FBQ2dZQkFBRUFBQVdBbndJQUFBb0FBZ0RpQWdRR0JBQnRBZ0FBQlFZRUFJSUNBQUFLQmdFQUFRQUFCWUNnQWdBQUNnQUNBT1FDQkFZRUFHMENBQUFGQmdRQWd3SUFBQW9HQVFBQkFBQUZnS0VDQUFBS0FBSUE1Z0lFQmdRQWJnSUFBQVVHQkFDRUFnQUFDZ1lCQUFFQUFBV0FvZ0lBQUFvQUFnRG9BZ1FHQkFCdUFnQUFCUVlFQUlVQ0FBQUtCZ0VBQVFBQUJZQ2pBZ0FBQ2dBQ0FPb0NCQVlFQUc4Q0FBQUZCZ1FBaGdJQUFBb0dBUUFCQUFBRmdLUUNBQUFLQUFJQTdBSUVCZ1FBYndJQUFBVUdCQUNIQWdBQUNnWUJBQUVBQUFBQUFBQUFBQUFB</t>
        </r>
      </text>
    </comment>
    <comment ref="D51" authorId="0" shapeId="0" xr:uid="{CD76097F-7A0A-497D-9A06-5CD98A3D5D72}">
      <text>
        <r>
          <rPr>
            <sz val="9"/>
            <color indexed="81"/>
            <rFont val="Tahoma"/>
            <family val="2"/>
          </rPr>
          <t>QzE1SDE4RjE3TjJPMlMrfFBpY3R1cmUgMzh8Vm1wRFJEQXhNREFFQXdJQkFBQUFBQUFBQUFBQUFBQ0FBQUFBQUFNQUZnQUFBRU5vWlcxRWNtRjNJREl5TGpJdU1DNHpNekF3Q0FBVEFBQUFWVzUwYVhSc1pXUWdSRzlqZFcxbGJuUUVBaEFBM0lnTkFZem1MZ0FpTjJnQkUyM3NBUUVKQ0FBQXdMb0FBRURPQUFJSkNBQUF3Q0VBQU1DMUFnMElBUUFCQ0FjQkFBRTZCQUVBQVRzRUFRQUFSUVFCQUFFOEJBRUFBRW9FQVFBQURBWUJBQUVQQmdFQUFRMEdBUUFBUWdRQkFBQkRCQUVBQUVRRUFRQUFEZ2dDQU0wWU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NBQ0FBQUVBaEFBQUFBQUFBQUFBQUNNZTZrQmx2dmxGeFlJQkFBQUFDUUFHQWdFQUFBQUpBQVpDQUFBRUFnQ0FBRUFEd2dDQUFFQUE0RFVBUUFBQkFJUUFOeUlEUUdNNWk0QUlqZG9BUk50N0FFS0FBSUFsZ0VFZ05VQkFBQUFBZ2dBM0lnTkFRQkMwZ0VLQUFJQWx3RTNCQUVBQVFBQUJJRFdBUUFBQUFJSUFOeUlLd0VBUXRJQkNnQUNBSmdCQWdRQ0FBY0FLd1FDQUFFQUlRUUJBQUZJQkFBQU53UUJBQUVHZ0FBQUFBQUFBZ2dBRHp3d0FjRHN6UUVFQWhBQTdma2tBY0RzelFFUFBEQUJRSVBrQVNNSUFRQUFBZ2NDQUFBQUJRY0JBQUVBQnc4QUFRQUFBQU1BWUFEd0FBQUFUa2dyQ1FjUEFBRUFBQUFEQUdBQThBQUFBRTVJS3dBQUFBQUVnTmNCQUFBQUFnZ0EzSWc2QVJNOTdBRUtBQUlBbVFFM0JBRUFBUUFBQklEWUFRQUFBQUlJQU55SU9nSHNScmdCQ2dBQ0FKb0JOd1FCQUFFQUFBU0EyUUVBQUFBQ0NBRGNpQ3NCMlV1ZUFRb0FBZ0NiQVRjRUFRQUJBQUFFZ05vQkFBQUFBZ2dBM0lnNkFjWlFoQUVLQUFJQW5BRTNCQUVBQVFBQUJJRGJBUUFBQUFJSUFOeUlLd0d6VldvQkNnQUNBSjBCQWdRQ0FBY0FLd1FDQUFFQVNBUUFBRGNFQVFBQkJvQUFBQUFBQUFJSUFIVkNKZ0Z6QUdZQkJBSVFBTnhJSEFGekFHWUJEend3QWZPcWJnRWpDQUVBQUFJSEFnQUFBQVVIQVFBRUJBY0dBQUlBQWdBRUFBQUhEZ0FCQUFBQUF3QmdBUEFBQUFCT1NBa0hEZ0FCQUFBQUF3QmdBUEFBQUFCT1NBQUFBQUFFZ053QkFBQUFBZ2dBM0lnNkFhQmFVQUVLQUFJQW5nRUNCQUlBRUFBckJBSUFBQUJJQkFBQU53UUJBQUVHZ0FBQUFBQUFBZ2dBRHp3L0FTQmFUQUVFQWhBQXFCVTFBU0JhVEFGMVlqOEJJRnRVQVNNSUFRQUFBZ2NDQUFBQUFBY05BQUVBQUFBREFHQUE4QUFBQUZNSkJ3MEFBUUFBQUFNQVlBRHdBQUFBVXdBQUFBQUVnTjBCQUFBQUFnZ0E3NE5VQWFCYVh3RUtBQUlBbndFQ0JBSUFDQUFyQkFJQUFBQklCQUFBTndRQkFBRUdnQUFBQUFBQUFnZ0FJamRaQWVDdldnRUVBaEFBdXhCUEFlQ3ZXZ0dJWFZrQllBVmtBU01JQVFBQUFnY0NBQUFBQUFjTkFBRUFBQUFEQUdBQThBQUFBRThKQncwQUFRQUFBQU1BWUFEd0FBQUFUd0FBQUFBRWdONEJBQUFBQWdnQXlJMGdBYUJhUVFFS0FBSUFvQUVDQkFJQUNBQXJCQUlBQUFCSUJBQUFOd1FCQUFFR2dBQUFBQUFBQWdnQSswQWxBZUN2UEFFRUFoQUFsQm9iQWVDdlBBRmhaeVVCWUFWR0FTTUlBUUFBQWdjQ0FBQUFBQWNOQUFFQUFBQURBR0FBOEFBQUFFOEpCdzBBQVFBQUFBTUFZQUR3QUFBQVR3QUFBQUFFZ044QkFBQUFBZ2dBM0loSkFZeGZOZ0VLQUFJQW9RRTNCQUVBQVFBQUJJRGdBUUFBQUFJSUFOeUlPZ0Y1WkJ3QkNnQUNBS0lCTndRQkFBRUFBQVNBNFFFQUFBQUNDQURjaUVrQlpta0NBUW9BQWdDakFUY0VBUUFCQUFBRWdPSUJBQUFBQWdnQTNJZzZBVk51NkFBS0FBSUFwQUUzQkFFQUFRQUFCSURqQVFBQUFBSUlBTnlJU1FFL2M4NEFDZ0FDQUtVQk53UUJBQUVBQUFTQTVBRUFBQUFDQ0FEY2lEb0JMSGkwQUFvQUFnQ21BVGNFQVFBQkFBQUVnT1VCQUFBQUFnZ0EzSWhKQVJsOW1nQUtBQUlBcHdFM0JBRUFBUUFBQklEbUFRQUFBQUlJQU55SU9nRUdnb0FBQ2dBQ0FLZ0JOd1FCQUFFQUFBU0E1d0VBQUFBQ0NBRGNpRWtCODRabUFBb0FBZ0NwQVRjRUFRQUJBQUFFZ09nQkFBQUFBZ2dBM0lnNkFkK0xUQUFLQUFJQXFnRTNCQUVBQVFBQUJJRHBBUUFBQUFJSUFOeUlTUUhNa0RJQUNnQUNBS3NCQWdRQ0FBa0FLd1FDQUFBQVNBUUFBRGNFQVFBQkJvQUFBQUFBQUFJSUFBODhUZ0dNNWk0QUJBSVFBSFZDUkFHTTVpNEFEenhPQVF3N05nQWpDQUVBQUFJSEFnQUFBQUFIRFFBQkFBQUFBd0JnQVBBQUFBQkdDUWNOQUFFQUFBQURBR0FBOEFBQUFFWUFBQUFBQklEcUFRQUFBQUlJQU55SUhBSGZpMHdBQ2dBQ0FLd0JBZ1FDQUFrQUt3UUNBQUFBU0FRQUFEY0VBUUFCQm9BQUFBQUFBQUlJQUE4OElRR2Y0VWdBQkFJUUFIVkNGd0dmNFVnQUR6d2hBUjgyVUFBakNBRUFBQUlIQWdBQUFBQUhEUUFCQUFBQUF3QmdBUEFBQUFCR0NRY05BQUVBQUFBREFHQUE4QUFBQUVZQUFBQUFCSURyQVFBQUFBSUlBTnlJS3dITWtESUFDZ0FDQUswQkFnUUNBQWtBS3dRQ0FBQUFTQVFBQURjRUFRQUJCb0FBQUFBQUFBSUlBQTg4TUFHTTVpNEFCQUlRQUhWQ0pnR001aTRBRHp3d0FRdzdOZ0FqQ0FFQUFBSUhBZ0FBQUFBSERRQUJBQUFBQXdCZ0FQQUFBQUJHQ1FjTkFBRUFBQUFEQUdBQThBQUFBRVlBQUFBQUJJRHNBUUFBQUFJSUFPK0RZd0h6aGxjQUNnQUNBSzRCQWdRQ0FBa0FLd1FDQUFBQVNBUUFBRGNFQVFBQkJvQUFBQUFBQUFJSUFDSTNhQUd6M0ZNQUJBSVFBSWc5WGdHejNGTUFJamRvQVRNeFd3QWpDQUVBQUFJSEFnQUFBQUFIRFFBQkFBQUFBd0JnQVBBQUFBQkdDUWNOQUFFQUFBQURBR0FBOEFBQUFFWUFBQUFBQklEdEFRQUFBQUlJQU8rRFl3SHpoblVBQ2dBQ0FLOEJBZ1FDQUFrQUt3UUNBQUFBU0FRQUFEY0VBUUFCQm9BQUFBQUFBQUlJQUNJM2FBR3ozSEVBQkFJUUFJZzlYZ0d6M0hFQUlqZG9BVE14ZVFBakNBRUFBQUlIQWdBQUFBQUhEUUFCQUFBQUF3QmdBUEFBQUFCR0NRY05BQUVBQUFBREFHQUE4QUFBQUVZQUFBQUFCSUR1QVFBQUFBSUlBTWlOSUFFR2dvOEFDZ0FDQUxBQkFnUUNBQWtBS3dRQ0FBQUFTQVFBQURjRUFRQUJCb0FBQUFBQUFBSUlBUHRBSlFIRzE0c0FCQUlRQUdGSEd3SEcxNHNBKzBBbEFVWXNrd0FqQ0FFQUFBSUhBZ0FBQUFBSERRQUJBQUFBQXdCZ0FQQUFBQUJHQ1FjTkFBRUFBQUFEQUdBQThBQUFBRVlBQUFBQUJJRHZBUUFBQUFJSUFNaU5JQUVHZ25FQUNnQUNBTEVCQWdRQ0FBa0FLd1FDQUFBQVNBUUFBRGNFQVFBQkJvQUFBQUFBQUFJSUFQdEFKUUhHMTIwQUJBSVFBR0ZIR3dIRzEyMEErMEFsQVVZc2RRQWpDQUVBQUFJSEFnQUFBQUFIRFFBQkFBQUFBd0JnQVBBQUFBQkdDUWNOQUFFQUFBQURBR0FBOEFBQUFFWUFBQUFBQklEd0FRQUFBQUlJQU8rRFl3RVpmWXNBQ2dBQ0FMSUJBZ1FDQUFrQUt3UUNBQUFBU0FRQUFEY0VBUUFCQm9BQUFBQUFBQUlJQUNJM2FBSFowb2NBQkFJUUFJZzlYZ0haMG9jQUlqZG9BVmtuandBakNBRUFBQUlIQWdBQUFBQUhEUUFCQUFBQUF3QmdBUEFBQUFCR0NRY05BQUVBQUFBREFHQUE4QUFBQUVZQUFBQUFCSUR4QVFBQUFBSUlBTytEWXdFWmZha0FDZ0FDQUxNQkFnUUNBQWtBS3dRQ0FBQUFTQVFBQURjRUFRQUJCb0FBQUFBQUFBSUlBQ0kzYUFIWjBxVUFCQUlRQUlnOVhnSFowcVVBSWpkb0FWa25yUUFqQ0FFQUFBSUhBZ0FBQUFBSERRQUJBQUFBQXdCZ0FQQUFBQUJHQ1FjTkFBRUFBQUFEQUdBQThBQUFBRVlBQUFBQUJJRHlBUUFBQUFJSUFNaU5JQUVzZU1NQUNnQUNBTFFCQWdRQ0FBa0FLd1FDQUFBQVNBUUFBRGNFQVFBQkJvQUFBQUFBQUFJSUFQdEFKUUhzemI4QUJBSVFBR0ZIR3dIc3piOEErMEFsQVd3aXh3QWpDQUVBQUFJSEFnQUFBQUFIRFFBQkFBQUFBd0JnQVBBQUFBQkdDUWNOQUFFQUFBQURBR0FBOEFBQUFFWUFBQUFBQklEekFRQUFBQUlJQU1pTklBRXNlS1VBQ2dBQ0FMVUJBZ1FDQUFrQUt3UUNBQUFBU0FRQUFEY0VBUUFCQm9BQUFBQUFBQUlJQVB0QUpRSHN6YUVBQkFJUUFHRkhHd0hzemFFQSswQWxBV3dpcVFBakNBRUFBQUlIQWdBQUFBQUhEUUFCQUFBQUF3QmdBUEFBQUFCR0NRY05BQUVBQUFBREFHQUE4QUFBQUVZQUFBQUFCSUQwQVFBQUFBSUlBTytEWXdFL2M3OEFDZ0FDQUxZQkFnUUNBQWtBS3dRQ0FBQUFTQVFBQURjRUFRQUJCb0FBQUFBQUFBSUlBQ0kzYUFIL3lMc0FCQUlRQUlnOVhnSC95THNBSWpkb0FYOGR3d0FqQ0FFQUFBSUhBZ0FBQUFBSERRQUJBQUFBQXdCZ0FQQUFBQUJHQ1FjTkFBRUFBQUFEQUdBQThBQUFBRVlBQUFBQUJJRDFBUUFBQUFJSUFPK0RZd0UvYzkwQUNnQUNBTGNCQWdRQ0FBa0FLd1FDQUFBQVNBUUFBRGNFQVFBQkJvQUFBQUFBQUFJSUFDSTNhQUgveU5rQUJBSVFBSWc5WGdIL3lOa0FJamRvQVg4ZDRRQWpDQUVBQUFJSEFnQUFBQUFIRFFBQkFBQUFBd0JnQVBBQUFBQkdDUWNOQUFFQUFBQURBR0FBOEFBQUFFWUFBQUFBQklEMkFRQUFBQUlJQU1pTklBRlRidmNBQ2dBQ0FMZ0JBZ1FDQUFrQUt3UUNBQUFBU0FRQUFEY0VBUUFCQm9BQUFBQUFBQUlJQVB0QUpRRVR4UE1BQkFJUUFHRkhHd0VUeFBNQSswQWxBWk1ZK3dBakNBRUFBQUlIQWdBQUFBQUhEUUFCQUFBQUF3QmdBUEFBQUFCR0NRY05BQUVBQUFBREFHQUE4QUFBQUVZQUFBQUFCSUQzQVFBQUFBSUlBTWlOSUFGVGJ0a0FDZ0FDQUxrQkFnUUNBQWtBS3dRQ0FBQUFTQVFBQURjRUFRQUJCb0FBQUFBQUFBSUlBUHRBSlFFVHhOVUFCQUlRQUdGSEd3RVR4TlVBKzBBbEFaTVkzUUFqQ0FFQUFBSUhBZ0FBQUFBSERRQUJBQUFBQXdCZ0FQQUFBQUJHQ1FjTkFBRUFBQUFEQUdBQThBQUFBRVlBQUFBQUJJRDRBUUFBQUFJSUFPK0RZd0ZtYWZNQUNnQUNBTG9CQWdRQ0FBa0FLd1FDQUFBQVNBUUFBRGNFQVFBQkJvQUFBQUFBQUFJSUFDSTNhQUVtdis4QUJBSVFBSWc5WGdFbXYrOEFJamRvQWFZVDl3QWpDQUVBQUFJSEFnQUFBQUFIRFFBQkFBQUFBd0JnQVBBQUFBQkdDUWNOQUFFQUFBQURBR0FBOEFBQUFFWUFBQUFBQklENUFRQUFBQUlJQU8rRFl3Rm1hUkVCQ2dBQ0FMc0JBZ1FDQUFrQUt3UUNBQUFBU0FRQUFEY0VBUUFCQm9BQUFBQUFBQUlJQUNJM2FBRW12dzBCQkFJUUFJZzlYZ0VtdncwQklqZG9BYVlURlFFakNBRUFBQUlIQWdBQUFBQUhEUUFCQUFBQUF3QmdBUEFBQUFCR0NRY05BQUVBQUFBREFHQUE4QUFBQUVZQUFBQUFCWUQ2QVFBQUNnQUNBTHdCQkFZRUFOVUJBQUFGQmdRQTFnRUFBQW9HQVFBQkFBQUZnUHNCQUFBS0FBSUF2UUVFQmdRQTFnRUFBQVVHQkFEWEFRQUFDZ1lCQUFFQUFBV0EvQUVBQUFvQUFnQytBUVFHQkFEV0FRQUFCUVlFQU5nQkFBQUtCZ0VBQVFBQUJZRDlBUUFBQ2dBQ0FMOEJCQVlFQU5nQkFBQUZCZ1FBMlFFQUFBb0dBUUFCQUFBRmdQNEJBQUFLQUFJQXdBRUVCZ1FBMlFFQUFBVUdCQURhQVFBQUNnWUJBQUVBQUFXQS93RUFBQW9BQWdEQkFRUUdCQURhQVFBQUJRWUVBTnNCQUFBS0JnRUFBUUFBQllBQUFnQUFDZ0FDQU1JQkJBWUVBTnNCQUFBRkJnUUEzQUVBQUFvR0FRQUJBQUFGZ0FFQ0FBQUtBQUlBd3dFRUJnUUEzQUVBQUFVR0JBRGRBUUFBQUFZQ0FBSUFDZ1lCQUFFQUFBV0FBZ0lBQUFvQUFnREVBUVFHQkFEY0FRQUFCUVlFQU40QkFBQUFCZ0lBQWdBS0JnRUFBUUFBQllBREFnQUFDZ0FDQU1VQkJBWUVBTndCQUFBRkJnUUEzd0VBQUFvR0FRQUJBQUFGZ0FRQ0FBQUtBQUlBeGdFRUJnUUEzd0VBQUFVR0JBRGdBUUFBQ2dZQkFBRUFBQVdBQlFJQUFBb0FBZ0RIQVFRR0JBRGdBUUFBQlFZRUFPRUJBQUFLQmdFQUFRQUFCWUFHQWdBQUNnQUNBTWdCQkFZRUFPRUJBQUFGQmdRQTRnRUFBQW9HQVFBQkFBQUZnQWNDQUFBS0FBSUF5UUVFQmdRQTRnRUFBQVVHQkFEakFRQUFDZ1lCQUFFQUFBV0FDQUlBQUFvQUFnREtBUVFHQkFEakFRQUFCUVlFQU9RQkFBQUtCZ0VBQVFBQUJZQUpBZ0FBQ2dBQ0FNc0JCQVlFQU9RQkFBQUZCZ1FBNVFFQUFBb0dBUUFCQUFBRmdBb0NBQUFLQUFJQXpBRUVCZ1FBNVFFQUFBVUdCQURtQVFBQUNnWUJBQUVBQUFXQUN3SUFBQW9BQWdETkFRUUdCQURtQVFBQUJRWUVBT2NCQUFBS0JnRUFBUUFBQllBTUFnQUFDZ0FDQU00QkJBWUVBT2NCQUFBRkJnUUE2QUVBQUFvR0FRQUJBQUFGZ0EwQ0FBQUtBQUlBendFRUJnUUE2QUVBQUFVR0JBRHBBUUFBQ2dZQkFBRUFBQVdBRGdJQUFBb0FBZ0RRQVFRR0JBRG9BUUFBQlFZRUFPb0JBQUFLQmdFQUFRQUFCWUFQQWdBQUNnQUNBTkVCQkFZRUFPZ0JBQUFGQmdRQTZ3RUFBQW9HQVFBQkFBQUZnQkFDQUFBS0FBSUEwZ0VFQmdRQTV3RUFBQVVHQkFEc0FRQUFDZ1lCQUFFQUFBV0FFUUlBQUFvQUFnRFRBUVFHQkFEbkFRQUFCUVlFQU8wQkFBQUtCZ0VBQVFBQUJZQVNBZ0FBQ2dBQ0FOUUJCQVlFQU9ZQkFBQUZCZ1FBN2dFQUFBb0dBUUFCQUFBRmdCTUNBQUFLQUFJQTFRRUVCZ1FBNWdFQUFBVUdCQUR2QVFBQUNnWUJBQUVBQUFXQUZBSUFBQW9BQWdEV0FRUUdCQURsQVFBQUJRWUVBUEFCQUFBS0JnRUFBUUFBQllBVkFnQUFDZ0FDQU5jQkJBWUVBT1VCQUFBRkJnUUE4UUVBQUFvR0FRQUJBQUFGZ0JZQ0FBQUtBQUlBMkFFRUJnUUE1QUVBQUFVR0JBRHlBUUFBQ2dZQkFBRUFBQVdBRndJQUFBb0FBZ0RaQVFRR0JBRGtBUUFBQlFZRUFQTUJBQUFLQmdFQUFRQUFCWUFZQWdBQUNnQUNBTm9CQkFZRUFPTUJBQUFGQmdRQTlBRUFBQW9HQVFBQkFBQUZnQmtDQUFBS0FBSUEyd0VFQmdRQTR3RUFBQVVHQkFEMUFRQUFDZ1lCQUFFQUFBV0FHZ0lBQUFvQUFnRGNBUVFHQkFEaUFRQUFCUVlFQVBZQkFBQUtCZ0VBQVFBQUJZQWJBZ0FBQ2dBQ0FOMEJCQVlFQU9JQkFBQUZCZ1FBOXdFQUFBb0dBUUFCQUFBRmdCd0NBQUFLQUFJQTNnRUVCZ1FBNFFFQUFBVUdCQUQ0QVFBQUNnWUJBQUVBQUFXQUhRSUFBQW9BQWdEZkFRUUdCQURoQVFBQUJRWUVBUGtCQUFBS0JnRUFBUUFBQUFBQUFBQUFBQUE9</t>
        </r>
      </text>
    </comment>
    <comment ref="D53" authorId="0" shapeId="0" xr:uid="{E38E58A2-F1EF-41D9-A953-31DB8F862F0F}">
      <text>
        <r>
          <rPr>
            <b/>
            <sz val="9"/>
            <color indexed="81"/>
            <rFont val="Tahoma"/>
            <family val="2"/>
          </rPr>
          <t>QzEzSDE2RjEzTjJPMlMrfFBpY3R1cmUgNTN8Vm1wRFJEQXhNREFFQXdJQkFBQUFBQUFBQUFBQUFBQ0FBQUFBQUFNQUZnQUFBRU5vWlcxRWNtRjNJREl5TGpJdU1DNHpNekF3Q0FBVEFBQUFWVzUwYVhSc1pXUWdSRzlqZFcxbGJuUUVBaEFBMG9nTkFhSEdZd0RPV0djQkEzM3NBUUVKQ0FBQWdJNEFBSUF1QmdJSkNBQUF3Q0VBQU1DMUFnMElBUUFCQ0FjQkFBRTZCQUVBQVRzRUFRQUFSUVFCQUFFOEJBRUFBRW9FQVFBQURBWUJBQUVQQmdFQUFRMEdBUUFBUWdRQkFBQkRCQUVBQUVRRUFRQUFEZ2dDQUV3UUNnZ0lBQU1BWUFESUFBTUFDd2dJQUJRQUFBRHdBQU1BQ1FnRUFET3pBZ0FJQ0FRQUFBQUNBQWNJQkFBQUFBRUFCZ2dFQUFBQUJBQUZDQVFBQUFBZUFBUUlBZ0I0QUFNSUJBQUFBSGdBSXdnQkFBVU1DQUVBQUNnSUFRQUJLUWdCQUFFcUNBRUFBVElJQVFBQUt3Z0JBQ2dzQ0FFQUNnSUlFQUFBQUNRQUFBQWtBQUFBSkFBQUFDUUFBUU1DQUFBQUFnTUNBQUVBQUFNeUFBZ0EvLy8vLy8vL0FBQUFBQUFBLy84QUFBQUEvLy8vL3dBQUFBRC8vd0FBQUFELy8vLy9BQUFBQVAvLy8vOEFBUC8vQUFFa0FBQUFBZ0FEQU9RRUJRQkJjbWxoYkJRQTVBUVBBRlJwYldWeklFNWxkeUJTYjIxaGJy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Kc0ZBQUFFQWhBQUFBQUFBQUFBQUFEUEQzY0JsanZuRHhZSUJBQUFBQ1FBR0FnRUFBQUFKQUFaQ0FBQUVBZ0NBQUVBRHdnQ0FBRUFBNEJjQlFBQUJBSVFBTktJRFFHaHhtTUF6bGhuQVFOOTdBRUtBQUlBdndJRWdGMEZBQUFBQWdnQTBvZ05BZkZCMGdFS0FBSUF3QUkzQkFFQUFRQUFCSUJlQlFBQUFBSUlBTkdJS3dIeFFkSUJDZ0FDQU1FQ0FnUUNBQWNBS3dRQ0FBQUFJUVFCQUFGSUJBQUFOd1FCQUFFR2dBQUFBQUFBQWdnQU4yOHZBWkdsemdFRUFoQUE0aGttQVpHbHpnRTNieThCa1QvYUFTTUlBUUFBQWdjQ0FBQUFCUWNCQUFFQUJ3NEFBUUFBQUFNQVlBRElBQUFBVGlzSkJ3NEFBUUFBQUFNQVlBRElBQUFBVGlzQUFBQUFCSUJmQlFBQUFBSUlBTkdJT2dFRFBld0JDZ0FDQU1JQ053UUJBQUVBQUFTQVlBVUFBQUFDQ0FEUmlEb0Iza2E0QVFvQUFnRERBamNFQVFBQkFBQUVnR0VGQUFBQUFnZ0EwWWdyQWN4TG5nRUtBQUlBeEFJM0JBRUFBUUFBQklCaUJRQUFBQUlJQU5HSU9nRzVVSVFCQ2dBQ0FNVUNOd1FCQUFFQUFBU0FZd1VBQUFBQ0NBRFJpQ3NCcDFWcUFRb0FBZ0RHQWdJRUFnQUhBQ3NFQWdBQkFFZ0VBQUEzQkFFQUFRYUFBQUFBQUFBQ0NBQy9GeWNCUjdsbUFRUUNFQUJJd0I0QlI3bG1BVGR2THdFSDhtMEJJd2dCQUFBQ0J3SUFBQUFGQndFQUJBUUhCZ0FDQUFJQUJBQUFCdzRBQVFBQUFBTUFZQURJQUFBQVRrZ0pCdzRBQVFBQUFBTUFZQURJQUFBQVRrZ0FBQUFBQklCa0JRQUFBQUlJQU5HSU9nR1ZXbEFCQ2dBQ0FNY0NBZ1FDQUJBQUt3UUNBQUFBU0FRQUFEY0VBUUFCQm9BQUFBQUFBQUlJQURkdlBnSFZCRTBCQkFJUUFPTDVOUUhWQkUwQjBZZytBVld3VXdFakNBRUFBQUlIQWdBQUFBQUhEUUFCQUFBQUF3QmdBTWdBQUFCVENRY05BQUVBQUFBREFHQUF5QUFBQUZNQUFBQUFCSUJsQlFBQUFBSUlBT1NEVkFHVldsOEJDZ0FDQU1nQ0FnUUNBQWdBS3dRQ0FBQUFTQVFBQURjRUFRQUJCb0FBQUFBQUFBSUlBRXBxV0FIMWRsc0JCQUlRQVBYMFR3SDFkbHNCNUlOWUFUVStZd0VqQ0FFQUFBSUhBZ0FBQUFBSERRQUJBQUFBQXdCZ0FNZ0FBQUJQQ1FjTkFBRUFBQUFEQUdBQXlBQUFBRThBQUFBQUJJQm1CUUFBQUFJSUFMMk5JQUdXV2tFQkNnQUNBTWtDQWdRQ0FBZ0FLd1FDQUFBQVNBUUFBRGNFQVFBQkJvQUFBQUFBQUFJSUFDTjBKQUgyZGowQkJBSVFBTTcrR3dIMmRqMEJ2WTBrQVRZK1JRRWpDQUVBQUFJSEFnQUFBQUFIRFFBQkFBQUFBd0JnQU1nQUFBQlBDUWNOQUFFQUFBQURBR0FBeUFBQUFFOEFBQUFBQklCbkJRQUFBQUlJQU5DSVNRR0NYellCQ2dBQ0FNb0NOd1FCQUFFQUFBU0FhQVVBQUFBQ0NBRFJpRG9CY0dRY0FRb0FBZ0RMQWpjRUFRQUJBQUFFZ0drRkFBQUFBZ2dBYW9KSkFYSjBBZ0VLQUFJQXpBSTNCQUVBQVFBQUJJQnFCUUFBQUFJSUFOR0lPZ0YxaE9nQUNnQUNBTTBDTndRQkFBRUFBQVNBYXdVQUFBQUNDQUJxZ2trQmQ1VE9BQW9BQWdET0FqY0VBUUFCQUFBRWdHd0ZBQUFBQWdnQTBZZzZBWHFrdEFBS0FBSUF6d0kzQkFFQUFRQUFCSUJ0QlFBQUFBSUlBR3FDU1FGOHRKb0FDZ0FDQU5BQ053UUJBQUVBQUFTQWJnVUFBQUFDQ0FEUmlEb0JmOFNBQUFvQUFnRFJBamNFQVFBQkFBQUVnRzhGQUFBQUFnZ0Fhb0pKQVlIVVpnQUtBQUlBMGdJQ0JBSUFDUUFyQkFJQUFBQklCQUFBTndRQkFBRUdnQUFBQUFBQUFnZ0EwR2hOQWFIR1l3QUVBaEFBV0JGRkFhSEdZd0RRYUUwQlllSnBBQ01JQVFBQUFnY0NBQUFBQUFjTkFBRUFBQUFEQUdBQXlBQUFBRVlKQncwQUFRQUFBQU1BWUFESUFBQUFSZ0FBQUFBRWdIQUZBQUFBQWdnQW5aVWNBWC9FZ0FBS0FBSUEwd0lDQkFJQUNRQXJCQUlBQUFCSUJBQUFOd1FCQUFFR2dBQUFBQUFBQWdnQUEzd2dBWisyZlFBRUFoQUFpeVFZQVorMmZRQURmQ0FCWDlLREFDTUlBUUFBQWdjQ0FBQUFBQWNOQUFFQUFBQURBR0FBeUFBQUFFWUpCdzBBQVFBQUFBTUFZQURJQUFBQVJnQUFBQUFFZ0hFRkFBQUFBZ2dBTjQ4ckFZSFVaZ0FLQUFJQTFBSUNCQUlBQ1FBckJBSUFBQUJJQkFBQU53UUJBQUVHZ0FBQUFBQUFBZ2dBblhVdkFhSEdZd0FFQWhBQUpSNG5BYUhHWXdDZGRTOEJZZUpwQUNNSUFRQUFBZ2NDQUFBQUFBY05BQUVBQUFBREFHQUF5QUFBQUVZSkJ3MEFBUUFBQUFNQVlBRElBQUFBUmdBQUFBQUVnSElGQUFBQUFnZ0FhSEpqQWVPNml3QUtBQUlBMVFJQ0JBSUFDUUFyQkFJQUFBQklCQUFBTndRQkFBRUdnQUFBQUFBQUFnZ0F6bGhuQVFPdGlBQUVBaEFBVmdGZkFRT3RpQURPV0djQnc4aU9BQ01JQVFBQUFnY0NBQUFBQUFjTkFBRUFBQUFEQUdBQXlBQUFBRVlKQncwQUFRQUFBQU1BWUFESUFBQUFSZ0FBQUFBRWdITUZBQUFBQWdnQWFISmpBUmF1cVFBS0FBSUExZ0lDQkFJQUNRQXJCQUlBQUFCSUJBQUFOd1FCQUFFR2dBQUFBQUFBQWdnQXpsaG5BVGFncGdBRUFoQUFWZ0ZmQVRhZ3BnRE9XR2NCOXJ1c0FDTUlBUUFBQWdjQ0FBQUFBQWNOQUFFQUFBQURBR0FBeUFBQUFFWUpCdzBBQVFBQUFBTUFZQURJQUFBQVJnQUFBQUFFZ0hRRkFBQUFBZ2dBMDVnZ0FST2V3d0FLQUFJQTF3SUNCQUlBQ1FBckJBSUFBQUJJQkFBQU53UUJBQUVHZ0FBQUFBQUFBZ2dBT1g4a0FUT1F3QUFFQWhBQXdTY2NBVE9Rd0FBNWZ5UUI4NnZHQUNNSUFRQUFBZ2NDQUFBQUFBY05BQUVBQUFBREFHQUF5QUFBQUVZSkJ3MEFBUUFBQUFNQVlBRElBQUFBUmdBQUFBQUVnSFVGQUFBQUFnZ0EwNWdnQWVDcXBRQUtBQUlBMkFJQ0JBSUFDUUFyQkFJQUFBQklCQUFBTndRQkFBRUdnQUFBQUFBQUFnZ0FPWDhrQVFDZG9nQUVBaEFBd1NjY0FRQ2RvZ0E1ZnlRQndMaW9BQ01JQVFBQUFnY0NBQUFBQUFjTkFBRUFBQUFEQUdBQXlBQUFBRVlKQncwQUFRQUFBQU1BWUFESUFBQUFSZ0FBQUFBRWdIWUZBQUFBQWdnQWFISmpBZDZhdndBS0FBSUEyUUlDQkFJQUNRQXJCQUlBQUFCSUJBQUFOd1FCQUFFR2dBQUFBQUFBQWdnQXpsaG5BZjZNdkFBRUFoQUFWZ0ZmQWY2TXZBRE9XR2NCdnFqQ0FDTUlBUUFBQWdjQ0FBQUFBQWNOQUFFQUFBQURBR0FBeUFBQUFFWUpCdzBBQVFBQUFBTUFZQURJQUFBQVJnQUFBQUFFZ0hjRkFBQUFBZ2dBYUhKakFSR08zUUFLQUFJQTJnSUNCQUlBQ1FBckJBSUFBQUJJQkFBQU53UUJBQUVHZ0FBQUFBQUFBZ2dBemxobkFUR0EyZ0FFQWhBQVZnRmZBVEdBMmdET1dHY0I4WnZnQUNNSUFRQUFBZ2NDQUFBQUFBY05BQUVBQUFBREFHQUF5QUFBQUVZSkJ3MEFBUUFBQUFNQVlBRElBQUFBUmdBQUFBQUVnSGdGQUFBQUFnZ0EwNWdnQVE1Kzl3QUtBQUlBMndJQ0JBSUFDUUFyQkFJQUFBQklCQUFBTndRQkFBRUdnQUFBQUFBQUFnZ0FPWDhrQVM1dzlBQUVBaEFBd1NjY0FTNXc5QUE1ZnlRQjdvdjZBQ01JQVFBQUFnY0NBQUFBQUFjTkFBRUFBQUFEQUdBQXlBQUFBRVlKQncwQUFRQUFBQU1BWUFESUFBQUFSZ0FBQUFBRWdIa0ZBQUFBQWdnQTA1Z2dBZHVLMlFBS0FBSUEzQUlDQkFJQUNRQXJCQUlBQUFCSUJBQUFOd1FCQUFFR2dBQUFBQUFBQWdnQU9YOGtBZnQ4MWdBRUFoQUF3U2NjQWZ0ODFnQTVmeVFCdTVqY0FDTUlBUUFBQWdjQ0FBQUFBQWNOQUFFQUFBQURBR0FBeUFBQUFFWUpCdzBBQVFBQUFBTUFZQURJQUFBQVJnQUFBQUFFZ0hvRkFBQUFBZ2dBYUhKakFkaDY4d0FLQUFJQTNRSUNCQUlBQ1FBckJBSUFBQUJJQkFBQU53UUJBQUVHZ0FBQUFBQUFBZ2dBemxobkFmaHM4QUFFQWhBQVZnRmZBZmhzOEFET1dHY0J1SWoyQUNNSUFRQUFBZ2NDQUFBQUFBY05BQUVBQUFBREFHQUF5QUFBQUVZSkJ3MEFBUUFBQUFNQVlBRElBQUFBUmdBQUFBQUVnSHNGQUFBQUFnZ0FhSEpqQVF4dUVRRUtBQUlBM2dJQ0JBSUFDUUFyQkFJQUFBQklCQUFBTndRQkFBRUdnQUFBQUFBQUFnZ0F6bGhuQVN4Z0RnRUVBaEFBVmdGZkFTeGdEZ0hPV0djQjdIc1VBU01JQVFBQUFnY0NBQUFBQUFjTkFBRUFBQUFEQUdBQXlBQUFBRVlKQncwQUFRQUFBQU1BWUFESUFBQUFSZ0FBQUFBRmdId0ZBQUFLQUFJQTN3SUVCZ1FBWFFVQUFBVUdCQUJlQlFBQUNnWUJBQUVBQUFXQWZRVUFBQW9BQWdEZ0FnUUdCQUJlQlFBQUJRWUVBRjhGQUFBS0JnRUFBUUFBQllCK0JRQUFDZ0FDQU9FQ0JBWUVBRjRGQUFBRkJnUUFZQVVBQUFBR0FnQUNBQU1HQWdBQ0FBb0dBUUFCQ3dZUUFIMEZBQUI4QlFBQWZ3VUFBQUFBQUFBQUFBV0Fmd1VBQUFvQUFnRGlBZ1FHQkFCZ0JRQUFCUVlFQUdFRkFBQUtCZ0VBQVFBQUJZQ0FCUUFBQ2dBQ0FPTUNCQVlFQUdFRkFBQUZCZ1FBWWdVQUFBb0dBUUFCQUFBRmdJRUZBQUFLQUFJQTVBSUVCZ1FBWWdVQUFBVUdCQUJqQlFBQUNnWUJBQUVBQUFXQWdnVUFBQW9BQWdEbEFnUUdCQUJqQlFBQUJRWUVBR1FGQUFBS0JnRUFBUUFBQllDREJRQUFDZ0FDQU9ZQ0JBWUVBR1FGQUFBRkJnUUFaUVVBQUFBR0FnQUNBQW9HQVFBQkFBQUZnSVFGQUFBS0FBSUE1d0lFQmdRQVpBVUFBQVVHQkFCbUJRQUFBQVlDQUFJQUNnWUJBQUVBQUFXQWhRVUFBQW9BQWdEb0FnUUdCQUJrQlFBQUJRWUVBR2NGQUFBS0JnRUFBUUFBQllDR0JRQUFDZ0FDQU9rQ0JBWUVBR2NGQUFBRkJnUUFhQVVBQUFvR0FRQUJBQUFGZ0ljRkFBQUtBQUlBNmdJRUJnUUFhUVVBQUFVR0JBQnFCUUFBQ2dZQkFBRUFBQVdBaUFVQUFBb0FBZ0RyQWdRR0JBQnFCUUFBQlFZRUFHc0ZBQUFLQmdFQUFRQUFCWUNKQlFBQUNnQUNBT3dDQkFZRUFHc0ZBQUFGQmdRQWJBVUFBQW9HQVFBQkFBQUZnSW9GQUFBS0FBSUE3UUlFQmdRQWJBVUFBQVVHQkFCdEJRQUFDZ1lCQUFFQUFBV0Fpd1VBQUFvQUFnRHVBZ1FHQkFCdEJRQUFCUVlFQUc0RkFBQUtCZ0VBQVFBQUJZQ01CUUFBQ2dBQ0FPOENCQVlFQUc0RkFBQUZCZ1FBYndVQUFBb0dBUUFCQUFBRmdJMEZBQUFLQUFJQThBSUVCZ1FBYmdVQUFBVUdCQUJ3QlFBQUNnWUJBQUVBQUFXQWpnVUFBQW9BQWdEeEFnUUdCQUJ1QlFBQUJRWUVBSEVGQUFBS0JnRUFBUUFBQllDUEJRQUFDZ0FDQVBJQ0JBWUVBRzBGQUFBRkJnUUFjZ1VBQUFvR0FRQUJBQUFGZ0pBRkFBQUtBQUlBOHdJRUJnUUFiUVVBQUFVR0JBQnpCUUFBQ2dZQkFBRUFBQVdBa1FVQUFBb0FBZ0QwQWdRR0JBQnNCUUFBQlFZRUFIUUZBQUFLQmdFQUFRQUFCWUNTQlFBQUNnQUNBUFVDQkFZRUFHd0ZBQUFGQmdRQWRRVUFBQW9HQVFBQkFBQUZnSk1GQUFBS0FBSUE5Z0lFQmdRQWF3VUFBQVVHQkFCMkJRQUFDZ1lCQUFFQUFBV0FsQVVBQUFvQUFnRDNBZ1FHQkFCckJRQUFCUVlFQUhjRkFBQUtCZ0VBQVFBQUJZQ1ZCUUFBQ2dBQ0FQZ0NCQVlFQUdvRkFBQUZCZ1FBZUFVQUFBb0dBUUFCQUFBRmdKWUZBQUFLQUFJQStRSUVCZ1FBYWdVQUFBVUdCQUI1QlFBQUNnWUJBQUVBQUFXQWx3VUFBQW9BQWdENkFnUUdCQUJwQlFBQUJRWUVBSG9GQUFBS0JnRUFBUUFBQllDWUJRQUFDZ0FDQVBzQ0JBWUVBR2tGQUFBRkJnUUFld1VBQUFvR0FRQUJBQUFGZ0prRkFBQUtBQUlBL0FJRUJnUUFhUVVBQUFVR0JBQm9CUUFBQ2dZQkFBRUFBQUFBQUFBQUFBQUE=</t>
        </r>
      </text>
    </comment>
    <comment ref="D54" authorId="0" shapeId="0" xr:uid="{66452610-BE5E-492C-843D-0D23483F5AED}">
      <text>
        <r>
          <rPr>
            <sz val="9"/>
            <color indexed="81"/>
            <rFont val="Tahoma"/>
            <family val="2"/>
          </rPr>
          <t>QzEzSDE4RjEzTjJPM1MrfFBpY3R1cmUgNHxWbXBEUkRBeE1EQUVBd0lCQUFBQUFBQUFBQUFBQUFDQUFBQUFBQU1BRmdBQUFFTm9aVzFFY21GM0lESXlMakl1TUM0ek16QXdDQUFUQUFBQVZXNTBhWFJzWldRZ1JHOWpkVzFsYm5RRUFoQUFpcFFzQWJJaG1BRHBFR0FCeDZxRUFRRUpDQUFBZ0k0QUFJQXVCZ0lKQ0FBQXdDRUFBTUMxQWcwSUFRQUJDQWNCQUFFNkJBRUFBVHNFQVFBQVJRUUJBQUU4QkFFQUFFb0VBUUFBREFZQkFBRVBCZ0VBQVEwR0FRQUFRZ1FCQUFCREJBRUFBRVFFQVFBQURnZ0NBSGdKQ2dnSUFBTUFZQUR3QUFNQUN3Z0lBQU1BQUFEd0FBTUFDUWdFQUFDYUFnQUlDQVFBQUFBQ0FBY0lCQUFBd0FBQUJnZ0VBQUNhQWdBRkNBUUFBQUFSQUFRSUFnQzBBQU1JQkFBQUFIZ0FJd2dCQUFVTUNBRUFBQ2dJQVFBQktRZ0JBQUVxQ0FFQUFUSUlBUUFBS3dnQkFDZ3NDQUVBQ2dJSUVBQUFBQ1FBQUFBa0FBQUFKQUFBQUNRQUFRTUNBQUFBQWdNQ0FBRUFBQU15QUFnQS8vLy8vLy8vQUFBQUFBQUEvLzhBQUFBQS8vLy8vd0FBQUFELy93QUFBQUQvLy8vL0FBQUFBUC8vLy84QUFQLy9BQUVQQUFBQUFRQURBT1FFQlFCQmNtbGhiTF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RThQQUFBRUFoQUFBQUFBQUFBQUFBQ2ZLR2tCOHliTkNCWUlCQUFBQUNRQUdBZ0VBQUFBSkFBWkNBQUFFQWdDQUFJQUR3Z0NBQUVBQTRBT0R3QUFCQUlRQUlxVUxBR3lJWmdBNlJCZ0FjZXFoQUVLQUFJQVdBTUVnQThQQUFBQUFnZ0F4VEV0QVk0L1lBRUtBQUlBV1FNM0JBRUFBUUFBQklBUUR3QUFBQUlJQUlyVU93SEJzbWdCQ2dBQ0FGb0RBZ1FDQUFjQUt3UUNBQUFBSVFRQkFBRklCQUFBTndRQkFBRUdnQUFBQUFBQUFnZ0F2WWRBQVlGZFpBRUVBaEFBbTBVMUFZRmRaQUc5aDBBQmdVbHlBU01JQVFBQUFnY0NBQUFBQlFjQkFBRUFCdzRBQVFBQUFBTUFZQUR3QUFBQVRpc0pCdzRBQVFBQUFBTUFZQUR3QUFBQVRpc0FBQUFBQklBUkR3QUFBQUlJQU1VeExRSDFKWEVCQ2dBQ0FGc0ROd1FCQUFFQUFBU0FFZzhBQUFBQ0NBQytSMFFCL0E5YUFRb0FBZ0JjQXpjRUFRQUJBQUFFZ0JNUEFBQUFBZ2dBaXRRN0FUWnRTd0VLQUFJQVhRTTNCQUVBQVFBQUJJQVVEd0FBQUFJSUFMNUhSQUZ3eWp3QkNnQUNBRjRETndRQkFBRUFBQVNBRlE4QUFBQUNDQUNLMURzQnF5Y3VBUW9BQWdCZkF3SUVBZ0FIQUNzRUFnQUJBRWdFQUFBM0JBRUFBUWFBQUFBQUFBQUNDQUFqampZQmE5SXBBUVFDRUFDS2xDd0JhOUlwQWIySFFBSHJmRElCSXdnQkFBQUNCd0lBQUFBRkJ3RUFCQVFIQmdBQ0FBSUFCQUFBQnc0QUFRQUFBQU1BWUFEd0FBQUFUa2dKQnc0QUFRQUFBQU1BWUFEd0FBQUFUa2dBQUFBQUJJQVdEd0FBQUFJSUFMNUhSQUdIVlhjQkNnQUNBR0FEQWdRQ0FBZ0FLd1FDQUFFQVNBUUFBRGNFQVFBQkJvQUFBQUFBQUFJSUFQSDZTQUhIcW5JQkJBSVFBSXJVUGdISHFuSUJWeUZKQWNlcWhBRWpDQUVBQUFJSEFnQUFBQVVIQVFBQkFBY09BQUVBQUFBREFHQUE4QUFBQUU5SUNRY09BQUVBQUFBREFHQUE4QUFBQUU5SUFBQUFBQVNBRnc4QUFBQUNDQUMrUjBRQjVZUWZBUW9BQWdCaEF3SUVBZ0FRQUNzRUFnQUFBRWdFQUFBM0JBRUFBUWFBQUFBQUFBQUNDQUR4K2tnQlpZUWJBUVFDRUFDSzFENEJaWVFiQVZjaFNRRmxoU01CSXdnQkFBQUNCd0lBQUFBQUJ3MEFBUUFBQUFNQVlBRHdBQUFBVXdrSERRQUJBQUFBQXdCZ0FQQUFBQUJUQUFBQUFBU0FHQThBQUFBQ0NBQ0Q2bElCR1BnbkFRb0FBZ0JpQXdJRUFnQUlBQ3NFQWdBQUFFZ0VBQUEzQkFFQUFRYUFBQUFBQUFBQ0NBQzJuVmNCV0UwakFRUUNFQUJQZDAwQldFMGpBUnpFVndIWW9pd0JJd2dCQUFBQ0J3SUFBQUFBQncwQUFRQUFBQU1BWUFEd0FBQUFUd2tIRFFBQkFBQUFBd0JnQVBBQUFBQlBBQUFBQUFTQUdROEFBQUFDQ0FENHBEVUJzaEVYQVFvQUFnQmpBd0lFQWdBSUFDc0VBZ0FBQUVnRUFBQTNCQUVBQVFhQUFBQUFBQUFDQ0FBcldEb0I4bVlTQVFRQ0VBREVNVEFCOG1ZU0FaRitPZ0Z5dkJzQkl3Z0JBQUFDQndJQUFBQUFCdzBBQVFBQUFBTUFZQUR3QUFBQVR3a0hEUUFCQUFBQUF3QmdBUEFBQUFCUEFBQUFBQVNBR2c4QUFBQUNDQUR4dWt3QkgrSVFBUW9BQWdCa0F6Y0VBUUFCQUFBRWdCc1BBQUFBQWdnQXZrZEVBVm8vQWdFS0FBSUFaUU0zQkFFQUFRQUFCSUFjRHdBQUFBSUlBUEc2VEFHVW5QTUFDZ0FDQUdZRE53UUJBQUVBQUFTQUhROEFBQUFDQ0FDOVIwUUJ6dm5rQUFvQUFnQm5BemNFQVFBQkFBQUVnQjRQQUFBQUFnZ0E4YnBNQVFoWDFnQUtBQUlBYUFNM0JBRUFBUUFBQklBZkR3QUFBQUlJQUwxSFJBRkR0TWNBQ2dBQ0FHa0ROd1FCQUFFQUFBU0FJQThBQUFBQ0NBRHh1a3dCZlJHNUFBb0FBZ0JxQXpjRUFRQUJBQUFFZ0NFUEFBQUFBZ2dBdlVkRUFiZHVxZ0FLQUFJQWF3TTNCQUVBQVFBQUJJQWlEd0FBQUFJSUFQRzZUQUh5eTVzQUNnQUNBR3dEQWdRQ0FBa0FLd1FDQUFBQVNBUUFBRGNFQVFBQkJvQUFBQUFBQUFJSUFDUnVVUUd5SVpnQUJBSVFBSXAwUndHeUlaZ0FKRzVSQVRKMm53QWpDQUVBQUFJSEFnQUFBQUFIRFFBQkFBQUFBd0JnQVBBQUFBQkdDUWNOQUFFQUFBQURBR0FBOEFBQUFFWUFBQUFBQklBakR3QUFBQUlJQUZkaE13RzNicW9BQ2dBQ0FHMERBZ1FDQUFrQUt3UUNBQUFBU0FRQUFEY0VBUUFCQm9BQUFBQUFBQUlJQUlvVU9BRjN4S1lBQkFJUUFQQWFMZ0YzeEtZQWloUTRBZmNZcmdBakNBRUFBQUlIQWdBQUFBQUhEUUFCQUFBQUF3QmdBUEFBQUFCR0NRY05BQUVBQUFBREFHQUE4QUFBQUVZQUFBQUFCSUFrRHdBQUFBSUlBSXJVT3dIeXk1c0FDZ0FDQUc0REFnUUNBQWtBS3dRQ0FBQUFTQVFBQURjRUFRQUJCb0FBQUFBQUFBSUlBTDJIUUFHeUlaZ0FCQUlRQUNPT05nR3lJWmdBdllkQUFUSjJud0FqQ0FFQUFBSUhBZ0FBQUFBSERRQUJBQUFBQXdCZ0FQQUFBQUJHQ1FjTkFBRUFBQUFEQUdBQThBQUFBRVlBQUFBQUJJQWxEd0FBQUFJSUFMWmRXd0ZLbnJBQUNnQUNBRzhEQWdRQ0FBa0FLd1FDQUFBQVNBUUFBRGNFQVFBQkJvQUFBQUFBQUFJSUFPa1FZQUVLOUt3QUJBSVFBRThYVmdFSzlLd0E2UkJnQVlwSXRBQWpDQUVBQUFJSEFnQUFBQUFIRFFBQkFBQUFBd0JnQVBBQUFBQkdDUWNOQUFFQUFBQURBR0FBOEFBQUFFWUFBQUFBQklBbUR3QUFBQUlJQUxaZFd3R3doTUVBQ2dBQ0FIQURBZ1FDQUFrQUt3UUNBQUFBU0FRQUFEY0VBUUFCQm9BQUFBQUFBQUlJQU9rUVlBRncycjBBQkFJUUFFOFhWZ0Z3MnIwQTZSQmdBZkF1eFFBakNBRUFBQUlIQWdBQUFBQUhEUUFCQUFBQUF3QmdBUEFBQUFCR0NRY05BQUVBQUFBREFHQUE4QUFBQUVZQUFBQUFCSUFuRHdBQUFBSUlBUGlrTlFGMko5QUFDZ0FDQUhFREFnUUNBQWtBS3dRQ0FBQUFTQVFBQURjRUFRQUJCb0FBQUFBQUFBSUlBQ3RZT2dFMmZjd0FCQUlRQUpGZU1BRTJmY3dBSzFnNkFiYlIwd0FqQ0FFQUFBSUhBZ0FBQUFBSERRQUJBQUFBQXdCZ0FQQUFBQUJHQ1FjTkFBRUFBQUFEQUdBQThBQUFBRVlBQUFBQUJJQW9Ed0FBQUFJSUFQaWtOUUVQUWI4QUNnQUNBSElEQWdRQ0FBa0FLd1FDQUFBQVNBUUFBRGNFQVFBQkJvQUFBQUFBQUFJSUFDdFlPZ0hQbHJzQUJBSVFBSkZlTUFIUGxyc0FLMWc2QVUvcndnQWpDQUVBQUFJSEFnQUFBQUFIRFFBQkFBQUFBd0JnQVBBQUFBQkdDUWNOQUFFQUFBQURBR0FBOEFBQUFFWUFBQUFBQklBcER3QUFBQUlJQUxaZFd3SFY0ODBBQ2dBQ0FITURBZ1FDQUFrQUt3UUNBQUFBU0FRQUFEY0VBUUFCQm9BQUFBQUFBQUlJQU9rUVlBR1ZPY29BQkFJUUFFOFhWZ0dWT2NvQTZSQmdBUldPMFFBakNBRUFBQUlIQWdBQUFBQUhEUUFCQUFBQUF3QmdBUEFBQUFCR0NRY05BQUVBQUFBREFHQUE4QUFBQUVZQUFBQUFCSUFxRHdBQUFBSUlBTFpkV3dFOHl0NEFDZ0FDQUhRREFnUUNBQWtBS3dRQ0FBQUFTQVFBQURjRUFRQUJCb0FBQUFBQUFBSUlBT2tRWUFIOEg5c0FCQUlRQUU4WFZnSDhIOXNBNlJCZ0FYeDA0Z0FqQ0FFQUFBSUhBZ0FBQUFBSERRQUJBQUFBQXdCZ0FQQUFBQUJHQ1FjTkFBRUFBQUFEQUdBQThBQUFBRVlBQUFBQUJJQXJEd0FBQUFJSUFQaWtOUUVCYmUwQUNnQUNBSFVEQWdRQ0FBa0FLd1FDQUFBQVNBUUFBRGNFQVFBQkJvQUFBQUFBQUFJSUFDdFlPZ0hCd3VrQUJBSVFBSkZlTUFIQnd1a0FLMWc2QVVFWDhRQWpDQUVBQUFJSEFnQUFBQUFIRFFBQkFBQUFBd0JnQVBBQUFBQkdDUWNOQUFFQUFBQURBR0FBOEFBQUFFWUFBQUFBQklBc0R3QUFBQUlJQVBpa05RR2JodHdBQ2dBQ0FIWURBZ1FDQUFrQUt3UUNBQUFBU0FRQUFEY0VBUUFCQm9BQUFBQUFBQUlJQUN0WU9nRmIzTmdBQkFJUUFKRmVNQUZiM05nQUsxZzZBZHN3NEFBakNBRUFBQUlIQWdBQUFBQUhEUUFCQUFBQUF3QmdBUEFBQUFCR0NRY05BQUVBQUFBREFHQUE4QUFBQUVZQUFBQUFCSUF0RHdBQUFBSUlBTFpkV3dGaEtlc0FDZ0FDQUhjREFnUUNBQWtBS3dRQ0FBQUFTQVFBQURjRUFRQUJCb0FBQUFBQUFBSUlBT2tRWUFFaGYrY0FCQUlRQUU4WFZnRWhmK2NBNlJCZ0FhSFQ3Z0FqQ0FFQUFBSUhBZ0FBQUFBSERRQUJBQUFBQXdCZ0FQQUFBQUJHQ1FjTkFBRUFBQUFEQUdBQThBQUFBRVlBQUFBQUJJQXVEd0FBQUFJSUFMWmRXd0hIRC93QUNnQUNBSGdEQWdRQ0FBa0FLd1FDQUFBQVNBUUFBRGNFQVFBQkJvQUFBQUFBQUFJSUFPa1FZQUdIWmZnQUJBSVFBRThYVmdHSFpmZ0E2UkJnQVFlNi93QWpDQUVBQUFJSEFnQUFBQVVIQVFBQkFBY05BQUVBQUFBREFHQUE4QUFBQUVZSkJ3MEFBUUFBQUFNQVlBRHdBQUFBUmdBQUFBQUZnQzhQQUFBS0FBSUFlUU1FQmdRQUR3OEFBQVVHQkFBUUR3QUFDZ1lCQUFFQUFBV0FNQThBQUFvQUFnQjZBd1FHQkFBUUR3QUFCUVlFQUJFUEFBQUtCZ0VBQVFBQUJZQXhEd0FBQ2dBQ0FIc0RCQVlFQUJBUEFBQUZCZ1FBRWc4QUFBb0dBUUFCQUFBRmdESVBBQUFLQUFJQWZBTUVCZ1FBRWc4QUFBVUdCQUFURHdBQUNnWUJBQUVBQUFXQU13OEFBQW9BQWdCOUF3UUdCQUFURHdBQUJRWUVBQlFQQUFBS0JnRUFBUUFBQllBMER3QUFDZ0FDQUg0REJBWUVBQlFQQUFBRkJnUUFGUThBQUFvR0FRQUJBQUFGZ0RVUEFBQUtBQUlBZndNRUJnUUFGUThBQUFVR0JBQVhEd0FBQ2dZQkFBRUFBQVdBTmc4QUFBb0FBZ0NBQXdRR0JBQVhEd0FBQlFZRUFCZ1BBQUFBQmdJQUFnQUtCZ0VBQVFBQUJZQTNEd0FBQ2dBQ0FJRURCQVlFQUJjUEFBQUZCZ1FBR1E4QUFBQUdBZ0FDQUFvR0FRQUJBQUFGZ0RnUEFBQUtBQUlBZ2dNRUJnUUFGdzhBQUFVR0JBQWFEd0FBQ2dZQkFBRUFBQVdBT1E4QUFBb0FBZ0NEQXdRR0JBQWFEd0FBQlFZRUFCc1BBQUFLQmdFQUFRQUFCWUE2RHdBQUNnQUNBSVFEQkFZRUFCc1BBQUFGQmdRQUhBOEFBQW9HQVFBQkFBQUZnRHNQQUFBS0FBSUFoUU1FQmdRQUhBOEFBQVVHQkFBZER3QUFDZ1lCQUFFQUFBV0FQQThBQUFvQUFnQ0dBd1FHQkFBZER3QUFCUVlFQUI0UEFBQUtCZ0VBQVFBQUJZQTlEd0FBQ2dBQ0FJY0RCQVlFQUI0UEFBQUZCZ1FBSHc4QUFBb0dBUUFCQUFBRmdENFBBQUFLQUFJQWlBTUVCZ1FBSHc4QUFBVUdCQUFnRHdBQUNnWUJBQUVBQUFXQVB3OEFBQW9BQWdDSkF3UUdCQUFnRHdBQUJRWUVBQ0VQQUFBS0JnRUFBUUFBQllCQUR3QUFDZ0FDQUlvREJBWUVBQ0VQQUFBRkJnUUFJZzhBQUFvR0FRQUJBQUFGZ0VFUEFBQUtBQUlBaXdNRUJnUUFJUThBQUFVR0JBQWpEd0FBQ2dZQkFBRUFBQVdBUWc4QUFBb0FBZ0NNQXdRR0JBQWhEd0FBQlFZRUFDUVBBQUFLQmdFQUFRQUFCWUJERHdBQUNnQUNBSTBEQkFZRUFDQVBBQUFGQmdRQUpROEFBQW9HQVFBQkFBQUZnRVFQQUFBS0FBSUFqZ01FQmdRQUlBOEFBQVVHQkFBbUR3QUFDZ1lCQUFFQUFBV0FSUThBQUFvQUFnQ1BBd1FHQkFBZkR3QUFCUVlFQUNjUEFBQUtCZ0VBQVFBQUJZQkdEd0FBQ2dBQ0FKQURCQVlFQUI4UEFBQUZCZ1FBS0E4QUFBb0dBUUFCQUFBRmdFY1BBQUFLQUFJQWtRTUVCZ1FBSGc4QUFBVUdCQUFwRHdBQUNnWUJBQUVBQUFXQVNBOEFBQW9BQWdDU0F3UUdCQUFlRHdBQUJRWUVBQ29QQUFBS0JnRUFBUUFBQllCSkR3QUFDZ0FDQUpNREJBWUVBQjBQQUFBRkJnUUFLdzhBQUFvR0FRQUJBQUFGZ0VvUEFBQUtBQUlBbEFNRUJnUUFIUThBQUFVR0JBQXNEd0FBQ2dZQkFBRUFBQVdBU3c4QUFBb0FBZ0NWQXdRR0JBQWNEd0FBQlFZRUFDMFBBQUFLQmdFQUFRQUFCWUJNRHdBQUNnQUNBSllEQkFZRUFCd1BBQUFGQmdRQUxnOEFBQW9HQVFBQkFBQUZnRTBQQUFBS0FBSUFsd01FQmdRQUZnOEFBQVVHQkFBUUR3QUFDZ1lCQUFFQUFBQUFBQUFBQUFBQQ==</t>
        </r>
      </text>
    </comment>
    <comment ref="D55" authorId="0" shapeId="0" xr:uid="{F4732DD1-4106-4E41-93A3-6777F6F41630}">
      <text>
        <r>
          <rPr>
            <sz val="9"/>
            <color indexed="81"/>
            <rFont val="Tahoma"/>
            <family val="2"/>
          </rPr>
          <t>QzEzSDE2RjEzTjJPM1MtfFBpY3R1cmUgMTl8Vm1wRFJEQXhNREFFQXdJQkFBQUFBQUFBQUFBQUFBQ0FBQUFBQUFNQUZnQUFBRU5vWlcxRWNtRjNJREl5TGpJdU1DNHpNekF3Q0FBVEFBQUFWVzUwYVhSc1pXUWdSRzlqZFcxbGJuUUVBaEFBUTVBY0Faa1piZ0JHbkdJQjZ6K3ZBUUVKQ0FBQWdFQUFBSUJBQUFJSkNBQUF3Q0VBQU1DMUFnMElBUUFCQ0FjQkFBRTZCQUVBQVRzRUFRQUFSUVFCQUFFOEJBRUFBRW9FQVFBQURBWUJBQUVQQmdFQUFRMEdBUUFBUWdRQkFBQkRCQUVBQUVRRUFRQUFEZ2dDQURRVE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09jRkFBQUVBaEFBQUFBQUFBQUFBQUNFUlpVQlBlcEVFaFlJQkFBQUFDUUFHQWdFQUFBQUpBQVpDQUFBRUFnQ0FBRUFEd2dDQUFFQUE0Q2xCUUFBQkFJUUFFT1FIQUdaR1c0QVJweGlBZXMvcndFS0FBSUFKUUlFZ0tZRkFBQUFBZ2dBUk1BY0FZTUJod0VLQUFJQUpnSTNCQUVBQVFBQUJJQ25CUUFBQUFJSUFOOW5NUUZRN3BJQkNnQUNBQ2NDQWdRQ0FBY0FLd1FDQUFBQUlRUUJBQUZJQkFBQU53UUJBQUVHZ0FBQUFBQUFBZ2dBRWhzMkFSQ1pqZ0VFQWhBQThOZ3FBUkNaamdFU0d6WUJFSVdjQVNNSUFRQUFBZ2NDQUFBQUJRY0JBQUVBQnc0QUFRQUFBQU1BWUFEd0FBQUFUaXNKQnc0QUFRQUFBQU1BWUFEd0FBQUFUaXNBQUFBQUJJQ29CUUFBQUFJSUFLeFVQUUhybGFjQkNnQUNBQ2dDQWdRQ0FBZ0FLd1FDQUFBQUlRUUJBUDlJQkFBQU53UUJBQUVHZ0FBQUFBQUFBZ2dBM3dkQ0FTdnJvZ0VFQWhBQWVPRTNBU3Zyb2dGRkxrSUI2eit2QVNNSUFRQUFBZ2NDQUFBQUJRY0JBQUVBQnc0QUFRQUFBQU1BWUFEd0FBQUFUeTBKQnc0QUFRQUFBQU1BWUFEd0FBQUFUeTBBQUFBQUJJQ3BCUUFBQUFJSUFLeFVQUUcxUm40QkNnQUNBQ2tDTndRQkFBRUFBQVNBcWdVQUFBQUNDQURmWnpFQkc1OXBBUW9BQWdBcUFqY0VBUUFCQUFBRWdLc0ZBQUFBQWdnQXJGUTlBWUQzVkFFS0FBSUFLd0kzQkFFQUFRQUFCSUNzQlFBQUFBSUlBTjluTVFIbFQwQUJDZ0FDQUN3Q0FnUUNBQWNBS3dRQ0FBQUFJUVFCQVA5SUJBQUFOd1FCQUFFR2dBQUFBQUFBQWdnQUVoczJBYVg2T3dFRUFoQUFlQ0VzQWFYNk93RVNHellCWmFSSEFTTUlBUUFBQWdjQ0FBQUFCUWNCQUFFQUJ3NEFBUUFBQUFNQVlBRHdBQUFBVGkwSkJ3NEFBUUFBQUFNQVlBRHdBQUFBVGkwQUFBQUFCSUN0QlFBQUFBSUlBS3hVUFFGS3FDc0JDZ0FDQUMwQ0FnUUNBQkFBS3dRQ0FBQUFTQVFBQURjRUFRQUJCb0FBQUFBQUFBSUlBTjhIUWdIS3B5Y0JCQUlRQUhqaE53SEtweWNCUlM1Q0FjcW9Md0VqQ0FFQUFBSUhBZ0FBQUFBSERRQUJBQUFBQXdCZ0FQQUFBQUJUQ1FjTkFBRUFBQUFEQUdBQThBQUFBRk1BQUFBQUJJQ3VCUUFBQUFJSUFFZjhVUUVYbFRjQkNnQUNBQzRDQWdRQ0FBZ0FLd1FDQUFBQVNBUUFBRGNFQVFBQkJvQUFBQUFBQUFJSUFIcXZWZ0ZYNmpJQkJBSVFBQk9KVEFGWDZqSUI0TlZXQWRjL1BBRWpDQUVBQUFJSEFnQUFBQUFIRFFBQkFBQUFBd0JnQVBBQUFBQlBDUWNOQUFFQUFBQURBR0FBOEFBQUFFOEFBQUFBQklDdkJRQUFBQUlJQUJHdEtBRjl1eDhCQ2dBQ0FDOENBZ1FDQUFnQUt3UUNBQUFBU0FRQUFEY0VBUUFCQm9BQUFBQUFBQUlJQUVSZ0xRRzlFQnNCQkFJUUFOMDVJd0c5RUJzQnFvWXRBVDFtSkFFakNBRUFBQUlIQWdBQUFBQUhEUUFCQUFBQUF3QmdBUEFBQUFCUENRY05BQUVBQUFBREFHQUE4QUFBQUU4QUFBQUFCSUN3QlFBQUFBSUlBSGxCU1FHdkFCY0JDZ0FDQURBQ053UUJBQUVBQUFTQXNRVUFBQUFDQ0FDc1ZEMEJGVmtDQVFvQUFnQXhBamNFQVFBQkFBQUVnTElGQUFBQUFnZ0FlVUZKQVhxeDdRQUtBQUlBTWdJM0JBRUFBUUFBQklDekJRQUFBQUlJQUt4VVBRSGZDZGtBQ2dBQ0FETUNOd1FCQUFFQUFBU0F0QVVBQUFBQ0NBQjVRVWtCUkdMRUFBb0FBZ0EwQWpjRUFRQUJBQUFFZ0xVRkFBQUFBZ2dBckZROUFhbTZyd0FLQUFJQU5RSTNCQUVBQVFBQUJJQzJCUUFBQUFJSUFIbEJTUUVQRTVzQUNnQUNBRFlDTndRQkFBRUFBQVNBdHdVQUFBQUNDQUNzVkQwQmRHdUdBQW9BQWdBM0FqY0VBUUFCQUFBRWdMZ0ZBQUFBQWdnQWVVRkpBZG5EY1FBS0FBSUFPQUlDQkFJQUNRQXJCQUlBQUFCSUJBQUFOd1FCQUFFR2dBQUFBQUFBQWdnQXJQUk5BWmtaYmdBRUFoQUFFdnREQVprWmJnQ3M5RTBCR1c1MUFDTUlBUUFBQWdjQ0FBQUFBQWNOQUFFQUFBQURBR0FBOEFBQUFFWUpCdzBBQVFBQUFBTUFZQUR3QUFBQVJnQUFBQUFFZ0xrRkFBQUFBZ2dBRW5zbEFYUnJoZ0FLQUFJQU9RSUNCQUlBQ1FBckJBSUFBQUJJQkFBQU53UUJBQUVHZ0FBQUFBQUFBZ2dBUlM0cUFUVEJnZ0FFQWhBQXF6UWdBVFRCZ2dCRkxpb0J0QldLQUNNSUFRQUFBZ2NDQUFBQUFBY05BQUVBQUFBREFHQUE4QUFBQUVZSkJ3MEFBUUFBQUFNQVlBRHdBQUFBUmdBQUFBQUVnTG9GQUFBQUFnZ0EzMmN4QWRuRGNRQUtBQUlBT2dJQ0JBSUFDUUFyQkFJQUFBQklCQUFBTndRQkFBRUdnQUFBQUFBQUFnZ0FFaHMyQVprWmJnQUVBaEFBZUNFc0Faa1piZ0FTR3pZQkdXNTFBQ01JQVFBQUFnY0NBQUFBQUFjTkFBRUFBQUFEQUdBQThBQUFBRVlKQncwQUFRQUFBQU1BWUFEd0FBQUFSZ0FBQUFBRWdMc0ZBQUFBQWdnQUUrbGRBVUltandBS0FBSUFPd0lDQkFJQUNRQXJCQUlBQUFCSUJBQUFOd1FCQUFFR2dBQUFBQUFBQWdnQVJweGlBUUo4aXdBRUFoQUFyS0pZQVFKOGl3QkduR0lCZ3RDU0FDTUlBUUFBQWdjQ0FBQUFBQWNOQUFFQUFBQURBR0FBOEFBQUFFWUpCdzBBQVFBQUFBTUFZQUR3QUFBQVJnQUFBQUFFZ0x3RkFBQUFBZ2dBRStsZEFkdi9wZ0FLQUFJQVBBSUNCQUlBQ1FBckJBSUFBQUJJQkFBQU53UUJBQUVHZ0FBQUFBQUFBZ2dBUnB4aUFadFZvd0FFQWhBQXJLSllBWnRWb3dCR25HSUJHNnFxQUNNSUFRQUFBZ2NDQUFBQUFBY05BQUVBQUFBREFHQUE4QUFBQUVZSkJ3MEFBUUFBQUFNQVlBRHdBQUFBUmdBQUFBQUVnTDBGQUFBQUFnZ0FFYTBvQVhhbnV3QUtBQUlBUFFJQ0JBSUFDUUFyQkFJQUFBQklCQUFBTndRQkFBRUdnQUFBQUFBQUFnZ0FSR0F0QVRiOXR3QUVBaEFBcW1ZakFUYjl0d0JFWUMwQnRsRy9BQ01JQVFBQUFnY0NBQUFBQUFjTkFBRUFBQUFEQUdBQThBQUFBRVlKQncwQUFRQUFBQU1BWUFEd0FBQUFSZ0FBQUFBRWdMNEZBQUFBQWdnQUVhMG9BZDNOb3dBS0FBSUFQZ0lDQkFJQUNRQXJCQUlBQUFCSUJBQUFOd1FCQUFFR2dBQUFBQUFBQWdnQVJHQXRBWjBqb0FBRUFoQUFxbVlqQVowam9BQkVZQzBCSFhpbkFDTUlBUUFBQWdjQ0FBQUFBQWNOQUFFQUFBQURBR0FBOEFBQUFFWUpCdzBBQVFBQUFBTUFZQUR3QUFBQVJnQUFBQUFFZ0w4RkFBQUFBZ2dBRStsZEFYZDF1QUFLQUFJQVB3SUNCQUlBQ1FBckJBSUFBQUJJQkFBQU53UUJBQUVHZ0FBQUFBQUFBZ2dBUnB4aUFUZkx0QUFFQWhBQXJLSllBVGZMdEFCR25HSUJ0eCs4QUNNSUFRQUFBZ2NDQUFBQUFBY05BQUVBQUFBREFHQUE4QUFBQUVZSkJ3MEFBUUFBQUFNQVlBRHdBQUFBUmdBQUFBQUVnTUFGQUFBQUFnZ0FFK2xkQVJGUDBBQUtBQUlBUUFJQ0JBSUFDUUFyQkFJQUFBQklCQUFBTndRQkFBRUdnQUFBQUFBQUFnZ0FScHhpQWRHa3pBQUVBaEFBcktKWUFkR2t6QUJHbkdJQlVmblRBQ01JQVFBQUFnY0NBQUFBQUFjTkFBRUFBQUFEQUdBQThBQUFBRVlKQncwQUFRQUFBQU1BWUFEd0FBQUFSZ0FBQUFBRWdNRUZBQUFBQWdnQUVhMG9BYXoyNUFBS0FBSUFRUUlDQkFJQUNRQXJCQUlBQUFCSUJBQUFOd1FCQUFFR2dBQUFBQUFBQWdnQVJHQXRBV3hNNFFBRUFoQUFxbVlqQVd4TTRRQkVZQzBCN0tEb0FDTUlBUUFBQWdjQ0FBQUFBQWNOQUFFQUFBQURBR0FBOEFBQUFFWUpCdzBBQVFBQUFBTUFZQUR3QUFBQVJnQUFBQUFFZ01JRkFBQUFBZ2dBRWEwb0FSSWR6UUFLQUFJQVFnSUNCQUlBQ1FBckJBSUFBQUJJQkFBQU53UUJBQUVHZ0FBQUFBQUFBZ2dBUkdBdEFkSnl5UUFFQWhBQXFtWWpBZEp5eVFCRVlDMEJVc2ZRQUNNSUFRQUFBZ2NDQUFBQUFBY05BQUVBQUFBREFHQUE4QUFBQUVZSkJ3MEFBUUFBQUFNQVlBRHdBQUFBUmdBQUFBQUVnTU1GQUFBQUFnZ0FFK2xkQWEzRTRRQUtBQUlBUXdJQ0JBSUFDUUFyQkFJQUFBQklCQUFBTndRQkFBRUdnQUFBQUFBQUFnZ0FScHhpQVcwYTNnQUVBaEFBcktKWUFXMGEzZ0JHbkdJQjdXN2xBQ01JQVFBQUFnY0NBQUFBQUFjTkFBRUFBQUFEQUdBQThBQUFBRVlKQncwQUFRQUFBQU1BWUFEd0FBQUFSZ0FBQUFBRWdNUUZBQUFBQWdnQUUrbGRBVWVlK1FBS0FBSUFSQUlDQkFJQUNRQXJCQUlBQUFCSUJBQUFOd1FCQUFFR2dBQUFBQUFBQWdnQVJweGlBUWYwOVFBRUFoQUFyS0pZQVFmMDlRQkduR0lCaDBqOUFDTUlBUUFBQWdjQ0FBQUFBQWNOQUFFQUFBQURBR0FBOEFBQUFFWUpCdzBBQVFBQUFBTUFZQUR3QUFBQVJnQUFBQUFFZ01VRkFBQUFBZ2dBUk1BY0FSM2JuZ0VLQUFJQVl3STNCQUVBQVFBQUJZREdCUUFBQ2dBQ0FFVUNCQVlFQUtZRkFBQUZCZ1FBcHdVQUFBb0dBUUFCQUFBRmdNY0ZBQUFLQUFJQVJnSUVCZ1FBcHdVQUFBVUdCQUNvQlFBQUNnWUJBQUVBQUFXQXlBVUFBQW9BQWdCSEFnUUdCQUNuQlFBQUJRWUVBS2tGQUFBS0JnRUFBUUFBQllESkJRQUFDZ0FDQUVnQ0JBWUVBS2tGQUFBRkJnUUFxZ1VBQUFvR0FRQUJBQUFGZ01vRkFBQUtBQUlBU1FJRUJnUUFxZ1VBQUFVR0JBQ3JCUUFBQ2dZQkFBRUFBQVdBeXdVQUFBb0FBZ0JLQWdRR0JBQ3JCUUFBQlFZRUFLd0ZBQUFLQmdFQUFRQUFCWURNQlFBQUNnQUNBRXNDQkFZRUFLd0ZBQUFGQmdRQXJRVUFBQW9HQVFBQkFBQUZnTTBGQUFBS0FBSUFUQUlFQmdRQXJRVUFBQVVHQkFDdUJRQUFBQVlDQUFJQUNnWUJBQUVBQUFXQXpnVUFBQW9BQWdCTkFnUUdCQUN0QlFBQUJRWUVBSzhGQUFBQUJnSUFBZ0FLQmdFQUFRQUFCWURQQlFBQUNnQUNBRTRDQkFZRUFLMEZBQUFGQmdRQXNBVUFBQW9HQVFBQkFBQUZnTkFGQUFBS0FBSUFUd0lFQmdRQXNBVUFBQVVHQkFDeEJRQUFDZ1lCQUFFQUFBV0EwUVVBQUFvQUFnQlFBZ1FHQkFDeEJRQUFCUVlFQUxJRkFBQUtCZ0VBQVFBQUJZRFNCUUFBQ2dBQ0FGRUNCQVlFQUxJRkFBQUZCZ1FBc3dVQUFBb0dBUUFCQUFBRmdOTUZBQUFLQUFJQVVnSUVCZ1FBc3dVQUFBVUdCQUMwQlFBQUNnWUJBQUVBQUFXQTFBVUFBQW9BQWdCVEFnUUdCQUMwQlFBQUJRWUVBTFVGQUFBS0JnRUFBUUFBQllEVkJRQUFDZ0FDQUZRQ0JBWUVBTFVGQUFBRkJnUUF0Z1VBQUFvR0FRQUJBQUFGZ05ZRkFBQUtBQUlBVlFJRUJnUUF0Z1VBQUFVR0JBQzNCUUFBQ2dZQkFBRUFBQVdBMXdVQUFBb0FBZ0JXQWdRR0JBQzNCUUFBQlFZRUFMZ0ZBQUFLQmdFQUFRQUFCWURZQlFBQUNnQUNBRmNDQkFZRUFMY0ZBQUFGQmdRQXVRVUFBQW9HQVFBQkFBQUZnTmtGQUFBS0FBSUFXQUlFQmdRQXR3VUFBQVVHQkFDNkJRQUFDZ1lCQUFFQUFBV0EyZ1VBQUFvQUFnQlpBZ1FHQkFDMkJRQUFCUVlFQUxzRkFBQUtCZ0VBQVFBQUJZRGJCUUFBQ2dBQ0FGb0NCQVlFQUxZRkFBQUZCZ1FBdkFVQUFBb0dBUUFCQUFBRmdOd0ZBQUFLQUFJQVd3SUVCZ1FBdFFVQUFBVUdCQUM5QlFBQUNnWUJBQUVBQUFXQTNRVUFBQW9BQWdCY0FnUUdCQUMxQlFBQUJRWUVBTDRGQUFBS0JnRUFBUUFBQllEZUJRQUFDZ0FDQUYwQ0JBWUVBTFFGQUFBRkJnUUF2d1VBQUFvR0FRQUJBQUFGZ044RkFBQUtBQUlBWGdJRUJnUUF0QVVBQUFVR0JBREFCUUFBQ2dZQkFBRUFBQVdBNEFVQUFBb0FBZ0JmQWdRR0JBQ3pCUUFBQlFZRUFNRUZBQUFLQmdFQUFRQUFCWURoQlFBQUNnQUNBR0FDQkFZRUFMTUZBQUFGQmdRQXdnVUFBQW9HQVFBQkFBQUZnT0lGQUFBS0FBSUFZUUlFQmdRQXNnVUFBQVVHQkFEREJRQUFDZ1lCQUFFQUFBV0E0d1VBQUFvQUFnQmlBZ1FHQkFDeUJRQUFCUVlFQU1RRkFBQUtCZ0VBQVFBQUJZRGtCUUFBQ2dBQ0FHUUNCQVlFQUtjRkFBQUZCZ1FBeFFVQUFBb0dBUUFCQUFBQUFBQUFBQUFBQUE9PQ==</t>
        </r>
      </text>
    </comment>
    <comment ref="D56" authorId="0" shapeId="0" xr:uid="{AA5776CE-C799-4116-A630-46D9A83395CB}">
      <text>
        <r>
          <rPr>
            <sz val="9"/>
            <color indexed="81"/>
            <rFont val="Tahoma"/>
            <family val="2"/>
          </rPr>
          <t>QzE1SDIwRjEzTjJPNFMrfFBpY3R1cmUgNTR8Vm1wRFJEQXhNREFFQXdJQkFBQUFBQUFBQUFBQUFBQ0FBQUFBQUFNQUZnQUFBRU5vWlcxRWNtRjNJREl5TGpJdU1DNHpNekF3Q0FBVEFBQUFWVzUwYVhSc1pXUWdSRzlqZFcxbGJuUUVBaEFBN0pPVUFGenBGUUJFYzg4QTVEQWhBUUVKQ0FBQWdFQUFBSUJBQUFJSkNBQUF3Q0VBQU1DMUFnMElBUUFCQ0FjQkFBRTZCQUVBQVRzRUFRQUFSUVFCQUFFOEJBRUFBRW9FQVFBQURBWUJBQUVQQmdFQUFRMEdBUUFBUWdRQkFBQkRCQUVBQUVRRUFRQUFEZ2dDQU80S0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tRSUFBQUVBaEFBQUFBQUFBQUFBQUJKdWRvQWdMT2JDeFlJQkFBQUFDUUFHQWdFQUFBQUpBQVpDQUFBRUFnQ0FBRUFEd2dDQUFFQUE0QmRDQUFBQkFJUUFPeVRsQUJjNlJVQVJIUFBBT1F3SVFFS0FBSUFBUUFFZ0Y0SUFBQUFBZ2dBTGs2Y0FOQXc4QUFLQUFJQUFnQTNCQUVBQVFBQUJJQmZDQUFBQUFJSUFCOEhxd0RRc09jQUNnQUNBQU1BQWdRQ0FBY0FLd1FDQUFBQUlRUUJBQUZJQkFBQU53UUJBQUVHZ0FBQUFBQUFBZ2dBVXJxdkFKQmI0d0FFQWhBQU1IaWtBSkJiNHdCU3VxOEFrRWZ4QUNNSUFRQUFBZ2NDQUFBQUJRY0JBQUVBQnc0QUFRQUFBQU1BWUFEd0FBQUFUaXNKQnc0QUFRQUFBQU1BWUFEd0FBQUFUaXNBQUFBQUJJQmdDQUFBQUFJSUFDNU9uQURRTU44QUNnQUNBQVFBTndRQkFBRUFBQVNBWVFnQUFBQUNDQUFmaDdNQTN2ZllBQW9BQWdBRkFEY0VBUUFCQUFBRWdHSUlBQUFBQWdnQUh3ZXJBTzAreWdBS0FBSUFCZ0EzQkFFQUFRQUFCSUJqQ0FBQUFBSUlBQitIc3dEOGhic0FDZ0FDQUFjQU53UUJBQUVBQUFTQVpBZ0FBQUFDQ0FBZkI2c0FDczJzQUFvQUFnQUlBQUlFQWdBSEFDc0VBZ0FCQUVnRUFBQTNCQUVBQVFhQUFBQUFBQUFDQ0FDNXdLVUF5bmVvQUFRQ0VBQWZ4NXNBeW5lb0FGSzZyd0JLSXJFQUl3Z0JBQUFDQndJQUFBQUZCd0VBQkFRSEJnQUNBQUlBQkFBQUJ3NEFBUUFBQUFNQVlBRHdBQUFBVGtnSkJ3NEFBUUFBQUFNQVlBRHdBQUFBVGtnQUFBQUFCSUJsQ0FBQUFBSUlBQitIc3dBWkZKNEFDZ0FDQUFrQUFnUUNBQkFBS3dRQ0FBQUFTQVFBQURjRUFRQUJCb0FBQUFBQUFBSUlBRkk2dUFDWkU1b0FCQUlRQU93VHJnQ1pFNW9BdVdDNEFKa1VvZ0FqQ0FFQUFBSUhBZ0FBQUFBSERRQUJBQUFBQXdCZ0FQQUFBQUJUQ1FjTkFBRUFBQUFEQUdBQThBQUFBRk1BQUFBQUJJQm1DQUFBQUFJSUFCQkF3Z0FabEtZQUNnQUNBQW9BQWdRQ0FBZ0FLd1FDQUFBQVNBUUFBRGNFQVFBQkJvQUFBQUFBQUFJSUFFVHp4Z0JaNmFFQUJBSVFBTjNNdkFCWjZhRUFxaG5IQU5rK3F3QWpDQUVBQUFJSEFnQUFBQUFIRFFBQkFBQUFBd0JnQVBBQUFBQlBDUWNOQUFFQUFBQURBR0FBOEFBQUFFOEFBQUFBQklCbkNBQUFBQUlJQUM3T3BBQVpsSlVBQ2dBQ0FBc0FBZ1FDQUFnQUt3UUNBQUFBU0FRQUFEY0VBUUFCQm9BQUFBQUFBQUlJQUdHQnFRQlo2WkFBQkFJUUFQdGFud0JaNlpBQXlLZXBBTmsrbWdBakNBRUFBQUlIQWdBQUFBQUhEUUFCQUFBQUF3QmdBUEFBQUFCUENRY05BQUVBQUFBREFHQUE4QUFBQUU4QUFBQUFCSUJvQ0FBQUFBSUlBQjhIdkFBb1c0OEFDZ0FDQUF3QU53UUJBQUVBQUFTQWFRZ0FBQUFDQ0FBZmg3TUFOcUtBQUFvQUFnQU5BRGNFQVFBQkFBQUVnR29JQUFBQUFnZ0FId2U4QUVUcGNRQUtBQUlBRGdBM0JBRUFBUUFBQklCckNBQUFBQUlJQUIrSHN3QlRNR01BQ2dBQ0FBOEFOd1FCQUFFQUFBU0FiQWdBQUFBQ0NBQWZCN3dBWW5kVUFBb0FBZ0FRQURjRUFRQUJBQUFFZ0cwSUFBQUFBZ2dBSDRlekFIRytSUUFLQUFJQUVRQTNCQUVBQVFBQUJJQnVDQUFBQUFJSUFCOEh2QUIvQlRjQUNnQUNBQklBTndRQkFBRUFBQVNBYndnQUFBQUNDQUFmaDdNQWprd29BQW9BQWdBVEFEY0VBUUFCQUFBRWdIQUlBQUFBQWdnQUg0ZWlBSTVNS0FBS0FBSUFGQUFDQkFJQUNRQXJCQUlBQUFCSUJBQUFOd1FCQUFFR2dBQUFBQUFBQWdnQVVqcW5BRTZpSkFBRUFoQUF1VUNkQUU2aUpBQlNPcWNBenZZckFDTUlBUUFBQWdjQ0FBQUFBQWNOQUFFQUFBQURBR0FBOEFBQUFFWUpCdzBBQVFBQUFBTUFZQUR3QUFBQVJnQUFBQUFFZ0hFSUFBQUFBZ2dBSHdlckFKeVRHUUFLQUFJQUZRQUNCQUlBQ1FBckJBSUFBQUJJQkFBQU53UUJBQUVHZ0FBQUFBQUFBZ2dBVXJxdkFGenBGUUFFQWhBQXVjQ2xBRnpwRlFCU3VxOEEzRDBkQUNNSUFRQUFBZ2NDQUFBQUFBY05BQUVBQUFBREFHQUE4QUFBQUVZSkJ3MEFBUUFBQUFNQVlBRHdBQUFBUmdBQUFBQUVnSElJQUFBQUFnZ0FId2U4QUp5VEdRQUtBQUlBRmdBQ0JBSUFDUUFyQkFJQUFBQklCQUFBTndRQkFBRUdnQUFBQUFBQUFnZ0FVcnJBQUZ6cEZRQUVBaEFBdWNDMkFGenBGUUJTdXNBQTNEMGRBQ01JQVFBQUFnY0NBQUFBQUFjTkFBRUFBQUFEQUdBQThBQUFBRVlKQncwQUFRQUFBQU1BWUFEd0FBQUFSZ0FBQUFBRWdITUlBQUFBQWdnQUVjREtBSCtGTGdBS0FBSUFGd0FDQkFJQUNRQXJCQUlBQUFCSUJBQUFOd1FCQUFFR2dBQUFBQUFBQWdnQVJIUFBBRC9iS2dBRUFoQUFxbm5GQUQvYktnQkVjODhBdnk4eUFDTUlBUUFBQWdjQ0FBQUFBQWNOQUFFQUFBQURBR0FBOEFBQUFFWUpCdzBBQVFBQUFBTUFZQUR3QUFBQVJnQUFBQUFFZ0hRSUFBQUFBZ2dBRWNES0FIK0ZQd0FLQUFJQUdBQUNCQUlBQ1FBckJBSUFBQUJJQkFBQU53UUJBQUVHZ0FBQUFBQUFBZ2dBUkhQUEFEL2JPd0FFQWhBQXFubkZBRC9iT3dCRWM4OEF2eTlEQUNNSUFRQUFBZ2NDQUFBQUFBY05BQUVBQUFBREFHQUE4QUFBQUVZSkJ3MEFBUUFBQUFNQVlBRHdBQUFBUmdBQUFBQUVnSFVJQUFBQUFnZ0FMczZrQUhFK1RnQUtBQUlBR1FBQ0JBSUFDUUFyQkFJQUFBQklCQUFBTndRQkFBRUdnQUFBQUFBQUFnZ0FZWUdwQURHVVNnQUVBaEFBeUllZkFER1VTZ0JoZ2FrQXNlaFJBQ01JQVFBQUFnY0NBQUFBQUFjTkFBRUFBQUFEQUdBQThBQUFBRVlKQncwQUFRQUFBQU1BWUFEd0FBQUFSZ0FBQUFBRWdIWUlBQUFBQWdnQUxzNmtBSEUrUFFBS0FBSUFHZ0FDQkFJQUNRQXJCQUlBQUFCSUJBQUFOd1FCQUFFR2dBQUFBQUFBQWdnQVlZR3BBREdVT1FBRUFoQUF5SWVmQURHVU9RQmhnYWtBc2VoQUFDTUlBUUFBQWdjQ0FBQUFBQWNOQUFFQUFBQURBR0FBOEFBQUFFWUpCdzBBQVFBQUFBTUFZQUR3QUFBQVJnQUFBQUFFZ0hjSUFBQUFBZ2dBRWNES0FHTDNTd0FLQUFJQUd3QUNCQUlBQ1FBckJBSUFBQUJJQkFBQU53UUJBQUVHZ0FBQUFBQUFBZ2dBUkhQUEFDSk5TQUFFQWhBQXFubkZBQ0pOU0FCRWM4OEFvcUZQQUNNSUFRQUFBZ2NDQUFBQUFBY05BQUVBQUFBREFHQUE4QUFBQUVZSkJ3MEFBUUFBQUFNQVlBRHdBQUFBUmdBQUFBQUVnSGdJQUFBQUFnZ0FFY0RLQUdMM1hBQUtBQUlBSEFBQ0JBSUFDUUFyQkFJQUFBQklCQUFBTndRQkFBRUdnQUFBQUFBQUFnZ0FSSFBQQUNKTldRQUVBaEFBcW5uRkFDSk5XUUJFYzg4QW9xRmdBQ01JQVFBQUFnY0NBQUFBQUFjTkFBRUFBQUFEQUdBQThBQUFBRVlKQncwQUFRQUFBQU1BWUFEd0FBQUFSZ0FBQUFBRWdIa0lBQUFBQWdnQUxzNmtBRk93YXdBS0FBSUFIUUFDQkFJQUNRQXJCQUlBQUFCSUJBQUFOd1FCQUFFR2dBQUFBQUFBQWdnQVlZR3BBQk1HYUFBRUFoQUF5SWVmQUJNR2FBQmhnYWtBazFwdkFDTUlBUUFBQWdjQ0FBQUFBQWNOQUFFQUFBQURBR0FBOEFBQUFFWUpCdzBBQVFBQUFBTUFZQUR3QUFBQVJnQUFBQUFFZ0hvSUFBQUFBZ2dBTHM2a0FGT3dXZ0FLQUFJQUhnQUNCQUlBQ1FBckJBSUFBQUJJQkFBQU53UUJBQUVHZ0FBQUFBQUFBZ2dBWVlHcEFCTUdWd0FFQWhBQXlJZWZBQk1HVndCaGdha0FrMXBlQUNNSUFRQUFBZ2NDQUFBQUFBY05BQUVBQUFBREFHQUE4QUFBQUVZSkJ3MEFBUUFBQUFNQVlBRHdBQUFBUmdBQUFBQUVnSHNJQUFBQUFnZ0FFY0RLQUVScGFRQUtBQUlBSHdBQ0JBSUFDUUFyQkFJQUFBQklCQUFBTndRQkFBRUdnQUFBQUFBQUFnZ0FSSFBQQUFTL1pRQUVBaEFBcW5uRkFBUy9aUUJFYzg4QWhCTnRBQ01JQVFBQUFnY0NBQUFBQUFjTkFBRUFBQUFEQUdBQThBQUFBRVlKQncwQUFRQUFBQU1BWUFEd0FBQUFSZ0FBQUFBRWdId0lBQUFBQWdnQUVjREtBRVZwZWdBS0FBSUFJQUFDQkFJQUNRQXJCQUlBQUFCSUJBQUFOd1FCQUFFR2dBQUFBQUFBQWdnQVJIUFBBQVcvZGdBRUFoQUFxbm5GQUFXL2RnQkVjODhBaFJOK0FDTUlBUUFBQWdjQ0FBQUFBQWNOQUFFQUFBQURBR0FBOEFBQUFFWUpCdzBBQVFBQUFBTUFZQUR3QUFBQVJnQUFBQUFFZ0gwSUFBQUFBZ2dBSDRlekFNRnA5Z0FLQUFJQUlRQTNCQUVBQVFBQUJJQitDQUFBQUFJSUFCOEhxd0N6SWdVQkNnQUNBQ0lBTndRQkFBRUFBQVNBZndnQUFBQUNDQUFmQjVvQXN5SUZBUW9BQWdBakFBSUVBZ0FJQUNzRUFnQUFBRWdFQUFBM0JBRUFBUWFBQUFBQUFBQUNDQUJTdXA0QTgzY0FBUVFDRUFEc2s1UUE4M2NBQWJuZ25nQnp6UWtCSXdnQkFBQUNCd0lBQUFBQUJ3MEFBUUFBQUFNQVlBRHdBQUFBVHdrSERRQUJBQUFBQXdCZ0FQQUFBQUJQQUFBQUFBU0FnQWdBQUFBQ0NBQWZoN01BcE5zVEFRb0FBZ0FrQUFJRUFnQUlBQ3NFQWdBQkFFZ0VBQUEzQkFFQUFRYUFBQUFBQUFBQ0NBQlNPcmdBNURBUEFRUUNFQURzRTY0QTVEQVBBYmxndUFEa01DRUJJd2dCQUFBQ0J3SUFBQUFGQndFQUFRQUhEZ0FCQUFBQUF3QmdBUEFBQUFCUFNBa0hEZ0FCQUFBQUF3QmdBUEFBQUFCUFNBQUFBQUFGZ0lFSUFBQUtBQUlBSlFBRUJnUUFYZ2dBQUFVR0JBQmZDQUFBQ2dZQkFBRUFBQVdBZ2dnQUFBb0FBZ0FtQUFRR0JBQmZDQUFBQlFZRUFHQUlBQUFLQmdFQUFRQUFCWUNEQ0FBQUNnQUNBQ2NBQkFZRUFGOElBQUFGQmdRQVlRZ0FBQW9HQVFBQkFBQUZnSVFJQUFBS0FBSUFLQUFFQmdRQVlRZ0FBQVVHQkFCaUNBQUFDZ1lCQUFFQUFBV0FoUWdBQUFvQUFnQXBBQVFHQkFCaUNBQUFCUVlFQUdNSUFBQUtCZ0VBQVFBQUJZQ0dDQUFBQ2dBQ0FDb0FCQVlFQUdNSUFBQUZCZ1FBWkFnQUFBb0dBUUFCQUFBRmdJY0lBQUFLQUFJQUt3QUVCZ1FBWkFnQUFBVUdCQUJsQ0FBQUNnWUJBQUVBQUFXQWlBZ0FBQW9BQWdBc0FBUUdCQUJsQ0FBQUJRWUVBR1lJQUFBQUJnSUFBZ0FLQmdFQUFRQUFCWUNKQ0FBQUNnQUNBQzBBQkFZRUFHVUlBQUFGQmdRQVp3Z0FBQUFHQWdBQ0FBb0dBUUFCQUFBRmdJb0lBQUFLQUFJQUxnQUVCZ1FBWlFnQUFBVUdCQUJvQ0FBQUNnWUJBQUVBQUFXQWl3Z0FBQW9BQWdBdkFBUUdCQUJvQ0FBQUJRWUVBR2tJQUFBS0JnRUFBUUFBQllDTUNBQUFDZ0FDQURBQUJBWUVBR2tJQUFBRkJnUUFhZ2dBQUFvR0FRQUJBQUFGZ0kwSUFBQUtBQUlBTVFBRUJnUUFhZ2dBQUFVR0JBQnJDQUFBQ2dZQkFBRUFBQVdBamdnQUFBb0FBZ0F5QUFRR0JBQnJDQUFBQlFZRUFHd0lBQUFLQmdFQUFRQUFCWUNQQ0FBQUNnQUNBRE1BQkFZRUFHd0lBQUFGQmdRQWJRZ0FBQW9HQVFBQkFBQUZnSkFJQUFBS0FBSUFOQUFFQmdRQWJRZ0FBQVVHQkFCdUNBQUFDZ1lCQUFFQUFBV0FrUWdBQUFvQUFnQTFBQVFHQkFCdUNBQUFCUVlFQUc4SUFBQUtCZ0VBQVFBQUJZQ1NDQUFBQ2dBQ0FEWUFCQVlFQUc4SUFBQUZCZ1FBY0FnQUFBb0dBUUFCQUFBRmdKTUlBQUFLQUFJQU53QUVCZ1FBYndnQUFBVUdCQUJ4Q0FBQUNnWUJBQUVBQUFXQWxBZ0FBQW9BQWdBNEFBUUdCQUJ2Q0FBQUJRWUVBSElJQUFBS0JnRUFBUUFBQllDVkNBQUFDZ0FDQURrQUJBWUVBRzRJQUFBRkJnUUFjd2dBQUFvR0FRQUJBQUFGZ0pZSUFBQUtBQUlBT2dBRUJnUUFiZ2dBQUFVR0JBQjBDQUFBQ2dZQkFBRUFBQVdBbHdnQUFBb0FBZ0E3QUFRR0JBQnRDQUFBQlFZRUFIVUlBQUFLQmdFQUFRQUFCWUNZQ0FBQUNnQUNBRHdBQkFZRUFHMElBQUFGQmdRQWRnZ0FBQW9HQVFBQkFBQUZnSmtJQUFBS0FBSUFQUUFFQmdRQWJBZ0FBQVVHQkFCM0NBQUFDZ1lCQUFFQUFBV0FtZ2dBQUFvQUFnQStBQVFHQkFCc0NBQUFCUVlFQUhnSUFBQUtCZ0VBQVFBQUJZQ2JDQUFBQ2dBQ0FEOEFCQVlFQUdzSUFBQUZCZ1FBZVFnQUFBb0dBUUFCQUFBRmdKd0lBQUFLQUFJQVFBQUVCZ1FBYXdnQUFBVUdCQUI2Q0FBQUNnWUJBQUVBQUFXQW5RZ0FBQW9BQWdCQkFBUUdCQUJxQ0FBQUJRWUVBSHNJQUFBS0JnRUFBUUFBQllDZUNBQUFDZ0FDQUVJQUJBWUVBR29JQUFBRkJnUUFmQWdBQUFvR0FRQUJBQUFGZ0o4SUFBQUtBQUlBUXdBRUJnUUFYd2dBQUFVR0JBQjlDQUFBQ2dZQkFBRUFBQVdBb0FnQUFBb0FBZ0JFQUFRR0JBQjlDQUFBQlFZRUFINElBQUFLQmdFQUFRQUFCWUNoQ0FBQUNnQUNBRVVBQkFZRUFINElBQUFGQmdRQWZ3Z0FBQUFHQWdBQ0FBb0dBUUFCQUFBRmdLSUlBQUFLQUFJQVJnQUVCZ1FBZmdnQUFBVUdCQUNBQ0FBQUNnWUJBQUVBQUFBQUFBQUFBQUFB</t>
        </r>
      </text>
    </comment>
    <comment ref="D58" authorId="0" shapeId="0" xr:uid="{2DC2B75B-4037-4235-9062-AF5ACE782FA6}">
      <text>
        <r>
          <rPr>
            <sz val="9"/>
            <color indexed="81"/>
            <rFont val="Tahoma"/>
            <family val="2"/>
          </rPr>
          <t>QzExSDlGMTNOTzRTLXxQaWN0dXJlIDM5fFZtcERSREF4TURBRUF3SUJBQUFBQUFBQUFBQUFBQUNBQUFBQUFBTUFGZ0FBQUVOb1pXMUVjbUYzSURJeUxqSXVNQzR6TXpBd0NBQVRBQUFBVlc1MGFYUnNaV1FnUkc5amRXMWxiblFFQWhBQU4vMlVBUEk1SmdCY3FjZ0FKYXo4QUFFSkNBQUFnSTRBQUlDT0FBSUpDQUFBd0NFQUFNQzFBZzBJQVFBQkNBY0JBQUU2QkFFQUFUc0VBUUFBUlFRQkFBRThCQUVBQUVvRUFRQUFEQVlCQUFFUEJnRUFBUTBHQVFBQVFnUUJBQUJEQkFFQUFFUUVBUUFBRGdnQ0FGZ0p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Ha1FBQUFFQWhBQUFBQUFBQUFBQUFDYzlORUFDaWVCQ1JZSUJBQUFBQ1FBR0FnRUFBQUFKQUFaQ0FBQUVBZ0NBQUVBRHdnQ0FBRUFBNEFzRUFBQUJBSVFBRGY5bEFEeU9TWUFYS25JQUNXcy9BQUtBQUlBNEFNRWdDMFFBQUFBQWdnQWtQeW9BTnM1Z2dBS0FBSUF1d00zQkFFQUFRQUFCSUF1RUFBQUFBSUlBSkI4c1FEcGdITUFDZ0FDQUx3RE53UUJBQUVBQUFTQUx4QUFBQUFDQ0FDUS9LZ0ErTWRrQUFvQUFnQzlBemNFQVFBQkFBQUVnREFRQUFBQUFnZ0FrSHl4QUFZUFZnQUtBQUlBdmdNM0JBRUFBUUFBQklBeEVBQUFBQUlJQUpEOHFBQVZWa2NBQ2dBQ0FMOEROd1FCQUFFQUFBU0FNaEFBQUFBQ0NBQ1FmTEVBSTUwNEFBb0FBZ0RBQXpjRUFRQUJBQUFFZ0RNUUFBQUFBZ2dBa1B5NUFETGtLUUFLQUFJQXdRTUNCQUlBQ1FBckJBSUFBQUJJQkFBQU53UUJBQUVHZ0FBQUFBQUFBZ2dBdzYrK0FQSTVKZ0FFQWhBQUtiYTBBUEk1SmdERHI3NEFjbzR0QUNNSUFRQUFBZ2NDQUFBQUFBY05BQUVBQUFBREFHQUE4QUFBQUVZSkJ3MEFBUUFBQUFNQVlBRHdBQUFBUmdBQUFBQUVnRFFRQUFBQUFnZ0FrSHpDQUNPZE9BQUtBQUlBd2dNQ0JBSUFDUUFyQkFJQUFBQklCQUFBTndRQkFBRUdnQUFBQUFBQUFnZ0F3eS9IQU9QeU5BQUVBaEFBS1RhOUFPUHlOQURETDhjQVkwYzhBQ01JQVFBQUFnY0NBQUFBQUFjTkFBRUFBQUFEQUdBQThBQUFBRVlKQncwQUFRQUFBQU1BWUFEd0FBQUFSZ0FBQUFBRWdEVVFBQUFBQWdnQWtQeW9BRExrS1FBS0FBSUF3d01DQkFJQUNRQXJCQUlBQUFCSUJBQUFOd1FCQUFFR2dBQUFBQUFBQWdnQXc2K3RBUEk1SmdBRUFoQUFLYmFqQVBJNUpnRERyNjBBY280dEFDTUlBUUFBQWdjQ0FBQUFBQWNOQUFFQUFBQURBR0FBOEFBQUFFWUpCdzBBQVFBQUFBTUFZQUR3QUFBQVJnQUFBQUFFZ0RZUUFBQUFBZ2dBbmtPYUFCWFdUd0FLQUFJQXhBTUNCQUlBQ1FBckJBSUFBQUJJQkFBQU53UUJBQUVHZ0FBQUFBQUFBZ2dBMGZhZUFOVXJUQUFFQWhBQU4vMlVBTlVyVEFEUjlwNEFWWUJUQUNNSUFRQUFBZ2NDQUFBQUFBY05BQUVBQUFBREFHQUE4QUFBQUVZSkJ3MEFBUUFBQUFNQVlBRHdBQUFBUmdBQUFBQUVnRGNRQUFBQUFnZ0Fua09hQUJYV1BnQUtBQUlBeFFNQ0JBSUFDUUFyQkFJQUFBQklCQUFBTndRQkFBRUdnQUFBQUFBQUFnZ0EwZmFlQU5Vck93QUVBaEFBTi8yVUFOVXJPd0RSOXA0QVZZQkNBQ01JQVFBQUFnY0NBQUFBQUFjTkFBRUFBQUFEQUdBQThBQUFBRVlKQncwQUFRQUFBQU1BWUFEd0FBQUFSZ0FBQUFBRWdEZ1FBQUFBQWdnQWdUWEFBQWFQVFFBS0FBSUF4Z01DQkFJQUNRQXJCQUlBQUFCSUJBQUFOd1FCQUFFR2dBQUFBQUFBQWdnQXRPakVBTWJrU1FBRUFoQUFHdSs2QU1ia1NRQzA2TVFBUmpsUkFDTUlBUUFBQWdjQ0FBQUFBQWNOQUFFQUFBQURBR0FBOEFBQUFFWUpCdzBBQVFBQUFBTUFZQUR3QUFBQVJnQUFBQUFFZ0RrUUFBQUFBZ2dBZ1RYQUFBYVBYZ0FLQUFJQXh3TUNCQUlBQ1FBckJBSUFBQUJJQkFBQU53UUJBQUVHZ0FBQUFBQUFBZ2dBdE9qRUFNYmtXZ0FFQWhBQUd1KzZBTWJrV2dDMDZNUUFSamxpQUNNSUFRQUFBZ2NDQUFBQUFBY05BQUVBQUFBREFHQUE4QUFBQUVZSkJ3MEFBUUFBQUFNQVlBRHdBQUFBUmdBQUFBQUVnRG9RQUFBQUFnZ0Fua09hQVBoSGJRQUtBQUlBeUFNQ0JBSUFDUUFyQkFJQUFBQklCQUFBTndRQkFBRUdnQUFBQUFBQUFnZ0EwZmFlQUxpZGFRQUVBaEFBTi8yVUFMaWRhUURSOXA0QU9QSndBQ01JQVFBQUFnY0NBQUFBQUFjTkFBRUFBQUFEQUdBQThBQUFBRVlKQncwQUFRQUFBQU1BWUFEd0FBQUFSZ0FBQUFBRWdEc1FBQUFBQWdnQW5rT2FBUGhIWEFBS0FBSUF5UU1DQkFJQUNRQXJCQUlBQUFCSUJBQUFOd1FCQUFFR2dBQUFBQUFBQWdnQTBmYWVBTGlkV0FBRUFoQUFOLzJVQUxpZFdBRFI5cDRBT1BKZkFDTUlBUUFBQWdjQ0FBQUFBQWNOQUFFQUFBQURBR0FBOEFBQUFFWUpCdzBBQVFBQUFBTUFZQUR3QUFBQVJnQUFBQUFFZ0R3UUFBQUFBZ2dBZ1RYQUFPa0Fhd0FLQUFJQXlnTUNCQUlBQ1FBckJBSUFBQUJJQkFBQU53UUJBQUVHZ0FBQUFBQUFBZ2dBdE9qRUFLbFdad0FFQWhBQUd1KzZBS2xXWndDMDZNUUFLYXR1QUNNSUFRQUFBZ2NDQUFBQUFBY05BQUVBQUFBREFHQUE4QUFBQUVZSkJ3MEFBUUFBQUFNQVlBRHdBQUFBUmdBQUFBQUVnRDBRQUFBQUFnZ0FnVFhBQU9rQWZBQUtBQUlBeXdNQ0JBSUFDUUFyQkFJQUFBQklCQUFBTndRQkFBRUdnQUFBQUFBQUFnZ0F0T2pFQUtsV2VBQUVBaEFBR3UrNkFLbFdlQUMwNk1RQUthdC9BQ01JQVFBQUFnY0NBQUFBQUFjTkFBRUFBQUFEQUdBQThBQUFBRVlKQncwQUFRQUFBQU1BWUFEd0FBQUFSZ0FBQUFBRWdENFFBQUFBQWdnQW5rT2FBTnE1aWdBS0FBSUF6QU1DQkFJQUNRQXJCQUlBQUFCSUJBQUFOd1FCQUFFR2dBQUFBQUFBQWdnQTBmYWVBSm9QaHdBRUFoQUFOLzJVQUpvUGh3RFI5cDRBR21TT0FDTUlBUUFBQWdjQ0FBQUFBQWNOQUFFQUFBQURBR0FBOEFBQUFFWUpCdzBBQVFBQUFBTUFZQUR3QUFBQVJnQUFBQUFFZ0Q4UUFBQUFBZ2dBbmtPYUFOcTVlUUFLQUFJQXpRTUNCQUlBQ1FBckJBSUFBQUJJQkFBQU53UUJBQUVHZ0FBQUFBQUFBZ2dBMGZhZUFKb1BkZ0FFQWhBQU4vMlVBSm9QZGdEUjlwNEFHbVI5QUNNSUFRQUFBZ2NDQUFBQUFBY05BQUVBQUFBREFHQUE4QUFBQUVZSkJ3MEFBUUFBQUFNQVlBRHdBQUFBUmdBQUFBQUVnRUFRQUFBQUFnZ0FrSHl4QU16eWtBQUtBQUlBNFFNM0JBRUFBUUFBQklCQkVBQUFBQUlJQUpEOHFBQzlxNThBQ2dBQ0FPTUROd1FCQUFFQUFBU0FRaEFBQUFBQ0NBQ1FmTEVBcjJTdUFBb0FBZ0RsQXdJRUFnQVFBQ3NFQWdBQUFFZ0VBQUEzQkFFQUFRYUFBQUFBQUFBQ0NBRERMN1lBTDJTcUFBUUNFQUJjQ2F3QUwyU3FBQ2xXdGdBdlpiSUFJd2dCQUFBQ0J3SUFBQUFGQndFQUJBQUhEUUFCQUFBQUF3QmdBUEFBQUFCVENRY05BQUVBQUFBREFHQUE4QUFBQUZNQUFBQUFCSUJERUFBQUFBSUlBSUUxd0FDdTVLVUFDZ0FDQU9jREFnUUNBQWdBS3dRQ0FBQUFTQVFBQURjRUFRQUJCb0FBQUFBQUFBSUlBTFRveEFEdU9hRUFCQUlRQUUzQ3VnRHVPYUVBR2cvRkFHNlBxZ0FqQ0FFQUFBSUhBZ0FBQUFBSERRQUJBQUFBQXdCZ0FQQUFBQUJQQ1FjTkFBRUFBQUFEQUdBQThBQUFBRThBQUFBQUJJQkVFQUFBQUFJSUFKN0RvZ0N2NUxZQUNnQUNBT2tEQWdRQ0FBZ0FLd1FDQUFBQVNBUUFBRGNFQVFBQkJvQUFBQUFBQUFJSUFORjJwd0R2T2JJQUJBSVFBR3BRblFEdk9iSUFONTJuQUcrUHV3QWpDQUVBQUFJSEFnQUFBQUFIRFFBQkFBQUFBd0JnQVBBQUFBQlBDUWNOQUFFQUFBQURBR0FBOEFBQUFFOEFBQUFBQklCRkVBQUFBQUlJQUpEOHVRQ2dIYjBBQ2dBQ0FPc0RBZ1FDQUFjQUt3UUNBQUVBU0FRQUFEY0VBUUFCQm9BQUFBQUFBQUlJQU1PdnZnQmd5TGdBQkFJUUFDbTJ0QUJneUxnQVhLbklBT0J5d1FBakNBRUFBQUlIQWdBQUFBVUhBUUFGQkFjR0FBSUFBZ0FEQUFBSERnQUJBQUFBQXdCZ0FQQUFBQUJPU0FrSERnQUJBQUFBQXdCZ0FQQUFBQUJPU0FBQUFBQUVnRVlRQUFBQUFnZ0FrSHl4QUpIV3l3QUtBQUlBN1FNM0JBRUFBUUFBQklCSEVBQUFBQUlJQUpEOHVRQ0RqOW9BQ2dBQ0FPOEROd1FCQUFFQUFBU0FTQkFBQUFBQ0NBQ1FmTEVBZEVqcEFBb0FBZ0R4QXpjRUFRQUJBQUFFZ0VrUUFBQUFBZ2dBa0h5Z0FIUkk2UUFLQUFJQThnTUNCQUlBQ0FBckJBSUFBQUFoQkFFQS8wZ0VBQUEzQkFFQUFRYUFBQUFBQUFBQ0NBRERMNlVBdEoza0FBUUNFQUJjQ1pzQXRKM2tBQ2xXcFFCMDh2QUFJd2dCQUFBQ0J3SUFBQUFGQndFQUFRQUhEZ0FCQUFBQUF3QmdBUEFBQUFCUExRa0hEZ0FCQUFBQUF3QmdBUEFBQUFCUExRQUFBQUFFZ0VvUUFBQUFBZ2dBa1B5NUFHVUIrQUFLQUFJQTlBTUNCQUlBQ0FBckJBSUFBQUJJQkFBQU53UUJBQUVHZ0FBQUFBQUFBZ2dBdzYrK0FLVlc4d0FFQWhBQVhJbTBBS1ZXOHdBcDFyNEFKYXo4QUNNSUFRQUFBZ2NDQUFBQUFBY05BQUVBQUFBREFHQUE4QUFBQUU4SkJ3MEFBUUFBQUFNQVlBRHdBQUFBVHdBQUFBQUZnRXNRQUFBS0FBSUF6Z01FQmdRQUxSQUFBQVVHQkFBdUVBQUFDZ1lCQUFFQUFBV0FUQkFBQUFvQUFnRFBBd1FHQkFBdUVBQUFCUVlFQUM4UUFBQUtCZ0VBQVFBQUJZQk5FQUFBQ2dBQ0FOQURCQVlFQUM4UUFBQUZCZ1FBTUJBQUFBb0dBUUFCQUFBRmdFNFFBQUFLQUFJQTBRTUVCZ1FBTUJBQUFBVUdCQUF4RUFBQUNnWUJBQUVBQUFXQVR4QUFBQW9BQWdEU0F3UUdCQUF4RUFBQUJRWUVBRElRQUFBS0JnRUFBUUFBQllCUUVBQUFDZ0FDQU5NREJBWUVBRElRQUFBRkJnUUFNeEFBQUFvR0FRQUJBQUFGZ0ZFUUFBQUtBQUlBMUFNRUJnUUFNaEFBQUFVR0JBQTBFQUFBQ2dZQkFBRUFBQVdBVWhBQUFBb0FBZ0RWQXdRR0JBQXlFQUFBQlFZRUFEVVFBQUFLQmdFQUFRQUFCWUJURUFBQUNnQUNBTllEQkFZRUFERVFBQUFGQmdRQU5oQUFBQW9HQVFBQkFBQUZnRlFRQUFBS0FBSUExd01FQmdRQU1SQUFBQVVHQkFBM0VBQUFDZ1lCQUFFQUFBV0FWUkFBQUFvQUFnRFlBd1FHQkFBd0VBQUFCUVlFQURnUUFBQUtCZ0VBQVFBQUJZQldFQUFBQ2dBQ0FOa0RCQVlFQURBUUFBQUZCZ1FBT1JBQUFBb0dBUUFCQUFBRmdGY1FBQUFLQUFJQTJnTUVCZ1FBTHhBQUFBVUdCQUE2RUFBQUNnWUJBQUVBQUFXQVdCQUFBQW9BQWdEYkF3UUdCQUF2RUFBQUJRWUVBRHNRQUFBS0JnRUFBUUFBQllCWkVBQUFDZ0FDQU53REJBWUVBQzRRQUFBRkJnUUFQQkFBQUFvR0FRQUJBQUFGZ0ZvUUFBQUtBQUlBM1FNRUJnUUFMaEFBQUFVR0JBQTlFQUFBQ2dZQkFBRUFBQVdBV3hBQUFBb0FBZ0RlQXdRR0JBQXRFQUFBQlFZRUFENFFBQUFLQmdFQUFRQUFCWUJjRUFBQUNnQUNBTjhEQkFZRUFDMFFBQUFGQmdRQVB4QUFBQW9HQVFBQkFBQUZnRjBRQUFBS0FBSUE0Z01FQmdRQUxSQUFBQVVHQkFCQUVBQUFDZ1lCQUFFQUFBV0FYaEFBQUFvQUFnRGtBd1FHQkFCQUVBQUFCUVlFQUVFUUFBQUtCZ0VBQVFBQUJZQmZFQUFBQ2dBQ0FPWURCQVlFQUVFUUFBQUZCZ1FBUWhBQUFBb0dBUUFCQUFBRmdHQVFBQUFLQUFJQTZBTUVCZ1FBUWhBQUFBVUdCQUJERUFBQUFBWUNBQUlBQ2dZQkFBRUFBQVdBWVJBQUFBb0FBZ0RxQXdRR0JBQkNFQUFBQlFZRUFFUVFBQUFBQmdJQUFnQUtCZ0VBQVFBQUJZQmlFQUFBQ2dBQ0FPd0RCQVlFQUVJUUFBQUZCZ1FBUlJBQUFBb0dBUUFCQUFBRmdHTVFBQUFLQUFJQTdnTUVCZ1FBUlJBQUFBVUdCQUJHRUFBQUNnWUJBQUVBQUFXQVpCQUFBQW9BQWdEd0F3UUdCQUJHRUFBQUJRWUVBRWNRQUFBS0JnRUFBUUFBQllCbEVBQUFDZ0FDQVBNREJBWUVBRWdRQUFBRkJnUUFTUkFBQUFvR0FRQUJBQUFGZ0dZUUFBQUtBQUlBOVFNRUJnUUFTQkFBQUFVR0JBQktFQUFBQUFZQ0FBSUFDZ1lCQUFFQUFBV0FaeEFBQUFvQUFnRDJBd1FHQkFCSEVBQUFCUVlFQUVnUUFBQUtCZ0VBQVFBQUFBQUFBQUFBQUFBPQ==</t>
        </r>
      </text>
    </comment>
    <comment ref="D59" authorId="0" shapeId="0" xr:uid="{3E4E684D-F93E-4BF5-847B-CB3F54058646}">
      <text>
        <r>
          <rPr>
            <b/>
            <sz val="9"/>
            <color indexed="81"/>
            <rFont val="Tahoma"/>
            <family val="2"/>
          </rPr>
          <t>QzEySDEzRjEzTk80Uyt8UGljdHVyZSAyNXxWbXBEUkRBeE1EQUVBd0lCQUFBQUFBQUFBQUFBQUFDQUFBQUFBQU1BRmdBQUFFTm9aVzFFY21GM0lESXlMakl1TUM0ek16QXdDQUFUQUFBQVZXNTBhWFJzWldRZ1JHOWpkVzFsYm5RRUFoQUFCTW9MQVN6ZlJnQXJObVlCdW91NUFRRUpDQUFBQUhzQUFBQWJCZ0lKQ0FBQXdDRUFBTUMxQWcwSUFRQUJDQWNCQUFFNkJBRUFBVHNFQVFBQVJRUUJBQUU4QkFFQUFFb0VBUUFBREFZQkFBRVBCZ0VBQVEwR0FRQUFRZ1FCQUFCREJBRUFBRVFFQVFBQURnZ0NBUE1RQ2dnSUFBTUFZQURJQUFNQUN3Z0lBQlFBQUFEd0FBTUFDUWdFQURPekFnQUlDQVFBQUFBQ0FBY0lCQUFBQUFFQUJnZ0VBQUFBQkFBRkNBUUFBQUFlQUFRSUFnQjRBQU1JQkFBQUFIZ0FJd2dCQUFVTUNBRUFBQ2dJQVFBQktRZ0JBQUVxQ0FFQUFUSUlBUUFBS3dnQkFDZ3NDQUVBQ2dJSUVBQUFBQ1FBQUFBa0FBQUFKQUFBQUNRQUFRTUNBQUFBQWdNQ0FBRUFBQU15QUFnQS8vLy8vLy8vQUFBQUFBQUEvLzhBQUFBQS8vLy8vd0FBQUFELy93QUFBQUQvLy8vL0FBQUFBUC8vLy84QUFQLy9BQUVrQUFBQUFnQURBT1FFQlFCQmNtbGhiQlFBNUFRUEFGUnBiV1Z6SUU1bGR5QlNiMjFoYnJ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ZNTkFBQUVBaEFBQUFBQUFBQUFBQUErZkhZQlpuYWtFQllJQkFBQUFDUUFHQWdFQUFBQUpBQVpDQUFBRUFnQ0FBRUFEd2dDQUFFQUE0QVVEUUFBQkFJUUFBVEtDd0VzMzBZQUt6Wm1BYnFMdVFFS0FBSUFCQVFFZ0JVTkFBQUFBZ2dBS3pZcUFZTFA1UUFLQUFJQTN3TTNCQUVBQVFBQUJJQVdEUUFBQUFJSUFDczJPUUZ1MU1zQUNnQUNBT0FETndRQkFBRUFBQVNBRncwQUFBQUNDQUFyTmlvQlc5bXhBQW9BQWdEaEF6Y0VBUUFCQUFBRWdCZ05BQUFBQWdnQUt6WTVBVWJlbHdBS0FBSUE0Z00zQkFFQUFRQUFCSUFaRFFBQUFBSUlBQ3MyS2dFMDQzMEFDZ0FDQU9NRE53UUJBQUVBQUFTQUdnMEFBQUFDQ0FBck5qa0JIK2hqQUFvQUFnRGtBemNFQVFBQkFBQUVnQnNOQUFBQUFnZ0FLelpJQVF6dFNRQUtBQUlBNVFNQ0JBSUFDUUFyQkFJQUFBQklCQUFBTndRQkFBRUdnQUFBQUFBQUFnZ0FrUnhNQVN6ZlJnQUVBaEFBR2NWREFTemZSZ0NSSEV3QjdQcE1BQ01JQVFBQUFnY0NBQUFBQUFjTkFBRUFBQUFEQUdBQXlBQUFBRVlKQncwQUFRQUFBQU1BWUFESUFBQUFSZ0FBQUFBRWdCd05BQUFBQWdnQUt6WlhBUi9vWXdBS0FBSUE1Z01DQkFJQUNRQXJCQUlBQUFCSUJBQUFOd1FCQUFFR2dBQUFBQUFBQWdnQWtSeGJBVC9hWUFBRUFoQUFHY1ZTQVQvYVlBQ1JIRnNCLy9WbUFDTUlBUUFBQWdjQ0FBQUFBQWNOQUFFQUFBQURBR0FBeUFBQUFFWUpCdzBBQVFBQUFBTUFZQURJQUFBQVJnQUFBQUFFZ0IwTkFBQUFBZ2dBS3pZcUFRenRTUUFLQUFJQTV3TUNCQUlBQ1FBckJBSUFBQUJJQkFBQU53UUJBQUVHZ0FBQUFBQUFBZ2dBa1J3dUFTemZSZ0FFQWhBQUdjVWxBU3pmUmdDUkhDNEI3UHBNQUNNSUFRQUFBZ2NDQUFBQUFBY05BQUVBQUFBREFHQUF5QUFBQUVZSkJ3MEFBUUFBQUFNQVlBRElBQUFBUmdBQUFBQUVnQjROQUFBQUFnZ0FGanNRQVRUampBQUtBQUlBNkFNQ0JBSUFDUUFyQkFJQUFBQklCQUFBTndRQkFBRUdnQUFBQUFBQUFnZ0FmQ0VVQVZUVmlRQUVBaEFBQk1vTEFWVFZpUUI4SVJRQkZQR1BBQ01JQVFBQUFnY0NBQUFBQUFjTkFBRUFBQUFEQUdBQXlBQUFBRVlKQncwQUFRQUFBQU1BWUFESUFBQUFSZ0FBQUFBRWdCOE5BQUFBQWdnQUZqc1FBVFRqYmdBS0FBSUE2UU1DQkFJQUNRQXJCQUlBQUFCSUJBQUFOd1FCQUFFR2dBQUFBQUFBQWdnQWZDRVVBVlRWYXdBRUFoQUFCTW9MQVZUVmF3QjhJUlFCRlBGeEFDTUlBUUFBQWdjQ0FBQUFBQWNOQUFFQUFBQURBR0FBeUFBQUFFWUpCdzBBQVFBQUFBTUFZQURJQUFBQVJnQUFBQUFFZ0NBTkFBQUFBZ2dBUGpGVEFVYmVpQUFLQUFJQTZnTUNCQUlBQ1FBckJBSUFBQUJJQkFBQU53UUJBQUVHZ0FBQUFBQUFBZ2dBcEJkWEFXYlFoUUFFQWhBQUxNQk9BV2JRaFFDa0YxY0JKdXlMQUNNSUFRQUFBZ2NDQUFBQUFBY05BQUVBQUFBREFHQUF5QUFBQUVZSkJ3MEFBUUFBQUFNQVlBRElBQUFBUmdBQUFBQUVnQ0VOQUFBQUFnZ0FQakZUQVViZXBnQUtBQUlBNndNQ0JBSUFDUUFyQkFJQUFBQklCQUFBTndRQkFBRUdnQUFBQUFBQUFnZ0FwQmRYQVdiUW93QUVBaEFBTE1CT0FXYlFvd0NrRjFjQkp1eXBBQ01JQVFBQUFnY0NBQUFBQUFjTkFBRUFBQUFEQUdBQXlBQUFBRVlKQncwQUFRQUFBQU1BWUFESUFBQUFSZ0FBQUFBRWdDSU5BQUFBQWdnQUZqc1FBVnZad0FBS0FBSUE3QU1DQkFJQUNRQXJCQUlBQUFCSUJBQUFOd1FCQUFFR2dBQUFBQUFBQWdnQWZDRVVBWHZMdlFBRUFoQUFCTW9MQVh2THZRQjhJUlFCTytmREFDTUlBUUFBQWdjQ0FBQUFBQWNOQUFFQUFBQURBR0FBeUFBQUFFWUpCdzBBQVFBQUFBTUFZQURJQUFBQVJnQUFBQUFFZ0NNTkFBQUFBZ2dBRmpzUUFWdlpvZ0FLQUFJQTdRTUNCQUlBQ1FBckJBSUFBQUJJQkFBQU53UUJBQUVHZ0FBQUFBQUFBZ2dBZkNFVUFYdkxud0FFQWhBQUJNb0xBWHZMbndCOElSUUJPK2VsQUNNSUFRQUFBZ2NDQUFBQUFBY05BQUVBQUFBREFHQUF5QUFBQUVZSkJ3MEFBUUFBQUFNQVlBRElBQUFBUmdBQUFBQUVnQ1FOQUFBQUFnZ0FQakZUQVc3VXZBQUtBQUlBN2dNQ0JBSUFDUUFyQkFJQUFBQklCQUFBTndRQkFBRUdnQUFBQUFBQUFnZ0FwQmRYQVk3R3VRQUVBaEFBTE1CT0FZN0d1UUNrRjFjQlR1Sy9BQ01JQVFBQUFnY0NBQUFBQUFjTkFBRUFBQUFEQUdBQXlBQUFBRVlKQncwQUFRQUFBQU1BWUFESUFBQUFSZ0FBQUFBRWdDVU5BQUFBQWdnQVBqRlRBVzdVMmdBS0FBSUE3d01DQkFJQUNRQXJCQUlBQUFCSUJBQUFOd1FCQUFFR2dBQUFBQUFBQWdnQXBCZFhBWTdHMXdBRUFoQUFMTUJPQVk3RzF3Q2tGMWNCVHVMZEFDTUlBUUFBQWdjQ0FBQUFBQWNOQUFFQUFBQURBR0FBeUFBQUFFWUpCdzBBQVFBQUFBTUFZQURJQUFBQVJnQUFBQUFFZ0NZTkFBQUFBZ2dBRmpzUUFZRFA5QUFLQUFJQThBTUNCQUlBQ1FBckJBSUFBQUJJQkFBQU53UUJBQUVHZ0FBQUFBQUFBZ2dBZkNFVUFhREI4UUFFQWhBQUJNb0xBYURCOFFCOElSUUJZTjMzQUNNSUFRQUFBZ2NDQUFBQUFBY05BQUVBQUFBREFHQUF5QUFBQUVZSkJ3MEFBUUFBQUFNQVlBRElBQUFBUmdBQUFBQUVnQ2NOQUFBQUFnZ0FGanNRQVlEUDFnQUtBQUlBOFFNQ0JBSUFDUUFyQkFJQUFBQklCQUFBTndRQkFBRUdnQUFBQUFBQUFnZ0FmQ0VVQWFEQjB3QUVBaEFBQk1vTEFhREIwd0I4SVJRQllOM1pBQ01JQVFBQUFnY0NBQUFBQUFjTkFBRUFBQUFEQUdBQXlBQUFBRVlKQncwQUFRQUFBQU1BWUFESUFBQUFSZ0FBQUFBRWdDZ05BQUFBQWdnQUt6WTVBWlhLL3dBS0FBSUFCUVEzQkFFQUFRQUFCSUFwRFFBQUFBSUlBQ3MyS2dHbnhSa0JDZ0FDQUFjRU53UUJBQUVBQUFTQUtnMEFBQUFDQ0FBck5qa0J2TUF6QVFvQUFnQUpCQUlFQWdBUUFDc0VBZ0FBQUVnRUFBQTNCQUVBQVFhQUFBQUFBQUFDQ0FDUkhEMEIvR293QVFRQ0VBQThwelFCL0dvd0FTczJQUUY4RmpjQkl3Z0JBQUFDQndJQUFBQUZCd0VBQkFBSERRQUJBQUFBQXdCZ0FNZ0FBQUJUQ1FjTkFBRUFBQUFEQUdBQXlBQUFBRk1BQUFBQUJJQXJEUUFBQUFJSUFENHhVd0c2d0NRQkNnQUNBQXNFQWdRQ0FBZ0FLd1FDQUFBQVNBUUFBRGNFQVFBQkJvQUFBQUFBQUFJSUFLUVhWd0VhM1NBQkJBSVFBRStpVGdFYTNTQUJQakZYQVZxa0tBRWpDQUVBQUFJSEFnQUFBQUFIRFFBQkFBQUFBd0JnQU1nQUFBQlBDUWNOQUFFQUFBQURBR0FBeUFBQUFFOEFBQUFBQklBc0RRQUFBQUlJQUJZN0h3Rzh3RUlCQ2dBQ0FBMEVBZ1FDQUFnQUt3UUNBQUFBU0FRQUFEY0VBUUFCQm9BQUFBQUFBQUlJQUh3aEl3RWMzVDRCQkFJUUFDZXNHZ0VjM1Q0QkZqc2pBVnlrUmdFakNBRUFBQUlIQWdBQUFBQUhEUUFCQUFBQUF3QmdBTWdBQUFCUENRY05BQUVBQUFBREFHQUF5QUFBQUU4QUFBQUFCSUF0RFFBQUFBSUlBQ3MyU0FIUHUwMEJDZ0FDQUE4RUFnUUNBQWNBS3dRQ0FBRUFJUVFCQUFGSUJBQUFOd1FCQUFFR2dBQUFBQUFBQWdnQVBNZENBVzhmU2dFRUFoQUE1bkU1QVc4ZlNnR3pIa3NCYjdsVkFTTUlBUUFBQWdjQ0FBQUFCUWNCQUFRRUJ3WUFBZ0FEQUFVQUFBY1BBQUVBQUFBREFHQUF5QUFBQUU1SUt3a0hEd0FCQUFBQUF3QmdBTWdBQUFCT1NDc0FBQUFBQklBdURRQUFBQUlJQUNzMk9RSGh0bWNCQ2dBQ0FCRUVOd1FCQUFFQUFBU0FMdzBBQUFBQ0NBQXJOa2dCOUxHQkFRb0FBZ0FUQkRjRUFRQUJBQUFFZ0RBTkFBQUFBZ2dBS3pZNUFRZXRtd0VLQUFJQUZBUTNCQUVBQVFBQUJJQXhEUUFBQUFJSUFDczJHd0VIclpzQkNnQUNBQlVFQWdRQ0FBZ0FLd1FDQUFFQVNBUUFBRGNFQVFBQkJvQUFBQUFBQUFJSUFKRWNId0ZueVpjQkJBSVFBRHluRmdGbnlaY0JLellmQVdmSnBnRWpDQUVBQUFJSEFnQUFBQVVIQVFBQkFBY09BQUVBQUFBREFHQUF5QUFBQUU5SUNRY09BQUVBQUFBREFHQUF5QUFBQUU5SUFBQUFBQVNBTWcwQUFBQUNDQUFyTmtnQkdxaTFBUW9BQWdBWEJBSUVBZ0FJQUNzRUFnQUFBRWdFQUFBM0JBRUFBUWFBQUFBQUFBQUNDQUNSSEV3QmVzU3hBUVFDRUFBOHAwTUJlc1N4QVNzMlRBRzZpN2tCSXdnQkFBQUNCd0lBQUFBQUJ3MEFBUUFBQUFNQVlBRElBQUFBVHdrSERRQUJBQUFBQXdCZ0FNZ0FBQUJQQUFBQUFBU0FNdzBBQUFBQ0NBQXJObVlCejd0TkFRb0FBZ0FhQkRjRUFRQUJBQUFGZ0RRTkFBQUtBQUlBOGdNRUJnUUFGUTBBQUFVR0JBQVdEUUFBQ2dZQkFBRUFBQVdBTlEwQUFBb0FBZ0R6QXdRR0JBQVdEUUFBQlFZRUFCY05BQUFLQmdFQUFRQUFCWUEyRFFBQUNnQUNBUFFEQkFZRUFCY05BQUFGQmdRQUdBMEFBQW9HQVFBQkFBQUZnRGNOQUFBS0FBSUE5UU1FQmdRQUdBMEFBQVVHQkFBWkRRQUFDZ1lCQUFFQUFBV0FPQTBBQUFvQUFnRDJBd1FHQkFBWkRRQUFCUVlFQUJvTkFBQUtCZ0VBQVFBQUJZQTVEUUFBQ2dBQ0FQY0RCQVlFQUJvTkFBQUZCZ1FBR3cwQUFBb0dBUUFCQUFBRmdEb05BQUFLQUFJQStBTUVCZ1FBR2cwQUFBVUdCQUFjRFFBQUNnWUJBQUVBQUFXQU93MEFBQW9BQWdENUF3UUdCQUFhRFFBQUJRWUVBQjBOQUFBS0JnRUFBUUFBQllBOERRQUFDZ0FDQVBvREJBWUVBQmtOQUFBRkJnUUFIZzBBQUFvR0FRQUJBQUFGZ0QwTkFBQUtBQUlBK3dNRUJnUUFHUTBBQUFVR0JBQWZEUUFBQ2dZQkFBRUFBQVdBUGcwQUFBb0FBZ0Q4QXdRR0JBQVlEUUFBQlFZRUFDQU5BQUFLQmdFQUFRQUFCWUEvRFFBQUNnQUNBUDBEQkFZRUFCZ05BQUFGQmdRQUlRMEFBQW9HQVFBQkFBQUZnRUFOQUFBS0FBSUEvZ01FQmdRQUZ3MEFBQVVHQkFBaURRQUFDZ1lCQUFFQUFBV0FRUTBBQUFvQUFnRC9Bd1FHQkFBWERRQUFCUVlFQUNNTkFBQUtCZ0VBQVFBQUJZQkNEUUFBQ2dBQ0FBQUVCQVlFQUJZTkFBQUZCZ1FBSkEwQUFBb0dBUUFCQUFBRmdFTU5BQUFLQUFJQUFRUUVCZ1FBRmcwQUFBVUdCQUFsRFFBQUNnWUJBQUVBQUFXQVJBMEFBQW9BQWdBQ0JBUUdCQUFWRFFBQUJRWUVBQ1lOQUFBS0JnRUFBUUFBQllCRkRRQUFDZ0FDQUFNRUJBWUVBQlVOQUFBRkJnUUFKdzBBQUFvR0FRQUJBQUFGZ0VZTkFBQUtBQUlBQmdRRUJnUUFGUTBBQUFVR0JBQW9EUUFBQ2dZQkFBRUFBQVdBUncwQUFBb0FBZ0FJQkFRR0JBQW9EUUFBQlFZRUFDa05BQUFLQmdFQUFRQUFCWUJJRFFBQUNnQUNBQW9FQkFZRUFDa05BQUFGQmdRQUtnMEFBQW9HQVFBQkFBQUZnRWtOQUFBS0FBSUFEQVFFQmdRQUtnMEFBQVVHQkFBckRRQUFBQVlDQUFJQUNnWUJBQUVBQUFXQVNnMEFBQW9BQWdBT0JBUUdCQUFxRFFBQUJRWUVBQ3dOQUFBQUJnSUFBZ0FLQmdFQUFRQUFCWUJMRFFBQUNnQUNBQkFFQkFZRUFDb05BQUFGQmdRQUxRMEFBQW9HQVFBQkFBQUZnRXdOQUFBS0FBSUFFZ1FFQmdRQUxRMEFBQVVHQkFBdURRQUFDZ1lCQUFFQUFBV0FUUTBBQUFvQUFnQVdCQVFHQkFBd0RRQUFCUVlFQURFTkFBQUtCZ0VBQVFBQUJZQk9EUUFBQ2dBQ0FCZ0VCQVlFQURBTkFBQUZCZ1FBTWcwQUFBQUdBZ0FDQUFvR0FRQUJBQUFGZ0U4TkFBQUtBQUlBR1FRRUJnUUFMZzBBQUFVR0JBQXZEUUFBQ2dZQkFBRUFBQVdBVUEwQUFBb0FBZ0FiQkFRR0JBQXREUUFBQlFZRUFETU5BQUFLQmdFQUFRQUFCWUJSRFFBQUNnQUNBQndFQkFZRUFDOE5BQUFGQmdRQU1BMEFBQW9HQVFBQkFBQUFBQUFBQUFBQUFBPT0=</t>
        </r>
      </text>
    </comment>
    <comment ref="D60" authorId="0" shapeId="0" xr:uid="{4D400F26-126A-497C-A756-37DA8163B9D6}">
      <text>
        <r>
          <rPr>
            <b/>
            <sz val="9"/>
            <color indexed="81"/>
            <rFont val="Tahoma"/>
            <family val="2"/>
          </rPr>
          <t>QzEySDExRjEzTk80Uy18UGljdHVyZSAxNHxWbXBEUkRBeE1EQUVBd0lCQUFBQUFBQUFBQUFBQUFDQUFBQUFBQU1BRmdBQUFFTm9aVzFFY21GM0lESXlMakl1TUM0ek16QXdDQUFUQUFBQVZXNTBhWFJzWldRZ1JHOWpkVzFsYm5RRUFoQUFCc29MQVM3ZlJnQXJObVlCa0hXNUFRRUpDQUFBZ0k0QUFJQXVCZ0lKQ0FBQXdDRUFBTUMxQWcwSUFRQUJDQWNCQUFFNkJBRUFBVHNFQVFBQVJRUUJBQUU4QkFFQUFFb0VBUUFBREFZQkFBRVBCZ0VBQVEwR0FRQUFRZ1FCQUFCREJBRUFBRVFFQVFBQURnZ0NBUE1RQ2dnSUFBTUFZQURJQUFNQUN3Z0lBQlFBQUFEd0FBTUFDUWdFQURPekFnQUlDQVFBQUFBQ0FBY0lCQUFBQUFFQUJnZ0VBQUFBQkFBRkNBUUFBQUFlQUFRSUFnQjRBQU1JQkFBQUFIZ0FJd2dCQUFVTUNBRUFBQ2dJQVFBQktRZ0JBQUVxQ0FFQUFUSUlBUUFBS3dnQkFDZ3NDQUVBQ2dJSUVBQUFBQ1FBQUFBa0FBQUFKQUFBQUNRQUFRTUNBQUFBQWdNQ0FBRUFBQU15QUFnQS8vLy8vLy8vQUFBQUFBQUEvLzhBQUFBQS8vLy8vd0FBQUFELy93QUFBQUQvLy8vL0FBQUFBUC8vLy84QUFQLy9BQUVrQUFBQUFnQURBT1FFQlFCQmNtbGhiQlFBNUFRUEFGUnBiV1Z6SUU1bGR5QlNiMjFoYnJ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09NTEFBQUVBaEFBQUFBQUFBQUFBQUErZkhZQlpuYWtFQllJQkFBQUFDUUFHQWdFQUFBQUpBQVpDQUFBRUFnQ0FBRUFEd2dDQUFFQUE0Q2tDd0FBQkFJUUFBYktDd0V1MzBZQUt6Wm1BWkIxdVFFS0FBSUFCQVFFZ0tVTEFBQUFBZ2dBS3pZcUFZTFA1UUFLQUFJQTN3TTNCQUVBQVFBQUJJQ21Dd0FBQUFJSUFDczJPUUZ1MU1zQUNnQUNBT0FETndRQkFBRUFBQVNBcHdzQUFBQUNDQUFyTmlvQlc5bXhBQW9BQWdEaEF6Y0VBUUFCQUFBRWdLZ0xBQUFBQWdnQUt6WTVBVWZlbHdBS0FBSUE0Z00zQkFFQUFRQUFCSUNwQ3dBQUFBSUlBQ3MyS2dFMTQzMEFDZ0FDQU9NRE53UUJBQUVBQUFTQXFnc0FBQUFDQ0FBck5qa0JJZWhqQUFvQUFnRGtBemNFQVFBQkFBQUVnS3NMQUFBQUFnZ0FLelpJQVE3dFNRQUtBQUlBNVFNQ0JBSUFDUUFyQkFJQUFBQklCQUFBTndRQkFBRUdnQUFBQUFBQUFnZ0FrUnhNQVM3ZlJnQUVBaEFBR2NWREFTN2ZSZ0NSSEV3Qjd2cE1BQ01JQVFBQUFnY0NBQUFBQUFjTkFBRUFBQUFEQUdBQXlBQUFBRVlKQncwQUFRQUFBQU1BWUFESUFBQUFSZ0FBQUFBRWdLd0xBQUFBQWdnQUt6WlhBU0hvWXdBS0FBSUE1Z01DQkFJQUNRQXJCQUlBQUFCSUJBQUFOd1FCQUFFR2dBQUFBQUFBQWdnQWtSeGJBVUhhWUFBRUFoQUFHY1ZTQVVIYVlBQ1JIRnNCQWZabUFDTUlBUUFBQWdjQ0FBQUFBQWNOQUFFQUFBQURBR0FBeUFBQUFFWUpCdzBBQVFBQUFBTUFZQURJQUFBQVJnQUFBQUFFZ0swTEFBQUFBZ2dBS3pZcUFRN3RTUUFLQUFJQTV3TUNCQUlBQ1FBckJBSUFBQUJJQkFBQU53UUJBQUVHZ0FBQUFBQUFBZ2dBa1J3dUFTN2ZSZ0FFQWhBQUdjVWxBUzdmUmdDUkhDNEI3dnBNQUNNSUFRQUFBZ2NDQUFBQUFBY05BQUVBQUFBREFHQUF5QUFBQUVZSkJ3MEFBUUFBQUFNQVlBRElBQUFBUmdBQUFBQUVnSzRMQUFBQUFnZ0FHRHNRQVRUampBQUtBQUlBNkFNQ0JBSUFDUUFyQkFJQUFBQklCQUFBTndRQkFBRUdnQUFBQUFBQUFnZ0FmaUVVQVZUVmlRQUVBaEFBQnNvTEFWVFZpUUIrSVJRQkZQR1BBQ01JQVFBQUFnY0NBQUFBQUFjTkFBRUFBQUFEQUdBQXlBQUFBRVlKQncwQUFRQUFBQU1BWUFESUFBQUFSZ0FBQUFBRWdLOExBQUFBQWdnQUdEc1FBVFRqYmdBS0FBSUE2UU1DQkFJQUNRQXJCQUlBQUFCSUJBQUFOd1FCQUFFR2dBQUFBQUFBQWdnQWZpRVVBVlRWYXdBRUFoQUFCc29MQVZUVmF3QitJUlFCRlBGeEFDTUlBUUFBQWdjQ0FBQUFBQWNOQUFFQUFBQURBR0FBeUFBQUFFWUpCdzBBQVFBQUFBTUFZQURJQUFBQVJnQUFBQUFFZ0xBTEFBQUFBZ2dBUGpGVEFVamVpQUFLQUFJQTZnTUNCQUlBQ1FBckJBSUFBQUJJQkFBQU53UUJBQUVHZ0FBQUFBQUFBZ2dBcEJkWEFXalFoUUFFQWhBQUxNQk9BV2pRaFFDa0YxY0JLT3lMQUNNSUFRQUFBZ2NDQUFBQUFBY05BQUVBQUFBREFHQUF5QUFBQUVZSkJ3MEFBUUFBQUFNQVlBRElBQUFBUmdBQUFBQUVnTEVMQUFBQUFnZ0FQakZUQVVqZXBnQUtBQUlBNndNQ0JBSUFDUUFyQkFJQUFBQklCQUFBTndRQkFBRUdnQUFBQUFBQUFnZ0FwQmRYQVdqUW93QUVBaEFBTE1CT0FXalFvd0NrRjFjQktPeXBBQ01JQVFBQUFnY0NBQUFBQUFjTkFBRUFBQUFEQUdBQXlBQUFBRVlKQncwQUFRQUFBQU1BWUFESUFBQUFSZ0FBQUFBRWdMSUxBQUFBQWdnQUdEc1FBVnZad0FBS0FBSUE3QU1DQkFJQUNRQXJCQUlBQUFCSUJBQUFOd1FCQUFFR2dBQUFBQUFBQWdnQWZpRVVBWHZMdlFBRUFoQUFCc29MQVh2THZRQitJUlFCTytmREFDTUlBUUFBQWdjQ0FBQUFBQWNOQUFFQUFBQURBR0FBeUFBQUFFWUpCdzBBQVFBQUFBTUFZQURJQUFBQVJnQUFBQUFFZ0xNTEFBQUFBZ2dBR0RzUUFWdlpvZ0FLQUFJQTdRTUNCQUlBQ1FBckJBSUFBQUJJQkFBQU53UUJBQUVHZ0FBQUFBQUFBZ2dBZmlFVUFYdkxud0FFQWhBQUJzb0xBWHZMbndCK0lSUUJPK2VsQUNNSUFRQUFBZ2NDQUFBQUFBY05BQUVBQUFBREFHQUF5QUFBQUVZSkJ3MEFBUUFBQUFNQVlBRElBQUFBUmdBQUFBQUVnTFFMQUFBQUFnZ0FQakZUQVcvVXZBQUtBQUlBN2dNQ0JBSUFDUUFyQkFJQUFBQklCQUFBTndRQkFBRUdnQUFBQUFBQUFnZ0FwQmRYQVkvR3VRQUVBaEFBTE1CT0FZL0d1UUNrRjFjQlQrSy9BQ01JQVFBQUFnY0NBQUFBQUFjTkFBRUFBQUFEQUdBQXlBQUFBRVlKQncwQUFRQUFBQU1BWUFESUFBQUFSZ0FBQUFBRWdMVUxBQUFBQWdnQVBqRlRBVy9VMmdBS0FBSUE3d01DQkFJQUNRQXJCQUlBQUFCSUJBQUFOd1FCQUFFR2dBQUFBQUFBQWdnQXBCZFhBWS9HMXdBRUFoQUFMTUJPQVkvRzF3Q2tGMWNCVCtMZEFDTUlBUUFBQWdjQ0FBQUFBQWNOQUFFQUFBQURBR0FBeUFBQUFFWUpCdzBBQVFBQUFBTUFZQURJQUFBQVJnQUFBQUFFZ0xZTEFBQUFBZ2dBR0RzUUFZTFA5QUFLQUFJQThBTUNCQUlBQ1FBckJBSUFBQUJJQkFBQU53UUJBQUVHZ0FBQUFBQUFBZ2dBZmlFVUFhTEI4UUFFQWhBQUJzb0xBYUxCOFFCK0lSUUJZdDMzQUNNSUFRQUFBZ2NDQUFBQUFBY05BQUVBQUFBREFHQUF5QUFBQUVZSkJ3MEFBUUFBQUFNQVlBRElBQUFBUmdBQUFBQUVnTGNMQUFBQUFnZ0FHRHNRQVlMUDFnQUtBQUlBOFFNQ0JBSUFDUUFyQkFJQUFBQklCQUFBTndRQkFBRUdnQUFBQUFBQUFnZ0FmaUVVQWFMQjB3QUVBaEFBQnNvTEFhTEIwd0IrSVJRQll0M1pBQ01JQVFBQUFnY0NBQUFBQUFjTkFBRUFBQUFEQUdBQXlBQUFBRVlKQncwQUFRQUFBQU1BWUFESUFBQUFSZ0FBQUFBRWdMZ0xBQUFBQWdnQUt6WTVBWlhLL3dBS0FBSUFCUVEzQkFFQUFRQUFCSUM1Q3dBQUFBSUlBQ3MyS2dHb3hSa0JDZ0FDQUFjRU53UUJBQUVBQUFTQXVnc0FBQUFDQ0FBck5qa0J2TUF6QVFvQUFnQUpCQUlFQWdBUUFDc0VBZ0FBQUVnRUFBQTNCQUVBQVFhQUFBQUFBQUFDQ0FDUkhEMEIvR293QVFRQ0VBQThwelFCL0dvd0FTczJQUUY4RmpjQkl3Z0JBQUFDQndJQUFBQUZCd0VBQkFBSERRQUJBQUFBQXdCZ0FNZ0FBQUJUQ1FjTkFBRUFBQUFEQUdBQXlBQUFBRk1BQUFBQUJJQzdDd0FBQUFJSUFENHhVd0c4d0NRQkNnQUNBQXNFQWdRQ0FBZ0FLd1FDQUFBQVNBUUFBRGNFQVFBQkJvQUFBQUFBQUFJSUFLUVhWd0VjM1NBQkJBSVFBRStpVGdFYzNTQUJQakZYQVZ5a0tBRWpDQUVBQUFJSEFnQUFBQUFIRFFBQkFBQUFBd0JnQU1nQUFBQlBDUWNOQUFFQUFBQURBR0FBeUFBQUFFOEFBQUFBQklDOEN3QUFBQUlJQUJjN0h3Rzl3RUlCQ2dBQ0FBMEVBZ1FDQUFnQUt3UUNBQUFBU0FRQUFEY0VBUUFCQm9BQUFBQUFBQUlJQUgwaEl3RWQzVDRCQkFJUUFDaXNHZ0VkM1Q0QkZ6c2pBVjJrUmdFakNBRUFBQUlIQWdBQUFBQUhEUUFCQUFBQUF3QmdBTWdBQUFCUENRY05BQUVBQUFBREFHQUF5QUFBQUU4QUFBQUFCSUM5Q3dBQUFBSUlBQ3MyU0FIUHUwMEJDZ0FDQUE4RUFnUUNBQWNBS3dRQ0FBQUFTQVFBQURjRUFRQUJCb0FBQUFBQUFBSUlBSkVjVEFGdkgwb0JCQUlRQUJuRlF3RnZIMG9Ca1J4TUFTOVlVUUVqQ0FFQUFBSUhBZ0FBQUFVSEFRQUVBQWNOQUFFQUFBQURBR0FBeUFBQUFFNEpCdzBBQVFBQUFBTUFZQURJQUFBQVRnQUFBQUFFZ0w0TEFBQUFBZ2dBS3pZNUFlTzJad0VLQUFJQUVRUTNCQUVBQVFBQUJJQy9Dd0FBQUFJSUFDczJTQUgyc1lFQkNnQUNBQk1FTndRQkFBRUFBQVNBd0FzQUFBQUNDQUNSUERrQjg2R2JBUW9BQWdBVUJEY0VBUUFCQUFBRWdNRUxBQUFBQWdnQVhra2JBZk9obXdFS0FBSUFGUVFDQkFJQUNBQXJCQUlBQUFBaEJBRUEvMGdFQUFBM0JBRUFBUWFBQUFBQUFBQUNDQURFTHg4QlU3NlhBUVFDRUFCdnVoWUJVNzZYQVY1Skh3SHpCS0lCSXdnQkFBQUNCd0lBQUFBRkJ3RUFBUUFIRGdBQkFBQUFBd0JnQU1nQUFBQlBMUWtIRGdBQkFBQUFBd0JnQU1nQUFBQlBMUUFBQUFBRWdNSUxBQUFBQWdnQUt6WklBZkNSdFFFS0FBSUFGd1FDQkFJQUNBQXJCQUlBQUFCSUJBQUFOd1FCQUFFR2dBQUFBQUFBQWdnQWtSeE1BVkN1c1FFRUFoQUFQS2REQVZDdXNRRXJOa3dCa0hXNUFTTUlBUUFBQWdjQ0FBQUFBQWNOQUFFQUFBQURBR0FBeUFBQUFFOEpCdzBBQVFBQUFBTUFZQURJQUFBQVR3QUFBQUFFZ01NTEFBQUFBZ2dBS3pabUFjKzdUUUVLQUFJQUdnUTNCQUVBQVFBQUJZREVDd0FBQ2dBQ0FQSURCQVlFQUtVTEFBQUZCZ1FBcGdzQUFBb0dBUUFCQUFBRmdNVUxBQUFLQUFJQTh3TUVCZ1FBcGdzQUFBVUdCQUNuQ3dBQUNnWUJBQUVBQUFXQXhnc0FBQW9BQWdEMEF3UUdCQUNuQ3dBQUJRWUVBS2dMQUFBS0JnRUFBUUFBQllESEN3QUFDZ0FDQVBVREJBWUVBS2dMQUFBRkJnUUFxUXNBQUFvR0FRQUJBQUFGZ01nTEFBQUtBQUlBOWdNRUJnUUFxUXNBQUFVR0JBQ3FDd0FBQ2dZQkFBRUFBQVdBeVFzQUFBb0FBZ0QzQXdRR0JBQ3FDd0FBQlFZRUFLc0xBQUFLQmdFQUFRQUFCWURLQ3dBQUNnQUNBUGdEQkFZRUFLb0xBQUFGQmdRQXJBc0FBQW9HQVFBQkFBQUZnTXNMQUFBS0FBSUErUU1FQmdRQXFnc0FBQVVHQkFDdEN3QUFDZ1lCQUFFQUFBV0F6QXNBQUFvQUFnRDZBd1FHQkFDcEN3QUFCUVlFQUs0TEFBQUtCZ0VBQVFBQUJZRE5Dd0FBQ2dBQ0FQc0RCQVlFQUtrTEFBQUZCZ1FBcndzQUFBb0dBUUFCQUFBRmdNNExBQUFLQUFJQS9BTUVCZ1FBcUFzQUFBVUdCQUN3Q3dBQUNnWUJBQUVBQUFXQXp3c0FBQW9BQWdEOUF3UUdCQUNvQ3dBQUJRWUVBTEVMQUFBS0JnRUFBUUFBQllEUUN3QUFDZ0FDQVA0REJBWUVBS2NMQUFBRkJnUUFzZ3NBQUFvR0FRQUJBQUFGZ05FTEFBQUtBQUlBL3dNRUJnUUFwd3NBQUFVR0JBQ3pDd0FBQ2dZQkFBRUFBQVdBMGdzQUFBb0FBZ0FBQkFRR0JBQ21Dd0FBQlFZRUFMUUxBQUFLQmdFQUFRQUFCWURUQ3dBQUNnQUNBQUVFQkFZRUFLWUxBQUFGQmdRQXRRc0FBQW9HQVFBQkFBQUZnTlFMQUFBS0FBSUFBZ1FFQmdRQXBRc0FBQVVHQkFDMkN3QUFDZ1lCQUFFQUFBV0ExUXNBQUFvQUFnQURCQVFHQkFDbEN3QUFCUVlFQUxjTEFBQUtCZ0VBQVFBQUJZRFdDd0FBQ2dBQ0FBWUVCQVlFQUtVTEFBQUZCZ1FBdUFzQUFBb0dBUUFCQUFBRmdOY0xBQUFLQUFJQUNBUUVCZ1FBdUFzQUFBVUdCQUM1Q3dBQUNnWUJBQUVBQUFXQTJBc0FBQW9BQWdBS0JBUUdCQUM1Q3dBQUJRWUVBTG9MQUFBS0JnRUFBUUFBQllEWkN3QUFDZ0FDQUF3RUJBWUVBTG9MQUFBRkJnUUF1d3NBQUFBR0FnQUNBQW9HQVFBQkFBQUZnTm9MQUFBS0FBSUFEZ1FFQmdRQXVnc0FBQVVHQkFDOEN3QUFBQVlDQUFJQUNnWUJBQUVBQUFXQTJ3c0FBQW9BQWdBUUJBUUdCQUM2Q3dBQUJRWUVBTDBMQUFBS0JnRUFBUUFBQllEY0N3QUFDZ0FDQUJJRUJBWUVBTDBMQUFBRkJnUUF2Z3NBQUFvR0FRQUJBQUFGZ04wTEFBQUtBQUlBRmdRRUJnUUF3QXNBQUFVR0JBREJDd0FBQ2dZQkFBRUFBQVdBM2dzQUFBb0FBZ0FZQkFRR0JBREFDd0FBQlFZRUFNSUxBQUFBQmdJQUFnQUtCZ0VBQVFBQUJZRGZDd0FBQ2dBQ0FCa0VCQVlFQUw0TEFBQUZCZ1FBdndzQUFBb0dBUUFCQUFBRmdPQUxBQUFLQUFJQUd3UUVCZ1FBdlFzQUFBVUdCQUREQ3dBQUNnWUJBQUVBQUFXQTRRc0FBQW9BQWdBY0JBUUdCQUMvQ3dBQUJRWUVBTUFMQUFBS0JnRUFBUUFBQUFBQUFBQUFBQUE9</t>
        </r>
      </text>
    </comment>
    <comment ref="D61" authorId="0" shapeId="0" xr:uid="{9ABB49F6-10B0-4082-8A09-BF240B30318E}">
      <text>
        <r>
          <rPr>
            <b/>
            <sz val="9"/>
            <color indexed="81"/>
            <rFont val="Tahoma"/>
            <family val="2"/>
          </rPr>
          <t>QzEzSDE0RjEzTjJPM1MtfFBpY3R1cmUgNjl8Vm1wRFJEQXhNREFFQXdJQkFBQUFBQUFBQUFBQUFBQ0FBQUFBQUFNQUZnQUFBRU5vWlcxRWNtRjNJREl5TGpJdU1DNHpNekF3Q0FBVEFBQUFWVzUwYVhSc1pXUWdSRzlqZFcxbGJuUUVBaEFBdWxZTEFTdVVTUUI0bkdrQjAydlNBUUVKQ0FBQUFDMEFBQUROQlFJSkNBQUF3Q0VBQU1DMUFnMElBUUFCQ0FjQkFBRTZCQUVBQVRzRUFRQUFSUVFCQUFFOEJBRUFBRW9FQVFBQURBWUJBQUVQQmdFQUFRMEdBUUFBUWdRQkFBQkRCQUVBQUVRRUFRQUFEZ2dDQUtNWkNnZ0lBQU1BWUFESUFBTUFDd2dJQUJRQUFBRHdBQU1BQ1FnRUFET3pBZ0FJQ0FRQUFBQUNBQWNJQkFBQUFBRUFCZ2dFQUFBQUJBQUZDQVFBQUFBZUFBUUlBZ0I0QUFNSUJBQUFBSGdBSXdnQkFBVU1DQUVBQUNnSUFRQUJLUWdCQUFFcUNBRUFBVElJQVFBQUt3Z0JBQ2dzQ0FFQUNnSUlFQUFBQUNRQUFBQWtBQUFBSkFBQUFDUUFBUU1DQUFBQUFnTUNBQUVBQUFNeUFBZ0EvLy8vLy8vL0FBQUFBQUFBLy84QUFBQUEvLy8vL3dBQUFBRC8vd0FBQUFELy8vLy9BQUFBQVAvLy8vOEFBUC8vQUFFa0FBQUFBZ0FEQU9RRUJRQkJjbWxoYkJRQTVBUVBBRlJwYldWeklFNWxkeUJTYjIxaGJy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Ja0JBQUFFQWhBQUFBQUFBQUFBQUFCTmRLd0JMUGU0R0JZSUJBQUFBQ1FBR0FnRUFBQUFKQUFaQ0FBQUVBZ0NBQUVBRHdnQ0FBRUFBNEJIQVFBQUJBSVFBTHBXQ3dFcmxFa0FlSnhwQWROcjBnRUtBQUlBSlFJRWdFZ0JBQUFBQWdnQXpNY3RBWjlhVUFFS0FBSUFKZ0lDQkFJQUJ3QXJCQUlBQUFBaEJBRUEvMGdFQUFBM0JBRUFBUWFBQUFBQUFBQUNDQUF5cmpFQlA3NU1BUVFDRUFDNlZpa0JQNzVNQVRLdU1RRmZkbFlCSXdnQkFBQUNCd0lBQUFBRkJ3RUFBUUFIRGdBQkFBQUFBd0JnQU1nQUFBQk9MUWtIRGdBQkFBQUFBd0JnQU1nQUFBQk9MUUFBQUFBRWdFa0JBQUFBQWdnQVpzRThBYUpxTmdFS0FBSUFKd0lDQkFJQUVBQXJCQUlBQUFCSUJBQUFOd1FCQUFFR2dBQUFBQUFBQWdnQXpLZEFBZUlVTXdFRUFoQUFkekk0QWVJVU13Rm13VUFCWXNBNUFTTUlBUUFBQWdjQ0FBQUFBQWNOQUFFQUFBQURBR0FBeUFBQUFGTUpCdzBBQVFBQUFBTUFZQURJQUFBQVV3QUFBQUFFZ0VvQkFBQUFBZ2dBWTdGV0FUeGtSUUVLQUFJQUtBSUNCQUlBQ0FBckJBSUFBQUJJQkFBQU53UUJBQUVHZ0FBQUFBQUFBZ2dBeVpkYUFaeUFRUUVFQWhBQWRDSlNBWnlBUVFGanNWb0IzRWRKQVNNSUFRQUFBZ2NDQUFBQUFBY05BQUVBQUFBREFHQUF5QUFBQUU4SkJ3MEFBUUFBQUFNQVlBRElBQUFBVHdBQUFBQUVnRXNCQUFBQUFnZ0FhTkVpQVFoeEp3RUtBQUlBS1FJQ0JBSUFDQUFyQkFJQUFBQklCQUFBTndRQkFBRUdnQUFBQUFBQUFnZ0F6cmNtQVdpTkl3RUVBaEFBZVVJZUFXaU5Jd0ZvMFNZQnFGUXJBU01JQVFBQUFnY0NBQUFBQUFjTkFBRUFBQUFEQUdBQXlBQUFBRThKQncwQUFRQUFBQU1BWUFESUFBQUFUd0FBQUFBRWdFd0JBQUFBQWdnQS83cExBYVY2SEFFS0FBSUFLZ0kzQkFFQUFRQUFCSUJOQVFBQUFBSUlBUCs2UEFHU2Z3SUJDZ0FDQUNzQ053UUJBQUVBQUFTQVRnRUFBQUFDQ0FEL3Vrc0Jmb1RvQUFvQUFnQXNBamNFQVFBQkFBQUVnRThCQUFBQUFnZ0EvN284QVd1SnpnQUtBQUlBTFFJM0JBRUFBUUFBQklCUUFRQUFBQUlJQVArNlN3RllqclFBQ2dBQ0FDNENOd1FCQUFFQUFBU0FVUUVBQUFBQ0NBRC91andCUlpPYUFBb0FBZ0F2QWpjRUFRQUJBQUFFZ0ZJQkFBQUFBZ2dBLzdwTEFUS1lnQUFLQUFJQU1BSTNCQUVBQVFBQUJJQlRBUUFBQUFJSUFQKzZQQUVlbldZQUNnQUNBREVDTndRQkFBRUFBQVNBVkFFQUFBQUNDQUQvdWg0QkhwMW1BQW9BQWdBeUFnSUVBZ0FKQUNzRUFnQUFBRWdFQUFBM0JBRUFBUWFBQUFBQUFBQUNDQUJsb1NJQlBvOWpBQVFDRUFEdFNSb0JQbzlqQUdXaElnSCtxbWtBSXdnQkFBQUNCd0lBQUFBQUJ3MEFBUUFBQUFNQVlBRElBQUFBUmdrSERRQUJBQUFBQXdCZ0FNZ0FBQUJHQUFBQUFBU0FWUUVBQUFBQ0NBRC91aTBCQzZKTUFBb0FBZ0F6QWdJRUFnQUpBQ3NFQWdBQUFFZ0VBQUEzQkFFQUFRYUFBQUFBQUFBQ0NBQmxvVEVCSzVSSkFBUUNFQUR0U1NrQks1UkpBR1doTVFIcnIwOEFJd2dCQUFBQ0J3SUFBQUFBQncwQUFRQUFBQU1BWUFESUFBQUFSZ2tIRFFBQkFBQUFBd0JnQU1nQUFBQkdBQUFBQUFTQVZnRUFBQUFDQ0FEL3Vrc0JDNkpNQUFvQUFnQTBBZ0lFQWdBSkFDc0VBZ0FBQUVnRUFBQTNCQUVBQVFhQUFBQUFBQUFDQ0FCbG9VOEJLNVJKQUFRQ0VBRHRTVWNCSzVSSkFHV2hUd0hycjA4QUl3Z0JBQUFDQndJQUFBQUFCdzBBQVFBQUFBTUFZQURJQUFBQVJna0hEUUFCQUFBQUF3QmdBTWdBQUFCR0FBQUFBQVNBVndFQUFBQUNDQUFTdG1VQk1waHhBQW9BQWdBMUFnSUVBZ0FKQUNzRUFnQUFBRWdFQUFBM0JBRUFBUWFBQUFBQUFBQUNDQUI0bkdrQlVvcHVBQVFDRUFBQVJXRUJVb3B1QUhpY2FRRVNwblFBSXdnQkFBQUNCd0lBQUFBQUJ3MEFBUUFBQUFNQVlBRElBQUFBUmdrSERRQUJBQUFBQXdCZ0FNZ0FBQUJHQUFBQUFBU0FXQUVBQUFBQ0NBQVN0bVVCTXBpUEFBb0FBZ0EyQWdJRUFnQUpBQ3NFQWdBQUFFZ0VBQUEzQkFFQUFRYUFBQUFBQUFBQ0NBQjRuR2tCVW9xTUFBUUNFQUFBUldFQlVvcU1BSGljYVFFU3BwSUFJd2dCQUFBQ0J3SUFBQUFBQncwQUFRQUFBQU1BWUFESUFBQUFSZ2tIRFFBQkFBQUFBd0JnQU1nQUFBQkdBQUFBQUFTQVdRRUFBQUFDQ0FEc3Z5SUJSWk9wQUFvQUFnQTNBZ0lFQWdBSkFDc0VBZ0FBQUVnRUFBQTNCQUVBQVFhQUFBQUFBQUFDQ0FCU3BpWUJaWVdtQUFRQ0VBRGFUaDRCWllXbUFGS21KZ0Vsb2F3QUl3Z0JBQUFDQndJQUFBQUFCdzBBQVFBQUFBTUFZQURJQUFBQVJna0hEUUFCQUFBQUF3QmdBTWdBQUFCR0FBQUFBQVNBV2dFQUFBQUNDQURzdnlJQlJaT0xBQW9BQWdBNEFnSUVBZ0FKQUNzRUFnQUFBRWdFQUFBM0JBRUFBUWFBQUFBQUFBQUNDQUJTcGlZQlpZV0lBQVFDRUFEYVRoNEJaWVdJQUZLbUpnRWxvWTRBSXdnQkFBQUNCd0lBQUFBQUJ3MEFBUUFBQUFNQVlBRElBQUFBUmdrSERRQUJBQUFBQXdCZ0FNZ0FBQUJHQUFBQUFBU0FXd0VBQUFBQ0NBQVN0bVVCV0k2bEFBb0FBZ0E1QWdJRUFnQUpBQ3NFQWdBQUFFZ0VBQUEzQkFFQUFRYUFBQUFBQUFBQ0NBQjRuR2tCZUlDaUFBUUNFQUFBUldFQmVJQ2lBSGljYVFFNG5LZ0FJd2dCQUFBQ0J3SUFBQUFBQncwQUFRQUFBQU1BWUFESUFBQUFSZ2tIRFFBQkFBQUFBd0JnQU1nQUFBQkdBQUFBQUFTQVhBRUFBQUFDQ0FBU3RtVUJXSTdEQUFvQUFnQTZBZ0lFQWdBSkFDc0VBZ0FBQUVnRUFBQTNCQUVBQVFhQUFBQUFBQUFDQ0FCNG5Ha0JlSURBQUFRQ0VBQUFSV0VCZUlEQUFIaWNhUUU0bk1ZQUl3Z0JBQUFDQndJQUFBQUFCdzBBQVFBQUFBTUFZQURJQUFBQVJna0hEUUFCQUFBQUF3QmdBTWdBQUFCR0FBQUFBQVNBWFFFQUFBQUNDQURzdnlJQmE0bmRBQW9BQWdBN0FnSUVBZ0FKQUNzRUFnQUFBRWdFQUFBM0JBRUFBUWFBQUFBQUFBQUNDQUJTcGlZQmkzdmFBQVFDRUFEYVRoNEJpM3ZhQUZLbUpnRkxsK0FBSXdnQkFBQUNCd0lBQUFBQUJ3MEFBUUFBQUFNQVlBRElBQUFBUmdrSERRQUJBQUFBQXdCZ0FNZ0FBQUJHQUFBQUFBU0FYZ0VBQUFBQ0NBRHN2eUlCYTRtL0FBb0FBZ0E4QWdJRUFnQUpBQ3NFQWdBQUFFZ0VBQUEzQkFFQUFRYUFBQUFBQUFBQ0NBQlNwaVlCaTN1OEFBUUNFQURhVGg0QmkzdThBRkttSmdGTGw4SUFJd2dCQUFBQ0J3SUFBQUFBQncwQUFRQUFBQU1BWUFESUFBQUFSZ2tIRFFBQkFBQUFBd0JnQU1nQUFBQkdBQUFBQUFTQVh3RUFBQUFDQ0FBU3RtVUJmb1RaQUFvQUFnQTlBZ0lFQWdBSkFDc0VBZ0FBQUVnRUFBQTNCQUVBQVFhQUFBQUFBQUFDQ0FCNG5Ha0JubmJXQUFRQ0VBQUFSV0VCbm5iV0FIaWNhUUZla3R3QUl3Z0JBQUFDQndJQUFBQUFCdzBBQVFBQUFBTUFZQURJQUFBQVJna0hEUUFCQUFBQUF3QmdBTWdBQUFCR0FBQUFBQVNBWUFFQUFBQUNDQUFTdG1VQmZvVDNBQW9BQWdBK0FnSUVBZ0FKQUNzRUFnQUFBRWdFQUFBM0JBRUFBUWFBQUFBQUFBQUNDQUI0bkdrQm5uYjBBQVFDRUFBQVJXRUJubmIwQUhpY2FRRmVrdm9BSXdnQkFBQUNCd0lBQUFBQUJ3MEFBUUFBQUFNQVlBRElBQUFBUmdrSERRQUJBQUFBQXdCZ0FNZ0FBQUJHQUFBQUFBU0FZUUVBQUFBQ0NBQm13VHdCblVwcUFRb0FBZ0JZQWpjRUFRQUJBQUFFZ0dJQkFBQUFBZ2dBek1jdEFabzZoQUVLQUFJQVdnSTNCQUVBQVFBQUJJQmpBUUFBQUFJSUFHYkJXZ0dkU21vQkNnQUNBRndDQWdRQ0FBZ0FLd1FDQUFBQVNBUUFBRGNFQVFBQkJvQUFBQUFBQUFJSUFNeW5YZ0g5Wm1ZQkJBSVFBSGN5VmdIOVptWUJac0ZlQVQwdWJnRWpDQUVBQUFJSEFnQUFBQUFIRFFBQkFBQUFBd0JnQU1nQUFBQlBDUWNOQUFFQUFBQURBR0FBeUFBQUFFOEFBQUFBQklCa0FRQUFBQUlJQU16SFBBR3ROWjRCQ2dBQ0FGNENOd1FCQUFFQUFBU0FaUUVBQUFBQ0NBRE14eTBCd0RDNEFRb0FBZ0JnQWpjRUFRQUJBQUFFZ0dZQkFBQUFBZ2dBek1jOEFkUXIwZ0VLQUFJQVlnSTNCQUVBQVFBQUJJQm5BUUFBQUFJSUFNekhEd0dhT29RQkNnQUNBR1FDQWdRQ0FBY0FLd1FDQUFJQVNBUUFBRGNFQVFBQkJvQUFBQUFBQUFJSUFES3VFd0U2bm9BQkJBSVFBTHBXQ3dFNm5vQUJaZUVWQVlvN2t3RWpDQUVBQUFJSEFnQUFBQVVIQVFBQkFBY1BBQUVBQUFBREFHQUF5QUFBQUU1SU1na0hEd0FCQUFBQUF3QmdBTWdBQUFCT1NESUFBQUFBQllCb0FRQUFDZ0FDQUQ4Q0JBWUVBRWdCQUFBRkJnUUFTUUVBQUFvR0FRQUJBQUFGZ0drQkFBQUtBQUlBUUFJRUJnUUFTUUVBQUFVR0JBQktBUUFBQUFZQ0FBSUFDZ1lCQUFFQUFBV0FhZ0VBQUFvQUFnQkJBZ1FHQkFCSkFRQUFCUVlFQUVzQkFBQUFCZ0lBQWdBS0JnRUFBUUFBQllCckFRQUFDZ0FDQUVJQ0JBWUVBRWtCQUFBRkJnUUFUQUVBQUFvR0FRQUJBQUFGZ0d3QkFBQUtBQUlBUXdJRUJnUUFUQUVBQUFVR0JBQk5BUUFBQ2dZQkFBRUFBQVdBYlFFQUFBb0FBZ0JFQWdRR0JBQk5BUUFBQlFZRUFFNEJBQUFLQmdFQUFRQUFCWUJ1QVFBQUNnQUNBRVVDQkFZRUFFNEJBQUFGQmdRQVR3RUFBQW9HQVFBQkFBQUZnRzhCQUFBS0FBSUFSZ0lFQmdRQVR3RUFBQVVHQkFCUUFRQUFDZ1lCQUFFQUFBV0FjQUVBQUFvQUFnQkhBZ1FHQkFCUUFRQUFCUVlFQUZFQkFBQUtCZ0VBQVFBQUJZQnhBUUFBQ2dBQ0FFZ0NCQVlFQUZFQkFBQUZCZ1FBVWdFQUFBb0dBUUFCQUFBRmdISUJBQUFLQUFJQVNRSUVCZ1FBVWdFQUFBVUdCQUJUQVFBQUNnWUJBQUVBQUFXQWN3RUFBQW9BQWdCS0FnUUdCQUJUQVFBQUJRWUVBRlFCQUFBS0JnRUFBUUFBQllCMEFRQUFDZ0FDQUVzQ0JBWUVBRk1CQUFBRkJnUUFWUUVBQUFvR0FRQUJBQUFGZ0hVQkFBQUtBQUlBVEFJRUJnUUFVd0VBQUFVR0JBQldBUUFBQ2dZQkFBRUFBQVdBZGdFQUFBb0FBZ0JOQWdRR0JBQlNBUUFBQlFZRUFGY0JBQUFLQmdFQUFRQUFCWUIzQVFBQUNnQUNBRTRDQkFZRUFGSUJBQUFGQmdRQVdBRUFBQW9HQVFBQkFBQUZnSGdCQUFBS0FBSUFUd0lFQmdRQVVRRUFBQVVHQkFCWkFRQUFDZ1lCQUFFQUFBV0FlUUVBQUFvQUFnQlFBZ1FHQkFCUkFRQUFCUVlFQUZvQkFBQUtCZ0VBQVFBQUJZQjZBUUFBQ2dBQ0FGRUNCQVlFQUZBQkFBQUZCZ1FBV3dFQUFBb0dBUUFCQUFBRmdIc0JBQUFLQUFJQVVnSUVCZ1FBVUFFQUFBVUdCQUJjQVFBQUNnWUJBQUVBQUFXQWZBRUFBQW9BQWdCVEFnUUdCQUJQQVFBQUJRWUVBRjBCQUFBS0JnRUFBUUFBQllCOUFRQUFDZ0FDQUZRQ0JBWUVBRThCQUFBRkJnUUFYZ0VBQUFvR0FRQUJBQUFGZ0g0QkFBQUtBQUlBVlFJRUJnUUFUZ0VBQUFVR0JBQmZBUUFBQ2dZQkFBRUFBQVdBZndFQUFBb0FBZ0JXQWdRR0JBQk9BUUFBQlFZRUFHQUJBQUFLQmdFQUFRQUFCWUNBQVFBQUNnQUNBRmtDQkFZRUFFZ0JBQUFGQmdRQVlRRUFBQW9HQVFBQkFBQUZnSUVCQUFBS0FBSUFXd0lFQmdRQVlRRUFBQVVHQkFCaUFRQUFDZ1lCQUFFQUFBV0FnZ0VBQUFvQUFnQmRBZ1FHQkFCaEFRQUFCUVlFQUdNQkFBQUFCZ0lBQWdBS0JnRUFBUUFBQllDREFRQUFDZ0FDQUY4Q0JBWUVBR0lCQUFBRkJnUUFaQUVBQUFvR0FRQUJBQUFGZ0lRQkFBQUtBQUlBWVFJRUJnUUFaQUVBQUFVR0JBQmxBUUFBQ2dZQkFBRUFBQVdBaFFFQUFBb0FBZ0JqQWdRR0JBQmxBUUFBQlFZRUFHWUJBQUFLQmdFQUFRQUFCWUNHQVFBQUNnQUNBR1VDQkFZRUFHSUJBQUFGQmdRQVp3RUFBQW9HQVFBQkFBQUFBQUFBQUFBQUFBPT0=</t>
        </r>
      </text>
    </comment>
    <comment ref="D62" authorId="0" shapeId="0" xr:uid="{96F9025B-F811-42B5-BF7D-635492E3233F}">
      <text>
        <r>
          <rPr>
            <b/>
            <sz val="9"/>
            <color indexed="81"/>
            <rFont val="Tahoma"/>
            <family val="2"/>
          </rPr>
          <t>QzE0SDE2RjEzTjJPM1MtfFBpY3R1cmUgNzN8Vm1wRFJEQXhNREFFQXdJQkFBQUFBQUFBQUFBQUFBQ0FBQUFBQUFNQUZnQUFBRU5vWlcxRWNtRjNJREl5TGpJdU1DNHpNekF3Q0FBVEFBQUFWVzUwYVhSc1pXUWdSRzlqZFcxbGJuUUVBaEFBdWxZTEFTdVVTUUI0bkdrQjAydlNBUUVKQ0FBQUFDMEFBQUROQlFJSkNBQUF3Q0VBQU1DMUFnMElBUUFCQ0FjQkFBRTZCQUVBQVRzRUFRQUFSUVFCQUFFOEJBRUFBRW9FQVFBQURBWUJBQUVQQmdFQUFRMEdBUUFBUWdRQkFBQkRCQUVBQUVRRUFRQUFEZ2dDQUtNWkNnZ0lBQU1BWUFESUFBTUFDd2dJQUJRQUFBRHdBQU1BQ1FnRUFET3pBZ0FJQ0FRQUFBQUNBQWNJQkFBQUFBRUFCZ2dFQUFBQUJBQUZDQVFBQUFBZUFBUUlBZ0I0QUFNSUJBQUFBSGdBSXdnQkFBVU1DQUVBQUNnSUFRQUJLUWdCQUFFcUNBRUFBVElJQVFBQUt3Z0JBQ2dzQ0FFQUNnSUlFQUFBQUNRQUFBQWtBQUFBSkFBQUFDUUFBUU1DQUFBQUFnTUNBQUVBQUFNeUFBZ0EvLy8vLy8vL0FBQUFBQUFBLy84QUFBQUEvLy8vL3dBQUFBRC8vd0FBQUFELy8vLy9BQUFBQVAvLy8vOEFBUC8vQUFFa0FBQUFBZ0FEQU9RRUJRQkJjbWxoYkJRQTVBUVBBRlJwYldWeklFNWxkeUJTYjIxaGJy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KSUJBQUFFQWhBQUFBQUFBQUFBQUFCTmRLd0JMUGU0R0JZSUJBQUFBQ1FBR0FnRUFBQUFKQUFaQ0FBQUVBZ0NBQUVBRHdnQ0FBRUFBNEJPQVFBQUJBSVFBTHBXQ3dFcmxFa0FlSnhwQWROcjBnRUtBQUlBTmdJRWdFOEJBQUFBQWdnQXpNY3RBWjlhVUFFS0FBSUFOd0lDQkFJQUJ3QXJCQUlBQUFBaEJBRUEvMGdFQUFBM0JBRUFBUWFBQUFBQUFBQUNDQUF5cmpFQlA3NU1BUVFDRUFDNlZpa0JQNzVNQVRLdU1RRmZkbFlCSXdnQkFBQUNCd0lBQUFBRkJ3RUFBUUFIRGdBQkFBQUFBd0JnQU1nQUFBQk9MUWtIRGdBQkFBQUFBd0JnQU1nQUFBQk9MUUFBQUFBRWdGQUJBQUFBQWdnQVpzRThBYUpxTmdFS0FBSUFPQUlDQkFJQUVBQXJCQUlBQUFCSUJBQUFOd1FCQUFFR2dBQUFBQUFBQWdnQXpLZEFBZUlVTXdFRUFoQUFkekk0QWVJVU13Rm13VUFCWXNBNUFTTUlBUUFBQWdjQ0FBQUFBQWNOQUFFQUFBQURBR0FBeUFBQUFGTUpCdzBBQVFBQUFBTUFZQURJQUFBQVV3QUFBQUFFZ0ZFQkFBQUFBZ2dBWTdGV0FUeGtSUUVLQUFJQU9RSUNCQUlBQ0FBckJBSUFBQUJJQkFBQU53UUJBQUVHZ0FBQUFBQUFBZ2dBeVpkYUFaeUFRUUVFQWhBQWRDSlNBWnlBUVFGanNWb0IzRWRKQVNNSUFRQUFBZ2NDQUFBQUFBY05BQUVBQUFBREFHQUF5QUFBQUU4SkJ3MEFBUUFBQUFNQVlBRElBQUFBVHdBQUFBQUVnRklCQUFBQUFnZ0FhTkVpQVFoeEp3RUtBQUlBT2dJQ0JBSUFDQUFyQkFJQUFBQklCQUFBTndRQkFBRUdnQUFBQUFBQUFnZ0F6cmNtQVdpTkl3RUVBaEFBZVVJZUFXaU5Jd0ZvMFNZQnFGUXJBU01JQVFBQUFnY0NBQUFBQUFjTkFBRUFBQUFEQUdBQXlBQUFBRThKQncwQUFRQUFBQU1BWUFESUFBQUFUd0FBQUFBRWdGTUJBQUFBQWdnQS83cExBYVY2SEFFS0FBSUFPd0kzQkFFQUFRQUFCSUJVQVFBQUFBSUlBUCs2UEFHU2Z3SUJDZ0FDQUR3Q053UUJBQUVBQUFTQVZRRUFBQUFDQ0FEL3Vrc0Jmb1RvQUFvQUFnQTlBamNFQVFBQkFBQUVnRllCQUFBQUFnZ0EvN284QVd1SnpnQUtBQUlBUGdJM0JBRUFBUUFBQklCWEFRQUFBQUlJQVArNlN3RllqclFBQ2dBQ0FEOENOd1FCQUFFQUFBU0FXQUVBQUFBQ0NBRC91andCUlpPYUFBb0FBZ0JBQWpjRUFRQUJBQUFFZ0ZrQkFBQUFBZ2dBLzdwTEFUS1lnQUFLQUFJQVFRSTNCQUVBQVFBQUJJQmFBUUFBQUFJSUFQKzZQQUVlbldZQUNnQUNBRUlDTndRQkFBRUFBQVNBV3dFQUFBQUNDQUQvdWg0QkhwMW1BQW9BQWdCREFnSUVBZ0FKQUNzRUFnQUFBRWdFQUFBM0JBRUFBUWFBQUFBQUFBQUNDQUJsb1NJQlBvOWpBQVFDRUFEdFNSb0JQbzlqQUdXaElnSCtxbWtBSXdnQkFBQUNCd0lBQUFBQUJ3MEFBUUFBQUFNQVlBRElBQUFBUmdrSERRQUJBQUFBQXdCZ0FNZ0FBQUJHQUFBQUFBU0FYQUVBQUFBQ0NBRC91aTBCQzZKTUFBb0FBZ0JFQWdJRUFnQUpBQ3NFQWdBQUFFZ0VBQUEzQkFFQUFRYUFBQUFBQUFBQ0NBQmxvVEVCSzVSSkFBUUNFQUR0U1NrQks1UkpBR1doTVFIcnIwOEFJd2dCQUFBQ0J3SUFBQUFBQncwQUFRQUFBQU1BWUFESUFBQUFSZ2tIRFFBQkFBQUFBd0JnQU1nQUFBQkdBQUFBQUFTQVhRRUFBQUFDQ0FEL3Vrc0JDNkpNQUFvQUFnQkZBZ0lFQWdBSkFDc0VBZ0FBQUVnRUFBQTNCQUVBQVFhQUFBQUFBQUFDQ0FCbG9VOEJLNVJKQUFRQ0VBRHRTVWNCSzVSSkFHV2hUd0hycjA4QUl3Z0JBQUFDQndJQUFBQUFCdzBBQVFBQUFBTUFZQURJQUFBQVJna0hEUUFCQUFBQUF3QmdBTWdBQUFCR0FBQUFBQVNBWGdFQUFBQUNDQUFTdG1VQk1waHhBQW9BQWdCR0FnSUVBZ0FKQUNzRUFnQUFBRWdFQUFBM0JBRUFBUWFBQUFBQUFBQUNDQUI0bkdrQlVvcHVBQVFDRUFBQVJXRUJVb3B1QUhpY2FRRVNwblFBSXdnQkFBQUNCd0lBQUFBQUJ3MEFBUUFBQUFNQVlBRElBQUFBUmdrSERRQUJBQUFBQXdCZ0FNZ0FBQUJHQUFBQUFBU0FYd0VBQUFBQ0NBQVN0bVVCTXBpUEFBb0FBZ0JIQWdJRUFnQUpBQ3NFQWdBQUFFZ0VBQUEzQkFFQUFRYUFBQUFBQUFBQ0NBQjRuR2tCVW9xTUFBUUNFQUFBUldFQlVvcU1BSGljYVFFU3BwSUFJd2dCQUFBQ0J3SUFBQUFBQncwQUFRQUFBQU1BWUFESUFBQUFSZ2tIRFFBQkFBQUFBd0JnQU1nQUFBQkdBQUFBQUFTQVlBRUFBQUFDQ0FEc3Z5SUJSWk9wQUFvQUFnQklBZ0lFQWdBSkFDc0VBZ0FBQUVnRUFBQTNCQUVBQVFhQUFBQUFBQUFDQ0FCU3BpWUJaWVdtQUFRQ0VBRGFUaDRCWllXbUFGS21KZ0Vsb2F3QUl3Z0JBQUFDQndJQUFBQUFCdzBBQVFBQUFBTUFZQURJQUFBQVJna0hEUUFCQUFBQUF3QmdBTWdBQUFCR0FBQUFBQVNBWVFFQUFBQUNDQURzdnlJQlJaT0xBQW9BQWdCSkFnSUVBZ0FKQUNzRUFnQUFBRWdFQUFBM0JBRUFBUWFBQUFBQUFBQUNDQUJTcGlZQlpZV0lBQVFDRUFEYVRoNEJaWVdJQUZLbUpnRWxvWTRBSXdnQkFBQUNCd0lBQUFBQUJ3MEFBUUFBQUFNQVlBRElBQUFBUmdrSERRQUJBQUFBQXdCZ0FNZ0FBQUJHQUFBQUFBU0FZZ0VBQUFBQ0NBQVN0bVVCV0k2bEFBb0FBZ0JLQWdJRUFnQUpBQ3NFQWdBQUFFZ0VBQUEzQkFFQUFRYUFBQUFBQUFBQ0NBQjRuR2tCZUlDaUFBUUNFQUFBUldFQmVJQ2lBSGljYVFFNG5LZ0FJd2dCQUFBQ0J3SUFBQUFBQncwQUFRQUFBQU1BWUFESUFBQUFSZ2tIRFFBQkFBQUFBd0JnQU1nQUFBQkdBQUFBQUFTQVl3RUFBQUFDQ0FBU3RtVUJXSTdEQUFvQUFnQkxBZ0lFQWdBSkFDc0VBZ0FBQUVnRUFBQTNCQUVBQVFhQUFBQUFBQUFDQ0FCNG5Ha0JlSURBQUFRQ0VBQUFSV0VCZUlEQUFIaWNhUUU0bk1ZQUl3Z0JBQUFDQndJQUFBQUFCdzBBQVFBQUFBTUFZQURJQUFBQVJna0hEUUFCQUFBQUF3QmdBTWdBQUFCR0FBQUFBQVNBWkFFQUFBQUNDQURzdnlJQmE0bmRBQW9BQWdCTUFnSUVBZ0FKQUNzRUFnQUFBRWdFQUFBM0JBRUFBUWFBQUFBQUFBQUNDQUJTcGlZQmkzdmFBQVFDRUFEYVRoNEJpM3ZhQUZLbUpnRkxsK0FBSXdnQkFBQUNCd0lBQUFBQUJ3MEFBUUFBQUFNQVlBRElBQUFBUmdrSERRQUJBQUFBQXdCZ0FNZ0FBQUJHQUFBQUFBU0FaUUVBQUFBQ0NBRHN2eUlCYTRtL0FBb0FBZ0JOQWdJRUFnQUpBQ3NFQWdBQUFFZ0VBQUEzQkFFQUFRYUFBQUFBQUFBQ0NBQlNwaVlCaTN1OEFBUUNFQURhVGg0QmkzdThBRkttSmdGTGw4SUFJd2dCQUFBQ0J3SUFBQUFBQncwQUFRQUFBQU1BWUFESUFBQUFSZ2tIRFFBQkFBQUFBd0JnQU1nQUFBQkdBQUFBQUFTQVpnRUFBQUFDQ0FBU3RtVUJmb1RaQUFvQUFnQk9BZ0lFQWdBSkFDc0VBZ0FBQUVnRUFBQTNCQUVBQVFhQUFBQUFBQUFDQ0FCNG5Ha0JubmJXQUFRQ0VBQUFSV0VCbm5iV0FIaWNhUUZla3R3QUl3Z0JBQUFDQndJQUFBQUFCdzBBQVFBQUFBTUFZQURJQUFBQVJna0hEUUFCQUFBQUF3QmdBTWdBQUFCR0FBQUFBQVNBWndFQUFBQUNDQUFTdG1VQmZvVDNBQW9BQWdCUEFnSUVBZ0FKQUNzRUFnQUFBRWdFQUFBM0JBRUFBUWFBQUFBQUFBQUNDQUI0bkdrQm5uYjBBQVFDRUFBQVJXRUJubmIwQUhpY2FRRmVrdm9BSXdnQkFBQUNCd0lBQUFBQUJ3MEFBUUFBQUFNQVlBRElBQUFBUmdrSERRQUJBQUFBQXdCZ0FNZ0FBQUJHQUFBQUFBU0FhQUVBQUFBQ0NBQm13VHdCblVwcUFRb0FBZ0JwQWpjRUFRQUJBQUFFZ0drQkFBQUFBZ2dBek1jdEFabzZoQUVLQUFJQWF3STNCQUVBQVFBQUJJQnFBUUFBQUFJSUFHYkJXZ0dkU21vQkNnQUNBRzBDQWdRQ0FBZ0FLd1FDQUFBQVNBUUFBRGNFQVFBQkJvQUFBQUFBQUFJSUFNeW5YZ0g5Wm1ZQkJBSVFBSGN5VmdIOVptWUJac0ZlQVQwdWJnRWpDQUVBQUFJSEFnQUFBQUFIRFFBQkFBQUFBd0JnQU1nQUFBQlBDUWNOQUFFQUFBQURBR0FBeUFBQUFFOEFBQUFBQklCckFRQUFBQUlJQU16SFBBR3ROWjRCQ2dBQ0FHOENOd1FCQUFFQUFBU0FiQUVBQUFBQ0NBRE14eTBCd0RDNEFRb0FBZ0J4QWpjRUFRQUJBQUFFZ0cwQkFBQUFBZ2dBek1jOEFkUXIwZ0VLQUFJQWN3STNCQUVBQVFBQUJJQnVBUUFBQUFJSUFNekhXZ0d0Tlo0QkNnQUNBSFVDTndRQkFBRUFBQVNBYndFQUFBQUNDQURNeHc4Qm1qcUVBUW9BQWdCM0FnSUVBZ0FIQUNzRUFnQUNBRWdFQUFBM0JBRUFBUWFBQUFBQUFBQUNDQUF5cmhNQk9wNkFBUVFDRUFDNlZnc0JPcDZBQVdYaEZRR0tPNU1CSXdnQkFBQUNCd0lBQUFBRkJ3RUFBUUFIRHdBQkFBQUFBd0JnQU1nQUFBQk9TRElKQnc4QUFRQUFBQU1BWUFESUFBQUFUa2d5QUFBQUFBV0FjQUVBQUFvQUFnQlFBZ1FHQkFCUEFRQUFCUVlFQUZBQkFBQUtCZ0VBQVFBQUJZQnhBUUFBQ2dBQ0FGRUNCQVlFQUZBQkFBQUZCZ1FBVVFFQUFBQUdBZ0FDQUFvR0FRQUJBQUFGZ0hJQkFBQUtBQUlBVWdJRUJnUUFVQUVBQUFVR0JBQlNBUUFBQUFZQ0FBSUFDZ1lCQUFFQUFBV0Fjd0VBQUFvQUFnQlRBZ1FHQkFCUUFRQUFCUVlFQUZNQkFBQUtCZ0VBQVFBQUJZQjBBUUFBQ2dBQ0FGUUNCQVlFQUZNQkFBQUZCZ1FBVkFFQUFBb0dBUUFCQUFBRmdIVUJBQUFLQUFJQVZRSUVCZ1FBVkFFQUFBVUdCQUJWQVFBQUNnWUJBQUVBQUFXQWRnRUFBQW9BQWdCV0FnUUdCQUJWQVFBQUJRWUVBRllCQUFBS0JnRUFBUUFBQllCM0FRQUFDZ0FDQUZjQ0JBWUVBRllCQUFBRkJnUUFWd0VBQUFvR0FRQUJBQUFGZ0hnQkFBQUtBQUlBV0FJRUJnUUFWd0VBQUFVR0JBQllBUUFBQ2dZQkFBRUFBQVdBZVFFQUFBb0FBZ0JaQWdRR0JBQllBUUFBQlFZRUFGa0JBQUFLQmdFQUFRQUFCWUI2QVFBQUNnQUNBRm9DQkFZRUFGa0JBQUFGQmdRQVdnRUFBQW9HQVFBQkFBQUZnSHNCQUFBS0FBSUFXd0lFQmdRQVdnRUFBQVVHQkFCYkFRQUFDZ1lCQUFFQUFBV0FmQUVBQUFvQUFnQmNBZ1FHQkFCYUFRQUFCUVlFQUZ3QkFBQUtCZ0VBQVFBQUJZQjlBUUFBQ2dBQ0FGMENCQVlFQUZvQkFBQUZCZ1FBWFFFQUFBb0dBUUFCQUFBRmdINEJBQUFLQUFJQVhnSUVCZ1FBV1FFQUFBVUdCQUJlQVFBQUNnWUJBQUVBQUFXQWZ3RUFBQW9BQWdCZkFnUUdCQUJaQVFBQUJRWUVBRjhCQUFBS0JnRUFBUUFBQllDQUFRQUFDZ0FDQUdBQ0JBWUVBRmdCQUFBRkJnUUFZQUVBQUFvR0FRQUJBQUFGZ0lFQkFBQUtBQUlBWVFJRUJnUUFXQUVBQUFVR0JBQmhBUUFBQ2dZQkFBRUFBQVdBZ2dFQUFBb0FBZ0JpQWdRR0JBQlhBUUFBQlFZRUFHSUJBQUFLQmdFQUFRQUFCWUNEQVFBQUNnQUNBR01DQkFZRUFGY0JBQUFGQmdRQVl3RUFBQW9HQVFBQkFBQUZnSVFCQUFBS0FBSUFaQUlFQmdRQVZnRUFBQVVHQkFCa0FRQUFDZ1lCQUFFQUFBV0FoUUVBQUFvQUFnQmxBZ1FHQkFCV0FRQUFCUVlFQUdVQkFBQUtCZ0VBQVFBQUJZQ0dBUUFBQ2dBQ0FHWUNCQVlFQUZVQkFBQUZCZ1FBWmdFQUFBb0dBUUFCQUFBRmdJY0JBQUFLQUFJQVp3SUVCZ1FBVlFFQUFBVUdCQUJuQVFBQUNnWUJBQUVBQUFXQWlBRUFBQW9BQWdCcUFnUUdCQUJQQVFBQUJRWUVBR2dCQUFBS0JnRUFBUUFBQllDSkFRQUFDZ0FDQUd3Q0JBWUVBR2dCQUFBRkJnUUFhUUVBQUFvR0FRQUJBQUFGZ0lvQkFBQUtBQUlBYmdJRUJnUUFhQUVBQUFVR0JBQnFBUUFBQUFZQ0FBSUFDZ1lCQUFFQUFBV0Fpd0VBQUFvQUFnQndBZ1FHQkFCcEFRQUFCUVlFQUdzQkFBQUtCZ0VBQVFBQUJZQ01BUUFBQ2dBQ0FISUNCQVlFQUdzQkFBQUZCZ1FBYkFFQUFBb0dBUUFCQUFBRmdJMEJBQUFLQUFJQWRBSUVCZ1FBYkFFQUFBVUdCQUJ0QVFBQUNnWUJBQUVBQUFXQWpnRUFBQW9BQWdCMkFnUUdCQUJyQVFBQUJRWUVBRzRCQUFBS0JnRUFBUUFBQllDUEFRQUFDZ0FDQUhnQ0JBWUVBR2tCQUFBRkJnUUFid0VBQUFvR0FRQUJBQUFBQUFBQUFBQUFBQT09</t>
        </r>
      </text>
    </comment>
    <comment ref="D63" authorId="0" shapeId="0" xr:uid="{79599C34-2891-4A5A-8A19-12F77919CC15}">
      <text>
        <r>
          <rPr>
            <sz val="9"/>
            <color indexed="81"/>
            <rFont val="Tahoma"/>
            <family val="2"/>
          </rPr>
          <t>QzExSDhGMTNPNFMtfFBpY3R1cmUgNjZ8Vm1wRFJEQXhNREFFQXdJQkFBQUFBQUFBQUFBQUFBQ0FBQUFBQUFNQUZnQUFBRU5vWlcxRWNtRjNJREl5TGpJdU1DNHpNekF3Q0FBVEFBQUFWVzUwYVhSc1pXUWdSRzlqZFcxbGJuUUVBaEFBSUYwS0FUUExYd0NhZm1vQmJOKzhBUUVKQ0FBQWdFQUFBSUJBQUFJSkNBQUF3Q0VBQU1DMUFnMElBUUFCQ0FjQkFBRTZCQUVBQVRzRUFRQUFSUVFCQUFFOEJBRUFBRW9FQVFBQURBWUJBQUVQQmdFQUFRMEdBUUFBUWdRQkFBQkRCQUVBQUVRRUFRQUFEZ2dDQU1jWk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hFQ0FBQUVBaEFBQUFBQUFBQUFBQUM4cXF3QmhDWGdHQllJQkFBQUFDUUFHQWdFQUFBQUpBQVpDQUFBRUFnQ0FBRUFEd2dDQUFFQUE0QTFBZ0FBQkFJUUFDQmRDZ0V6eTE4QW1uNXFBV3pmdkFFS0FBSUFyZ0VFZ0RZQ0FBQUFBZ2dBVk5BOEFVWS9nUUVLQUFJQXJ3RTNCQUVBQVFBQUJJQTNBZ0FBQUFJSUFGVFFMUUV6UkdjQkNnQUNBTEFCTndRQkFBRUFBQVNBT0FJQUFBQUNDQUJVMER3QklFbE5BUW9BQWdDeEFRSUVBZ0FRQUNzRUFnQUFBRWdFQUFBM0JBRUFBUWFBQUFBQUFBQUNDQUNIZzBFQm9FaEpBUVFDRUFBZ1hUY0JvRWhKQWUycFFRR2dTVkVCSXdnQkFBQUNCd0lBQUFBQUJ3MEFBUUFBQUFNQVlBRHdBQUFBVXdrSERRQUJBQUFBQXdCZ0FQQUFBQUJUQUFBQUFBU0FPUUlBQUFBQ0NBQm55MVlCSUVsY0FRb0FBZ0N5QVFJRUFnQUlBQ3NFQWdBQUFFZ0VBQUEzQkFFQUFRYUFBQUFBQUFBQ0NBQ2FmbHNCWUo1WEFRUUNFQUF6V0ZFQllKNVhBUUNsV3dIZzgyQUJJd2dCQUFBQ0J3SUFBQUFBQncwQUFRQUFBQU1BWUFEd0FBQUFUd2tIRFFBQkFBQUFBd0JnQVBBQUFBQlBBQUFBQUFTQU9nSUFBQUFDQ0FCQjFTSUJJRWsrQVFvQUFnQ3pBUUlFQWdBSUFDc0VBZ0FBQUVnRUFBQTNCQUVBQVFhQUFBQUFBQUFDQ0FCMGlDY0JZSjQ1QVFRQ0VBQU5ZaDBCWUo0NUFkcXVKd0hnODBJQkl3Z0JBQUFDQndJQUFBQUFCdzBBQVFBQUFBTUFZQUR3QUFBQVR3a0hEUUFCQUFBQUF3QmdBUEFBQUFCUEFBQUFBQVNBT3dJQUFBQUNDQUJVMEVzQkRFNHpBUW9BQWdDMEFUY0VBUUFCQUFBRWdEd0NBQUFBQWdnQVZOQThBZmxTR1FFS0FBSUF0UUUzQkFFQUFRQUFCSUE5QWdBQUFBSUlBRlRRU3dIbVYvOEFDZ0FDQUxZQk53UUJBQUVBQUFTQVBnSUFBQUFDQ0FCVTBEd0IwMXpsQUFvQUFnQzNBVGNFQVFBQkFBQUVnRDhDQUFBQUFnZ0FWTkJMQWI5aHl3QUtBQUlBdUFFM0JBRUFBUUFBQklCQUFnQUFBQUlJQUZUUVBBR3NackVBQ2dBQ0FMa0JOd1FCQUFFQUFBU0FRUUlBQUFBQ0NBQlUwRXNCbVd1WEFBb0FBZ0M2QVRjRUFRQUJBQUFFZ0VJQ0FBQUFBZ2dBVk5BOEFZWndmUUFLQUFJQXV3RTNCQUVBQVFBQUJJQkRBZ0FBQUFJSUFGVFFIZ0dHY0gwQUNnQUNBTHdCQWdRQ0FBa0FLd1FDQUFBQVNBUUFBRGNFQVFBQkJvQUFBQUFBQUFJSUFJZURJd0ZHeG5rQUJBSVFBTzJKR1FGR3hua0FoNE1qQWNZYWdRQWpDQUVBQUFJSEFnQUFBQUFIRFFBQkFBQUFBd0JnQVBBQUFBQkdDUWNOQUFFQUFBQURBR0FBOEFBQUFFWUFBQUFBQklCRUFnQUFBQUlJQUZUUUxRRnpkV01BQ2dBQ0FMMEJBZ1FDQUFrQUt3UUNBQUFBU0FRQUFEY0VBUUFCQm9BQUFBQUFBQUlJQUllRE1nRXp5MThBQkFJUUFPMkpLQUV6eTE4QWg0TXlBYk1mWndBakNBRUFBQUlIQWdBQUFBQUhEUUFCQUFBQUF3QmdBUEFBQUFCR0NRY05BQUVBQUFBREFHQUE4QUFBQUVZQUFBQUFCSUJGQWdBQUFBSUlBRlRRU3dGemRXTUFDZ0FDQUw0QkFnUUNBQWtBS3dRQ0FBQUFTQVFBQURjRUFRQUJCb0FBQUFBQUFBSUlBSWVEVUFFenkxOEFCQUlRQU8ySlJnRXp5MThBaDROUUFiTWZad0FqQ0FFQUFBSUhBZ0FBQUFBSERRQUJBQUFBQXdCZ0FQQUFBQUJHQ1FjTkFBRUFBQUFEQUdBQThBQUFBRVlBQUFBQUJJQkdBZ0FBQUFJSUFHZkxaUUdaYTRnQUNnQUNBTDhCQWdRQ0FBa0FLd1FDQUFBQVNBUUFBRGNFQVFBQkJvQUFBQUFBQUFJSUFKcCthZ0Zad1lRQUJBSVFBQUNGWUFGWndZUUFtbjVxQWRrVmpBQWpDQUVBQUFJSEFnQUFBQUFIRFFBQkFBQUFBd0JnQVBBQUFBQkdDUWNOQUFFQUFBQURBR0FBOEFBQUFFWUFBQUFBQklCSEFnQUFBQUlJQUdmTFpRR1phNllBQ2dBQ0FNQUJBZ1FDQUFrQUt3UUNBQUFBU0FRQUFEY0VBUUFCQm9BQUFBQUFBQUlJQUpwK2FnRlp3YUlBQkFJUUFBQ0ZZQUZad2FJQW1uNXFBZGtWcWdBakNBRUFBQUlIQWdBQUFBQUhEUUFCQUFBQUF3QmdBUEFBQUFCR0NRY05BQUVBQUFBREFHQUE4QUFBQUVZQUFBQUFCSUJJQWdBQUFBSUlBRUhWSWdHc1pzQUFDZ0FDQU1FQkFnUUNBQWtBS3dRQ0FBQUFTQVFBQURjRUFRQUJCb0FBQUFBQUFBSUlBSFNJSndGc3ZMd0FCQUlRQU5xT0hRRnN2THdBZElnbkFld1F4QUFqQ0FFQUFBSUhBZ0FBQUFBSERRQUJBQUFBQXdCZ0FQQUFBQUJHQ1FjTkFBRUFBQUFEQUdBQThBQUFBRVlBQUFBQUJJQkpBZ0FBQUFJSUFFSFZJZ0dzWnFJQUNnQUNBTUlCQWdRQ0FBa0FLd1FDQUFBQVNBUUFBRGNFQVFBQkJvQUFBQUFBQUFJSUFIU0lKd0Zzdko0QUJBSVFBTnFPSFFGc3ZKNEFkSWduQWV3UXBnQWpDQUVBQUFJSEFnQUFBQUFIRFFBQkFBQUFBd0JnQVBBQUFBQkdDUWNOQUFFQUFBQURBR0FBOEFBQUFFWUFBQUFBQklCS0FnQUFBQUlJQUdmTFpRRy9ZYndBQ2dBQ0FNTUJBZ1FDQUFrQUt3UUNBQUFBU0FRQUFEY0VBUUFCQm9BQUFBQUFBQUlJQUpwK2FnRi90N2dBQkFJUUFBQ0ZZQUYvdDdnQW1uNXFBZjhMd0FBakNBRUFBQUlIQWdBQUFBQUhEUUFCQUFBQUF3QmdBUEFBQUFCR0NRY05BQUVBQUFBREFHQUE4QUFBQUVZQUFBQUFCSUJMQWdBQUFBSUlBR2ZMWlFHL1lkb0FDZ0FDQU1RQkFnUUNBQWtBS3dRQ0FBQUFTQVFBQURjRUFRQUJCb0FBQUFBQUFBSUlBSnArYWdGL3Q5WUFCQUlRQUFDRllBRi90OVlBbW41cUFmOEwzZ0FqQ0FFQUFBSUhBZ0FBQUFBSERRQUJBQUFBQXdCZ0FQQUFBQUJHQ1FjTkFBRUFBQUFEQUdBQThBQUFBRVlBQUFBQUJJQk1BZ0FBQUFJSUFFSFZJZ0hUWFBRQUNnQUNBTVVCQWdRQ0FBa0FLd1FDQUFBQVNBUUFBRGNFQVFBQkJvQUFBQUFBQUFJSUFIU0lKd0dUc3ZBQUJBSVFBTnFPSFFHVHN2QUFkSWduQVJNSCtBQWpDQUVBQUFJSEFnQUFBQUFIRFFBQkFBQUFBd0JnQVBBQUFBQkdDUWNOQUFFQUFBQURBR0FBOEFBQUFFWUFBQUFBQklCTkFnQUFBQUlJQUVIVklnSFRYTllBQ2dBQ0FNWUJBZ1FDQUFrQUt3UUNBQUFBU0FRQUFEY0VBUUFCQm9BQUFBQUFBQUlJQUhTSUp3R1RzdElBQkFJUUFOcU9IUUdUc3RJQWRJZ25BUk1IMmdBakNBRUFBQUlIQWdBQUFBQUhEUUFCQUFBQUF3QmdBUEFBQUFCR0NRY05BQUVBQUFBREFHQUE4QUFBQUVZQUFBQUFCSUJPQWdBQUFBSUlBR2ZMWlFIbVYvQUFDZ0FDQU1jQkFnUUNBQWtBS3dRQ0FBQUFTQVFBQURjRUFRQUJCb0FBQUFBQUFBSUlBSnArYWdHbXJld0FCQUlRQUFDRllBR21yZXdBbW41cUFTWUM5QUFqQ0FFQUFBSUhBZ0FBQUFBSERRQUJBQUFBQXdCZ0FQQUFBQUJHQ1FjTkFBRUFBQUFEQUdBQThBQUFBRVlBQUFBQUJJQlBBZ0FBQUFJSUFHZkxaUUhtVnc0QkNnQUNBTWdCQWdRQ0FBa0FLd1FDQUFBQVNBUUFBRGNFQVFBQkJvQUFBQUFBQUFJSUFKcCthZ0dtclFvQkJBSVFBQUNGWUFHbXJRb0JtbjVxQVNZQ0VnRWpDQUVBQUFJSEFnQUFBQUFIRFFBQkFBQUFBd0JnQVBBQUFBQkdDUWNOQUFFQUFBQURBR0FBOEFBQUFFWUFBQUFBQklCUUFnQUFBQUlJQUZUUUxRRlpPcHNCQ2dBQ0FNa0JOd1FCQUFFQUFBU0FVUUlBQUFBQ0NBQlUwQThCV1RxYkFRb0FBZ0RLQVFJRUFnQUlBQ3NFQWdBQUFFZ0VBQUEzQkFFQUFRYUFBQUFBQUFBQ0NBQ0hneFFCbVkrV0FRUUNFQUFnWFFvQm1ZK1dBZTJwRkFFWjVaOEJJd2dCQUFBQ0J3SUFBQUFBQncwQUFRQUFBQU1BWUFEd0FBQUFUd2tIRFFBQkFBQUFBd0JnQVBBQUFBQlBBQUFBQUFTQVVnSUFBQUFDQ0FCVTBEd0JiRFcxQVFvQUFnRExBUUlFQWdBSUFDc0VBZ0FBQUNFRUFRRC9TQVFBQURjRUFRQUJCb0FBQUFBQUFBSUlBSWVEUVFHc2lyQUJCQUlRQUNCZE53R3NpckFCN2FsQkFXemZ2QUVqQ0FFQUFBSUhBZ0FBQUFVSEFRQUJBQWNPQUFFQUFBQURBR0FBOEFBQUFFOHRDUWNPQUFFQUFBQURBR0FBOEFBQUFFOHRBQUFBQUFXQVV3SUFBQW9BQWdETUFRUUdCQUEyQWdBQUJRWUVBRGNDQUFBS0JnRUFBUUFBQllCVUFnQUFDZ0FDQU0wQkJBWUVBRGNDQUFBRkJnUUFPQUlBQUFvR0FRQUJBQUFGZ0ZVQ0FBQUtBQUlBemdFRUJnUUFPQUlBQUFVR0JBQTVBZ0FBQUFZQ0FBSUFDZ1lCQUFFQUFBV0FWZ0lBQUFvQUFnRFBBUVFHQkFBNEFnQUFCUVlFQURvQ0FBQUFCZ0lBQWdBS0JnRUFBUUFBQllCWEFnQUFDZ0FDQU5BQkJBWUVBRGdDQUFBRkJnUUFPd0lBQUFvR0FRQUJBQUFGZ0ZnQ0FBQUtBQUlBMFFFRUJnUUFPd0lBQUFVR0JBQThBZ0FBQ2dZQkFBRUFBQVdBV1FJQUFBb0FBZ0RTQVFRR0JBQThBZ0FBQlFZRUFEMENBQUFLQmdFQUFRQUFCWUJhQWdBQUNnQUNBTk1CQkFZRUFEMENBQUFGQmdRQVBnSUFBQW9HQVFBQkFBQUZnRnNDQUFBS0FBSUExQUVFQmdRQVBnSUFBQVVHQkFBL0FnQUFDZ1lCQUFFQUFBV0FYQUlBQUFvQUFnRFZBUVFHQkFBL0FnQUFCUVlFQUVBQ0FBQUtCZ0VBQVFBQUJZQmRBZ0FBQ2dBQ0FOWUJCQVlFQUVBQ0FBQUZCZ1FBUVFJQUFBb0dBUUFCQUFBRmdGNENBQUFLQUFJQTF3RUVCZ1FBUVFJQUFBVUdCQUJDQWdBQUNnWUJBQUVBQUFXQVh3SUFBQW9BQWdEWUFRUUdCQUJDQWdBQUJRWUVBRU1DQUFBS0JnRUFBUUFBQllCZ0FnQUFDZ0FDQU5rQkJBWUVBRUlDQUFBRkJnUUFSQUlBQUFvR0FRQUJBQUFGZ0dFQ0FBQUtBQUlBMmdFRUJnUUFRZ0lBQUFVR0JBQkZBZ0FBQ2dZQkFBRUFBQVdBWWdJQUFBb0FBZ0RiQVFRR0JBQkJBZ0FBQlFZRUFFWUNBQUFLQmdFQUFRQUFCWUJqQWdBQUNnQUNBTndCQkFZRUFFRUNBQUFGQmdRQVJ3SUFBQW9HQVFBQkFBQUZnR1FDQUFBS0FBSUEzUUVFQmdRQVFBSUFBQVVHQkFCSUFnQUFDZ1lCQUFFQUFBV0FaUUlBQUFvQUFnRGVBUVFHQkFCQUFnQUFCUVlFQUVrQ0FBQUtCZ0VBQVFBQUJZQm1BZ0FBQ2dBQ0FOOEJCQVlFQUQ4Q0FBQUZCZ1FBU2dJQUFBb0dBUUFCQUFBRmdHY0NBQUFLQUFJQTRBRUVCZ1FBUHdJQUFBVUdCQUJMQWdBQUNnWUJBQUVBQUFXQWFBSUFBQW9BQWdEaEFRUUdCQUErQWdBQUJRWUVBRXdDQUFBS0JnRUFBUUFBQllCcEFnQUFDZ0FDQU9JQkJBWUVBRDRDQUFBRkJnUUFUUUlBQUFvR0FRQUJBQUFGZ0dvQ0FBQUtBQUlBNHdFRUJnUUFQUUlBQUFVR0JBQk9BZ0FBQ2dZQkFBRUFBQVdBYXdJQUFBb0FBZ0RrQVFRR0JBQTlBZ0FBQlFZRUFFOENBQUFLQmdFQUFRQUFCWUJzQWdBQUNnQUNBT1VCQkFZRUFEWUNBQUFGQmdRQVVBSUFBQW9HQVFBQkFBQUZnRzBDQUFBS0FBSUE1Z0VFQmdRQVVBSUFBQVVHQkFCUkFnQUFBQVlDQUFJQUNnWUJBQUVBQUFXQWJnSUFBQW9BQWdEbkFRUUdCQUJRQWdBQUJRWUVBRklDQUFBS0JnRUFBUUFBQUFBQUFBQUFBQUE9</t>
        </r>
      </text>
    </comment>
    <comment ref="D65" authorId="0" shapeId="0" xr:uid="{4D61FC02-582F-4B69-8531-3682B95D5ED6}">
      <text>
        <r>
          <rPr>
            <sz val="9"/>
            <color indexed="81"/>
            <rFont val="Tahoma"/>
            <family val="2"/>
          </rPr>
          <t>QzE0SDE5RjEzTk8yUyt8UGljdHVyZSA0NHxWbXBEUkRBeE1EQUVBd0lCQUFBQUFBQUFBQUFBQUFDQUFBQUFBQU1BRmdBQUFFTm9aVzFFY21GM0lESXlMakl1TUM0ek16QXdDQUFUQUFBQVZXNTBhWFJzWldRZ1JHOWpkVzFsYm5RRUFoQUFNZTRSQVNuZlZRQkZDV01CZG5URkFRRUpDQUFBd0xvQUFFRE9BQUlKQ0FBQXdDRUFBTUMxQWcwSUFRQUJDQWNCQUFFNkJBRUFBVHNFQVFBQVJRUUJBQUU4QkFFQUFFb0VBUUFBREFZQkFBRVBCZ0VBQVEwR0FRQUFRZ1FCQUFCREJBRUFBRVFFQVFBQURnZ0NBUFlXQ2dnSUFBTUFZQUR3QUFNQUN3Z0lBQU1BQUFEd0FBTUFDUWdFQUFDYUFnQUlDQVFBQUFBQ0FBY0lCQUFBd0FBQUJnZ0VBQUNhQWdBRkNBUUFBQUFSQUFRSUFnQzBBQU1JQkFBQUFIZ0FJd2dCQUFVTUNBRUFBQ2dJQVFBQktRZ0JBQUVxQ0FFQUFUSUlBUUFBS3dnQkFDZ3NDQUVBQ2dJSUVBQUFBQ1FBQUFBa0FBQUFKQUFBQUNRQUFRTUNBQUFBQWdNQ0FBRUFBQU15QUFnQS8vLy8vLy8vQUFBQUFBQUEvLzhBQUFBQS8vLy8vd0FBQUFELy93QUFBQUQvLy8vL0FBQUFBUC8vLy84QUFQLy9BQUVQQUFBQUFRQURBT1FFQlFCQmNtbGhiTF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QklDQUFBRUFoQUFBQUFBQUFBQUFBQUxqS0lCRGh3TEZoWUlCQUFBQUNRQUdBZ0VBQUFBSkFBWkNBQUFFQWdDQUFFQUR3Z0NBQUVBQTREU0FRQUFCQUlRQURIdUVRRXAzMVVBUlFsakFYWjB4UUVLQUFJQVVRSUVnTk1CQUFBQUFnZ0FyQzlBQVgyRWN3QUtBQUlBVUFJM0JBRUFBUUFBQklEVUFRQUFBQUlJQUt3dk1RR1FmNDBBQ2dBQ0FGSUNOd1FCQUFFQUFBU0ExUUVBQUFBQ0NBQ3NMMEFCbzNxbkFBb0FBZ0JVQWpjRUFRQUJBQUFFZ05ZQkFBQUFBZ2dBckM4eEFiWjF3UUFLQUFJQVZnSTNCQUVBQVFBQUJJRFhBUUFBQUFJSUFLd3ZRQUhKY05zQUNnQUNBRmdDTndRQkFBRUFBQVNBMkFFQUFBQUNDQUNzTHpFQjNXdjFBQW9BQWdCYUFqY0VBUUFCQUFBRWdOa0JBQUFBQWdnQXJDOUFBZkJtRHdFS0FBSUFYQUkzQkFFQUFRQUFCSURhQVFBQUFBSUlBS3d2TVFFRFlpa0JDZ0FDQUY0Q053UUJBQUVBQUFTQTJ3RUFBQUFDQ0FDc0wwQUJGbDFEQVFvQUFnQmdBZ0lFQWdBUUFDc0VBZ0FBQUVnRUFBQTNCQUVBQVFhQUFBQUFBQUFDQ0FEZjRrUUJsbHcvQVFRQ0VBQjR2RG9CbGx3L0FVVUpSUUdXWFVjQkl3Z0JBQUFDQndJQUFBQUFCdzBBQVFBQUFBTUFZQUR3QUFBQVV3a0hEUUFCQUFBQUF3QmdBUEFBQUFCVEFBQUFBQVNBM0FFQUFBQUNDQUNzTHpFQktsaGRBUW9BQWdCaUFqY0VBUUFCQUFBRWdOMEJBQUFBQWdnQXJDOUFBVDFUZHdFS0FBSUFaQUkzQkFFQUFRQUFCSURlQVFBQUFBSUlBS3d2WGdFOVUzY0JDZ0FDQUdZQ0FnUUNBQWdBS3dRQ0FBRUFTQVFBQURjRUFRQUJCb0FBQUFBQUFBSUlBTi9pWWdGOXFISUJCQUlRQUhpOFdBRjlxSElCUlFsakFYMm9oQUVqQ0FFQUFBSUhBZ0FBQUFVSEFRQUJBQWNPQUFFQUFBQURBR0FBOEFBQUFFOUlDUWNPQUFFQUFBQURBR0FBOEFBQUFFOUlBQUFBQUFTQTN3RUFBQUFDQ0FDc0x6RUJVRTZSQVFvQUFnQm9BamNFQVFBQkFBQUVnT0FCQUFBQUFnZ0FyQzlBQVdOSnF3RUtBQUlBYWdJQ0JBSUFCd0FyQkFJQUFBQWhCQUVBQVVnRUFBQTNCQUVBQVFhQUFBQUFBQUFDQ0FEZjRrUUJJL1NtQVFRQ0VBQzlvRGtCSS9TbUFkL2lSQUVqNExRQkl3Z0JBQUFDQndJQUFBQUZCd0VBQVFBSERnQUJBQUFBQXdCZ0FQQUFBQUJPS3drSERnQUJBQUFBQXdCZ0FQQUFBQUJPS3dBQUFBQUVnT0VCQUFBQUFnZ0FyQzlQQVhaRXhRRUtBQUlBYkFJM0JBRUFBUUFBQklEaUFRQUFBQUlJQUt3dlhnRmpTYXNCQ2dBQ0FHNENOd1FCQUFFQUFBU0E0d0VBQUFBQ0NBQ3NMekVCZGtURkFRb0FBZ0J3QWpjRUFRQUJBQUFFZ09RQkFBQUFBZ2dBckM4eEFXbUpXUUFLQUFJQWNnSUNCQUlBQ1FBckJBSUFBQUJJQkFBQU53UUJBQUVHZ0FBQUFBQUFBZ2dBMytJMUFTbmZWUUFFQWhBQVJla3JBU25mVlFEZjRqVUJxVE5kQUNNSUFRQUFBZ2NDQUFBQUFBY05BQUVBQUFBREFHQUE4QUFBQUVZSkJ3MEFBUUFBQUFNQVlBRHdBQUFBUmdBQUFBQUVnT1VCQUFBQUFnZ0FyQzllQVgyRWN3QUtBQUlBZEFJQ0JBSUFDUUFyQkFJQUFBQklCQUFBTndRQkFBRUdnQUFBQUFBQUFnZ0EzK0ppQVQzYWJ3QUVBaEFBUmVsWUFUM2Fid0RmNG1JQnZTNTNBQ01JQVFBQUFnY0NBQUFBQUFjTkFBRUFBQUFEQUdBQThBQUFBRVlKQncwQUFRQUFBQU1BWUFEd0FBQUFSZ0FBQUFBRWdPWUJBQUFBQWdnQXJDOVBBV21KV1FBS0FBSUFkZ0lDQkFJQUNRQXJCQUlBQUFCSUJBQUFOd1FCQUFFR2dBQUFBQUFBQWdnQTMrSlRBU25mVlFBRUFoQUFSZWxKQVNuZlZRRGY0bE1CcVROZEFDTUlBUUFBQWdjQ0FBQUFBQWNOQUFFQUFBQURBR0FBOEFBQUFFWUpCdzBBQVFBQUFBTUFZQUR3QUFBQVJnQUFBQUFFZ09jQkFBQUFBZ2dBbURRWEFaQi9uQUFLQUFJQWVBSUNCQUlBQ1FBckJBSUFBQUJJQkFBQU53UUJBQUVHZ0FBQUFBQUFBZ2dBeStjYkFWRFZtQUFFQWhBQU1lNFJBVkRWbUFETDV4c0IwQ21nQUNNSUFRQUFBZ2NDQUFBQUFBY05BQUVBQUFBREFHQUE4QUFBQUVZSkJ3MEFBUUFBQUFNQVlBRHdBQUFBUmdBQUFBQUVnT2dCQUFBQUFnZ0FtRFFYQVpCL2ZnQUtBQUlBZWdJQ0JBSUFDUUFyQkFJQUFBQklCQUFBTndRQkFBRUdnQUFBQUFBQUFnZ0F5K2NiQVZEVmVnQUVBaEFBTWU0UkFWRFZlZ0RMNXhzQjBDbUNBQ01JQVFBQUFnY0NBQUFBQUFjTkFBRUFBQUFEQUdBQThBQUFBRVlKQncwQUFRQUFBQU1BWUFEd0FBQUFSZ0FBQUFBRWdPa0JBQUFBQWdnQXZ5cGFBYU42bUFBS0FBSUFmQUlDQkFJQUNRQXJCQUlBQUFCSUJBQUFOd1FCQUFFR2dBQUFBQUFBQWdnQTh0MWVBV1BRbEFBRUFoQUFXT1JVQVdQUWxBRHkzVjRCNHlTY0FDTUlBUUFBQWdjQ0FBQUFBQWNOQUFFQUFBQURBR0FBOEFBQUFFWUpCdzBBQVFBQUFBTUFZQUR3QUFBQVJnQUFBQUFFZ09vQkFBQUFBZ2dBdnlwYUFhTjZ0Z0FLQUFJQWZnSUNCQUlBQ1FBckJBSUFBQUJJQkFBQU53UUJBQUVHZ0FBQUFBQUFBZ2dBOHQxZUFXUFFzZ0FFQWhBQVdPUlVBV1BRc2dEeTNWNEI0eVM2QUNNSUFRQUFBZ2NDQUFBQUFBY05BQUVBQUFBREFHQUE4QUFBQUVZSkJ3MEFBUUFBQUFNQVlBRHdBQUFBUmdBQUFBQUVnT3NCQUFBQUFnZ0FtRFFYQWJaMXNnQUtBQUlBZ0FJQ0JBSUFDUUFyQkFJQUFBQklCQUFBTndRQkFBRUdnQUFBQUFBQUFnZ0F5K2NiQVhiTHJnQUVBaEFBTWU0UkFYYkxyZ0RMNXhzQjloKzJBQ01JQVFBQUFnY0NBQUFBQUFjTkFBRUFBQUFEQUdBQThBQUFBRVlKQncwQUFRQUFBQU1BWUFEd0FBQUFSZ0FBQUFBRWdPd0JBQUFBQWdnQW1EUVhBYloxMEFBS0FBSUFnZ0lDQkFJQUNRQXJCQUlBQUFCSUJBQUFOd1FCQUFFR2dBQUFBQUFBQWdnQXkrY2JBWGJMekFBRUFoQUFNZTRSQVhiTHpBREw1eHNCOWgvVUFDTUlBUUFBQWdjQ0FBQUFBQWNOQUFFQUFBQURBR0FBOEFBQUFFWUpCdzBBQVFBQUFBTUFZQUR3QUFBQVJnQUFBQUFFZ08wQkFBQUFBZ2dBdnlwYUFjbHd6QUFLQUFJQWhBSUNCQUlBQ1FBckJBSUFBQUJJQkFBQU53UUJBQUVHZ0FBQUFBQUFBZ2dBOHQxZUFZbkd5QUFFQWhBQVdPUlVBWW5HeUFEeTNWNEJDUnZRQUNNSUFRQUFBZ2NDQUFBQUFBY05BQUVBQUFBREFHQUE4QUFBQUVZSkJ3MEFBUUFBQUFNQVlBRHdBQUFBUmdBQUFBQUVnTzRCQUFBQUFnZ0F2eXBhQWNsdzZnQUtBQUlBaGdJQ0JBSUFDUUFyQkFJQUFBQklCQUFBTndRQkFBRUdnQUFBQUFBQUFnZ0E4dDFlQVluRzVnQUVBaEFBV09SVUFZbkc1Z0R5M1Y0QkNSdnVBQ01JQVFBQUFnY0NBQUFBQUFjTkFBRUFBQUFEQUdBQThBQUFBRVlKQncwQUFRQUFBQU1BWUFEd0FBQUFSZ0FBQUFBRWdPOEJBQUFBQWdnQW1EUVhBZDFyNWdBS0FBSUFpQUlDQkFJQUNRQXJCQUlBQUFCSUJBQUFOd1FCQUFFR2dBQUFBQUFBQWdnQXkrY2JBWjNCNGdBRUFoQUFNZTRSQVozQjRnREw1eHNCSFJicUFDTUlBUUFBQWdjQ0FBQUFBQWNOQUFFQUFBQURBR0FBOEFBQUFFWUpCdzBBQVFBQUFBTUFZQUR3QUFBQVJnQUFBQUFFZ1BBQkFBQUFBZ2dBbURRWEFkMXJCQUVLQUFJQWlnSUNCQUlBQ1FBckJBSUFBQUJJQkFBQU53UUJBQUVHZ0FBQUFBQUFBZ2dBeStjYkFaM0JBQUVFQWhBQU1lNFJBWjNCQUFITDV4c0JIUllJQVNNSUFRQUFBZ2NDQUFBQUFBY05BQUVBQUFBREFHQUE4QUFBQUVZSkJ3MEFBUUFBQUFNQVlBRHdBQUFBUmdBQUFBQUVnUEVCQUFBQUFnZ0FxeTllQVJWZFF3RUtBQUlBalFJQ0JBSUFDQUFyQkFJQUFBQklCQUFBTndRQkFBRUdnQUFBQUFBQUFnZ0EzdUppQVZXeVBnRUVBaEFBZDd4WUFWV3lQZ0ZFQ1dNQjFRZElBU01JQVFBQUFnY0NBQUFBQUFjTkFBRUFBQUFEQUdBQThBQUFBRThKQncwQUFRQUFBQU1BWUFEd0FBQUFUd0FBQUFBRmdQSUJBQUFLQUFJQVV3SUVCZ1FBMHdFQUFBVUdCQURVQVFBQUNnWUJBQUVBQUFXQTh3RUFBQW9BQWdCVkFnUUdCQURVQVFBQUJRWUVBTlVCQUFBS0JnRUFBUUFBQllEMEFRQUFDZ0FDQUZjQ0JBWUVBTlVCQUFBRkJnUUExZ0VBQUFvR0FRQUJBQUFGZ1BVQkFBQUtBQUlBV1FJRUJnUUExZ0VBQUFVR0JBRFhBUUFBQ2dZQkFBRUFBQVdBOWdFQUFBb0FBZ0JiQWdRR0JBRFhBUUFBQlFZRUFOZ0JBQUFLQmdFQUFRQUFCWUQzQVFBQUNnQUNBRjBDQkFZRUFOZ0JBQUFGQmdRQTJRRUFBQW9HQVFBQkFBQUZnUGdCQUFBS0FBSUFYd0lFQmdRQTJRRUFBQVVHQkFEYUFRQUFDZ1lCQUFFQUFBV0ErUUVBQUFvQUFnQmhBZ1FHQkFEYUFRQUFCUVlFQU5zQkFBQUtCZ0VBQVFBQUJZRDZBUUFBQ2dBQ0FHTUNCQVlFQU5zQkFBQUZCZ1FBM0FFQUFBb0dBUUFCQUFBRmdQc0JBQUFLQUFJQVpRSUVCZ1FBM0FFQUFBVUdCQURkQVFBQUNnWUJBQUVBQUFXQS9BRUFBQW9BQWdCbkFnUUdCQURkQVFBQUJRWUVBTjRCQUFBS0JnRUFBUUFBQllEOUFRQUFDZ0FDQUdrQ0JBWUVBTjBCQUFBRkJnUUEzd0VBQUFvR0FRQUJBQUFGZ1A0QkFBQUtBQUlBYXdJRUJnUUEzd0VBQUFVR0JBRGdBUUFBQ2dZQkFBRUFBQVdBL3dFQUFBb0FBZ0J0QWdRR0JBRGdBUUFBQlFZRUFPRUJBQUFLQmdFQUFRQUFCWUFBQWdBQUNnQUNBRzhDQkFZRUFPQUJBQUFGQmdRQTRnRUFBQW9HQVFBQkFBQUZnQUVDQUFBS0FBSUFjUUlFQmdRQTRBRUFBQVVHQkFEakFRQUFDZ1lCQUFFQUFBV0FBZ0lBQUFvQUFnQnpBZ1FHQkFEVEFRQUFCUVlFQU9RQkFBQUtCZ0VBQVFBQUJZQURBZ0FBQ2dBQ0FIVUNCQVlFQU5NQkFBQUZCZ1FBNVFFQUFBb0dBUUFCQUFBRmdBUUNBQUFLQUFJQWR3SUVCZ1FBMHdFQUFBVUdCQURtQVFBQUNnWUJBQUVBQUFXQUJRSUFBQW9BQWdCNUFnUUdCQURVQVFBQUJRWUVBT2NCQUFBS0JnRUFBUUFBQllBR0FnQUFDZ0FDQUhzQ0JBWUVBTlFCQUFBRkJnUUE2QUVBQUFvR0FRQUJBQUFGZ0FjQ0FBQUtBQUlBZlFJRUJnUUExUUVBQUFVR0JBRHBBUUFBQ2dZQkFBRUFBQVdBQ0FJQUFBb0FBZ0IvQWdRR0JBRFZBUUFBQlFZRUFPb0JBQUFLQmdFQUFRQUFCWUFKQWdBQUNnQUNBSUVDQkFZRUFOWUJBQUFGQmdRQTZ3RUFBQW9HQVFBQkFBQUZnQW9DQUFBS0FBSUFnd0lFQmdRQTFnRUFBQVVHQkFEc0FRQUFDZ1lCQUFFQUFBV0FDd0lBQUFvQUFnQ0ZBZ1FHQkFEWEFRQUFCUVlFQU8wQkFBQUtCZ0VBQVFBQUJZQU1BZ0FBQ2dBQ0FJY0NCQVlFQU5jQkFBQUZCZ1FBN2dFQUFBb0dBUUFCQUFBRmdBMENBQUFLQUFJQWlRSUVCZ1FBMkFFQUFBVUdCQUR2QVFBQUNnWUJBQUVBQUFXQURnSUFBQW9BQWdDTEFnUUdCQURZQVFBQUJRWUVBUEFCQUFBS0JnRUFBUUFBQllBUEFnQUFDZ0FDQUk0Q0JBWUVBTnNCQUFBRkJnUUE4UUVBQUFBR0FnQUNBQW9HQVFBQkFBQUFBQUFBQUFBQUFBPT0=</t>
        </r>
      </text>
    </comment>
    <comment ref="D67" authorId="0" shapeId="0" xr:uid="{0FD25F0F-A56B-4191-A4E1-79DC04031298}">
      <text>
        <r>
          <rPr>
            <sz val="9"/>
            <color indexed="81"/>
            <rFont val="Tahoma"/>
            <family val="2"/>
          </rPr>
          <t>QzE1SDE3RjEzTk80UzItfFBpY3R1cmUgOTh8Vm1wRFJEQXhNREFFQXdJQkFBQUFBQUFBQUFBQUFBQ0FBQUFBQUFNQUZnQUFBRU5vWlcxRWNtRjNJREl5TGpJdU1DNHpNekF3Q0FBVEFBQUFWVzUwYVhSc1pXUWdSRzlqZFcxbGJuUUVBaEFBNjVPVUFBUkFGd0JFYzg4QVROd2NBUUVKQ0FBQWdFQUFBSUJBQUFJSkNBQUF3Q0VBQU1DMUFnMElBUUFCQ0FjQkFBRTZCQUVBQVRzRUFRQUFSUVFCQUFFOEJBRUFBRW9FQVFBQURBWUJBQUVQQmdFQUFRMEdBUUFBUWdRQkFBQkRCQUVBQUVRRUFRQUFEZ2dDQUFJTE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xnSEFBQUVBaEFBQUFBQUFBQUFBQUJ3cXRrQVBZMTRDaFlJQkFBQUFDUUFHQWdFQUFBQUpBQVpDQUFBRUFnQ0FBRUFEd2dDQUFFQUE0QnhCd0FBQkFJUUFPdVRsQUFFUUJjQVJIUFBBRXpjSEFFS0FBSUFBUUFFZ0hJSEFBQUFBZ2dBTGs2Y0FIaUg0QUFLQUFJQUFnQTNCQUVBQVFBQUJJQnpCd0FBQUFJSUFCOEhxd0I0QitrQUNnQUNBQU1BTndRQkFBRUFBQVNBZEFjQUFBQUNDQUF1VHB3QWVJZnhBQW9BQWdBRUFEY0VBUUFCQUFBRWdIVUhBQUFBQWdnQUg0ZXpBR25BOXdBS0FBSUFCUUEzQkFFQUFRQUFCSUIyQndBQUFBSUlBQjhIcXdCYmVRWUJDZ0FDQUFZQUFnUUNBQkFBS3dRQ0FBQUFTQVFBQURjRUFRQUJCb0FBQUFBQUFBSUlBRks2cndEYmVBSUJCQUlRQU91VHBRRGJlQUlCdU9DdkFOdDVDZ0VqQ0FFQUFBSUhBZ0FBQUFBSERRQUJBQUFBQXdCZ0FQQUFBQUJUQ1FjTkFBRUFBQUFEQUdBQThBQUFBRk1BQUFBQUJJQjNCd0FBQUFJSUFCREF1UUJiK1E0QkNnQUNBQWNBQWdRQ0FBZ0FLd1FDQUFBQVNBUUFBRGNFQVFBQkJvQUFBQUFBQUFJSUFFTnp2Z0NiVGdvQkJBSVFBTnhNdEFDYlRnb0JxWm0rQUJ1a0V3RWpDQUVBQUFJSEFnQUFBQUFIRFFBQkFBQUFBd0JnQVBBQUFBQlBDUWNOQUFFQUFBQURBR0FBOEFBQUFFOEFBQUFBQklCNEJ3QUFBQUlJQUM1T25BQmIrZjBBQ2dBQ0FBZ0FBZ1FDQUFnQUt3UUNBQUFBU0FRQUFEY0VBUUFCQm9BQUFBQUFBQUlJQUdFQm9RQ2JUdmtBQkFJUUFQcmFsZ0NiVHZrQXh5ZWhBQnVrQWdFakNBRUFBQUlIQWdBQUFBQUhEUUFCQUFBQUF3QmdBUEFBQUFCUENRY05BQUVBQUFBREFHQUE4QUFBQUU4QUFBQUFCSUI1QndBQUFBSUlBQitIb2dCTU1oVUJDZ0FDQUFrQUFnUUNBQWdBS3dRQ0FBQUFJUVFCQVA5SUJBQUFOd1FCQUFFR2dBQUFBQUFBQWdnQVVqcW5BSXlIRUFFRUFoQUE2eE9kQUl5SEVBRzRZS2NBVE53Y0FTTUlBUUFBQWdjQ0FBQUFCUWNCQUFFQUJ3NEFBUUFBQUFNQVlBRHdBQUFBVHkwSkJ3NEFBUUFBQUFNQVlBRHdBQUFBVHkwQUFBQUFCSUI2QndBQUFBSUlBQitIc3dDR1R0b0FDZ0FDQUFvQUFnUUNBQWNBS3dRQ0FBRUFTQVFBQURjRUFRQUJCb0FBQUFBQUFBSUlBRkk2dUFCRytkVUFCQUlRQUxoQXJnQkcrZFVBNnpQQ0FNYWozZ0FqQ0FFQUFBSUhBZ0FBQUFVSEFRQUZCQWNHQUFJQUFnQURBQUFIRGdBQkFBQUFBd0JnQVBBQUFBQk9TQWtIRGdBQkFBQUFBd0JnQVBBQUFBQk9TQUFBQUFBRWdIc0hBQUFBQWdnQUh3ZXJBSldWeXdBS0FBSUFDd0EzQkFFQUFRQUFCSUI4QndBQUFBSUlBQitIc3dDazNMd0FDZ0FDQUF3QU53UUJBQUVBQUFTQWZRY0FBQUFDQ0FBZkI2c0FzaU91QUFvQUFnQU5BRGNFQVFBQkFBQUVnSDRIQUFBQUFnZ0FINGV6QU1GcW53QUtBQUlBRGdBQ0JBSUFFQUFyQkFJQUFBQklCQUFBTndRQkFBRUdnQUFBQUFBQUFnZ0FVanE0QUVGcW13QUVBaEFBNnhPdUFFRnFtd0M0WUxnQVFXdWpBQ01JQVFBQUFnY0NBQUFBQlFjQkFBTUFCdzBBQVFBQUFBTUFZQUR3QUFBQVV3a0hEUUFCQUFBQUF3QmdBUEFBQUFCVEFBQUFBQVNBZndjQUFBQUNDQUFmQjd3QTBMR1FBQW9BQWdBUEFEY0VBUUFCQUFBRWdJQUhBQUFBQWdnQUg0ZXpBTjc0Z1FBS0FBSUFFQUEzQkFFQUFRQUFCSUNCQndBQUFBSUlBQjhIdkFEc1AzTUFDZ0FDQUJFQU53UUJBQUVBQUFTQWdnY0FBQUFDQ0FBZmg3TUErNFprQUFvQUFnQVNBRGNFQVFBQkFBQUVnSU1IQUFBQUFnZ0FId2U4QUFyT1ZRQUtBQUlBRXdBM0JBRUFBUUFBQklDRUJ3QUFBQUlJQUIrSHN3QVpGVWNBQ2dBQ0FCUUFOd1FCQUFFQUFBU0FoUWNBQUFBQ0NBQWZCN3dBSjF3NEFBb0FBZ0FWQURjRUFRQUJBQUFFZ0lZSEFBQUFBZ2dBSDRlekFEYWpLUUFLQUFJQUZnQTNCQUVBQVFBQUJJQ0hCd0FBQUFJSUFCK0hvZ0Eyb3lrQUNnQUNBQmNBQWdRQ0FBa0FLd1FDQUFBQVNBUUFBRGNFQVFBQkJvQUFBQUFBQUFJSUFGSTZwd0QyK0NVQUJBSVFBTGhBblFEMitDVUFVanFuQUhaTkxRQWpDQUVBQUFJSEFnQUFBQUFIRFFBQkFBQUFBd0JnQVBBQUFBQkdDUWNOQUFFQUFBQURBR0FBOEFBQUFFWUFBQUFBQklDSUJ3QUFBQUlJQUI4SHF3QkU2aG9BQ2dBQ0FCZ0FBZ1FDQUFrQUt3UUNBQUFBU0FRQUFEY0VBUUFCQm9BQUFBQUFBQUlJQUZLNnJ3QUVRQmNBQkFJUUFMakFwUUFFUUJjQVVycXZBSVNVSGdBakNBRUFBQUlIQWdBQUFBQUhEUUFCQUFBQUF3QmdBUEFBQUFCR0NRY05BQUVBQUFBREFHQUE4QUFBQUVZQUFBQUFCSUNKQndBQUFBSUlBQjhIdkFCRTZob0FDZ0FDQUJrQUFnUUNBQWtBS3dRQ0FBQUFTQVFBQURjRUFRQUJCb0FBQUFBQUFBSUlBRks2d0FBRVFCY0FCQUlRQUxqQXRnQUVRQmNBVXJyQUFJU1VIZ0FqQ0FFQUFBSUhBZ0FBQUFBSERRQUJBQUFBQXdCZ0FQQUFBQUJHQ1FjTkFBRUFBQUFEQUdBQThBQUFBRVlBQUFBQUJJQ0tCd0FBQUFJSUFCSEF5Z0FuM0M4QUNnQUNBQm9BQWdRQ0FBa0FLd1FDQUFBQVNBUUFBRGNFQVFBQkJvQUFBQUFBQUFJSUFFUnp6d0RuTVN3QUJBSVFBS3A1eFFEbk1Td0FSSFBQQUdlR013QWpDQUVBQUFJSEFnQUFBQUFIRFFBQkFBQUFBd0JnQVBBQUFBQkdDUWNOQUFFQUFBQURBR0FBOEFBQUFFWUFBQUFBQklDTEJ3QUFBQUlJQUJIQXlnQW4zRUFBQ2dBQ0FCc0FBZ1FDQUFrQUt3UUNBQUFBU0FRQUFEY0VBUUFCQm9BQUFBQUFBQUlJQUVSenp3RG5NVDBBQkFJUUFLcDV4UURuTVQwQVJIUFBBR2VHUkFBakNBRUFBQUlIQWdBQUFBQUhEUUFCQUFBQUF3QmdBUEFBQUFCR0NRY05BQUVBQUFBREFHQUE4QUFBQUVZQUFBQUFCSUNNQndBQUFBSUlBQzdPcEFBWmxVOEFDZ0FDQUJ3QUFnUUNBQWtBS3dRQ0FBQUFTQVFBQURjRUFRQUJCb0FBQUFBQUFBSUlBR0dCcVFEWjZrc0FCQUlRQU1lSG53RFo2a3NBWVlHcEFGay9Vd0FqQ0FFQUFBSUhBZ0FBQUFBSERRQUJBQUFBQXdCZ0FQQUFBQUJHQ1FjTkFBRUFBQUFEQUdBQThBQUFBRVlBQUFBQUJJQ05Cd0FBQUFJSUFDN09wQUFabFQ0QUNnQUNBQjBBQWdRQ0FBa0FLd1FDQUFBQVNBUUFBRGNFQVFBQkJvQUFBQUFBQUFJSUFHR0JxUURaNmpvQUJBSVFBTWVIbndEWjZqb0FZWUdwQUZrL1FnQWpDQUVBQUFJSEFnQUFBQUFIRFFBQkFBQUFBd0JnQVBBQUFBQkdDUWNOQUFFQUFBQURBR0FBOEFBQUFFWUFBQUFBQklDT0J3QUFBQUlJQUJIQXlnQUtUazBBQ2dBQ0FCNEFBZ1FDQUFrQUt3UUNBQUFBU0FRQUFEY0VBUUFCQm9BQUFBQUFBQUlJQUVSenp3REtvMGtBQkFJUUFLcDV4UURLbzBrQVJIUFBBRXI0VUFBakNBRUFBQUlIQWdBQUFBQUhEUUFCQUFBQUF3QmdBUEFBQUFCR0NRY05BQUVBQUFBREFHQUE4QUFBQUVZQUFBQUFCSUNQQndBQUFBSUlBQkhBeWdBS1RsNEFDZ0FDQUI4QUFnUUNBQWtBS3dRQ0FBQUFTQVFBQURjRUFRQUJCb0FBQUFBQUFBSUlBRVJ6endES28xb0FCQUlRQUtwNXhRREtvMW9BUkhQUEFFcjRZUUFqQ0FFQUFBSUhBZ0FBQUFBSERRQUJBQUFBQXdCZ0FQQUFBQUJHQ1FjTkFBRUFBQUFEQUdBQThBQUFBRVlBQUFBQUJJQ1FCd0FBQUFJSUFDN09wQUQ3Qm0wQUNnQUNBQ0FBQWdRQ0FBa0FLd1FDQUFBQVNBUUFBRGNFQVFBQkJvQUFBQUFBQUFJSUFHR0JxUUM3WEdrQUJBSVFBTWVIbndDN1hHa0FZWUdwQUR1eGNBQWpDQUVBQUFJSEFnQUFBQUFIRFFBQkFBQUFBd0JnQVBBQUFBQkdDUWNOQUFFQUFBQURBR0FBOEFBQUFFWUFBQUFBQklDUkJ3QUFBQUlJQUM3T3BBRDdCbHdBQ2dBQ0FDRUFBZ1FDQUFrQUt3UUNBQUFBU0FRQUFEY0VBUUFCQm9BQUFBQUFBQUlJQUdHQnFRQzdYRmdBQkFJUUFNZUhud0M3WEZnQVlZR3BBRHV4WHdBakNBRUFBQUlIQWdBQUFBQUhEUUFCQUFBQUF3QmdBUEFBQUFCR0NRY05BQUVBQUFBREFHQUE4QUFBQUVZQUFBQUFCSUNTQndBQUFBSUlBQkhBeWdEc3Yyb0FDZ0FDQUNJQUFnUUNBQWtBS3dRQ0FBQUFTQVFBQURjRUFRQUJCb0FBQUFBQUFBSUlBRVJ6endDc0ZXY0FCQUlRQUtwNXhRQ3NGV2NBUkhQUEFDeHFiZ0FqQ0FFQUFBSUhBZ0FBQUFBSERRQUJBQUFBQXdCZ0FQQUFBQUJHQ1FjTkFBRUFBQUFEQUdBQThBQUFBRVlBQUFBQUJJQ1RCd0FBQUFJSUFCSEF5Z0R0djNzQUNnQUNBQ01BQWdRQ0FBa0FLd1FDQUFBQVNBUUFBRGNFQVFBQkJvQUFBQUFBQUFJSUFFUnp6d0N0RlhnQUJBSVFBS3A1eFFDdEZYZ0FSSFBQQUMxcWZ3QWpDQUVBQUFJSEFnQUFBQUFIRFFBQkFBQUFBd0JnQVBBQUFBQkdDUWNOQUFFQUFBQURBR0FBOEFBQUFFWUFBQUFBQklDVUJ3QUFBQUlJQUI4SG1nQ1ZsY3NBQ2dBQ0FDUUFBZ1FDQUFnQUt3UUNBQUFBU0FRQUFEY0VBUUFCQm9BQUFBQUFBQUlJQUZLNm5nRFY2c1lBQkFJUUFPdVRsQURWNnNZQXVPQ2VBRlZBMEFBakNBRUFBQUlIQWdBQUFBVUhBUUFCQUFjTkFBRUFBQUFEQUdBQThBQUFBRThKQncwQUFRQUFBQU1BWUFEd0FBQUFUd0FBQUFBRmdKVUhBQUFLQUFJQUpRQUVCZ1FBY2djQUFBVUdCQUJ6QndBQUNnWUJBQUVBQUFXQWxnY0FBQW9BQWdBbUFBUUdCQUJ6QndBQUJRWUVBSFFIQUFBS0JnRUFBUUFBQllDWEJ3QUFDZ0FDQUNjQUJBWUVBSE1IQUFBRkJnUUFkUWNBQUFvR0FRQUJBQUFGZ0pnSEFBQUtBQUlBS0FBRUJnUUFkUWNBQUFVR0JBQjJCd0FBQ2dZQkFBRUFBQVdBbVFjQUFBb0FBZ0FwQUFRR0JBQjJCd0FBQlFZRUFIY0hBQUFBQmdJQUFnQUtCZ0VBQVFBQUJZQ2FCd0FBQ2dBQ0FDb0FCQVlFQUhZSEFBQUZCZ1FBZUFjQUFBQUdBZ0FDQUFvR0FRQUJBQUFGZ0pzSEFBQUtBQUlBS3dBRUJnUUFkZ2NBQUFVR0JBQjVCd0FBQ2dZQkFBRUFBQVdBbkFjQUFBb0FBZ0FzQUFRR0JBQnpCd0FBQlFZRUFIb0hBQUFLQmdFQUFRQUFCWUNkQndBQUNnQUNBQzBBQkFZRUFIc0hBQUFGQmdRQWZBY0FBQW9HQVFBQkFBQUZnSjRIQUFBS0FBSUFMZ0FFQmdRQWZBY0FBQVVHQkFCOUJ3QUFDZ1lCQUFFQUFBV0Fud2NBQUFvQUFnQXZBQVFHQkFCOUJ3QUFCUVlFQUg0SEFBQUtCZ0VBQVFBQUJZQ2dCd0FBQ2dBQ0FEQUFCQVlFQUg0SEFBQUZCZ1FBZndjQUFBb0dBUUFCQUFBRmdLRUhBQUFLQUFJQU1RQUVCZ1FBZndjQUFBVUdCQUNBQndBQUNnWUJBQUVBQUFXQW9nY0FBQW9BQWdBeUFBUUdCQUNBQndBQUJRWUVBSUVIQUFBS0JnRUFBUUFBQllDakJ3QUFDZ0FDQURNQUJBWUVBSUVIQUFBRkJnUUFnZ2NBQUFvR0FRQUJBQUFGZ0tRSEFBQUtBQUlBTkFBRUJnUUFnZ2NBQUFVR0JBQ0RCd0FBQ2dZQkFBRUFBQVdBcFFjQUFBb0FBZ0ExQUFRR0JBQ0RCd0FBQlFZRUFJUUhBQUFLQmdFQUFRQUFCWUNtQndBQUNnQUNBRFlBQkFZRUFJUUhBQUFGQmdRQWhRY0FBQW9HQVFBQkFBQUZnS2NIQUFBS0FBSUFOd0FFQmdRQWhRY0FBQVVHQkFDR0J3QUFDZ1lCQUFFQUFBV0FxQWNBQUFvQUFnQTRBQVFHQkFDR0J3QUFCUVlFQUljSEFBQUtCZ0VBQVFBQUJZQ3BCd0FBQ2dBQ0FEa0FCQVlFQUlZSEFBQUZCZ1FBaUFjQUFBb0dBUUFCQUFBRmdLb0hBQUFLQUFJQU9nQUVCZ1FBaGdjQUFBVUdCQUNKQndBQUNnWUJBQUVBQUFXQXF3Y0FBQW9BQWdBN0FBUUdCQUNGQndBQUJRWUVBSW9IQUFBS0JnRUFBUUFBQllDc0J3QUFDZ0FDQUR3QUJBWUVBSVVIQUFBRkJnUUFpd2NBQUFvR0FRQUJBQUFGZ0swSEFBQUtBQUlBUFFBRUJnUUFoQWNBQUFVR0JBQ01Cd0FBQ2dZQkFBRUFBQVdBcmdjQUFBb0FBZ0ErQUFRR0JBQ0VCd0FBQlFZRUFJMEhBQUFLQmdFQUFRQUFCWUN2QndBQUNnQUNBRDhBQkFZRUFJTUhBQUFGQmdRQWpnY0FBQW9HQVFBQkFBQUZnTEFIQUFBS0FBSUFRQUFFQmdRQWd3Y0FBQVVHQkFDUEJ3QUFDZ1lCQUFFQUFBV0FzUWNBQUFvQUFnQkJBQVFHQkFDQ0J3QUFCUVlFQUpBSEFBQUtCZ0VBQVFBQUJZQ3lCd0FBQ2dBQ0FFSUFCQVlFQUlJSEFBQUZCZ1FBa1FjQUFBb0dBUUFCQUFBRmdMTUhBQUFLQUFJQVF3QUVCZ1FBZ1FjQUFBVUdCQUNTQndBQUNnWUJBQUVBQUFXQXRBY0FBQW9BQWdCRUFBUUdCQUNCQndBQUJRWUVBSk1IQUFBS0JnRUFBUUFBQllDMUJ3QUFDZ0FDQUVVQUJBWUVBSHNIQUFBRkJnUUFsQWNBQUFBR0FnQUNBQW9HQVFBQkFBQUZnTFlIQUFBS0FBSUFSZ0FFQmdRQWV3Y0FBQVVHQkFCNkJ3QUFDZ1lCQUFFQUFBQUFBQUFBQUFBQQ==</t>
        </r>
      </text>
    </comment>
    <comment ref="D68" authorId="0" shapeId="0" xr:uid="{6F18B6E3-9FC8-486E-BB8F-44FD91EFFCD4}">
      <text>
        <r>
          <rPr>
            <sz val="9"/>
            <color indexed="81"/>
            <rFont val="Tahoma"/>
            <family val="2"/>
          </rPr>
          <t>QzE1SDE3RjEzTk81UzItfFBpY3R1cmUgNDV8Vm1wRFJEQXhNREFFQXdJQkFBQUFBQUFBQUFBQUFBQ0FBQUFBQUFNQUZnQUFBRU5vWlcxRWNtRjNJREl5TGpJdU1DNHpNekF3Q0FBVEFBQUFWVzUwYVhSc1pXUWdSRzlqZFcxbGJuUUVBaEFBNjVPVUFBUkFGd0JFYzg4QVROd2NBUUVKQ0FBQWdFQUFBSUJBQUFJSkNBQUF3Q0VBQU1DMUFnMElBUUFCQ0FjQkFBRTZCQUVBQVRzRUFRQUFSUVFCQUFFOEJBRUFBRW9FQVFBQURBWUJBQUVQQmdFQUFRMEdBUUFBUWdRQkFBQkRCQUVBQUVRRUFRQUFEZ2dDQUFJTE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lRSEFBQUVBaEFBQUFBQUFBQUFBQUJ3cXRrQVBZMTRDaFlJQkFBQUFDUUFHQWdFQUFBQUpBQVpDQUFBRUFnQ0FBRUFEd2dDQUFFQUE0QTdCd0FBQkFJUUFPdVRsQUFFUUJjQVJIUFBBRXpjSEFFS0FBSUFwZ0lFZ0R3SEFBQUFBZ2dBTGs2Y0FIaUg0QUFLQUFJQXB3STNCQUVBQVFBQUJJQTlCd0FBQUFJSUFCOEhxd0I0QitrQUNnQUNBS2dDTndRQkFBRUFBQVNBUGdjQUFBQUNDQUF1VHB3QWVJZnhBQW9BQWdDcEFqY0VBUUFCQUFBRWdEOEhBQUFBQWdnQUg0ZXpBR25BOXdBS0FBSUFxZ0kzQkFFQUFRQUFCSUJBQndBQUFBSUlBQjhIcXdCYmVRWUJDZ0FDQUtzQ0FnUUNBQkFBS3dRQ0FBQUFTQVFBQURjRUFRQUJCb0FBQUFBQUFBSUlBRks2cndEYmVBSUJCQUlRQU91VHBRRGJlQUlCdU9DdkFOdDVDZ0VqQ0FFQUFBSUhBZ0FBQUFBSERRQUJBQUFBQXdCZ0FQQUFBQUJUQ1FjTkFBRUFBQUFEQUdBQThBQUFBRk1BQUFBQUJJQkJCd0FBQUFJSUFCREF1UUJiK1E0QkNnQUNBS3dDQWdRQ0FBZ0FLd1FDQUFBQVNBUUFBRGNFQVFBQkJvQUFBQUFBQUFJSUFFTnp2Z0NiVGdvQkJBSVFBTnhNdEFDYlRnb0JxWm0rQUJ1a0V3RWpDQUVBQUFJSEFnQUFBQUFIRFFBQkFBQUFBd0JnQVBBQUFBQlBDUWNOQUFFQUFBQURBR0FBOEFBQUFFOEFBQUFBQklCQ0J3QUFBQUlJQUM1T25BQmIrZjBBQ2dBQ0FLMENBZ1FDQUFnQUt3UUNBQUFBU0FRQUFEY0VBUUFCQm9BQUFBQUFBQUlJQUdFQm9RQ2JUdmtBQkFJUUFQcmFsZ0NiVHZrQXh5ZWhBQnVrQWdFakNBRUFBQUlIQWdBQUFBQUhEUUFCQUFBQUF3QmdBUEFBQUFCUENRY05BQUVBQUFBREFHQUE4QUFBQUU4QUFBQUFCSUJEQndBQUFBSUlBQitIb2dCTU1oVUJDZ0FDQUs0Q0FnUUNBQWdBS3dRQ0FBQUFJUVFCQVA5SUJBQUFOd1FCQUFFR2dBQUFBQUFBQWdnQVVqcW5BSXlIRUFFRUFoQUE2eE9kQUl5SEVBRzRZS2NBVE53Y0FTTUlBUUFBQWdjQ0FBQUFCUWNCQUFFQUJ3NEFBUUFBQUFNQVlBRHdBQUFBVHkwSkJ3NEFBUUFBQUFNQVlBRHdBQUFBVHkwQUFBQUFCSUJFQndBQUFBSUlBQitIc3dDR1R0b0FDZ0FDQUs4Q0FnUUNBQWNBS3dRQ0FBRUFTQVFBQURjRUFRQUJCb0FBQUFBQUFBSUlBRkk2dUFCRytkVUFCQUlRQUxoQXJnQkcrZFVBNnpQQ0FNYWozZ0FqQ0FFQUFBSUhBZ0FBQUFVSEFRQUZCQWNHQUFJQUFnQURBQUFIRGdBQkFBQUFBd0JnQVBBQUFBQk9TQWtIRGdBQkFBQUFBd0JnQVBBQUFBQk9TQUFBQUFBRWdFVUhBQUFBQWdnQUh3ZXJBSldWeXdBS0FBSUFzQUkzQkFFQUFRQUFCSUJHQndBQUFBSUlBQitIc3dDazNMd0FDZ0FDQUxFQ053UUJBQUVBQUFTQVJ3Y0FBQUFDQ0FBZkI2c0FzaU91QUFvQUFnQ3lBamNFQVFBQkFBQUVnRWdIQUFBQUFnZ0FINGV6QU1GcW53QUtBQUlBc3dJQ0JBSUFFQUFyQkFJQUFBQklCQUFBTndRQkFBRUdnQUFBQUFBQUFnZ0FVanE0QUVGcW13QUVBaEFBNnhPdUFFRnFtd0M0WUxnQVFXdWpBQ01JQVFBQUFnY0NBQUFBQlFjQkFBRUFCdzBBQVFBQUFBTUFZQUR3QUFBQVV3a0hEUUFCQUFBQUF3QmdBUEFBQUFCVEFBQUFBQVNBU1FjQUFBQUNDQUF1enFRQXdlcVdBQW9BQWdDMEFnSUVBZ0FJQUNzRUFnQUFBRWdFQUFBM0JBRUFBUWFBQUFBQUFBQUNDQUJoZ2FrQUFVQ1NBQVFDRUFENldwOEFBVUNTQU1lbnFRQ0JsWnNBSXdnQkFBQUNCd0lBQUFBQUJ3MEFBUUFBQUFNQVlBRHdBQUFBVHdrSERRQUJBQUFBQXdCZ0FQQUFBQUJQQUFBQUFBU0FTZ2NBQUFBQ0NBQWZCN3dBMExHUUFBb0FBZ0MxQWpjRUFRQUJBQUFFZ0VzSEFBQUFBZ2dBSDRlekFONzRnUUFLQUFJQXRnSTNCQUVBQVFBQUJJQk1Cd0FBQUFJSUFCOEh2QURzUDNNQUNnQUNBTGNDTndRQkFBRUFBQVNBVFFjQUFBQUNDQUFmaDdNQSs0WmtBQW9BQWdDNEFqY0VBUUFCQUFBRWdFNEhBQUFBQWdnQUh3ZThBQXJPVlFBS0FBSUF1UUkzQkFFQUFRQUFCSUJQQndBQUFBSUlBQitIc3dBWkZVY0FDZ0FDQUxvQ053UUJBQUVBQUFTQVVBY0FBQUFDQ0FBZkI3d0FKMXc0QUFvQUFnQzdBamNFQVFBQkFBQUVnRkVIQUFBQUFnZ0FINGV6QURhaktRQUtBQUlBdkFJM0JBRUFBUUFBQklCU0J3QUFBQUlJQUIrSG9nQTJveWtBQ2dBQ0FMMENBZ1FDQUFrQUt3UUNBQUFBU0FRQUFEY0VBUUFCQm9BQUFBQUFBQUlJQUZJNnB3RDIrQ1VBQkFJUUFMaEFuUUQyK0NVQVVqcW5BSFpOTFFBakNBRUFBQUlIQWdBQUFBQUhEUUFCQUFBQUF3QmdBUEFBQUFCR0NRY05BQUVBQUFBREFHQUE4QUFBQUVZQUFBQUFCSUJUQndBQUFBSUlBQjhIcXdCRTZob0FDZ0FDQUw0Q0FnUUNBQWtBS3dRQ0FBQUFTQVFBQURjRUFRQUJCb0FBQUFBQUFBSUlBRks2cndBRVFCY0FCQUlRQUxqQXBRQUVRQmNBVXJxdkFJU1VIZ0FqQ0FFQUFBSUhBZ0FBQUFBSERRQUJBQUFBQXdCZ0FQQUFBQUJHQ1FjTkFBRUFBQUFEQUdBQThBQUFBRVlBQUFBQUJJQlVCd0FBQUFJSUFCOEh2QUJFNmhvQUNnQUNBTDhDQWdRQ0FBa0FLd1FDQUFBQVNBUUFBRGNFQVFBQkJvQUFBQUFBQUFJSUFGSzZ3QUFFUUJjQUJBSVFBTGpBdGdBRVFCY0FVcnJBQUlTVUhnQWpDQUVBQUFJSEFnQUFBQUFIRFFBQkFBQUFBd0JnQVBBQUFBQkdDUWNOQUFFQUFBQURBR0FBOEFBQUFFWUFBQUFBQklCVkJ3QUFBQUlJQUJIQXlnQW4zQzhBQ2dBQ0FNQUNBZ1FDQUFrQUt3UUNBQUFBU0FRQUFEY0VBUUFCQm9BQUFBQUFBQUlJQUVSenp3RG5NU3dBQkFJUUFLcDV4UURuTVN3QVJIUFBBR2VHTXdBakNBRUFBQUlIQWdBQUFBQUhEUUFCQUFBQUF3QmdBUEFBQUFCR0NRY05BQUVBQUFBREFHQUE4QUFBQUVZQUFBQUFCSUJXQndBQUFBSUlBQkhBeWdBbjNFQUFDZ0FDQU1FQ0FnUUNBQWtBS3dRQ0FBQUFTQVFBQURjRUFRQUJCb0FBQUFBQUFBSUlBRVJ6endEbk1UMEFCQUlRQUtwNXhRRG5NVDBBUkhQUEFHZUdSQUFqQ0FFQUFBSUhBZ0FBQUFBSERRQUJBQUFBQXdCZ0FQQUFBQUJHQ1FjTkFBRUFBQUFEQUdBQThBQUFBRVlBQUFBQUJJQlhCd0FBQUFJSUFDN09wQUFabFU4QUNnQUNBTUlDQWdRQ0FBa0FLd1FDQUFBQVNBUUFBRGNFQVFBQkJvQUFBQUFBQUFJSUFHR0JxUURaNmtzQUJBSVFBTWVIbndEWjZrc0FZWUdwQUZrL1V3QWpDQUVBQUFJSEFnQUFBQUFIRFFBQkFBQUFBd0JnQVBBQUFBQkdDUWNOQUFFQUFBQURBR0FBOEFBQUFFWUFBQUFBQklCWUJ3QUFBQUlJQUM3T3BBQVpsVDRBQ2dBQ0FNTUNBZ1FDQUFrQUt3UUNBQUFBU0FRQUFEY0VBUUFCQm9BQUFBQUFBQUlJQUdHQnFRRFo2am9BQkFJUUFNZUhud0RaNmpvQVlZR3BBRmsvUWdBakNBRUFBQUlIQWdBQUFBQUhEUUFCQUFBQUF3QmdBUEFBQUFCR0NRY05BQUVBQUFBREFHQUE4QUFBQUVZQUFBQUFCSUJaQndBQUFBSUlBQkhBeWdBS1RrMEFDZ0FDQU1RQ0FnUUNBQWtBS3dRQ0FBQUFTQVFBQURjRUFRQUJCb0FBQUFBQUFBSUlBRVJ6endES28wa0FCQUlRQUtwNXhRREtvMGtBUkhQUEFFcjRVQUFqQ0FFQUFBSUhBZ0FBQUFBSERRQUJBQUFBQXdCZ0FQQUFBQUJHQ1FjTkFBRUFBQUFEQUdBQThBQUFBRVlBQUFBQUJJQmFCd0FBQUFJSUFCSEF5Z0FLVGw0QUNnQUNBTVVDQWdRQ0FBa0FLd1FDQUFBQVNBUUFBRGNFQVFBQkJvQUFBQUFBQUFJSUFFUnp6d0RLbzFvQUJBSVFBS3A1eFFES28xb0FSSFBQQUVyNFlRQWpDQUVBQUFJSEFnQUFBQUFIRFFBQkFBQUFBd0JnQVBBQUFBQkdDUWNOQUFFQUFBQURBR0FBOEFBQUFFWUFBQUFBQklCYkJ3QUFBQUlJQUM3T3BBRDdCbTBBQ2dBQ0FNWUNBZ1FDQUFrQUt3UUNBQUFBU0FRQUFEY0VBUUFCQm9BQUFBQUFBQUlJQUdHQnFRQzdYR2tBQkFJUUFNZUhud0M3WEdrQVlZR3BBRHV4Y0FBakNBRUFBQUlIQWdBQUFBQUhEUUFCQUFBQUF3QmdBUEFBQUFCR0NRY05BQUVBQUFBREFHQUE4QUFBQUVZQUFBQUFCSUJjQndBQUFBSUlBQzdPcEFEN0Jsd0FDZ0FDQU1jQ0FnUUNBQWtBS3dRQ0FBQUFTQVFBQURjRUFRQUJCb0FBQUFBQUFBSUlBR0dCcVFDN1hGZ0FCQUlRQU1lSG53QzdYRmdBWVlHcEFEdXhYd0FqQ0FFQUFBSUhBZ0FBQUFBSERRQUJBQUFBQXdCZ0FQQUFBQUJHQ1FjTkFBRUFBQUFEQUdBQThBQUFBRVlBQUFBQUJJQmRCd0FBQUFJSUFCSEF5Z0RzdjJvQUNnQUNBTWdDQWdRQ0FBa0FLd1FDQUFBQVNBUUFBRGNFQVFBQkJvQUFBQUFBQUFJSUFFUnp6d0NzRldjQUJBSVFBS3A1eFFDc0ZXY0FSSFBQQUN4cWJnQWpDQUVBQUFJSEFnQUFBQUFIRFFBQkFBQUFBd0JnQVBBQUFBQkdDUWNOQUFFQUFBQURBR0FBOEFBQUFFWUFBQUFBQklCZUJ3QUFBQUlJQUJIQXlnRHR2M3NBQ2dBQ0FNa0NBZ1FDQUFrQUt3UUNBQUFBU0FRQUFEY0VBUUFCQm9BQUFBQUFBQUlJQUVSenp3Q3RGWGdBQkFJUUFLcDV4UUN0RlhnQVJIUFBBQzFxZndBakNBRUFBQUlIQWdBQUFBQUhEUUFCQUFBQUF3QmdBUEFBQUFCR0NRY05BQUVBQUFBREFHQUE4QUFBQUVZQUFBQUFCSUJmQndBQUFBSUlBQjhIbWdDVmxjc0FDZ0FDQU1vQ0FnUUNBQWdBS3dRQ0FBQUFTQVFBQURjRUFRQUJCb0FBQUFBQUFBSUlBRks2bmdEVjZzWUFCQUlRQU91VGxBRFY2c1lBdU9DZUFGVkEwQUFqQ0FFQUFBSUhBZ0FBQUFVSEFRQUJBQWNOQUFFQUFBQURBR0FBOEFBQUFFOEpCdzBBQVFBQUFBTUFZQUR3QUFBQVR3QUFBQUFGZ0dBSEFBQUtBQUlBeXdJRUJnUUFQQWNBQUFVR0JBQTlCd0FBQ2dZQkFBRUFBQVdBWVFjQUFBb0FBZ0RNQWdRR0JBQTlCd0FBQlFZRUFENEhBQUFLQmdFQUFRQUFCWUJpQndBQUNnQUNBTTBDQkFZRUFEMEhBQUFGQmdRQVB3Y0FBQW9HQVFBQkFBQUZnR01IQUFBS0FBSUF6Z0lFQmdRQVB3Y0FBQVVHQkFCQUJ3QUFDZ1lCQUFFQUFBV0FaQWNBQUFvQUFnRFBBZ1FHQkFCQUJ3QUFCUVlFQUVFSEFBQUFCZ0lBQWdBS0JnRUFBUUFBQllCbEJ3QUFDZ0FDQU5BQ0JBWUVBRUFIQUFBRkJnUUFRZ2NBQUFBR0FnQUNBQW9HQVFBQkFBQUZnR1lIQUFBS0FBSUEwUUlFQmdRQVFBY0FBQVVHQkFCREJ3QUFDZ1lCQUFFQUFBV0Fad2NBQUFvQUFnRFNBZ1FHQkFBOUJ3QUFCUVlFQUVRSEFBQUtCZ0VBQVFBQUJZQm9Cd0FBQ2dBQ0FOTUNCQVlFQUVVSEFBQUZCZ1FBUmdjQUFBb0dBUUFCQUFBRmdHa0hBQUFLQUFJQTFBSUVCZ1FBUmdjQUFBVUdCQUJIQndBQUNnWUJBQUVBQUFXQWFnY0FBQW9BQWdEVkFnUUdCQUJIQndBQUJRWUVBRWdIQUFBS0JnRUFBUUFBQllCckJ3QUFDZ0FDQU5ZQ0JBWUVBRWdIQUFBRkJnUUFTUWNBQUFBR0FnQUNBQW9HQVFBQkFBQUZnR3dIQUFBS0FBSUExd0lFQmdRQVNBY0FBQVVHQkFCS0J3QUFDZ1lCQUFFQUFBV0FiUWNBQUFvQUFnRFlBZ1FHQkFCS0J3QUFCUVlFQUVzSEFBQUtCZ0VBQVFBQUJZQnVCd0FBQ2dBQ0FOa0NCQVlFQUVzSEFBQUZCZ1FBVEFjQUFBb0dBUUFCQUFBRmdHOEhBQUFLQUFJQTJnSUVCZ1FBVEFjQUFBVUdCQUJOQndBQUNnWUJBQUVBQUFXQWNBY0FBQW9BQWdEYkFnUUdCQUJOQndBQUJRWUVBRTRIQUFBS0JnRUFBUUFBQllCeEJ3QUFDZ0FDQU53Q0JBWUVBRTRIQUFBRkJnUUFUd2NBQUFvR0FRQUJBQUFGZ0hJSEFBQUtBQUlBM1FJRUJnUUFUd2NBQUFVR0JBQlFCd0FBQ2dZQkFBRUFBQVdBY3djQUFBb0FBZ0RlQWdRR0JBQlFCd0FBQlFZRUFGRUhBQUFLQmdFQUFRQUFCWUIwQndBQUNnQUNBTjhDQkFZRUFGRUhBQUFGQmdRQVVnY0FBQW9HQVFBQkFBQUZnSFVIQUFBS0FBSUE0QUlFQmdRQVVRY0FBQVVHQkFCVEJ3QUFDZ1lCQUFFQUFBV0FkZ2NBQUFvQUFnRGhBZ1FHQkFCUkJ3QUFCUVlFQUZRSEFBQUtCZ0VBQVFBQUJZQjNCd0FBQ2dBQ0FPSUNCQVlFQUZBSEFBQUZCZ1FBVlFjQUFBb0dBUUFCQUFBRmdIZ0hBQUFLQUFJQTR3SUVCZ1FBVUFjQUFBVUdCQUJXQndBQUNnWUJBQUVBQUFXQWVRY0FBQW9BQWdEa0FnUUdCQUJQQndBQUJRWUVBRmNIQUFBS0JnRUFBUUFBQllCNkJ3QUFDZ0FDQU9VQ0JBWUVBRThIQUFBRkJnUUFXQWNBQUFvR0FRQUJBQUFGZ0hzSEFBQUtBQUlBNWdJRUJnUUFUZ2NBQUFVR0JBQlpCd0FBQ2dZQkFBRUFBQVdBZkFjQUFBb0FBZ0RuQWdRR0JBQk9Cd0FBQlFZRUFGb0hBQUFLQmdFQUFRQUFCWUI5QndBQUNnQUNBT2dDQkFZRUFFMEhBQUFGQmdRQVd3Y0FBQW9HQVFBQkFBQUZnSDRIQUFBS0FBSUE2UUlFQmdRQVRRY0FBQVVHQkFCY0J3QUFDZ1lCQUFFQUFBV0Fmd2NBQUFvQUFnRHFBZ1FHQkFCTUJ3QUFCUVlFQUYwSEFBQUtCZ0VBQVFBQUJZQ0FCd0FBQ2dBQ0FPc0NCQVlFQUV3SEFBQUZCZ1FBWGdjQUFBb0dBUUFCQUFBRmdJRUhBQUFLQUFJQTdBSUVCZ1FBUlFjQUFBVUdCQUJmQndBQUFBWUNBQUlBQ2dZQkFBRUFBQVdBZ2djQUFBb0FBZ0R0QWdRR0JBQkZCd0FBQlFZRUFFUUhBQUFLQmdFQUFRQUFBQUFBQUFBQUFBQT0=</t>
        </r>
      </text>
    </comment>
    <comment ref="D69" authorId="0" shapeId="0" xr:uid="{6C0FE866-273D-43EA-B4F5-00B63DD0DECA}">
      <text>
        <r>
          <rPr>
            <sz val="9"/>
            <color indexed="81"/>
            <rFont val="Tahoma"/>
            <family val="2"/>
          </rPr>
          <t>QzE1SDE3RjEzTk82UzItfFBpY3R1cmUgMjJ8Vm1wRFJEQXhNREFFQXdJQkFBQUFBQUFBQUFBQUFBQ0FBQUFBQUFNQUZnQUFBRU5vWlcxRWNtRjNJREl5TGpJdU1DNHpNekF3Q0FBVEFBQUFWVzUwYVhSc1pXUWdSRzlqZFcxbGJuUUVBaEFBNjVPVUFBUkFGd0JFYzg4QVROd2NBUUVKQ0FBQUFDMEFBQUROQlFJSkNBQUF3Q0VBQU1DMUFnMElBUUFCQ0FjQkFBRTZCQUVBQVRzRUFRQUFSUVFCQUFFOEJBRUFBRW9FQVFBQURBWUJBQUVQQmdFQUFRMEdBUUFBUWdRQkFBQkRCQUVBQUVRRUFRQUFEZ2dDQUFJTENnZ0lBQU1BWUFEd0FBTUFDd2dJQUFNQUFBRHdBQU1BQ1FnRUFBQ2FBZ0FJQ0FRQUFBQUNBQWNJQkFBQXdBQUFCZ2dFQUFDYUFnQUZDQVFBQUFBUkFBUUlBZ0MwQUFNSUJBQUFBSGdBSXdnQkFBVU1DQUVBQUNnSUFRQUJLUWdCQUFFcUNBRUFBVElJQVFBQUt3Z0JBQ2dzQ0FFQUNnSUlFQUFBQUNRQUFBQWtBQUFBSkFBQUFDUUFBUU1DQUFBQUFnTUNBQUVBQUFNeUFBZ0EvLy8vLy8vL0FBQUFBQUFBLy84QUFBQUEvLy8vL3dBQUFBRC8vd0FBQUFELy8vLy9BQUFBQVAvLy8vOEFBUC8vQUFFUEFBQUFBUUFEQU9RRUJRQkJjbWxoYkxRTEFnQUFBTFVMRkFBQUFFTm9aVzFwWTJGc0lFWnZjbTExYkdFNklMWUxEZ0FBQUVWNFlXTjBJRTFoYzNNNklMY0xGQUFBQUUxdmJHVmpkV3hoY2lCWFpXbG5hSFE2SUxnTEJ3QUFBRzB2ZWpvZ3VRc1dBQUFBUld4bGJXVnVkR0ZzSUVGdVlXeDVjMmx6T2lDNkN4RUFBQUJDYjJsc2FXNW5JRkJ2YVc1ME9pQzdDeEVBQUFCTlpXeDBhVzVuSUZCdmFXNTBPaUM4Q3hFQUFBQkRjbWwwYVdOaGJDQlVaVzF3T2lDOUN4RUFBQUJEY21sMGFXTmhiQ0JRY21Wek9pQytDeEFBQUFCRGNtbDBhV05oYkNCV2IydzZJTDhMRUFBQUFFZHBZbUp6SUVWdVpYSm5lVG9nd0FzSkFBQUFURzluSUZBNklNRUxCZ0FBQUUxU09pRENDdzhBQUFCSVpXNXllU2R6SUV4aGR6b2d3d3NRQUFBQVNHVmhkQ0J2WmlCR2IzSnRPaURFQ3dnQUFBQjBVRk5CT2lESEN3Z0FBQUJNYjJkVE9pRElDd2NBQUFCd1MyRTZJTWtMQWdBQUFNb0xBZ0FBQUFzTUFnQUJBQW9NQVFBQUNRd0JBQUFNREFVQUFBQW9JeWtCZ0NvS0FBQUVBaEFBQUFBQUFBQUFBQUJ3cXRrQVBZMTRDaFlJQkFBQUFDUUFHQWdFQUFBQUpBQVpDQUFBRUFnQ0FBTUFEd2dDQUFFQUE0RGZDUUFBQkFJUUFPdVRsQUFFUUJjQVJIUFBBRXpjSEFFS0FBSUFsZ01FZ09BSkFBQUFBZ2dBTGs2Y0FIaUg0QUFLQUFJQWx3TTNCQUVBQVFBQUJJRGhDUUFBQUFJSUFCOEhxd0I0QitrQUNnQUNBSmdETndRQkFBRUFBQVNBNGdrQUFBQUNDQUF1VHB3QWVJZnhBQW9BQWdDWkF6Y0VBUUFCQUFBRWdPTUpBQUFBQWdnQUg0ZXpBR25BOXdBS0FBSUFtZ00zQkFFQUFRQUFCSURrQ1FBQUFBSUlBQjhIcXdCYmVRWUJDZ0FDQUpzREFnUUNBQkFBS3dRQ0FBQUFTQVFBQURjRUFRQUJCb0FBQUFBQUFBSUlBRks2cndEYmVBSUJCQUlRQU91VHBRRGJlQUlCdU9DdkFOdDVDZ0VqQ0FFQUFBSUhBZ0FBQUFBSERRQUJBQUFBQXdCZ0FQQUFBQUJUQ1FjTkFBRUFBQUFEQUdBQThBQUFBRk1BQUFBQUJJRGxDUUFBQUFJSUFCREF1UUJiK1E0QkNnQUNBSndEQWdRQ0FBZ0FLd1FDQUFBQVNBUUFBRGNFQVFBQkJvQUFBQUFBQUFJSUFFTnp2Z0NiVGdvQkJBSVFBTnhNdEFDYlRnb0JxWm0rQUJ1a0V3RWpDQUVBQUFJSEFnQUFBQUFIRFFBQkFBQUFBd0JnQVBBQUFBQlBDUWNOQUFFQUFBQURBR0FBOEFBQUFFOEFBQUFBQklEbUNRQUFBQUlJQUM1T25BQmIrZjBBQ2dBQ0FKMERBZ1FDQUFnQUt3UUNBQUFBU0FRQUFEY0VBUUFCQm9BQUFBQUFBQUlJQUdFQm9RQ2JUdmtBQkFJUUFQcmFsZ0NiVHZrQXh5ZWhBQnVrQWdFakNBRUFBQUlIQWdBQUFBQUhEUUFCQUFBQUF3QmdBUEFBQUFCUENRY05BQUVBQUFBREFHQUE4QUFBQUU4QUFBQUFCSURuQ1FBQUFBSUlBQitIb2dCTU1oVUJDZ0FDQUo0REFnUUNBQWdBS3dRQ0FBQUFJUVFCQVA5SUJBQUFOd1FCQUFFR2dBQUFBQUFBQWdnQVVqcW5BSXlIRUFFRUFoQUE2eE9kQUl5SEVBRzRZS2NBVE53Y0FTTUlBUUFBQWdjQ0FBQUFCUWNCQUFFQUJ3NEFBUUFBQUFNQVlBRHdBQUFBVHkwSkJ3NEFBUUFBQUFNQVlBRHdBQUFBVHkwQUFBQUFCSURvQ1FBQUFBSUlBQitIc3dDR1R0b0FDZ0FDQUo4REFnUUNBQWNBS3dRQ0FBRUFTQVFBQURjRUFRQUJCb0FBQUFBQUFBSUlBRkk2dUFCRytkVUFCQUlRQUxoQXJnQkcrZFVBNnpQQ0FNYWozZ0FqQ0FFQUFBSUhBZ0FBQUFVSEFRQUZCQWNHQUFJQUFnQURBQUFIRGdBQkFBQUFBd0JnQVBBQUFBQk9TQWtIRGdBQkFBQUFBd0JnQVBBQUFBQk9TQUFBQUFBRWdPa0pBQUFBQWdnQUh3ZXJBSldWeXdBS0FBSUFvQU0zQkFFQUFRQUFCSURxQ1FBQUFBSUlBQitIc3dDazNMd0FDZ0FDQUtFRE53UUJBQUVBQUFTQTZ3a0FBQUFDQ0FBZkI2c0FzaU91QUFvQUFnQ2lBemNFQVFBQkFBQUVnT3dKQUFBQUFnZ0FINGV6QU1GcW53QUtBQUlBb3dNQ0JBSUFFQUFyQkFJQUFBQklCQUFBTndRQkFBRUdnQUFBQUFBQUFnZ0FVanE0QUVGcW13QUVBaEFBNnhPdUFFRnFtd0M0WUxnQVFXdWpBQ01JQVFBQUFnY0NBQUFBQlFjQkFBUUFCdzBBQVFBQUFBTUFZQUR3QUFBQVV3a0hEUUFCQUFBQUF3QmdBUEFBQUFCVEFBQUFBQVNBN1FrQUFBQUNDQUF1enFRQXdlcVdBQW9BQWdDa0F3SUVBZ0FJQUNzRUFnQUFBRWdFQUFBM0JBRUFBUWFBQUFBQUFBQUNDQUJoZ2FrQUFVQ1NBQVFDRUFENldwOEFBVUNTQU1lbnFRQ0JsWnNBSXdnQkFBQUNCd0lBQUFBQUJ3MEFBUUFBQUFNQVlBRHdBQUFBVHdrSERRQUJBQUFBQXdCZ0FQQUFBQUJQQUFBQUFBU0E3Z2tBQUFBQ0NBQWZCN3dBMExHUUFBb0FBZ0NsQXpjRUFRQUJBQUFFZ084SkFBQUFBZ2dBSDRlekFONzRnUUFLQUFJQXBnTTNCQUVBQVFBQUJJRHdDUUFBQUFJSUFCOEh2QURzUDNNQUNnQUNBS2NETndRQkFBRUFBQVNBOFFrQUFBQUNDQUFmaDdNQSs0WmtBQW9BQWdDb0F6Y0VBUUFCQUFBRWdQSUpBQUFBQWdnQUh3ZThBQXJPVlFBS0FBSUFxUU0zQkFFQUFRQUFCSUR6Q1FBQUFBSUlBQitIc3dBWkZVY0FDZ0FDQUtvRE53UUJBQUVBQUFTQTlBa0FBQUFDQ0FBZkI3d0FKMXc0QUFvQUFnQ3JBemNFQVFBQkFBQUVnUFVKQUFBQUFnZ0FINGV6QURhaktRQUtBQUlBckFNM0JBRUFBUUFBQklEMkNRQUFBQUlJQUIrSG9nQTJveWtBQ2dBQ0FLMERBZ1FDQUFrQUt3UUNBQUFBU0FRQUFEY0VBUUFCQm9BQUFBQUFBQUlJQUZJNnB3RDIrQ1VBQkFJUUFMaEFuUUQyK0NVQVVqcW5BSFpOTFFBakNBRUFBQUlIQWdBQUFBQUhEUUFCQUFBQUF3QmdBUEFBQUFCR0NRY05BQUVBQUFBREFHQUE4QUFBQUVZQUFBQUFCSUQzQ1FBQUFBSUlBQjhIcXdCRTZob0FDZ0FDQUs0REFnUUNBQWtBS3dRQ0FBQUFTQVFBQURjRUFRQUJCb0FBQUFBQUFBSUlBRks2cndBRVFCY0FCQUlRQUxqQXBRQUVRQmNBVXJxdkFJU1VIZ0FqQ0FFQUFBSUhBZ0FBQUFBSERRQUJBQUFBQXdCZ0FQQUFBQUJHQ1FjTkFBRUFBQUFEQUdBQThBQUFBRVlBQUFBQUJJRDRDUUFBQUFJSUFCOEh2QUJFNmhvQUNnQUNBSzhEQWdRQ0FBa0FLd1FDQUFBQVNBUUFBRGNFQVFBQkJvQUFBQUFBQUFJSUFGSzZ3QUFFUUJjQUJBSVFBTGpBdGdBRVFCY0FVcnJBQUlTVUhnQWpDQUVBQUFJSEFnQUFBQUFIRFFBQkFBQUFBd0JnQVBBQUFBQkdDUWNOQUFFQUFBQURBR0FBOEFBQUFFWUFBQUFBQklENUNRQUFBQUlJQUJIQXlnQW4zQzhBQ2dBQ0FMQURBZ1FDQUFrQUt3UUNBQUFBU0FRQUFEY0VBUUFCQm9BQUFBQUFBQUlJQUVSenp3RG5NU3dBQkFJUUFLcDV4UURuTVN3QVJIUFBBR2VHTXdBakNBRUFBQUlIQWdBQUFBQUhEUUFCQUFBQUF3QmdBUEFBQUFCR0NRY05BQUVBQUFBREFHQUE4QUFBQUVZQUFBQUFCSUQ2Q1FBQUFBSUlBQkhBeWdBbjNFQUFDZ0FDQUxFREFnUUNBQWtBS3dRQ0FBQUFTQVFBQURjRUFRQUJCb0FBQUFBQUFBSUlBRVJ6endEbk1UMEFCQUlRQUtwNXhRRG5NVDBBUkhQUEFHZUdSQUFqQ0FFQUFBSUhBZ0FBQUFBSERRQUJBQUFBQXdCZ0FQQUFBQUJHQ1FjTkFBRUFBQUFEQUdBQThBQUFBRVlBQUFBQUJJRDdDUUFBQUFJSUFDN09wQUFabFU4QUNnQUNBTElEQWdRQ0FBa0FLd1FDQUFBQVNBUUFBRGNFQVFBQkJvQUFBQUFBQUFJSUFHR0JxUURaNmtzQUJBSVFBTWVIbndEWjZrc0FZWUdwQUZrL1V3QWpDQUVBQUFJSEFnQUFBQUFIRFFBQkFBQUFBd0JnQVBBQUFBQkdDUWNOQUFFQUFBQURBR0FBOEFBQUFFWUFBQUFBQklEOENRQUFBQUlJQUM3T3BBQVpsVDRBQ2dBQ0FMTURBZ1FDQUFrQUt3UUNBQUFBU0FRQUFEY0VBUUFCQm9BQUFBQUFBQUlJQUdHQnFRRFo2am9BQkFJUUFNZUhud0RaNmpvQVlZR3BBRmsvUWdBakNBRUFBQUlIQWdBQUFBQUhEUUFCQUFBQUF3QmdBUEFBQUFCR0NRY05BQUVBQUFBREFHQUE4QUFBQUVZQUFBQUFCSUQ5Q1FBQUFBSUlBQkhBeWdBS1RrMEFDZ0FDQUxRREFnUUNBQWtBS3dRQ0FBQUFTQVFBQURjRUFRQUJCb0FBQUFBQUFBSUlBRVJ6endES28wa0FCQUlRQUtwNXhRREtvMGtBUkhQUEFFcjRVQUFqQ0FFQUFBSUhBZ0FBQUFBSERRQUJBQUFBQXdCZ0FQQUFBQUJHQ1FjTkFBRUFBQUFEQUdBQThBQUFBRVlBQUFBQUJJRCtDUUFBQUFJSUFCSEF5Z0FLVGw0QUNnQUNBTFVEQWdRQ0FBa0FLd1FDQUFBQVNBUUFBRGNFQVFBQkJvQUFBQUFBQUFJSUFFUnp6d0RLbzFvQUJBSVFBS3A1eFFES28xb0FSSFBQQUVyNFlRQWpDQUVBQUFJSEFnQUFBQUFIRFFBQkFBQUFBd0JnQVBBQUFBQkdDUWNOQUFFQUFBQURBR0FBOEFBQUFFWUFBQUFBQklEL0NRQUFBQUlJQUM3T3BBRDdCbTBBQ2dBQ0FMWURBZ1FDQUFrQUt3UUNBQUFBU0FRQUFEY0VBUUFCQm9BQUFBQUFBQUlJQUdHQnFRQzdYR2tBQkFJUUFNZUhud0M3WEdrQVlZR3BBRHV4Y0FBakNBRUFBQUlIQWdBQUFBQUhEUUFCQUFBQUF3QmdBUEFBQUFCR0NRY05BQUVBQUFBREFHQUE4QUFBQUVZQUFBQUFCSUFBQ2dBQUFBSUlBQzdPcEFEN0Jsd0FDZ0FDQUxjREFnUUNBQWtBS3dRQ0FBQUFTQVFBQURjRUFRQUJCb0FBQUFBQUFBSUlBR0dCcVFDN1hGZ0FCQUlRQU1lSG53QzdYRmdBWVlHcEFEdXhYd0FqQ0FFQUFBSUhBZ0FBQUFBSERRQUJBQUFBQXdCZ0FQQUFBQUJHQ1FjTkFBRUFBQUFEQUdBQThBQUFBRVlBQUFBQUJJQUJDZ0FBQUFJSUFCSEF5Z0RzdjJvQUNnQUNBTGdEQWdRQ0FBa0FLd1FDQUFBQVNBUUFBRGNFQVFBQkJvQUFBQUFBQUFJSUFFUnp6d0NzRldjQUJBSVFBS3A1eFFDc0ZXY0FSSFBQQUN4cWJnQWpDQUVBQUFJSEFnQUFBQUFIRFFBQkFBQUFBd0JnQVBBQUFBQkdDUWNOQUFFQUFBQURBR0FBOEFBQUFFWUFBQUFBQklBQ0NnQUFBQUlJQUJIQXlnRHR2M3NBQ2dBQ0FMa0RBZ1FDQUFrQUt3UUNBQUFBU0FRQUFEY0VBUUFCQm9BQUFBQUFBQUlJQUVSenp3Q3RGWGdBQkFJUUFLcDV4UUN0RlhnQVJIUFBBQzFxZndBakNBRUFBQUlIQWdBQUFBQUhEUUFCQUFBQUF3QmdBUEFBQUFCR0NRY05BQUVBQUFBREFHQUE4QUFBQUVZQUFBQUFCSUFEQ2dBQUFBSUlBQjhIbWdDVmxjc0FDZ0FDQUxvREFnUUNBQWdBS3dRQ0FBQUFTQVFBQURjRUFRQUJCb0FBQUFBQUFBSUlBRks2bmdEVjZzWUFCQUlRQU91VGxBRFY2c1lBdU9DZUFGVkEwQUFqQ0FFQUFBSUhBZ0FBQUFVSEFRQURBQWNOQUFFQUFBQURBR0FBOEFBQUFFOEpCdzBBQVFBQUFBTUFZQUR3QUFBQVR3QUFBQUFFZ0FRS0FBQUFBZ2dBRUVEQ0FNSHFwd0FLQUFJQTNnTUNCQUlBQ0FBckJBSUFBQUJJQkFBQU53UUJBQUVHZ0FBQUFBQUFBZ2dBUS9QR0FBRkFvd0FFQWhBQTNNeThBQUZBb3dDcEdjY0FnWldzQUNNSUFRQUFBZ2NDQUFBQUJRY0JBQUVBQncwQUFRQUFBQU1BWUFEd0FBQUFUd2tIRFFBQkFBQUFBd0JnQVBBQUFBQlBBQUFBQUFXQUJRb0FBQW9BQWdDN0F3UUdCQURnQ1FBQUJRWUVBT0VKQUFBS0JnRUFBUUFBQllBR0NnQUFDZ0FDQUx3REJBWUVBT0VKQUFBRkJnUUE0Z2tBQUFvR0FRQUJBQUFGZ0FjS0FBQUtBQUlBdlFNRUJnUUE0UWtBQUFVR0JBRGpDUUFBQ2dZQkFBRUFBQVdBQ0FvQUFBb0FBZ0MrQXdRR0JBRGpDUUFBQlFZRUFPUUpBQUFLQmdFQUFRQUFCWUFKQ2dBQUNnQUNBTDhEQkFZRUFPUUpBQUFGQmdRQTVRa0FBQUFHQWdBQ0FBb0dBUUFCQUFBRmdBb0tBQUFLQUFJQXdBTUVCZ1FBNUFrQUFBVUdCQURtQ1FBQUFBWUNBQUlBQ2dZQkFBRUFBQVdBQ3dvQUFBb0FBZ0RCQXdRR0JBRGtDUUFBQlFZRUFPY0pBQUFLQmdFQUFRQUFCWUFNQ2dBQUNnQUNBTUlEQkFZRUFPRUpBQUFGQmdRQTZBa0FBQW9HQVFBQkFBQUZnQTBLQUFBS0FBSUF3d01FQmdRQTZRa0FBQVVHQkFEcUNRQUFDZ1lCQUFFQUFBV0FEZ29BQUFvQUFnREVBd1FHQkFEcUNRQUFCUVlFQU9zSkFBQUtCZ0VBQVFBQUJZQVBDZ0FBQ2dBQ0FNVURCQVlFQU9zSkFBQUZCZ1FBN0FrQUFBb0dBUUFCQUFBRmdCQUtBQUFLQUFJQXhnTUVCZ1FBN0FrQUFBVUdCQUR0Q1FBQUFBWUNBQUlBQ2dZQkFBRUFBQVdBRVFvQUFBb0FBZ0RIQXdRR0JBRHNDUUFBQlFZRUFPNEpBQUFLQmdFQUFRQUFCWUFTQ2dBQUNnQUNBTWdEQkFZRUFPNEpBQUFGQmdRQTd3a0FBQW9HQVFBQkFBQUZnQk1LQUFBS0FBSUF5UU1FQmdRQTd3a0FBQVVHQkFEd0NRQUFDZ1lCQUFFQUFBV0FGQW9BQUFvQUFnREtBd1FHQkFEd0NRQUFCUVlFQVBFSkFBQUtCZ0VBQVFBQUJZQVZDZ0FBQ2dBQ0FNc0RCQVlFQVBFSkFBQUZCZ1FBOGdrQUFBb0dBUUFCQUFBRmdCWUtBQUFLQUFJQXpBTUVCZ1FBOGdrQUFBVUdCQUR6Q1FBQUNnWUJBQUVBQUFXQUZ3b0FBQW9BQWdETkF3UUdCQUR6Q1FBQUJRWUVBUFFKQUFBS0JnRUFBUUFBQllBWUNnQUFDZ0FDQU00REJBWUVBUFFKQUFBRkJnUUE5UWtBQUFvR0FRQUJBQUFGZ0JrS0FBQUtBQUlBendNRUJnUUE5UWtBQUFVR0JBRDJDUUFBQ2dZQkFBRUFBQVdBR2dvQUFBb0FBZ0RRQXdRR0JBRDFDUUFBQlFZRUFQY0pBQUFLQmdFQUFRQUFCWUFiQ2dBQUNnQUNBTkVEQkFZRUFQVUpBQUFGQmdRQStBa0FBQW9HQVFBQkFBQUZnQndLQUFBS0FBSUEwZ01FQmdRQTlBa0FBQVVHQkFENUNRQUFDZ1lCQUFFQUFBV0FIUW9BQUFvQUFnRFRBd1FHQkFEMENRQUFCUVlFQVBvSkFBQUtCZ0VBQVFBQUJZQWVDZ0FBQ2dBQ0FOUURCQVlFQVBNSkFBQUZCZ1FBK3drQUFBb0dBUUFCQUFBRmdCOEtBQUFLQUFJQTFRTUVCZ1FBOHdrQUFBVUdCQUQ4Q1FBQUNnWUJBQUVBQUFXQUlBb0FBQW9BQWdEV0F3UUdCQUR5Q1FBQUJRWUVBUDBKQUFBS0JnRUFBUUFBQllBaENnQUFDZ0FDQU5jREJBWUVBUElKQUFBRkJnUUEvZ2tBQUFvR0FRQUJBQUFGZ0NJS0FBQUtBQUlBMkFNRUJnUUE4UWtBQUFVR0JBRC9DUUFBQ2dZQkFBRUFBQVdBSXdvQUFBb0FBZ0RaQXdRR0JBRHhDUUFBQlFZRUFBQUtBQUFLQmdFQUFRQUFCWUFrQ2dBQUNnQUNBTm9EQkFZRUFQQUpBQUFGQmdRQUFRb0FBQW9HQVFBQkFBQUZnQ1VLQUFBS0FBSUEyd01FQmdRQThBa0FBQVVHQkFBQ0NnQUFDZ1lCQUFFQUFBV0FKZ29BQUFvQUFnRGNBd1FHQkFEcENRQUFCUVlFQUFNS0FBQUFCZ0lBQWdBS0JnRUFBUUFBQllBbkNnQUFDZ0FDQU4wREJBWUVBT2tKQUFBRkJnUUE2QWtBQUFvR0FRQUJBQUFGZ0NnS0FBQUtBQUlBM3dNRUJnUUE3QWtBQUFVR0JBQUVDZ0FBQUFZQ0FBSUFDZ1lCQUFFQUFBQUFBQUFBQUFBQQ==</t>
        </r>
      </text>
    </comment>
    <comment ref="D70" authorId="0" shapeId="0" xr:uid="{5244E229-CB41-4507-B606-F80456F996AB}">
      <text>
        <r>
          <rPr>
            <sz val="9"/>
            <color indexed="81"/>
            <rFont val="Tahoma"/>
            <family val="2"/>
          </rPr>
          <t>QzhINEYxM080Uy18UGljdHVyZSA1MHxWbXBEUkRBeE1EQUVBd0lCQUFBQUFBQUFBQUFBQUFDQUFBQUFBQU1BRmdBQUFFTm9aVzFFY21GM0lESXlMakl1TUM0ek16QXdDQUFUQUFBQVZXNTBhWFJzWldRZ1JHOWpkVzFsYm5RRUFoQUE1c3NvQUJMZVRnRG5TMTBBNXZ6c0FBRUpDQUFBQUMwQUFBQXRBQUlKQ0FBQXdDRUFBTUMxQWcwSUFRQUJDQWNCQUFFNkJBRUFBVHNFQVFBQVJRUUJBQUU4QkFFQUFFb0VBUUFBREFZQkFBRVBCZ0VBQVEwR0FRQUFRZ1FCQUFCREJBRUFBRVFFQVFBQURnZ0NBRzRSQ2dnSUFBTUFZQUR3QUFNQUN3Z0lBQU1BQUFEd0FBTUFDUWdFQUFDYUFnQUlDQVFBQUFBQ0FBY0lCQUFBd0FBQUJnZ0VBQUNhQWdBRkNBUUFBQUFSQUFRSUFnQzBBQU1JQkFBQUFIZ0FJd2dCQUFVTUNBRUFBQ2dJQVFBQktRZ0JBQUVxQ0FFQUFUSUlBUUFBS3dnQkFDZ3NDQUVBQ2dJSUVBQUFBQ1FBQUFBa0FBQUFKQUFBQUNRQUFRTUNBQUFBQWdNQ0FBRUFBQU15QUFnQS8vLy8vLy8vQUFBQUFBQUEvLzhBQUFBQS8vLy8vd0FBQUFELy93QUFBQUQvLy8vL0FBQUFBUC8vLy84QUFQLy9BQUVQQUFBQUFRQURBT1FFQlFCQmNtbGhiTF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RW9GQUFBRUFoQUFBQUFBQUFBQUFBQ1hucFlBS1IyRkVSWUlCQUFBQUNRQUdBZ0VBQUFBSkFBWkNBQUFFQWdDQUFNQUR3Z0NBQUVBQTRBVUJRQUFCQUlRQU9iTEtBQVMzazRBNTB0ZEFPYjg3QUFLQUFJQUhRVUVnQlVGQUFBQUFnZ0E1NHMyQUZLSVVnQUtBQUlBSEFVQ0JBSUFDUUFyQkFJQUFBQklCQUFBTndRQkFBRUdnQUFBQUFBQUFnZ0FHajg3QUJMZVRnQUVBaEFBZ0VVeEFCTGVUZ0FhUHpzQWtqSldBQ01JQVFBQUFnY0NBQUFBQUFjTkFBRUFBQUFEQUdBQThBQUFBRVlKQncwQUFRQUFBQU1BWUFEd0FBQUFSZ0FBQUFBRWdCWUZBQUFBQWdnQWdRVS9BQzQyWVFBS0FBSUFIZ1UzQkFFQUFRQUFCSUFYQlFBQUFBSUlBQnAvUndBSjVHOEFDZ0FDQUNBRk53UUJBQUVBQUFTQUdBVUFBQUFDQ0FDQkJUOEE1WkYrQUFvQUFnQWlCVGNFQVFBQkFBQUVnQmtGQUFBQUFnZ0FHbjlIQU1BL2pRQUtBQUlBSkFVM0JBRUFBUUFBQklBYUJRQUFBQUlJQUlFRlB3Q2M3WnNBQ2dBQ0FDWUZOd1FCQUFFQUFBU0FHd1VBQUFBQ0NBQWFmMGNBZUp1cUFBb0FBZ0FvQlRjRUFRQUJBQUFFZ0J3RkFBQUFBZ2dBZ1FVL0FGTkp1UUFLQUFJQUtnVTNCQUVBQVFBQUJJQWRCUUFBQUFJSUFCcC9Sd0F2OThjQUNnQUNBQ3dGTndRQkFBRUFBQVNBSGdVQUFBQUNDQUQyTEZZQUVSV3pBQW9BQWdBdUJRSUVBZ0FKQUNzRUFnQUFBRWdFQUFBM0JBRUFBUWFBQUFBQUFBQUNDQUFwNEZvQTBXcXZBQVFDRUFDUDVsQUEwV3F2QUNuZ1dnQlJ2N1lBSXdnQkFBQUNCd0lBQUFBQUJ3MEFBUUFBQUFNQVlBRHdBQUFBUmdrSERRQUJBQUFBQXdCZ0FQQUFBQUJHQUFBQUFBU0FId1VBQUFBQ0NBRDJMRllBM2lHaUFBb0FBZ0F3QlFJRUFnQUpBQ3NFQWdBQUFFZ0VBQUEzQkFFQUFRYUFBQUFBQUFBQ0NBQXA0Rm9Bbm5lZUFBUUNFQUNQNWxBQW5uZWVBQ25nV2dBZXpLVUFJd2dCQUFBQ0J3SUFBQUFBQncwQUFRQUFBQU1BWUFEd0FBQUFSZ2tIRFFBQkFBQUFBd0JnQVBBQUFBQkdBQUFBQUFTQUlBVUFBQUFDQ0FDbFZ6QUFBblNUQUFvQUFnQXlCUUlFQWdBSkFDc0VBZ0FBQUVnRUFBQTNCQUVBQVFhQUFBQUFBQUFDQ0FEWUNqVUF3c21QQUFRQ0VBQStFU3NBd3NtUEFOZ0tOUUJDSHBjQUl3Z0JBQUFDQndJQUFBQUFCdzBBQVFBQUFBTUFZQUR3QUFBQVJna0hEUUFCQUFBQUF3QmdBUEFBQUFCR0FBQUFBQVNBSVFVQUFBQUNDQUNsVnpBQU5tZWtBQW9BQWdBMEJRSUVBZ0FKQUNzRUFnQUFBRWdFQUFBM0JBRUFBUWFBQUFBQUFBQUNDQURZQ2pVQTlyeWdBQVFDRUFBK0VTc0E5cnlnQU5nS05RQjJFYWdBSXdnQkFBQUNCd0lBQUFBQUJ3MEFBUUFBQUFNQVlBRHdBQUFBUmdrSERRQUJBQUFBQXdCZ0FQQUFBQUJHQUFBQUFBU0FJZ1VBQUFBQ0NBRDJMRllBV3JtVkFBb0FBZ0EyQlFJRUFnQUpBQ3NFQWdBQUFFZ0VBQUEzQkFFQUFRYUFBQUFBQUFBQ0NBQXA0Rm9BR2crU0FBUUNFQUNQNWxBQUdnK1NBQ25nV2dDYVk1a0FJd2dCQUFBQ0J3SUFBQUFBQncwQUFRQUFBQU1BWUFEd0FBQUFSZ2tIRFFBQkFBQUFBd0JnQVBBQUFBQkdBQUFBQUFTQUl3VUFBQUFDQ0FEMkxGWUFKOGFFQUFvQUFnQTRCUUlFQWdBSkFDc0VBZ0FBQUVnRUFBQTNCQUVBQVFhQUFBQUFBQUFDQ0FBcDRGb0E1eHVCQUFRQ0VBQ1A1bEFBNXh1QkFDbmdXZ0JuY0lnQUl3Z0JBQUFDQndJQUFBQUFCdzBBQVFBQUFBTUFZQUR3QUFBQVJna0hEUUFCQUFBQUF3QmdBUEFBQUFCR0FBQUFBQVNBSkFVQUFBQUNDQUNsVnpBQVN4aDJBQW9BQWdBNkJRSUVBZ0FKQUNzRUFnQUFBRWdFQUFBM0JBRUFBUWFBQUFBQUFBQUNDQURZQ2pVQUMyNXlBQVFDRUFBK0VTc0FDMjV5QU5nS05RQ0x3bmtBSXdnQkFBQUNCd0lBQUFBQUJ3MEFBUUFBQUFNQVlBRHdBQUFBUmdrSERRQUJBQUFBQXdCZ0FQQUFBQUJHQUFBQUFBU0FKUVVBQUFBQ0NBQ2xWekFBZnd1SEFBb0FBZ0E4QlFJRUFnQUpBQ3NFQWdBQUFFZ0VBQUEzQkFFQUFRYUFBQUFBQUFBQ0NBRFlDalVBUDJHREFBUUNFQUErRVNzQVAyR0RBTmdLTlFDL3RZb0FJd2dCQUFBQ0J3SUFBQUFBQncwQUFRQUFBQU1BWUFEd0FBQUFSZ2tIRFFBQkFBQUFBd0JnQVBBQUFBQkdBQUFBQUFTQUpnVUFBQUFDQ0FEMkxGWUFvMTE0QUFvQUFnQStCUUlFQWdBSkFDc0VBZ0FBQUVnRUFBQTNCQUVBQVFhQUFBQUFBQUFDQ0FBcDRGb0FZN04wQUFRQ0VBQ1A1bEFBWTdOMEFDbmdXZ0RqQjN3QUl3Z0JBQUFDQndJQUFBQUFCdzBBQVFBQUFBTUFZQUR3QUFBQVJna0hEUUFCQUFBQUF3QmdBUEFBQUFCR0FBQUFBQVNBSndVQUFBQUNDQUQyTEZZQWNHcG5BQW9BQWdCQUJRSUVBZ0FKQUNzRUFnQUFBRWdFQUFBM0JBRUFBUWFBQUFBQUFBQUNDQUFwNEZvQU1NQmpBQVFDRUFDUDVsQUFNTUJqQUNuZ1dnQ3dGR3NBSXdnQkFBQUNCd0lBQUFBQUJ3MEFBUUFBQUFNQVlBRHdBQUFBUmdrSERRQUJBQUFBQXdCZ0FQQUFBQUJHQUFBQUFBU0FLQVVBQUFBQ0NBQk5FaTRBTGpaaEFBb0FBZ0JDQlFJRUFnQUpBQ3NFQWdBQUFFZ0VBQUEzQkFFQUFRYUFBQUFBQUFBQ0NBQ0F4VElBN290ZEFBUUNFQURteXlnQTdvdGRBSURGTWdCdTRHUUFJd2dCQUFBQ0J3SUFBQUFBQncwQUFRQUFBQU1BWUFEd0FBQUFSZ2tIRFFBQkFBQUFBd0JnQVBBQUFBQkdBQUFBQUFTQUtRVUFBQUFDQ0FBYWYwY0FVb2hTQUFvQUFnQkVCUUlFQWdBSkFDc0VBZ0FBQUVnRUFBQTNCQUVBQVFhQUFBQUFBQUFDQ0FCTk1rd0FFdDVPQUFRQ0VBQ3pPRUlBRXQ1T0FFMHlUQUNTTWxZQUl3Z0JBQUFDQndJQUFBQUFCdzBBQVFBQUFBTUFZQUR3QUFBQVJna0hEUUFCQUFBQUF3QmdBUEFBQUFCR0FBQUFBQVNBS2dVQUFBQUNDQUNCQlQ4QUNxWFdBQW9BQWdCR0JRSUVBZ0FRQUNzRUFnQUFBRWdFQUFBM0JBRUFBUWFBQUFBQUFBQUNDQUMwdUVNQWlxVFNBQVFDRUFCTmtqa0FpcVRTQUJyZlF3Q0twZG9BSXdnQkFBQUNCd0lBQUFBRkJ3RUFBd0FIRFFBQkFBQUFBd0JnQVBBQUFBQlRDUWNOQUFFQUFBQURBR0FBOEFBQUFGTUFBQUFBQklBckJRQUFBQUlJQUZ5elRRQ2tIdDhBQ2dBQ0FFY0ZBZ1FDQUFnQUt3UUNBQUFBU0FRQUFEY0VBUUFCQm9BQUFBQUFBQUlJQUk5bVVnRGtjOW9BQkFJUUFDaEFTQURrYzlvQTlZeFNBR1RKNHdBakNBRUFBQUlIQWdBQUFBQUhEUUFCQUFBQUF3QmdBUEFBQUFCUENRY05BQUVBQUFBREFHQUE4QUFBQUU4QUFBQUFCSUFzQlFBQUFBSUlBS1ZYTUFCd0s4NEFDZ0FDQUVrRkFnUUNBQWdBS3dRQ0FBQUFTQVFBQURjRUFRQUJCb0FBQUFBQUFBSUlBTmdLTlFDd2dNa0FCQUlRQUhIa0tnQ3dnTWtBUGpFMUFERFcwZ0FqQ0FFQUFBSUhBZ0FBQUFBSERRQUJBQUFBQXdCZ0FQQUFBQUJQQ1FjTkFBRUFBQUFEQUdBQThBQUFBRThBQUFBQUJJQXRCUUFBQUFJSUFPZUxOZ0RtVXVVQUNnQUNBRXNGQWdRQ0FBZ0FLd1FDQUFBQUlRUUJBUDlJQkFBQU53UUJBQUVHZ0FBQUFBQUFBZ2dBR2o4N0FDYW80QUFFQWhBQXN4Z3hBQ2FvNEFDQVpUc0E1dnpzQUNNSUFRQUFBZ2NDQUFBQUJRY0JBQUVBQnc0QUFRQUFBQU1BWUFEd0FBQUFUeTBKQnc0QUFRQUFBQU1BWUFEd0FBQUFUeTBBQUFBQUJJQXVCUUFBQUFJSUFFNXlXQUF2OThjQUNnQUNBRTRGQWdRQ0FBZ0FLd1FDQUFFQVNBUUFBRGNFQVFBQkJvQUFBQUFBQUFJSUFJRWxYUUJ2VE1NQUJBSVFBQnIvVWdCdlRNTUE1MHRkQUc5TTFRQWpDQUVBQUFJSEFnQUFBQVVIQVFBQkFBY09BQUVBQUFBREFHQUE4QUFBQUU5SUNRY09BQUVBQUFBREFHQUE4QUFBQUU5SUFBQUFBQVdBTHdVQUFBb0FBZ0FmQlFRR0JBQVZCUUFBQlFZRUFCWUZBQUFLQmdFQUFRQUFCWUF3QlFBQUNnQUNBQ0VGQkFZRUFCWUZBQUFGQmdRQUZ3VUFBQW9HQVFBQkFBQUZnREVGQUFBS0FBSUFJd1VFQmdRQUZ3VUFBQVVHQkFBWUJRQUFDZ1lCQUFFQUFBV0FNZ1VBQUFvQUFnQWxCUVFHQkFBWUJRQUFCUVlFQUJrRkFBQUtCZ0VBQVFBQUJZQXpCUUFBQ2dBQ0FDY0ZCQVlFQUJrRkFBQUZCZ1FBR2dVQUFBb0dBUUFCQUFBRmdEUUZBQUFLQUFJQUtRVUVCZ1FBR2dVQUFBVUdCQUFiQlFBQUNnWUJBQUVBQUFXQU5RVUFBQW9BQWdBckJRUUdCQUFiQlFBQUJRWUVBQndGQUFBS0JnRUFBUUFBQllBMkJRQUFDZ0FDQUMwRkJBWUVBQndGQUFBRkJnUUFIUVVBQUFvR0FRQUJBQUFGZ0RjRkFBQUtBQUlBTHdVRUJnUUFHd1VBQUFVR0JBQWVCUUFBQ2dZQkFBRUFBQVdBT0FVQUFBb0FBZ0F4QlFRR0JBQWJCUUFBQlFZRUFCOEZBQUFLQmdFQUFRQUFCWUE1QlFBQUNnQUNBRE1GQkFZRUFCb0ZBQUFGQmdRQUlBVUFBQW9HQVFBQkFBQUZnRG9GQUFBS0FBSUFOUVVFQmdRQUdnVUFBQVVHQkFBaEJRQUFDZ1lCQUFFQUFBV0FPd1VBQUFvQUFnQTNCUVFHQkFBWkJRQUFCUVlFQUNJRkFBQUtCZ0VBQVFBQUJZQThCUUFBQ2dBQ0FEa0ZCQVlFQUJrRkFBQUZCZ1FBSXdVQUFBb0dBUUFCQUFBRmdEMEZBQUFLQUFJQU93VUVCZ1FBR0FVQUFBVUdCQUFrQlFBQUNnWUJBQUVBQUFXQVBnVUFBQW9BQWdBOUJRUUdCQUFZQlFBQUJRWUVBQ1VGQUFBS0JnRUFBUUFBQllBL0JRQUFDZ0FDQUQ4RkJBWUVBQmNGQUFBRkJnUUFKZ1VBQUFvR0FRQUJBQUFGZ0VBRkFBQUtBQUlBUVFVRUJnUUFGd1VBQUFVR0JBQW5CUUFBQ2dZQkFBRUFBQVdBUVFVQUFBb0FBZ0JEQlFRR0JBQVdCUUFBQlFZRUFDZ0ZBQUFLQmdFQUFRQUFCWUJDQlFBQUNnQUNBRVVGQkFZRUFCWUZBQUFGQmdRQUtRVUFBQW9HQVFBQkFBQUZnRU1GQUFBS0FBSUFTQVVFQmdRQUtnVUFBQVVHQkFBckJRQUFBQVlDQUFJQUNnWUJBQUVBQUFXQVJBVUFBQW9BQWdCS0JRUUdCQUFxQlFBQUJRWUVBQ3dGQUFBQUJnSUFBZ0FLQmdFQUFRQUFCWUJGQlFBQUNnQUNBRXdGQkFZRUFDb0ZBQUFGQmdRQUxRVUFBQW9HQVFBQkFBQUZnRVlGQUFBS0FBSUFUUVVFQmdRQUhRVUFBQVVHQkFBcUJRQUFDZ1lCQUFFQUFBV0FSd1VBQUFvQUFnQlBCUVFHQkFBZEJRQUFCUVlFQUM0RkFBQUtCZ0VBQVFBQUFBQUFBQUFBQUFBPQ==</t>
        </r>
      </text>
    </comment>
    <comment ref="D71" authorId="0" shapeId="0" xr:uid="{FA2B845B-A830-462D-B3E8-9D1397136329}">
      <text>
        <r>
          <rPr>
            <sz val="9"/>
            <color indexed="81"/>
            <rFont val="Tahoma"/>
            <family val="2"/>
          </rPr>
          <t>QzhIMkYxM080Uy18UGljdHVyZSA4fFZtcERSREF4TURBRUF3SUJBQUFBQUFBQUFBQUFBQUNBQUFBQUFBTUFGZ0FBQUVOb1pXMUVjbUYzSURJeUxqSXVNQzR6TXpBd0NBQVRBQUFBVlc1MGFYUnNaV1FnUkc5amRXMWxiblFFQWhBQTQ4RW9BR1FjVHdBN0lWc0FFYXJ0QUFFSkNBQUFnSTRBQUlDT0FBSUpDQUFBd0NFQUFNQzFBZzBJQVFBQkNBY0JBQUU2QkFFQUFUc0VBUUFBUlFRQkFBRThCQUVBQUVvRUFRQUFEQVlCQUFFUEJnRUFBUTBHQVFBQVFnUUJBQUJEQkFFQUFFUUVBUUFBRGdnQ0FEWUpDZ2dJQUFNQVlBRHdBQU1BQ3dnSUFBTUFBQUR3QUFNQUNRZ0VBQUNhQWdBSUNBUUFBQUFDQUFjSUJBQUF3QUFBQmdnRUFBQ2FBZ0FGQ0FRQUFBQVJBQVFJQWdDMEFBTUlCQUFBQUhnQUl3Z0JBQVVNQ0FFQUFDZ0lBUUFCS1FnQkFBRXFDQUVBQVRJSUFRQUFLd2dCQUNnc0NBRUFDZ0lJRUFBQUFDUUFBQUFrQUFBQUpBQUFBQ1FBQVFNQ0FBQUFBZ01DQUFFQUFBTXlBQWdBLy8vLy8vLy9BQUFBQUFBQS8vOEFBQUFBLy8vLy93QUFBQUQvL3dBQUFBRC8vLy8vQUFBQUFQLy8vLzhBQVAvL0FBRVBBQUFBQVFBREFPUUVCUUJCY21saGJMUUxBZ0FBQUxVTEZBQUFBRU5vWlcxcFkyRnNJRVp2Y20xMWJHRTZJTFlMRGdBQUFFVjRZV04wSUUxaGMzTTZJTGNMRkFBQUFFMXZiR1ZqZFd4aGNpQlhaV2xuYUhRNklMZ0xCd0FBQUcwdmVqb2d1UXNXQUFBQVJXeGxiV1Z1ZEdGc0lFRnVZV3g1YzJsek9pQzZDeEVBQUFCQ2IybHNhVzVuSUZCdmFXNTBPaUM3Q3hFQUFBQk5aV3gwYVc1bklGQnZhVzUwT2lDOEN4RUFBQUJEY21sMGFXTmhiQ0JVWlcxd09pQzlDeEVBQUFCRGNtbDBhV05oYkNCUWNtVnpPaUMrQ3hBQUFBQkRjbWwwYVdOaGJDQldiMnc2SUw4TEVBQUFBRWRwWW1KeklFVnVaWEpuZVRvZ3dBc0pBQUFBVEc5bklGQTZJTUVMQmdBQUFFMVNPaURDQ3c4QUFBQklaVzV5ZVNkeklFeGhkem9nd3dzUUFBQUFTR1ZoZENCdlppQkdiM0p0T2lERUN3Z0FBQUIwVUZOQk9pREhDd2dBQUFCTWIyZFRPaURJQ3djQUFBQndTMkU2SU1rTEFnQUFBTW9MQWdBQUFBc01BZ0FCQUFvTUFRQUFDUXdCQUFBTURBVUFBQUFvSXlrQmdHRUhBQUFFQWhBQUFBQUFBQUFBQUFEdytHTUEzb3IzQ0JZSUJBQUFBQ1FBR0FnRUFBQUFKQUFaQ0FBQUVBZ0NBQUVBRHdnQ0FBRUFBNEFzQndBQUJBSVFBT1BCS0FCa0hFOEFPeUZiQUJHcTdRQUtBQUlBdUFNRWdDMEhBQUFBQWdnQUY3VTJBS1RHVWdBS0FBSUF0d01DQkFJQUNRQXJCQUlBQUFCSUJBQUFOd1FCQUFFR2dBQUFBQUFBQWdnQVNtZzdBR1FjVHdBRUFoQUFzRzR4QUdRY1R3QkthRHNBNUhCV0FDTUlBUUFBQWdjQ0FBQUFBQWNOQUFFQUFBQURBR0FBOEFBQUFFWUpCdzBBQVFBQUFBTUFZQUR3QUFBQVJnQUFBQUFFZ0M0SEFBQUFBZ2dBRnpVL0FKWi9ZUUFLQUFJQXVRTTNCQUVBQVFBQUJJQXZCd0FBQUFJSUFCZTFSd0NIT0hBQUNnQUNBTHNETndRQkFBRUFBQVNBTUFjQUFBQUNDQUFYTlQ4QWVQRitBQW9BQWdDOUF6Y0VBUUFCQUFBRWdERUhBQUFBQWdnQUY3VkhBR21xalFBS0FBSUF2d00zQkFFQUFRQUFCSUF5QndBQUFBSUlBQmMxUHdCYlk1d0FDZ0FDQU1FRE53UUJBQUVBQUFTQU13Y0FBQUFDQ0FBWHRVY0FUQnlyQUFvQUFnRERBemNFQVFBQkFBQUVnRFFIQUFBQUFnZ0FGelUvQUQzVnVRQUtBQUlBeFFNM0JBRUFBUUFBQklBMUJ3QUFBQUlJQUJlMVJ3QXZqc2dBQ2dBQ0FNY0ROd1FCQUFFQUFBU0FOZ2NBQUFBQ0NBQUlibFlBVEp5ekFBb0FBZ0RKQXdJRUFnQUpBQ3NFQWdBQUFFZ0VBQUEzQkFFQUFRYUFBQUFBQUFBQ0NBQTdJVnNBRFBLdkFBUUNFQUNoSjFFQURQS3ZBRHNoV3dDTVJyY0FJd2dCQUFBQ0J3SUFBQUFBQncwQUFRQUFBQU1BWUFEd0FBQUFSZ2tIRFFBQkFBQUFBd0JnQVBBQUFBQkdBQUFBQUFTQU53Y0FBQUFDQ0FBSWJsWUFUSnlpQUFvQUFnRExBd0lFQWdBSkFDc0VBZ0FBQUVnRUFBQTNCQUVBQVFhQUFBQUFBQUFDQ0FBN0lWc0FEUEtlQUFRQ0VBQ2hKMUVBRFBLZUFEc2hXd0NNUnFZQUl3Z0JBQUFDQndJQUFBQUFCdzBBQVFBQUFBTUFZQUR3QUFBQVJna0hEUUFCQUFBQUF3QmdBUEFBQUFCR0FBQUFBQVNBT0FjQUFBQUNDQUFtZkRBQVd1T1RBQW9BQWdETkF3SUVBZ0FKQUNzRUFnQUFBRWdFQUFBM0JBRUFBUWFBQUFBQUFBQUNDQUJaTHpVQUdqbVFBQVFDRUFDL05Tc0FHam1RQUZrdk5RQ2FqWmNBSXdnQkFBQUNCd0lBQUFBQUJ3MEFBUUFBQUFNQVlBRHdBQUFBUmdrSERRQUJBQUFBQXdCZ0FQQUFBQUJHQUFBQUFBU0FPUWNBQUFBQ0NBQW1mREFBVytPa0FBb0FBZ0RQQXdJRUFnQUpBQ3NFQWdBQUFFZ0VBQUEzQkFFQUFRYUFBQUFBQUFBQ0NBQlpMelVBR3ptaEFBUUNFQUMvTlNzQUd6bWhBRmt2TlFDYmphZ0FJd2dCQUFBQ0J3SUFBQUFBQncwQUFRQUFBQU1BWUFEd0FBQUFSZ2tIRFFBQkFBQUFBd0JnQVBBQUFBQkdBQUFBQUFTQU9nY0FBQUFDQ0FBSWJsWUFhU3FXQUFvQUFnRFJBd0lFQWdBSkFDc0VBZ0FBQUVnRUFBQTNCQUVBQVFhQUFBQUFBQUFDQ0FBN0lWc0FLWUNTQUFRQ0VBQ2hKMUVBS1lDU0FEc2hXd0NwMUprQUl3Z0JBQUFDQndJQUFBQUFCdzBBQVFBQUFBTUFZQUR3QUFBQVJna0hEUUFCQUFBQUF3QmdBUEFBQUFCR0FBQUFBQVNBT3djQUFBQUNDQUFJYmxZQWFpcUZBQW9BQWdEVEF3SUVBZ0FKQUNzRUFnQUFBRWdFQUFBM0JBRUFBUWFBQUFBQUFBQUNDQUE3SVZzQUtvQ0JBQVFDRUFDaEoxRUFLb0NCQURzaFd3Q3ExSWdBSXdnQkFBQUNCd0lBQUFBQUJ3MEFBUUFBQUFNQVlBRHdBQUFBUmdrSERRQUJBQUFBQXdCZ0FQQUFBQUJHQUFBQUFBU0FQQWNBQUFBQ0NBQW1mREFBZUhGMkFBb0FBZ0RWQXdJRUFnQUpBQ3NFQWdBQUFFZ0VBQUEzQkFFQUFRYUFBQUFBQUFBQ0NBQlpMelVBT01keUFBUUNFQUMvTlNzQU9NZHlBRmt2TlFDNEczb0FJd2dCQUFBQ0J3SUFBQUFBQncwQUFRQUFBQU1BWUFEd0FBQUFSZ2tIRFFBQkFBQUFBd0JnQVBBQUFBQkdBQUFBQUFTQVBRY0FBQUFDQ0FBbWZEQUFlWEdIQUFvQUFnRFhBd0lFQWdBSkFDc0VBZ0FBQUVnRUFBQTNCQUVBQVFhQUFBQUFBQUFDQ0FCWkx6VUFPY2VEQUFRQ0VBQy9OU3NBT2NlREFGa3ZOUUM1RzRzQUl3Z0JBQUFDQndJQUFBQUFCdzBBQVFBQUFBTUFZQUR3QUFBQVJna0hEUUFCQUFBQUF3QmdBUEFBQUFCR0FBQUFBQVNBUGdjQUFBQUNDQUFJYmxZQWg3aDRBQW9BQWdEWkF3SUVBZ0FKQUNzRUFnQUFBRWdFQUFBM0JBRUFBUWFBQUFBQUFBQUNDQUE3SVZzQVJ3NTFBQVFDRUFDaEoxRUFSdzUxQURzaFd3REhZbndBSXdnQkFBQUNCd0lBQUFBQUJ3MEFBUUFBQUFNQVlBRHdBQUFBUmdrSERRQUJBQUFBQXdCZ0FQQUFBQUJHQUFBQUFBU0FQd2NBQUFBQ0NBQUlibFlBaDdobkFBb0FBZ0RiQXdJRUFnQUpBQ3NFQWdBQUFFZ0VBQUEzQkFFQUFRYUFBQUFBQUFBQ0NBQTdJVnNBUnc1a0FBUUNFQUNoSjFFQVJ3NWtBRHNoV3dESFltc0FJd2dCQUFBQ0J3SUFBQUFBQncwQUFRQUFBQU1BWUFEd0FBQUFSZ2tIRFFBQkFBQUFBd0JnQVBBQUFBQkdBQUFBQUFTQVFBY0FBQUFDQ0FBWE5TNEFsbjloQUFvQUFnRGRBd0lFQWdBSkFDc0VBZ0FBQUVnRUFBQTNCQUVBQVFhQUFBQUFBQUFDQ0FCSzZESUFWdFZkQUFRQ0VBQ3c3aWdBVnRWZEFFcm9NZ0RXS1dVQUl3Z0JBQUFDQndJQUFBQUFCdzBBQVFBQUFBTUFZQUR3QUFBQVJna0hEUUFCQUFBQUF3QmdBUEFBQUFCR0FBQUFBQVNBUVFjQUFBQUNDQUFYdFVjQXBNWlNBQW9BQWdEZkF3SUVBZ0FKQUNzRUFnQUFBRWdFQUFBM0JBRUFBUWFBQUFBQUFBQUNDQUJLYUV3QVpCeFBBQVFDRUFDd2JrSUFaQnhQQUVwb1RBRGtjRllBSXdnQkFBQUNCd0lBQUFBQUJ3MEFBUUFBQUFNQVlBRHdBQUFBUmdrSERRQUJBQUFBQXdCZ0FQQUFBQUJHQUFBQUFBU0FRZ2NBQUFBQ0NBQVhOVDhBSDBmWEFBb0FBZ0RoQXdJRUFnQVFBQ3NFQWdBQUFFZ0VBQUEzQkFFQUFRYUFBQUFBQUFBQ0NBQks2RU1BbjBiVEFBUUNFQURqd1RrQW4wYlRBTEFPUkFDZlI5c0FJd2dCQUFBQ0J3SUFBQUFGQndFQUF3QUhEUUFCQUFBQUF3QmdBUEFBQUFCVENRY05BQUVBQUFBREFHQUE4QUFBQUZNQUFBQUFCSUJEQndBQUFBSUlBQWp1VFFBZ3g5OEFDZ0FDQU9JREFnUUNBQWdBS3dRQ0FBQUFTQVFBQURjRUFRQUJCb0FBQUFBQUFBSUlBRHVoVWdCZ0hOc0FCQUlRQU5SNlNBQmdITnNBb2NkU0FPQng1QUFqQ0FFQUFBSUhBZ0FBQUFBSERRQUJBQUFBQXdCZ0FQQUFBQUJQQ1FjTkFBRUFBQUFEQUdBQThBQUFBRThBQUFBQUJJQkVCd0FBQUFJSUFDWjhNQUFmeDg0QUNnQUNBT1FEQWdRQ0FBZ0FLd1FDQUFBQVNBUUFBRGNFQVFBQkJvQUFBQUFBQUFJSUFGa3ZOUUJmSE1vQUJBSVFBUElJS3dCZkhNb0F2MVUxQU45eDB3QWpDQUVBQUFJSEFnQUFBQUFIRFFBQkFBQUFBd0JnQVBBQUFBQlBDUWNOQUFFQUFBQURBR0FBOEFBQUFFOEFBQUFBQklCRkJ3QUFBQUlJQUJlMU5nQVJBT1lBQ2dBQ0FPWURBZ1FDQUFnQUt3UUNBQUFBSVFRQkFQOUlCQUFBTndRQkFBRUdnQUFBQUFBQUFnZ0FTbWc3QUZGVjRRQUVBaEFBNDBFeEFGRlY0UUN3ampzQUVhcnRBQ01JQVFBQUFnY0NBQUFBQlFjQkFBRUFCdzRBQVFBQUFBTUFZQUR3QUFBQVR5MEpCdzRBQVFBQUFBTUFZQUR3QUFBQVR5MEFBQUFBQklCR0J3QUFBQUlJQUJjMUxnQTkxYmtBQ2dBQ0FPa0RBZ1FDQUFnQUt3UUNBQUFBU0FRQUFEY0VBUUFCQm9BQUFBQUFBQUlJQUVyb01nQjlLclVBQkFJUUFPUEJLQUI5S3JVQXNBNHpBUDEvdmdBakNBRUFBQUlIQWdBQUFBQUhEUUFCQUFBQUF3QmdBUEFBQUFCUENRY05BQUVBQUFBREFHQUE4QUFBQUU4QUFBQUFCWUJIQndBQUNnQUNBTG9EQkFZRUFDMEhBQUFGQmdRQUxnY0FBQW9HQVFBQkFBQUZnRWdIQUFBS0FBSUF2QU1FQmdRQUxnY0FBQVVHQkFBdkJ3QUFDZ1lCQUFFQUFBV0FTUWNBQUFvQUFnQytBd1FHQkFBdkJ3QUFCUVlFQURBSEFBQUtCZ0VBQVFBQUJZQktCd0FBQ2dBQ0FNQURCQVlFQURBSEFBQUZCZ1FBTVFjQUFBb0dBUUFCQUFBRmdFc0hBQUFLQUFJQXdnTUVCZ1FBTVFjQUFBVUdCQUF5QndBQUNnWUJBQUVBQUFXQVRBY0FBQW9BQWdERUF3UUdCQUF5QndBQUJRWUVBRE1IQUFBS0JnRUFBUUFBQllCTkJ3QUFDZ0FDQU1ZREJBWUVBRE1IQUFBRkJnUUFOQWNBQUFvR0FRQUJBQUFGZ0U0SEFBQUtBQUlBeUFNRUJnUUFOQWNBQUFVR0JBQTFCd0FBQ2dZQkFBRUFBQVdBVHdjQUFBb0FBZ0RLQXdRR0JBQXpCd0FBQlFZRUFEWUhBQUFLQmdFQUFRQUFCWUJRQndBQUNnQUNBTXdEQkFZRUFETUhBQUFGQmdRQU53Y0FBQW9HQVFBQkFBQUZnRkVIQUFBS0FBSUF6Z01FQmdRQU1nY0FBQVVHQkFBNEJ3QUFDZ1lCQUFFQUFBV0FVZ2NBQUFvQUFnRFFBd1FHQkFBeUJ3QUFCUVlFQURrSEFBQUtCZ0VBQVFBQUJZQlRCd0FBQ2dBQ0FOSURCQVlFQURFSEFBQUZCZ1FBT2djQUFBb0dBUUFCQUFBRmdGUUhBQUFLQUFJQTFBTUVCZ1FBTVFjQUFBVUdCQUE3QndBQUNnWUJBQUVBQUFXQVZRY0FBQW9BQWdEV0F3UUdCQUF3QndBQUJRWUVBRHdIQUFBS0JnRUFBUUFBQllCV0J3QUFDZ0FDQU5nREJBWUVBREFIQUFBRkJnUUFQUWNBQUFvR0FRQUJBQUFGZ0ZjSEFBQUtBQUlBMmdNRUJnUUFMd2NBQUFVR0JBQStCd0FBQ2dZQkFBRUFBQVdBV0FjQUFBb0FBZ0RjQXdRR0JBQXZCd0FBQlFZRUFEOEhBQUFLQmdFQUFRQUFCWUJaQndBQUNnQUNBTjREQkFZRUFDNEhBQUFGQmdRQVFBY0FBQW9HQVFBQkFBQUZnRm9IQUFBS0FBSUE0QU1FQmdRQUxnY0FBQVVHQkFCQkJ3QUFDZ1lCQUFFQUFBV0FXd2NBQUFvQUFnRGpBd1FHQkFCQ0J3QUFCUVlFQUVNSEFBQUFCZ0lBQWdBS0JnRUFBUUFBQllCY0J3QUFDZ0FDQU9VREJBWUVBRUlIQUFBRkJnUUFSQWNBQUFBR0FnQUNBQW9HQVFBQkFBQUZnRjBIQUFBS0FBSUE1d01FQmdRQVFnY0FBQVVHQkFCRkJ3QUFDZ1lCQUFFQUFBV0FYZ2NBQUFvQUFnRG9Bd1FHQkFBMUJ3QUFCUVlFQUVJSEFBQUtCZ0VBQVFBQUJZQmZCd0FBQ2dBQ0FPb0RCQVlFQURRSEFBQUZCZ1FBUmdjQUFBQUdBZ0FDQUFvR0FRQUJBQUFBQUFBQUFBQUFBQT09</t>
        </r>
      </text>
    </comment>
    <comment ref="D72" authorId="0" shapeId="0" xr:uid="{74FE0278-B2D5-45D7-B5B4-30A190BB0298}">
      <text>
        <r>
          <rPr>
            <sz val="9"/>
            <color indexed="81"/>
            <rFont val="Tahoma"/>
            <family val="2"/>
          </rPr>
          <t>QzhIMkYxM08zUy18UGljdHVyZSA0N3xWbXBEUkRBeE1EQUVBd0lCQUFBQUFBQUFBQUFBQUFDQUFBQUFBQU1BRmdBQUFFTm9aVzFFY21GM0lESXlMakl1TUM0ek16QXdDQUFUQUFBQVZXNTBhWFJzWldRZ1JHOWpkVzFsYm5RRUFoQUFyTm9yQVNtNXZnQTNEVjRCMWtaZEFRRUpDQUFBUUpJQUFBQ2lBQUlKQ0FBQXdDRUFBTUMxQWcwSUFRQUJDQWNCQUFFNkJBRUFBVHNFQVFBQVJRUUJBQUU4QkFFQUFFb0VBUUFBREFZQkFBRVBCZ0VBQVEwR0FRQUFRZ1FCQUFCREJBRUFBRVFFQVFBQURnZ0NBTlFPQ2dnSUFBTUFZQUR3QUFNQUN3Z0lBQU1BQUFEd0FBTUFDUWdFQUFDYUFnQUlDQVFBQUFBQ0FBY0lCQUFBd0FBQUJnZ0VBQUNhQWdBRkNBUUFBQUFSQUFRSUFnQzBBQU1JQkFBQUFIZ0FJd2dCQUFVTUNBRUFBQ2dJQVFBQktRZ0JBQUVxQ0FFQUFUSUlBUUFBS3dnQkFDZ3NDQUVBQ2dJSUVBQUFBQ1FBQUFBa0FBQUFKQUFBQUNRQUFRTUNBQUFBQWdNQ0FBRUFBQU15QUFnQS8vLy8vLy8vQUFBQUFBQUEvLzhBQUFBQS8vLy8vd0FBQUFELy93QUFBQUQvLy8vL0FBQUFBUC8vLy84QUFQLy9BQUVQQUFBQUFRQURBT1FFQlFCQmNtbGhiTF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TDBMQUFBRUFoQUFBQUFBQUFBQUFBQW9ONGdCazFIY0RSWUlCQUFBQUNRQUdBZ0VBQUFBSkFBWkNBQUFFQWdDQUFFQUR3Z0NBQUVBQTRDSkN3QUFCQUlRQUt6YUt3RXB1YjRBTncxZUFkWkdYUUVLQUFJQXZBVUVnSW9MQUFBQUFnZ0FCRnBJQVFKeUtRRUtBQUlBdlFVM0JBRUFBUUFBQklDTEN3QUFBQUlJQUFUYVB3SHpLamdCQ2dBQ0FMNEZOd1FCQUFFQUFBU0FqQXNBQUFBQ0NBQUVXa2dCNU9OR0FRb0FBZ0MvQlFJRUFnQVFBQ3NFQWdBQUFFZ0VBQUEzQkFFQUFRYUFBQUFBQUFBQ0NBQTNEVTBCWk9OQ0FRUUNFQURRNWtJQlpPTkNBWjB6VFFGazVFb0JJd2dCQUFBQ0J3SUFBQUFBQncwQUFRQUFBQU1BWUFEd0FBQUFVd2tIRFFBQkFBQUFBd0JnQVBBQUFBQlRBQUFBQUFTQWpRc0FBQUFDQ0FBVG9Ua0I1R05QQVFvQUFnREFCUUlFQWdBSUFDc0VBZ0FBQUVnRUFBQTNCQUVBQVFhQUFBQUFBQUFDQ0FCR1ZENEJKTGxLQVFRQ0VBRGZMVFFCSkxsS0FheDZQZ0drRGxRQkl3Z0JBQUFDQndJQUFBQUFCdzBBQVFBQUFBTUFZQUR3QUFBQVR3a0hEUUFCQUFBQUF3QmdBUEFBQUFCUEFBQUFBQVNBamdzQUFBQUNDQUQyRWxjQjVHTStBUW9BQWdEQkJRSUVBZ0FJQUNzRUFnQUFBRWdFQUFBM0JBRUFBUWFBQUFBQUFBQUNDQUFweGxzQkpMazVBUVFDRUFEQ24xRUJKTGs1QVkvc1d3R2tEa01CSXdnQkFBQUNCd0lBQUFBQUJ3MEFBUUFBQUFNQVlBRHdBQUFBVHdrSERRQUJBQUFBQXdCZ0FQQUFBQUJQQUFBQUFBU0Fqd3NBQUFBQ0NBQUUybEFCMXB4VkFRb0FBZ0RDQlFJRUFnQUlBQ3NFQWdBQUFDRUVBUUQvU0FRQUFEY0VBUUFCQm9BQUFBQUFBQUlJQURlTlZRRVc4bEFCQkFJUUFOQm1Td0VXOGxBQm5iTlZBZFpHWFFFakNBRUFBQUlIQWdBQUFBVUhBUUFCQUFjT0FBRUFBQUFEQUdBQThBQUFBRTh0Q1FjT0FBRUFBQUFEQUdBQThBQUFBRTh0QUFBQUFBU0FrQXNBQUFBQ0NBQUUyajhCRWJrYUFRb0FBZ0REQlRjRUFRQUJBQUFFZ0pFTEFBQUFBZ2dBQkZwSUFTQUFEQUVLQUFJQXhBVTNCQUVBQVFBQUJJQ1NDd0FBQUFJSUFBVGFQd0V1Ui8wQUNnQUNBTVVGTndRQkFBRUFBQVNBa3dzQUFBQUNDQUFFV2tnQlBZN3VBQW9BQWdER0JUY0VBUUFCQUFBRWdKUUxBQUFBQWdnQUJOby9BVXpWM3dBS0FBSUF4d1UzQkFFQUFRQUFCSUNWQ3dBQUFBSUlBQVJhU0FGYkhORUFDZ0FDQU1nRk53UUJBQUVBQUFTQWxnc0FBQUFDQ0FBRVdsa0JXeHpSQUFvQUFnREpCUUlFQWdBSkFDc0VBZ0FBQUVnRUFBQTNCQUVBQVFhQUFBQUFBQUFDQ0FBM0RWNEJHM0xOQUFRQ0VBQ2RFMVFCRzNMTkFEY05YZ0dieHRRQUl3Z0JBQUFDQndJQUFBQUFCdzBBQVFBQUFBTUFZQUR3QUFBQVJna0hEUUFCQUFBQUF3QmdBUEFBQUFCR0FBQUFBQVNBbHdzQUFBQUNDQUFFMmxBQmFXUENBQW9BQWdES0JRSUVBZ0FKQUNzRUFnQUFBRWdFQUFBM0JBRUFBUWFBQUFBQUFBQUNDQUEzalZVQktibStBQVFDRUFDZGswc0JLYm0rQURlTlZRR3BEY1lBSXdnQkFBQUNCd0lBQUFBQUJ3MEFBUUFBQUFNQVlBRHdBQUFBUmdrSERRQUJBQUFBQXdCZ0FQQUFBQUJHQUFBQUFBU0FtQXNBQUFBQ0NBQUUyajhCYVdQQ0FBb0FBZ0RMQlFJRUFnQUpBQ3NFQWdBQUFFZ0VBQUEzQkFFQUFRYUFBQUFBQUFBQ0NBQTNqVVFCS2JtK0FBUUNFQUNka3pvQktibStBRGVOUkFHcERjWUFJd2dCQUFBQ0J3SUFBQUFBQncwQUFRQUFBQU1BWUFEd0FBQUFSZ2tIRFFBQkFBQUFBd0JnQVBBQUFBQkdBQUFBQUFTQW1Rc0FBQUFDQ0FBVElURUJURlhYQUFvQUFnRE1CUUlFQWdBSkFDc0VBZ0FBQUVnRUFBQTNCQUVBQVFhQUFBQUFBQUFDQ0FCRzFEVUJES3ZUQUFRQ0VBQ3MyaXNCREt2VEFFYlVOUUdNLzlvQUl3Z0JBQUFDQndJQUFBQUFCdzBBQVFBQUFBTUFZQUR3QUFBQVJna0hEUUFCQUFBQUF3QmdBUEFBQUFCR0FBQUFBQVNBbWdzQUFBQUNDQUFUSVRFQlRGWG9BQW9BQWdETkJRSUVBZ0FKQUNzRUFnQUFBRWdFQUFBM0JBRUFBUWFBQUFBQUFBQUNDQUJHMURVQkRLdmtBQVFDRUFDczJpc0JES3ZrQUViVU5RR00vK3NBSXdnQkFBQUNCd0lBQUFBQUJ3MEFBUUFBQUFNQVlBRHdBQUFBUmdrSERRQUJBQUFBQXdCZ0FQQUFBQUJHQUFBQUFBU0Ftd3NBQUFBQ0NBRDJFbGNCUFE3M0FBb0FBZ0RPQlFJRUFnQUpBQ3NFQWdBQUFFZ0VBQUEzQkFFQUFRYUFBQUFBQUFBQ0NBQXB4bHNCL1dQekFBUUNFQUNQekZFQi9XUHpBQ25HV3dGOXVQb0FJd2dCQUFBQ0J3SUFBQUFBQncwQUFRQUFBQU1BWUFEd0FBQUFSZ2tIRFFBQkFBQUFBd0JnQVBBQUFBQkdBQUFBQUFTQW5Bc0FBQUFDQ0FEMkVsY0JQUTdtQUFvQUFnRFBCUUlFQWdBSkFDc0VBZ0FBQUVnRUFBQTNCQUVBQVFhQUFBQUFBQUFDQ0FBcHhsc0IvV1BpQUFRQ0VBQ1B6RkVCL1dQaUFDbkdXd0Y5dU9rQUl3Z0JBQUFDQndJQUFBQUFCdzBBQVFBQUFBTUFZQUR3QUFBQVJna0hEUUFCQUFBQUF3QmdBUEFBQUFCR0FBQUFBQVNBblFzQUFBQUNDQUFUSVRFQkxzZjBBQW9BQWdEUUJRSUVBZ0FKQUNzRUFnQUFBRWdFQUFBM0JBRUFBUWFBQUFBQUFBQUNDQUJHMURVQjdoenhBQVFDRUFDczJpc0I3aHp4QUViVU5RRnVjZmdBSXdnQkFBQUNCd0lBQUFBQUJ3MEFBUUFBQUFNQVlBRHdBQUFBUmdrSERRQUJBQUFBQXdCZ0FQQUFBQUJHQUFBQUFBU0FuZ3NBQUFBQ0NBQVRJVEVCTHNjRkFRb0FBZ0RSQlFJRUFnQUpBQ3NFQWdBQUFFZ0VBQUEzQkFFQUFRYUFBQUFBQUFBQ0NBQkcxRFVCN2h3Q0FRUUNFQUNzMmlzQjdod0NBVWJVTlFGdWNRa0JJd2dCQUFBQ0J3SUFBQUFBQncwQUFRQUFBQU1BWUFEd0FBQUFSZ2tIRFFBQkFBQUFBd0JnQVBBQUFBQkdBQUFBQUFTQW53c0FBQUFDQ0FEMkVsY0JJSUFVQVFvQUFnRFNCUUlFQWdBSkFDc0VBZ0FBQUVnRUFBQTNCQUVBQVFhQUFBQUFBQUFDQ0FBcHhsc0I0TlVRQVFRQ0VBQ1B6RkVCNE5VUUFTbkdXd0ZnS2hnQkl3Z0JBQUFDQndJQUFBQUFCdzBBQVFBQUFBTUFZQUR3QUFBQVJna0hEUUFCQUFBQUF3QmdBUEFBQUFCR0FBQUFBQVNBb0FzQUFBQUNDQUQyRWxjQklJQURBUW9BQWdEVEJRSUVBZ0FKQUNzRUFnQUFBRWdFQUFBM0JBRUFBUWFBQUFBQUFBQUNDQUFweGxzQjROWC9BQVFDRUFDUHpGRUI0TlgvQUNuR1d3RmdLZ2NCSXdnQkFBQUNCd0lBQUFBQUJ3MEFBUUFBQUFNQVlBRHdBQUFBUmdrSERRQUJBQUFBQXdCZ0FQQUFBQUJHQUFBQUFBU0FvUXNBQUFBQ0NBQVRJVEVCRVRrU0FRb0FBZ0RVQlFJRUFnQUpBQ3NFQWdBQUFFZ0VBQUEzQkFFQUFRYUFBQUFBQUFBQ0NBQkcxRFVCMFk0T0FRUUNFQUNzMmlzQjBZNE9BVWJVTlFGUjR4VUJJd2dCQUFBQ0J3SUFBQUFBQncwQUFRQUFBQU1BWUFEd0FBQUFSZ2tIRFFBQkFBQUFBd0JnQVBBQUFBQkdBQUFBQUFTQW9nc0FBQUFDQ0FBVElURUJFVGtqQVFvQUFnRFZCUUlFQWdBSkFDc0VBZ0FBQUVnRUFBQTNCQUVBQVFhQUFBQUFBQUFDQ0FCRzFEVUIwWTRmQVFRQ0VBQ3MyaXNCMFk0ZkFVYlVOUUZSNHlZQkl3Z0JBQUFDQndJQUFBQUFCdzBBQVFBQUFBTUFZQUR3QUFBQVJna0hEUUFCQUFBQUF3QmdBUEFBQUFCR0FBQUFBQVdBb3dzQUFBb0FBZ0RXQlFRR0JBQ0tDd0FBQlFZRUFJc0xBQUFBQmdJQUFnQURCZ0lBQVFBS0JnRUFBZ3NHRUFDb0N3QUFBQUFBQUtRTEFBQUFBQUFBQUFBRmdLUUxBQUFLQUFJQTF3VUVCZ1FBaXdzQUFBVUdCQUNNQ3dBQUNnWUJBQUVBQUFXQXBRc0FBQW9BQWdEWUJRUUdCQUNNQ3dBQUJRWUVBSTBMQUFBQUJnSUFBZ0FLQmdFQUFRQUFCWUNtQ3dBQUNnQUNBTmtGQkFZRUFJd0xBQUFGQmdRQWpnc0FBQUFHQWdBQ0FBb0dBUUFCQUFBRmdLY0xBQUFLQUFJQTJnVUVCZ1FBakFzQUFBVUdCQUNQQ3dBQUNnWUJBQUVBQUFXQXFBc0FBQW9BQWdEYkJRUUdCQUNLQ3dBQUJRWUVBSkFMQUFBS0JnRUFBUUFBQllDcEN3QUFDZ0FDQU53RkJBWUVBSkFMQUFBRkJnUUFrUXNBQUFvR0FRQUJBQUFGZ0tvTEFBQUtBQUlBM1FVRUJnUUFrUXNBQUFVR0JBQ1NDd0FBQ2dZQkFBRUFBQVdBcXdzQUFBb0FBZ0RlQlFRR0JBQ1NDd0FBQlFZRUFKTUxBQUFLQmdFQUFRQUFCWUNzQ3dBQUNnQUNBTjhGQkFZRUFKTUxBQUFGQmdRQWxBc0FBQW9HQVFBQkFBQUZnSzBMQUFBS0FBSUE0QVVFQmdRQWxBc0FBQVVHQkFDVkN3QUFDZ1lCQUFFQUFBV0FyZ3NBQUFvQUFnRGhCUVFHQkFDVkN3QUFCUVlFQUpZTEFBQUtCZ0VBQVFBQUJZQ3ZDd0FBQ2dBQ0FPSUZCQVlFQUpVTEFBQUZCZ1FBbHdzQUFBb0dBUUFCQUFBRmdMQUxBQUFLQUFJQTR3VUVCZ1FBbFFzQUFBVUdCQUNZQ3dBQUNnWUJBQUVBQUFXQXNRc0FBQW9BQWdEa0JRUUdCQUNVQ3dBQUJRWUVBSmtMQUFBS0JnRUFBUUFBQllDeUN3QUFDZ0FDQU9VRkJBWUVBSlFMQUFBRkJnUUFtZ3NBQUFvR0FRQUJBQUFGZ0xNTEFBQUtBQUlBNWdVRUJnUUFrd3NBQUFVR0JBQ2JDd0FBQ2dZQkFBRUFBQVdBdEFzQUFBb0FBZ0RuQlFRR0JBQ1RDd0FBQlFZRUFKd0xBQUFLQmdFQUFRQUFCWUMxQ3dBQUNnQUNBT2dGQkFZRUFKSUxBQUFGQmdRQW5Rc0FBQW9HQVFBQkFBQUZnTFlMQUFBS0FBSUE2UVVFQmdRQWtnc0FBQVVHQkFDZUN3QUFDZ1lCQUFFQUFBV0F0d3NBQUFvQUFnRHFCUVFHQkFDUkN3QUFCUVlFQUo4TEFBQUtCZ0VBQVFBQUJZQzRDd0FBQ2dBQ0FPc0ZCQVlFQUpFTEFBQUZCZ1FBb0FzQUFBb0dBUUFCQUFBRmdMa0xBQUFLQUFJQTdBVUVCZ1FBa0FzQUFBVUdCQUNoQ3dBQUNnWUJBQUVBQUFXQXVnc0FBQW9BQWdEdEJRUUdCQUNRQ3dBQUJRWUVBS0lMQUFBS0JnRUFBUUFBQUFBQUFBQUFBQUE9</t>
        </r>
      </text>
    </comment>
    <comment ref="D73" authorId="0" shapeId="0" xr:uid="{060C60B4-8E61-4B81-A1B7-44D0377C920A}">
      <text>
        <r>
          <rPr>
            <b/>
            <sz val="9"/>
            <color indexed="81"/>
            <rFont val="Tahoma"/>
            <family val="2"/>
          </rPr>
          <t>QzhIM0YxMU5PLXxQaWN0dXJlIDU2fFZtcERSREF4TURBRUF3SUJBQUFBQUFBQUFBQUFBQUNBQUFBQUFBTUFGZ0FBQUVOb1pXMUVjbUYzSURJeUxqSXVNQzR6TXpBd0NBQVRBQUFBVlc1MGFYUnNaV1FnUkc5amRXMWxiblFFQWhBQUVNRVFBWVRxa0FBaU1tUUJleFdMQVFFSkNBQUFBQzBBQUFETkJRSUpDQUFBd0NFQUFNQzFBZzBJQVFBQkNBY0JBQUU2QkFFQUFUc0VBUUFBUlFRQkFBRThCQUVBQUVvRUFRQUFEQVlCQUFFUEJnRUFBUTBHQVFBQVFnUUJBQUJEQkFFQUFFUUVBUUFBRGdnQ0FPWVdDZ2dJQUFNQVlBRElBQU1BQ3dnSUFCUUFBQUR3QUFNQUNRZ0VBRE96QWdBSUNBUUFBQUFDQUFjSUJBQUFBQUVBQmdnRUFBQUFCQUFGQ0FRQUFBQWVBQVFJQWdCNEFBTUlCQUFBQUhnQUl3Z0JBQVVNQ0FFQUFDZ0lBUUFCS1FnQkFBRXFDQUVBQVRJSUFRQUFLd2dCQUNnc0NBRUFDZ0lJRUFBQUFDUUFBQUFrQUFBQUpBQUFBQ1FBQVFNQ0FBQUFBZ01DQUFFQUFBTXlBQWdBLy8vLy8vLy9BQUFBQUFBQS8vOEFBQUFBLy8vLy93QUFBQUQvL3dBQUFBRC8vLy8vQUFBQUFQLy8vLzhBQVAvL0FBRWtBQUFBQWdBREFPUUVCUUJCY21saGJCUUE1QVFQQUZScGJXVnpJRTVsZHlCU2IyMWhiclFMQWdBQUFMVUxGQUFBQUVOb1pXMXBZMkZzSUVadmNtMTFiR0U2SUxZTERnQUFBRVY0WVdOMElFMWhjM002SUxjTEZBQUFBRTF2YkdWamRXeGhjaUJYWldsbmFIUTZJTGdMQndBQUFHMHZlam9ndVFzV0FBQUFSV3hsYldWdWRHRnNJRUZ1WVd4NWMybHpPaUM2Q3hFQUFBQkNiMmxzYVc1bklGQnZhVzUwT2lDN0N4RUFBQUJOWld4MGFXNW5JRkJ2YVc1ME9pQzhDeEVBQUFCRGNtbDBhV05oYkNCVVpXMXdPaUM5Q3hFQUFBQkRjbWwwYVdOaGJDQlFjbVZ6T2lDK0N4QUFBQUJEY21sMGFXTmhiQ0JXYjJ3NklMOExFQUFBQUVkcFltSnpJRVZ1WlhKbmVUb2d3QXNKQUFBQVRHOW5JRkE2SU1FTEJnQUFBRTFTT2lEQ0N3OEFBQUJJWlc1eWVTZHpJRXhoZHpvZ3d3c1FBQUFBU0dWaGRDQnZaaUJHYjNKdE9pREVDd2dBQUFCMFVGTkJPaURIQ3dnQUFBQk1iMmRUT2lESUN3Y0FBQUJ3UzJFNklNa0xBZ0FBQU1vTEFnQUFBQXNNQWdBQkFBb01BUUFBQ1F3QkFBQU1EQVVBQUFBb0l5a0JnREVDQUFBRUFoQUFBQUFBQUFBQUFBQ0VPcVVCM05QRkZoWUlCQUFBQUNRQUdBZ0VBQUFBSkFBWkNBQUFFQWdDQUFFQUR3Z0NBQUVBQTRBRkFnQUFCQUlRQUJEQkVBR0U2cEFBSWpKa0FYc1Zpd0VLQUFJQTRnRUVnQVlDQUFBQUFnZ0FpVGd6QWZ2QWZRRUtBQUlBNHdFQ0JBSUFCd0FyQkFJQUFRQWhCQUVBLzBnRUFBQTNCQUVBQVFhQUFBQUFBQUFDQ0FEdkhqY0JteVI2QVFRQ0VBQjN4eTRCbXlSNkFlOGVOd0Y3RllzQkl3Z0JBQUFDQndJQUFBQUZCd0VBQVFBSER3QUJBQUFBQXdCZ0FNZ0FBQUJPU0MwSkJ3OEFBUUFBQUFNQVlBRElBQUFBVGtndEFBQUFBQVNBQndJQUFBQUNDQUFpTWtJQi90QmpBUW9BQWdEa0FUY0VBUUFCQUFBRWdBZ0NBQUFBQWdnQUlqSXpBZXZWU1FFS0FBSUE1UUUzQkFFQUFRQUFCSUFKQWdBQUFBSUlBQ0l5UWdIWDJpOEJDZ0FDQU9ZQk53UUJBQUVBQUFTQUNnSUFBQUFDQ0FBaU1qTUJ4TjhWQVFvQUFnRG5BVGNFQVFBQkFBQUVnQXNDQUFBQUFnZ0FJakpDQWJIayt3QUtBQUlBNkFFM0JBRUFBUUFBQklBTUFnQUFBQUlJQUNJeU13R2U2ZUVBQ2dBQ0FPa0JOd1FCQUFFQUFBU0FEUUlBQUFBQ0NBQWlNa0lCaSs3SEFBb0FBZ0RxQVRjRUFRQUJBQUFFZ0E0Q0FBQUFBZ2dBSWpJekFYZnpyUUFLQUFJQTZ3RTNCQUVBQVFBQUJJQVBBZ0FBQUFJSUFDSXlGUUYzODYwQUNnQUNBT3dCQWdRQ0FBa0FLd1FDQUFBQVNBUUFBRGNFQVFBQkJvQUFBQUFBQUFJSUFJZ1lHUUdYNWFvQUJBSVFBQkRCRUFHWDVhb0FpQmdaQVZjQnNRQWpDQUVBQUFJSEFnQUFBQUFIRFFBQkFBQUFBd0JnQU1nQUFBQkdDUWNOQUFFQUFBQURBR0FBeUFBQUFFWUFBQUFBQklBUUFnQUFBQUlJQUNJeUpBRmsrSk1BQ2dBQ0FPMEJBZ1FDQUFrQUt3UUNBQUFBU0FRQUFEY0VBUUFCQm9BQUFBQUFBQUlJQUlnWUtBR0U2cEFBQkFJUUFCREJId0dFNnBBQWlCZ29BVVFHbHdBakNBRUFBQUlIQWdBQUFBQUhEUUFCQUFBQUF3QmdBTWdBQUFCR0NRY05BQUVBQUFBREFHQUF5QUFBQUVZQUFBQUFCSUFSQWdBQUFBSUlBQ0l5UWdGaytKTUFDZ0FDQU80QkFnUUNBQWtBS3dRQ0FBQUFTQVFBQURjRUFRQUJCb0FBQUFBQUFBSUlBSWdZUmdHRTZwQUFCQUlRQUJEQlBRR0U2cEFBaUJoR0FVUUdsd0FqQ0FFQUFBSUhBZ0FBQUFBSERRQUJBQUFBQXdCZ0FNZ0FBQUJHQ1FjTkFBRUFBQUFEQUdBQXlBQUFBRVlBQUFBQUJJQVNBZ0FBQUFJSUFEVXRYQUdMN3JnQUNnQUNBTzhCQWdRQ0FBa0FLd1FDQUFBQVNBUUFBRGNFQVFBQkJvQUFBQUFBQUFJSUFKc1RZQUdyNExVQUJBSVFBQ084VndHcjRMVUFteE5nQVd2OHV3QWpDQUVBQUFJSEFnQUFBQUFIRFFBQkFBQUFBd0JnQU1nQUFBQkdDUWNOQUFFQUFBQURBR0FBeUFBQUFFWUFBQUFBQklBVEFnQUFBQUlJQURVdFhBR0w3dFlBQ2dBQ0FQQUJBZ1FDQUFrQUt3UUNBQUFBU0FRQUFEY0VBUUFCQm9BQUFBQUFBQUlJQUpzVFlBR3I0Tk1BQkFJUUFDTzhWd0dyNE5NQW14TmdBV3Y4MlFBakNBRUFBQUlIQWdBQUFBQUhEUUFCQUFBQUF3QmdBTWdBQUFCR0NRY05BQUVBQUFBREFHQUF5QUFBQUVZQUFBQUFCSUFVQWdBQUFBSUlBQTgzR1FHZTZmQUFDZ0FDQVBFQkFnUUNBQWtBS3dRQ0FBQUFTQVFBQURjRUFRQUJCb0FBQUFBQUFBSUlBSFVkSFFHKzIrMEFCQUlRQVAzRkZBRysyKzBBZFIwZEFYNzM4d0FqQ0FFQUFBSUhBZ0FBQUFBSERRQUJBQUFBQXdCZ0FNZ0FBQUJHQ1FjTkFBRUFBQUFEQUdBQXlBQUFBRVlBQUFBQUJJQVZBZ0FBQUFJSUFBODNHUUdlNmRJQUNnQUNBUElCQWdRQ0FBa0FLd1FDQUFBQVNBUUFBRGNFQVFBQkJvQUFBQUFBQUFJSUFIVWRIUUcrMjg4QUJBSVFBUDNGRkFHKzI4OEFkUjBkQVg3MzFRQWpDQUVBQUFJSEFnQUFBQUFIRFFBQkFBQUFBd0JnQU1nQUFBQkdDUWNOQUFFQUFBQURBR0FBeUFBQUFFWUFBQUFBQklBV0FnQUFBQUlJQURVdFhBR3g1T3dBQ2dBQ0FQTUJBZ1FDQUFrQUt3UUNBQUFBU0FRQUFEY0VBUUFCQm9BQUFBQUFBQUlJQUpzVFlBSFIxdWtBQkFJUUFDTzhWd0hSMXVrQW14TmdBWkh5N3dBakNBRUFBQUlIQWdBQUFBQUhEUUFCQUFBQUF3QmdBTWdBQUFCR0NRY05BQUVBQUFBREFHQUF5QUFBQUVZQUFBQUFCSUFYQWdBQUFBSUlBRFV0WEFHeDVBb0JDZ0FDQVBRQkFnUUNBQWtBS3dRQ0FBQUFTQVFBQURjRUFRQUJCb0FBQUFBQUFBSUlBSnNUWUFIUjFnY0JCQUlRQUNPOFZ3SFIxZ2NCbXhOZ0FaSHlEUUVqQ0FFQUFBSUhBZ0FBQUFBSERRQUJBQUFBQXdCZ0FNZ0FBQUJHQ1FjTkFBRUFBQUFEQUdBQXlBQUFBRVlBQUFBQUJJQVlBZ0FBQUFJSUFBODNHUUhFM3lRQkNnQUNBUFVCQWdRQ0FBa0FLd1FDQUFBQVNBUUFBRGNFQVFBQkJvQUFBQUFBQUFJSUFIVWRIUUhrMFNFQkJBSVFBUDNGRkFIazBTRUJkUjBkQWFUdEp3RWpDQUVBQUFJSEFnQUFBQUFIRFFBQkFBQUFBd0JnQU1nQUFBQkdDUWNOQUFFQUFBQURBR0FBeUFBQUFFWUFBQUFBQklBWkFnQUFBQUlJQUE4M0dRSEUzd1lCQ2dBQ0FQWUJBZ1FDQUFrQUt3UUNBQUFBU0FRQUFEY0VBUUFCQm9BQUFBQUFBQUlJQUhVZEhRSGswUU1CQkFJUUFQM0ZGQUhrMFFNQmRSMGRBYVR0Q1FFakNBRUFBQUlIQWdBQUFBQUhEUUFCQUFBQUF3QmdBTWdBQUFCR0NRY05BQUVBQUFBREFHQUF5QUFBQUVZQUFBQUFCSUFhQWdBQUFBSUlBQ0l5WUFIKzBHTUJDZ0FDQUFzQ0FnUUNBQWdBS3dRQ0FBQUFTQVFBQURjRUFRQUJCb0FBQUFBQUFBSUlBSWdZWkFGZTdWOEJCQUlRQURPald3RmU3VjhCSWpKa0FaNjBad0VqQ0FFQUFBSUhBZ0FBQUFBSERRQUJBQUFBQXdCZ0FNZ0FBQUJQQ1FjTkFBRUFBQUFEQUdBQXlBQUFBRThBQUFBQUJZQWJBZ0FBQ2dBQ0FQY0JCQVlFQUFZQ0FBQUZCZ1FBQndJQUFBb0dBUUFCQUFBRmdCd0NBQUFLQUFJQStBRUVCZ1FBQndJQUFBVUdCQUFJQWdBQUNnWUJBQUVBQUFXQUhRSUFBQW9BQWdENUFRUUdCQUFJQWdBQUJRWUVBQWtDQUFBQUJnSUFBZ0FEQmdJQUFRQUtCZ0VBQWdzR0VBQWNBZ0FBQUFBQUFCNENBQUFBQUFBQUFBQUZnQjRDQUFBS0FBSUErZ0VFQmdRQUNRSUFBQVVHQkFBS0FnQUFDZ1lCQUFFQUFBV0FId0lBQUFvQUFnRDdBUVFHQkFBS0FnQUFCUVlFQUFzQ0FBQUtCZ0VBQVFBQUJZQWdBZ0FBQ2dBQ0FQd0JCQVlFQUFzQ0FBQUZCZ1FBREFJQUFBb0dBUUFCQUFBRmdDRUNBQUFLQUFJQS9RRUVCZ1FBREFJQUFBVUdCQUFOQWdBQUNnWUJBQUVBQUFXQUlnSUFBQW9BQWdEK0FRUUdCQUFOQWdBQUJRWUVBQTRDQUFBS0JnRUFBUUFBQllBakFnQUFDZ0FDQVA4QkJBWUVBQTRDQUFBRkJnUUFEd0lBQUFvR0FRQUJBQUFGZ0NRQ0FBQUtBQUlBQUFJRUJnUUFEZ0lBQUFVR0JBQVFBZ0FBQ2dZQkFBRUFBQVdBSlFJQUFBb0FBZ0FCQWdRR0JBQU9BZ0FBQlFZRUFCRUNBQUFLQmdFQUFRQUFCWUFtQWdBQUNnQUNBQUlDQkFZRUFBMENBQUFGQmdRQUVnSUFBQW9HQVFBQkFBQUZnQ2NDQUFBS0FBSUFBd0lFQmdRQURRSUFBQVVHQkFBVEFnQUFDZ1lCQUFFQUFBV0FLQUlBQUFvQUFnQUVBZ1FHQkFBTUFnQUFCUVlFQUJRQ0FBQUtCZ0VBQVFBQUJZQXBBZ0FBQ2dBQ0FBVUNCQVlFQUF3Q0FBQUZCZ1FBRlFJQUFBb0dBUUFCQUFBRmdDb0NBQUFLQUFJQUJnSUVCZ1FBQ3dJQUFBVUdCQUFXQWdBQUNnWUJBQUVBQUFXQUt3SUFBQW9BQWdBSEFnUUdCQUFMQWdBQUJRWUVBQmNDQUFBS0JnRUFBUUFBQllBc0FnQUFDZ0FDQUFnQ0JBWUVBQW9DQUFBRkJnUUFHQUlBQUFvR0FRQUJBQUFGZ0MwQ0FBQUtBQUlBQ1FJRUJnUUFDZ0lBQUFVR0JBQVpBZ0FBQ2dZQkFBRUFBQVdBTGdJQUFBb0FBZ0FNQWdRR0JBQUhBZ0FBQlFZRUFCb0NBQUFBQmdJQUFnQUtCZ0VBQVFBQUFBQUFBQUFBQUFBPQ==</t>
        </r>
      </text>
    </comment>
  </commentList>
</comments>
</file>

<file path=xl/sharedStrings.xml><?xml version="1.0" encoding="utf-8"?>
<sst xmlns="http://schemas.openxmlformats.org/spreadsheetml/2006/main" count="3293" uniqueCount="1025">
  <si>
    <t>Reference Standard</t>
  </si>
  <si>
    <t>x</t>
  </si>
  <si>
    <t>✓</t>
  </si>
  <si>
    <t>Acronym</t>
  </si>
  <si>
    <t>Confidence Level</t>
  </si>
  <si>
    <t>Theoretical m/z</t>
  </si>
  <si>
    <t>Measured m/z</t>
  </si>
  <si>
    <t>Example</t>
  </si>
  <si>
    <t>ECF Sulfonamide-Based</t>
  </si>
  <si>
    <t>Structure and Formula</t>
  </si>
  <si>
    <t>SF5-PFOS
(n = 8)</t>
  </si>
  <si>
    <t>7:1:2 FTB</t>
  </si>
  <si>
    <t>7:1:3 FTB</t>
  </si>
  <si>
    <t>6:2 FTB</t>
  </si>
  <si>
    <t>6:4 FTB</t>
  </si>
  <si>
    <t>7:3 FTB</t>
  </si>
  <si>
    <t>PFOA
(n = 7)</t>
  </si>
  <si>
    <t>PFOS
(n =8)</t>
  </si>
  <si>
    <t>6:2 FTSA</t>
  </si>
  <si>
    <t>PFAA Derivatives</t>
  </si>
  <si>
    <t>6:2 FTSAm-Pr-MeAm</t>
  </si>
  <si>
    <t>6:2 FTSAm</t>
  </si>
  <si>
    <t>8:2 FTSAm-Pr-DiMeAm</t>
  </si>
  <si>
    <t>6:2 FTSAm-Pr-DiMeNO</t>
  </si>
  <si>
    <t>6:2 FTSAm-Pr-B</t>
  </si>
  <si>
    <t>5:3 FTCA</t>
  </si>
  <si>
    <t>Polarity</t>
  </si>
  <si>
    <t>-</t>
  </si>
  <si>
    <t>+</t>
  </si>
  <si>
    <t>Ion</t>
  </si>
  <si>
    <t>C11H13F13N2O2S</t>
  </si>
  <si>
    <t>C13H13F17N2O2S</t>
  </si>
  <si>
    <t>✓ (2, level 1)</t>
  </si>
  <si>
    <t>✓ (4)</t>
  </si>
  <si>
    <t>5:1:2 FTB</t>
  </si>
  <si>
    <t>9:1:2 FTB</t>
  </si>
  <si>
    <t>11:1:2 FTB</t>
  </si>
  <si>
    <t>13:1:2 FTB</t>
  </si>
  <si>
    <t>15:1:2 FTB</t>
  </si>
  <si>
    <t>5:3 FTB</t>
  </si>
  <si>
    <t>9:3 FTB</t>
  </si>
  <si>
    <t>11:3 FTB</t>
  </si>
  <si>
    <t>13:3 FTB</t>
  </si>
  <si>
    <t>4:2 FTSAm-Pr-B</t>
  </si>
  <si>
    <t>8:2 FTSAm-Pr-B</t>
  </si>
  <si>
    <t>10:2 FTSAm-Pr-B</t>
  </si>
  <si>
    <t>12:2 FTSAm-Pr-B</t>
  </si>
  <si>
    <t>8:2 FTSAm-Pr-DiMeNO</t>
  </si>
  <si>
    <t>8:2 FTB</t>
  </si>
  <si>
    <t>10:2 FTB</t>
  </si>
  <si>
    <t>12:2 FTB</t>
  </si>
  <si>
    <t>5:1:3 FTB</t>
  </si>
  <si>
    <t>9:1:3 FTB</t>
  </si>
  <si>
    <t>4:4 FTB</t>
  </si>
  <si>
    <t>8:4 FTB</t>
  </si>
  <si>
    <t>10:4 FTB</t>
  </si>
  <si>
    <t>6:2 FTSAm-Pr-DiMeAm</t>
  </si>
  <si>
    <t>C12H14F12NO2</t>
  </si>
  <si>
    <t>C14H14F16NO2</t>
  </si>
  <si>
    <t>C16H14F20NO2</t>
  </si>
  <si>
    <t>C18H14F24NO2</t>
  </si>
  <si>
    <t>C20H14F28NO2</t>
  </si>
  <si>
    <t>C22H14F32NO2</t>
  </si>
  <si>
    <t>C12H15F11NO2</t>
  </si>
  <si>
    <t>C14H15F15NO2</t>
  </si>
  <si>
    <t>C16H15F19NO2</t>
  </si>
  <si>
    <t>C18H15F23NO2</t>
  </si>
  <si>
    <t>C20H15F27NO2</t>
  </si>
  <si>
    <t>C15H20F13N2O4S</t>
  </si>
  <si>
    <t>C13H20F9N2O4S</t>
  </si>
  <si>
    <t>C17H20F17N2O4S</t>
  </si>
  <si>
    <t>C19H20F21N2O4S</t>
  </si>
  <si>
    <t>C21H20F25N2O4S</t>
  </si>
  <si>
    <t>C13H18F13N2O3S</t>
  </si>
  <si>
    <t>C15H18F17N2O3S</t>
  </si>
  <si>
    <t>C12H16F13N2O2S</t>
  </si>
  <si>
    <t>C14H16F17N2O2S</t>
  </si>
  <si>
    <t>C15H16F17N2O4S</t>
  </si>
  <si>
    <t>C13H16F13N2O4S</t>
  </si>
  <si>
    <t>C12H16F11N2O4S</t>
  </si>
  <si>
    <t>C11H16F9N2O4S</t>
  </si>
  <si>
    <t>C12H13F13NO2</t>
  </si>
  <si>
    <t>C14H13F17NO2</t>
  </si>
  <si>
    <t>C16H13F21NO2</t>
  </si>
  <si>
    <t>C18H13F25NO2</t>
  </si>
  <si>
    <t>C14H19F13NOS</t>
  </si>
  <si>
    <t>C12H19F9NOS</t>
  </si>
  <si>
    <t>C16H19F17NOS</t>
  </si>
  <si>
    <t>C18H19F21NOS</t>
  </si>
  <si>
    <t>C14H19F13NO2S</t>
  </si>
  <si>
    <t>C12H19F9NO2S</t>
  </si>
  <si>
    <t>C16H19F17NO2S</t>
  </si>
  <si>
    <t>C14H19F13NO3S</t>
  </si>
  <si>
    <t>C12H19F9NO3S</t>
  </si>
  <si>
    <t>C16H19F17NO3S</t>
  </si>
  <si>
    <t>C13H17F13N2O2S</t>
  </si>
  <si>
    <t>C15H17F17N2O2S</t>
  </si>
  <si>
    <t>C12H20F9N2O5S2</t>
  </si>
  <si>
    <t>C13H20F11N2O5S2</t>
  </si>
  <si>
    <t>C14H20F13N2O5S2</t>
  </si>
  <si>
    <t>C12H17F9NO2</t>
  </si>
  <si>
    <t>C14H17F13NO2</t>
  </si>
  <si>
    <t>C16H17F17NO2</t>
  </si>
  <si>
    <t>C18H17F21NO2</t>
  </si>
  <si>
    <t>C15H16F16NO2</t>
  </si>
  <si>
    <t>C13H16F12NO2</t>
  </si>
  <si>
    <t>C17H16F20NO2</t>
  </si>
  <si>
    <t>PFPrS</t>
  </si>
  <si>
    <t>PFBS</t>
  </si>
  <si>
    <t>PFPeS</t>
  </si>
  <si>
    <t>PFHxS</t>
  </si>
  <si>
    <t>PFHpS</t>
  </si>
  <si>
    <t>PFOS</t>
  </si>
  <si>
    <t>PFNS</t>
  </si>
  <si>
    <t>PFDS</t>
  </si>
  <si>
    <t>PFUnDS</t>
  </si>
  <si>
    <t>PFDoDS</t>
  </si>
  <si>
    <t>PFTriDS</t>
  </si>
  <si>
    <t>PFBA</t>
  </si>
  <si>
    <t>PFPeA</t>
  </si>
  <si>
    <t>PFHxA</t>
  </si>
  <si>
    <t>PFHpA</t>
  </si>
  <si>
    <t>PFOA</t>
  </si>
  <si>
    <t>PFNA</t>
  </si>
  <si>
    <t>PFDA</t>
  </si>
  <si>
    <t>PFUnDA</t>
  </si>
  <si>
    <t>3:3 FTCA</t>
  </si>
  <si>
    <t>4:3 FTCA</t>
  </si>
  <si>
    <t>6:3 FTCA</t>
  </si>
  <si>
    <t>7:3 FTCA</t>
  </si>
  <si>
    <t>8:3 FTCA</t>
  </si>
  <si>
    <t>9:3 FTCA</t>
  </si>
  <si>
    <t>Cl-PFHxS</t>
  </si>
  <si>
    <t>Cl-PFOS</t>
  </si>
  <si>
    <t>SF5-PFHpS</t>
  </si>
  <si>
    <t>SF5-PFOS</t>
  </si>
  <si>
    <t>SF5-PFNS</t>
  </si>
  <si>
    <t>SF5-PFDS</t>
  </si>
  <si>
    <t>8:2 FTSA</t>
  </si>
  <si>
    <t>10:2 FTSA</t>
  </si>
  <si>
    <t>12:2 FTSA</t>
  </si>
  <si>
    <t>14:2 FTSA</t>
  </si>
  <si>
    <t>8:2 FTSAm</t>
  </si>
  <si>
    <t>10:2 FTSAm</t>
  </si>
  <si>
    <t>SF5-U-PFOS</t>
  </si>
  <si>
    <t>SF5-U-PFNS</t>
  </si>
  <si>
    <t>SF5-U-PFDS</t>
  </si>
  <si>
    <t>U-E-PFOS/K-PFHpS</t>
  </si>
  <si>
    <t>U-E-PFHpS/K-PFHxS</t>
  </si>
  <si>
    <t>U-E-PFNS/K-PFOS</t>
  </si>
  <si>
    <t>U-E-PFDS/K-PFNS</t>
  </si>
  <si>
    <t>U-E-PFUnDS/K-PFDS</t>
  </si>
  <si>
    <t>U-E-PFDoDS/K-PFUnDS</t>
  </si>
  <si>
    <t>U-E-PFTriDS/K-PFDoDS</t>
  </si>
  <si>
    <t>U-E-PFTeDS/K-PFTriDS</t>
  </si>
  <si>
    <t>U-PFHxS</t>
  </si>
  <si>
    <t>U-PFHpS</t>
  </si>
  <si>
    <t>U-PFOS</t>
  </si>
  <si>
    <t>U-PFNS</t>
  </si>
  <si>
    <t>U-PFDS</t>
  </si>
  <si>
    <t>U-PFUnDS</t>
  </si>
  <si>
    <t>U-PFDoDS</t>
  </si>
  <si>
    <t>E-PFDS</t>
  </si>
  <si>
    <t>E-PFUnDS</t>
  </si>
  <si>
    <t>E-PFDoDS</t>
  </si>
  <si>
    <t>E-PFTriDS</t>
  </si>
  <si>
    <t>E-PFTeDS</t>
  </si>
  <si>
    <t>E-PFPeDS</t>
  </si>
  <si>
    <t>E-PFHxDS</t>
  </si>
  <si>
    <t>C3HF7O3S</t>
  </si>
  <si>
    <t>C4HF9O3S</t>
  </si>
  <si>
    <t>C5HF11O3S</t>
  </si>
  <si>
    <t>C6HF13O3S</t>
  </si>
  <si>
    <t>C7HF15O3S</t>
  </si>
  <si>
    <t>C8HF17O3S</t>
  </si>
  <si>
    <t>C9HF19O3S</t>
  </si>
  <si>
    <t>C10HF21O3S</t>
  </si>
  <si>
    <t>C11HF23O3S</t>
  </si>
  <si>
    <t>C12HF25O3S</t>
  </si>
  <si>
    <t>C13HF27O3S</t>
  </si>
  <si>
    <t>C4HF7O2</t>
  </si>
  <si>
    <t>PFDoDA</t>
  </si>
  <si>
    <t>C5HF9O2</t>
  </si>
  <si>
    <t>C6HF11O2</t>
  </si>
  <si>
    <t>C7HF13O2</t>
  </si>
  <si>
    <t>C8HF15O2</t>
  </si>
  <si>
    <t>C9HF17O2</t>
  </si>
  <si>
    <t>C10HF19O2</t>
  </si>
  <si>
    <t>C11HF21O2</t>
  </si>
  <si>
    <t>C12HF23O2</t>
  </si>
  <si>
    <t>C8H5F11O2</t>
  </si>
  <si>
    <t>C6H5F7O2</t>
  </si>
  <si>
    <t>C7H5F9O2</t>
  </si>
  <si>
    <t>C9H5F13O2</t>
  </si>
  <si>
    <t>C10H5F15O2</t>
  </si>
  <si>
    <t>C11H5F17O2</t>
  </si>
  <si>
    <t>C12H5F19O2</t>
  </si>
  <si>
    <t>C6H2F13NO2S</t>
  </si>
  <si>
    <t>C5H2F11NO2S</t>
  </si>
  <si>
    <t>C4H2F9NO2S</t>
  </si>
  <si>
    <t>C3H2F7NO2S</t>
  </si>
  <si>
    <t>C7H2F15NO2S</t>
  </si>
  <si>
    <t>C8H2F17NO2S</t>
  </si>
  <si>
    <t>C8H5F13O3S</t>
  </si>
  <si>
    <t>C10H5F17O3S</t>
  </si>
  <si>
    <t>C12H5F21O3S</t>
  </si>
  <si>
    <t>C14H5F25O3S</t>
  </si>
  <si>
    <t>C16H5F29O3S</t>
  </si>
  <si>
    <t>C8HF21O3S2</t>
  </si>
  <si>
    <t>C7HF19O3S2</t>
  </si>
  <si>
    <t>C9HF21O3S2</t>
  </si>
  <si>
    <t>C9HF23O3S2</t>
  </si>
  <si>
    <t>C10HF25O3S2</t>
  </si>
  <si>
    <t>C6HClF12O3S</t>
  </si>
  <si>
    <t>C8HClF16O3S</t>
  </si>
  <si>
    <t>C8H6F13NO2S</t>
  </si>
  <si>
    <t>C10H6F17NO2S</t>
  </si>
  <si>
    <t>C12H6F21NO2S</t>
  </si>
  <si>
    <t>C15H18F13NO4S2</t>
  </si>
  <si>
    <t>C15H18F13NO5S2</t>
  </si>
  <si>
    <t>C15H18F13NO6S2</t>
  </si>
  <si>
    <t>C17H18F17NO6S2</t>
  </si>
  <si>
    <t>C19H18F21NO6S2</t>
  </si>
  <si>
    <t>C21H18F25NO6S2</t>
  </si>
  <si>
    <t>C16H9F26NO4S2</t>
  </si>
  <si>
    <t>C18H9F30NO4S2</t>
  </si>
  <si>
    <t>C9H8F13NO5S2</t>
  </si>
  <si>
    <t>C8H8F11NO5S2</t>
  </si>
  <si>
    <t>C7H8F9NO5S2</t>
  </si>
  <si>
    <t>C8H4F13NO4S</t>
  </si>
  <si>
    <t>C10H4F17NO4S</t>
  </si>
  <si>
    <t>C12H15F13N2O2S</t>
  </si>
  <si>
    <t>C11H9F13O4S</t>
  </si>
  <si>
    <t>C9H9F9O4S</t>
  </si>
  <si>
    <t>C13H9F17O4S</t>
  </si>
  <si>
    <t>C8HF19O3S2</t>
  </si>
  <si>
    <t>C10HF23O3S2</t>
  </si>
  <si>
    <t>C8HF17O2S</t>
  </si>
  <si>
    <t>C5H4F9NO2S</t>
  </si>
  <si>
    <t>C7H4F13NO2S</t>
  </si>
  <si>
    <t>C9H4F17NO2S</t>
  </si>
  <si>
    <t>C11H6F17NO4S</t>
  </si>
  <si>
    <t>C16H6F27NO4S</t>
  </si>
  <si>
    <t>C18H6F31NO4S</t>
  </si>
  <si>
    <t>C12H8F17NO4S</t>
  </si>
  <si>
    <t>C10H8F13NO4S</t>
  </si>
  <si>
    <t>C8HF15O4S</t>
  </si>
  <si>
    <t>C9HF17O4S</t>
  </si>
  <si>
    <t>C10HF19O4S</t>
  </si>
  <si>
    <t>C11HF21O4S</t>
  </si>
  <si>
    <t>C12HF23O4S</t>
  </si>
  <si>
    <t>C13HF25O4S</t>
  </si>
  <si>
    <t>C14HF27O4S</t>
  </si>
  <si>
    <t>C7HF13O4S</t>
  </si>
  <si>
    <t>C6HF11O4S</t>
  </si>
  <si>
    <t>C10H5F17O4S</t>
  </si>
  <si>
    <t>C8H5F13O4S</t>
  </si>
  <si>
    <t>C8HF15O3S</t>
  </si>
  <si>
    <t>C9HF17O3S</t>
  </si>
  <si>
    <t>C10HF19O3S</t>
  </si>
  <si>
    <t>C11HF21O3S</t>
  </si>
  <si>
    <t>C12HF23O3S</t>
  </si>
  <si>
    <t>C7HF13O3S</t>
  </si>
  <si>
    <t>C6HF11O3S</t>
  </si>
  <si>
    <t>U-PFTeDS</t>
  </si>
  <si>
    <t>U-PFPeDS</t>
  </si>
  <si>
    <t>C13HF25O3S</t>
  </si>
  <si>
    <t>C14HF27O3S</t>
  </si>
  <si>
    <t>C15HF29O3S</t>
  </si>
  <si>
    <t>C12HF26NO4S2</t>
  </si>
  <si>
    <t>C11HF24NO4S2</t>
  </si>
  <si>
    <t>C10HF22NO4S2</t>
  </si>
  <si>
    <t>C9HF20NO4S2</t>
  </si>
  <si>
    <t>C8HF18NO4S2</t>
  </si>
  <si>
    <t>C7HF16NO4S2</t>
  </si>
  <si>
    <t>C6HF14NO4S2</t>
  </si>
  <si>
    <t>C9HF19O4S</t>
  </si>
  <si>
    <t>C10HF21O4S</t>
  </si>
  <si>
    <t>C11HF23O4S</t>
  </si>
  <si>
    <t>C12HF25O4S</t>
  </si>
  <si>
    <t>C13HF27O4S</t>
  </si>
  <si>
    <t>C14HF29O4S</t>
  </si>
  <si>
    <t>C15HF31O4S</t>
  </si>
  <si>
    <t>C16HF33O4S</t>
  </si>
  <si>
    <t>[M+H]+</t>
  </si>
  <si>
    <t>[M-H]-</t>
  </si>
  <si>
    <t>[M]+</t>
  </si>
  <si>
    <t>[M-H+Na]+, [M-H+K]+, [M+C2H6N2]+, [2M-H]+, [2M-H2+Na]+</t>
  </si>
  <si>
    <t>[M-H+Na]+, [M-H+K]+, [M+C2H6N2]+</t>
  </si>
  <si>
    <t>[M-H+Na]+, [M+C2H6N2]+</t>
  </si>
  <si>
    <t>[M-H+Na]+</t>
  </si>
  <si>
    <t>[M-H+Na]+, [M-H+K]+</t>
  </si>
  <si>
    <t>✓ (6, level 1)</t>
  </si>
  <si>
    <t>✓ (5, level 1)</t>
  </si>
  <si>
    <t>✓ (11, level 1)</t>
  </si>
  <si>
    <t>✓
(positive: 5, negative: 3, 
level 1)</t>
  </si>
  <si>
    <t>✓ (2)</t>
  </si>
  <si>
    <t>✓ (1)</t>
  </si>
  <si>
    <t>✓ (3)</t>
  </si>
  <si>
    <t>✓ (5)</t>
  </si>
  <si>
    <t>✓ (10)</t>
  </si>
  <si>
    <t>✓ (6)</t>
  </si>
  <si>
    <t>[M-H+Na]+, [M+C2H6N2]+, [M-C3H9N]+, [M-C3H8N+Na]+</t>
  </si>
  <si>
    <t>[M-H+Na]+, [M-H2O]+, [2M-H]+</t>
  </si>
  <si>
    <t>[M-H+Na]+, [M-H2O]+</t>
  </si>
  <si>
    <t>In-Source Adducts/Dimers/Fragments</t>
  </si>
  <si>
    <t>✓ (7)</t>
  </si>
  <si>
    <t>✓ (9, level 1)</t>
  </si>
  <si>
    <t>✓ (7, level 1)</t>
  </si>
  <si>
    <t>[M-2H]-</t>
  </si>
  <si>
    <t>[M-H3F]-, [M-3H+Na]-, [M+79.9891]-, [2M-H3]-</t>
  </si>
  <si>
    <t>[M-C3H4F3OS]-, [M-C3H5F4OS]-, [M-C2H6F4NO2S]-, 5x[M-H-HF]-</t>
  </si>
  <si>
    <t>2x[M-H-HF]-</t>
  </si>
  <si>
    <t>[M-H-CO2]-</t>
  </si>
  <si>
    <t>[M-H-CO2]-, [2M-H]-</t>
  </si>
  <si>
    <t>Accurate Mass 
(&lt; 10 ppm)</t>
  </si>
  <si>
    <t>Error 
(ppm)</t>
  </si>
  <si>
    <t>Isotopic Pattern 
Match</t>
  </si>
  <si>
    <t>Isotopic Pattern 
Match (&gt; 95 %)</t>
  </si>
  <si>
    <t>MS2 Fragments 
(number)</t>
  </si>
  <si>
    <t>U-PFTriDS</t>
  </si>
  <si>
    <t>not applicable, M+1 peak coelutes with 7:3 FTB</t>
  </si>
  <si>
    <t>Peak too small</t>
  </si>
  <si>
    <t>Homologue 
(number, maximal level)</t>
  </si>
  <si>
    <t>✓ (8)</t>
  </si>
  <si>
    <t>[M-H-HF]-</t>
  </si>
  <si>
    <t>✓ ( 3)</t>
  </si>
  <si>
    <t>C12H12F13NO4S</t>
  </si>
  <si>
    <t>C8H2F16O4S</t>
  </si>
  <si>
    <t>C10H2F20O4S</t>
  </si>
  <si>
    <r>
      <t>C</t>
    </r>
    <r>
      <rPr>
        <vertAlign val="subscript"/>
        <sz val="8"/>
        <color theme="1"/>
        <rFont val="Arial"/>
        <family val="2"/>
      </rPr>
      <t>8</t>
    </r>
    <r>
      <rPr>
        <sz val="8"/>
        <color rgb="FF000000"/>
        <rFont val="Arial"/>
        <family val="2"/>
      </rPr>
      <t>F</t>
    </r>
    <r>
      <rPr>
        <vertAlign val="subscript"/>
        <sz val="8"/>
        <color theme="1"/>
        <rFont val="Arial"/>
        <family val="2"/>
      </rPr>
      <t>15</t>
    </r>
    <r>
      <rPr>
        <sz val="8"/>
        <color rgb="FF000000"/>
        <rFont val="Arial"/>
        <family val="2"/>
      </rPr>
      <t>O</t>
    </r>
    <r>
      <rPr>
        <vertAlign val="subscript"/>
        <sz val="8"/>
        <color theme="1"/>
        <rFont val="Arial"/>
        <family val="2"/>
      </rPr>
      <t>2</t>
    </r>
    <r>
      <rPr>
        <vertAlign val="superscript"/>
        <sz val="8"/>
        <color theme="1"/>
        <rFont val="Arial"/>
        <family val="2"/>
      </rPr>
      <t>-</t>
    </r>
  </si>
  <si>
    <r>
      <t>C</t>
    </r>
    <r>
      <rPr>
        <vertAlign val="subscript"/>
        <sz val="8"/>
        <color theme="1"/>
        <rFont val="Arial"/>
        <family val="2"/>
      </rPr>
      <t>8</t>
    </r>
    <r>
      <rPr>
        <sz val="8"/>
        <color rgb="FF000000"/>
        <rFont val="Arial"/>
        <family val="2"/>
      </rPr>
      <t>F</t>
    </r>
    <r>
      <rPr>
        <vertAlign val="subscript"/>
        <sz val="8"/>
        <color theme="1"/>
        <rFont val="Arial"/>
        <family val="2"/>
      </rPr>
      <t>17</t>
    </r>
    <r>
      <rPr>
        <sz val="8"/>
        <color rgb="FF000000"/>
        <rFont val="Arial"/>
        <family val="2"/>
      </rPr>
      <t>O</t>
    </r>
    <r>
      <rPr>
        <vertAlign val="subscript"/>
        <sz val="8"/>
        <color theme="1"/>
        <rFont val="Arial"/>
        <family val="2"/>
      </rPr>
      <t>3</t>
    </r>
    <r>
      <rPr>
        <sz val="8"/>
        <color rgb="FF000000"/>
        <rFont val="Arial"/>
        <family val="2"/>
      </rPr>
      <t>S</t>
    </r>
    <r>
      <rPr>
        <vertAlign val="superscript"/>
        <sz val="8"/>
        <color theme="1"/>
        <rFont val="Arial"/>
        <family val="2"/>
      </rPr>
      <t>-</t>
    </r>
  </si>
  <si>
    <r>
      <t>C</t>
    </r>
    <r>
      <rPr>
        <vertAlign val="subscript"/>
        <sz val="8"/>
        <color theme="1"/>
        <rFont val="Arial"/>
        <family val="2"/>
      </rPr>
      <t>8</t>
    </r>
    <r>
      <rPr>
        <sz val="8"/>
        <color rgb="FF000000"/>
        <rFont val="Arial"/>
        <family val="2"/>
      </rPr>
      <t>F</t>
    </r>
    <r>
      <rPr>
        <vertAlign val="subscript"/>
        <sz val="8"/>
        <color theme="1"/>
        <rFont val="Arial"/>
        <family val="2"/>
      </rPr>
      <t>15</t>
    </r>
    <r>
      <rPr>
        <sz val="8"/>
        <color rgb="FF000000"/>
        <rFont val="Arial"/>
        <family val="2"/>
      </rPr>
      <t>O</t>
    </r>
    <r>
      <rPr>
        <vertAlign val="subscript"/>
        <sz val="8"/>
        <color theme="1"/>
        <rFont val="Arial"/>
        <family val="2"/>
      </rPr>
      <t>3</t>
    </r>
    <r>
      <rPr>
        <sz val="8"/>
        <color rgb="FF000000"/>
        <rFont val="Arial"/>
        <family val="2"/>
      </rPr>
      <t>S</t>
    </r>
    <r>
      <rPr>
        <vertAlign val="superscript"/>
        <sz val="8"/>
        <color theme="1"/>
        <rFont val="Arial"/>
        <family val="2"/>
      </rPr>
      <t>-</t>
    </r>
  </si>
  <si>
    <r>
      <t>C</t>
    </r>
    <r>
      <rPr>
        <vertAlign val="subscript"/>
        <sz val="8"/>
        <color theme="1"/>
        <rFont val="Arial"/>
        <family val="2"/>
      </rPr>
      <t>8</t>
    </r>
    <r>
      <rPr>
        <sz val="8"/>
        <color rgb="FF000000"/>
        <rFont val="Arial"/>
        <family val="2"/>
      </rPr>
      <t>F</t>
    </r>
    <r>
      <rPr>
        <vertAlign val="subscript"/>
        <sz val="8"/>
        <color theme="1"/>
        <rFont val="Arial"/>
        <family val="2"/>
      </rPr>
      <t>17</t>
    </r>
    <r>
      <rPr>
        <sz val="8"/>
        <color rgb="FF000000"/>
        <rFont val="Arial"/>
        <family val="2"/>
      </rPr>
      <t>O</t>
    </r>
    <r>
      <rPr>
        <vertAlign val="subscript"/>
        <sz val="8"/>
        <color theme="1"/>
        <rFont val="Arial"/>
        <family val="2"/>
      </rPr>
      <t>2</t>
    </r>
    <r>
      <rPr>
        <sz val="8"/>
        <color rgb="FF000000"/>
        <rFont val="Arial"/>
        <family val="2"/>
      </rPr>
      <t>S</t>
    </r>
    <r>
      <rPr>
        <vertAlign val="superscript"/>
        <sz val="8"/>
        <color theme="1"/>
        <rFont val="Arial"/>
        <family val="2"/>
      </rPr>
      <t>-</t>
    </r>
  </si>
  <si>
    <r>
      <t>C</t>
    </r>
    <r>
      <rPr>
        <vertAlign val="subscript"/>
        <sz val="8"/>
        <color theme="1"/>
        <rFont val="Arial"/>
        <family val="2"/>
      </rPr>
      <t>8</t>
    </r>
    <r>
      <rPr>
        <sz val="8"/>
        <color rgb="FF000000"/>
        <rFont val="Arial"/>
        <family val="2"/>
      </rPr>
      <t>F</t>
    </r>
    <r>
      <rPr>
        <vertAlign val="subscript"/>
        <sz val="8"/>
        <color theme="1"/>
        <rFont val="Arial"/>
        <family val="2"/>
      </rPr>
      <t>21</t>
    </r>
    <r>
      <rPr>
        <sz val="8"/>
        <color rgb="FF000000"/>
        <rFont val="Arial"/>
        <family val="2"/>
      </rPr>
      <t>O</t>
    </r>
    <r>
      <rPr>
        <vertAlign val="subscript"/>
        <sz val="8"/>
        <color theme="1"/>
        <rFont val="Arial"/>
        <family val="2"/>
      </rPr>
      <t>3</t>
    </r>
    <r>
      <rPr>
        <sz val="8"/>
        <color rgb="FF000000"/>
        <rFont val="Arial"/>
        <family val="2"/>
      </rPr>
      <t>S</t>
    </r>
    <r>
      <rPr>
        <vertAlign val="subscript"/>
        <sz val="8"/>
        <color theme="1"/>
        <rFont val="Arial"/>
        <family val="2"/>
      </rPr>
      <t>2</t>
    </r>
    <r>
      <rPr>
        <vertAlign val="superscript"/>
        <sz val="8"/>
        <color theme="1"/>
        <rFont val="Arial"/>
        <family val="2"/>
      </rPr>
      <t>-</t>
    </r>
  </si>
  <si>
    <r>
      <t>C</t>
    </r>
    <r>
      <rPr>
        <vertAlign val="subscript"/>
        <sz val="8"/>
        <color rgb="FF000000"/>
        <rFont val="Arial"/>
        <family val="2"/>
      </rPr>
      <t>8</t>
    </r>
    <r>
      <rPr>
        <sz val="8"/>
        <color rgb="FF000000"/>
        <rFont val="Arial"/>
        <family val="2"/>
      </rPr>
      <t>F</t>
    </r>
    <r>
      <rPr>
        <vertAlign val="subscript"/>
        <sz val="8"/>
        <color rgb="FF000000"/>
        <rFont val="Arial"/>
        <family val="2"/>
      </rPr>
      <t>19</t>
    </r>
    <r>
      <rPr>
        <sz val="8"/>
        <color rgb="FF000000"/>
        <rFont val="Arial"/>
        <family val="2"/>
      </rPr>
      <t>O</t>
    </r>
    <r>
      <rPr>
        <vertAlign val="subscript"/>
        <sz val="8"/>
        <color rgb="FF000000"/>
        <rFont val="Arial"/>
        <family val="2"/>
      </rPr>
      <t>3</t>
    </r>
    <r>
      <rPr>
        <sz val="8"/>
        <color rgb="FF000000"/>
        <rFont val="Arial"/>
        <family val="2"/>
      </rPr>
      <t>S</t>
    </r>
    <r>
      <rPr>
        <vertAlign val="subscript"/>
        <sz val="8"/>
        <color rgb="FF000000"/>
        <rFont val="Arial"/>
        <family val="2"/>
      </rPr>
      <t>2</t>
    </r>
    <r>
      <rPr>
        <vertAlign val="superscript"/>
        <sz val="8"/>
        <color rgb="FF000000"/>
        <rFont val="Arial"/>
        <family val="2"/>
      </rPr>
      <t>-</t>
    </r>
  </si>
  <si>
    <r>
      <t>C</t>
    </r>
    <r>
      <rPr>
        <vertAlign val="subscript"/>
        <sz val="8"/>
        <color theme="1"/>
        <rFont val="Arial"/>
        <family val="2"/>
      </rPr>
      <t>8</t>
    </r>
    <r>
      <rPr>
        <sz val="8"/>
        <color rgb="FF000000"/>
        <rFont val="Arial"/>
        <family val="2"/>
      </rPr>
      <t>ClF</t>
    </r>
    <r>
      <rPr>
        <vertAlign val="subscript"/>
        <sz val="8"/>
        <color theme="1"/>
        <rFont val="Arial"/>
        <family val="2"/>
      </rPr>
      <t>16</t>
    </r>
    <r>
      <rPr>
        <sz val="8"/>
        <color rgb="FF000000"/>
        <rFont val="Arial"/>
        <family val="2"/>
      </rPr>
      <t>O</t>
    </r>
    <r>
      <rPr>
        <vertAlign val="subscript"/>
        <sz val="8"/>
        <color theme="1"/>
        <rFont val="Arial"/>
        <family val="2"/>
      </rPr>
      <t>3</t>
    </r>
    <r>
      <rPr>
        <sz val="8"/>
        <color rgb="FF000000"/>
        <rFont val="Arial"/>
        <family val="2"/>
      </rPr>
      <t>S</t>
    </r>
    <r>
      <rPr>
        <vertAlign val="superscript"/>
        <sz val="8"/>
        <color theme="1"/>
        <rFont val="Arial"/>
        <family val="2"/>
      </rPr>
      <t>-</t>
    </r>
  </si>
  <si>
    <r>
      <t>C</t>
    </r>
    <r>
      <rPr>
        <vertAlign val="subscript"/>
        <sz val="8"/>
        <color theme="1"/>
        <rFont val="Arial"/>
        <family val="2"/>
      </rPr>
      <t>9</t>
    </r>
    <r>
      <rPr>
        <sz val="8"/>
        <color rgb="FF000000"/>
        <rFont val="Arial"/>
        <family val="2"/>
      </rPr>
      <t>F</t>
    </r>
    <r>
      <rPr>
        <vertAlign val="subscript"/>
        <sz val="8"/>
        <color theme="1"/>
        <rFont val="Arial"/>
        <family val="2"/>
      </rPr>
      <t>19</t>
    </r>
    <r>
      <rPr>
        <sz val="8"/>
        <color rgb="FF000000"/>
        <rFont val="Arial"/>
        <family val="2"/>
      </rPr>
      <t>O</t>
    </r>
    <r>
      <rPr>
        <vertAlign val="subscript"/>
        <sz val="8"/>
        <color theme="1"/>
        <rFont val="Arial"/>
        <family val="2"/>
      </rPr>
      <t>4</t>
    </r>
    <r>
      <rPr>
        <sz val="8"/>
        <color rgb="FF000000"/>
        <rFont val="Arial"/>
        <family val="2"/>
      </rPr>
      <t>S</t>
    </r>
    <r>
      <rPr>
        <vertAlign val="superscript"/>
        <sz val="8"/>
        <color theme="1"/>
        <rFont val="Arial"/>
        <family val="2"/>
      </rPr>
      <t>-</t>
    </r>
  </si>
  <si>
    <r>
      <t>C</t>
    </r>
    <r>
      <rPr>
        <vertAlign val="subscript"/>
        <sz val="8"/>
        <color theme="1"/>
        <rFont val="Arial"/>
        <family val="2"/>
      </rPr>
      <t>8</t>
    </r>
    <r>
      <rPr>
        <sz val="8"/>
        <color rgb="FF000000"/>
        <rFont val="Arial"/>
        <family val="2"/>
      </rPr>
      <t>F</t>
    </r>
    <r>
      <rPr>
        <vertAlign val="subscript"/>
        <sz val="8"/>
        <color theme="1"/>
        <rFont val="Arial"/>
        <family val="2"/>
      </rPr>
      <t>15</t>
    </r>
    <r>
      <rPr>
        <sz val="8"/>
        <color rgb="FF000000"/>
        <rFont val="Arial"/>
        <family val="2"/>
      </rPr>
      <t>O</t>
    </r>
    <r>
      <rPr>
        <vertAlign val="subscript"/>
        <sz val="8"/>
        <color theme="1"/>
        <rFont val="Arial"/>
        <family val="2"/>
      </rPr>
      <t>4</t>
    </r>
    <r>
      <rPr>
        <sz val="8"/>
        <color rgb="FF000000"/>
        <rFont val="Arial"/>
        <family val="2"/>
      </rPr>
      <t>S</t>
    </r>
    <r>
      <rPr>
        <vertAlign val="superscript"/>
        <sz val="8"/>
        <color theme="1"/>
        <rFont val="Arial"/>
        <family val="2"/>
      </rPr>
      <t>-</t>
    </r>
  </si>
  <si>
    <r>
      <t>C</t>
    </r>
    <r>
      <rPr>
        <vertAlign val="subscript"/>
        <sz val="8"/>
        <color rgb="FF000000"/>
        <rFont val="Arial"/>
        <family val="2"/>
      </rPr>
      <t>10</t>
    </r>
    <r>
      <rPr>
        <sz val="8"/>
        <color rgb="FF000000"/>
        <rFont val="Arial"/>
        <family val="2"/>
      </rPr>
      <t>HF</t>
    </r>
    <r>
      <rPr>
        <vertAlign val="subscript"/>
        <sz val="8"/>
        <color rgb="FF000000"/>
        <rFont val="Arial"/>
        <family val="2"/>
      </rPr>
      <t>20</t>
    </r>
    <r>
      <rPr>
        <sz val="8"/>
        <color rgb="FF000000"/>
        <rFont val="Arial"/>
        <family val="2"/>
      </rPr>
      <t>O</t>
    </r>
    <r>
      <rPr>
        <vertAlign val="subscript"/>
        <sz val="8"/>
        <color rgb="FF000000"/>
        <rFont val="Arial"/>
        <family val="2"/>
      </rPr>
      <t>4</t>
    </r>
    <r>
      <rPr>
        <sz val="8"/>
        <color rgb="FF000000"/>
        <rFont val="Arial"/>
        <family val="2"/>
      </rPr>
      <t>S</t>
    </r>
    <r>
      <rPr>
        <vertAlign val="superscript"/>
        <sz val="8"/>
        <color rgb="FF000000"/>
        <rFont val="Arial"/>
        <family val="2"/>
      </rPr>
      <t>-</t>
    </r>
  </si>
  <si>
    <r>
      <t>C</t>
    </r>
    <r>
      <rPr>
        <vertAlign val="subscript"/>
        <sz val="8"/>
        <color rgb="FF000000"/>
        <rFont val="Arial"/>
        <family val="2"/>
      </rPr>
      <t>8</t>
    </r>
    <r>
      <rPr>
        <sz val="8"/>
        <color rgb="FF000000"/>
        <rFont val="Arial"/>
        <family val="2"/>
      </rPr>
      <t>F</t>
    </r>
    <r>
      <rPr>
        <vertAlign val="subscript"/>
        <sz val="8"/>
        <color rgb="FF000000"/>
        <rFont val="Arial"/>
        <family val="2"/>
      </rPr>
      <t>15</t>
    </r>
    <r>
      <rPr>
        <sz val="8"/>
        <color rgb="FF000000"/>
        <rFont val="Arial"/>
        <family val="2"/>
      </rPr>
      <t>O</t>
    </r>
    <r>
      <rPr>
        <vertAlign val="subscript"/>
        <sz val="8"/>
        <color rgb="FF000000"/>
        <rFont val="Arial"/>
        <family val="2"/>
      </rPr>
      <t>4</t>
    </r>
    <r>
      <rPr>
        <sz val="8"/>
        <color rgb="FF000000"/>
        <rFont val="Arial"/>
        <family val="2"/>
      </rPr>
      <t>S</t>
    </r>
    <r>
      <rPr>
        <vertAlign val="superscript"/>
        <sz val="8"/>
        <color rgb="FF000000"/>
        <rFont val="Arial"/>
        <family val="2"/>
      </rPr>
      <t>-</t>
    </r>
  </si>
  <si>
    <r>
      <t>C</t>
    </r>
    <r>
      <rPr>
        <vertAlign val="subscript"/>
        <sz val="8"/>
        <color theme="1"/>
        <rFont val="Arial"/>
        <family val="2"/>
      </rPr>
      <t>6</t>
    </r>
    <r>
      <rPr>
        <sz val="8"/>
        <color rgb="FF000000"/>
        <rFont val="Arial"/>
        <family val="2"/>
      </rPr>
      <t>HF</t>
    </r>
    <r>
      <rPr>
        <vertAlign val="subscript"/>
        <sz val="8"/>
        <color theme="1"/>
        <rFont val="Arial"/>
        <family val="2"/>
      </rPr>
      <t>13</t>
    </r>
    <r>
      <rPr>
        <sz val="8"/>
        <color rgb="FF000000"/>
        <rFont val="Arial"/>
        <family val="2"/>
      </rPr>
      <t>NO</t>
    </r>
    <r>
      <rPr>
        <vertAlign val="subscript"/>
        <sz val="8"/>
        <color theme="1"/>
        <rFont val="Arial"/>
        <family val="2"/>
      </rPr>
      <t>2</t>
    </r>
    <r>
      <rPr>
        <sz val="8"/>
        <color rgb="FF000000"/>
        <rFont val="Arial"/>
        <family val="2"/>
      </rPr>
      <t>S</t>
    </r>
    <r>
      <rPr>
        <vertAlign val="superscript"/>
        <sz val="8"/>
        <color theme="1"/>
        <rFont val="Arial"/>
        <family val="2"/>
      </rPr>
      <t>-</t>
    </r>
  </si>
  <si>
    <r>
      <t>C</t>
    </r>
    <r>
      <rPr>
        <vertAlign val="subscript"/>
        <sz val="8"/>
        <color rgb="FF000000"/>
        <rFont val="Arial"/>
        <family val="2"/>
      </rPr>
      <t>12</t>
    </r>
    <r>
      <rPr>
        <sz val="8"/>
        <color rgb="FF000000"/>
        <rFont val="Arial"/>
        <family val="2"/>
      </rPr>
      <t>F</t>
    </r>
    <r>
      <rPr>
        <vertAlign val="subscript"/>
        <sz val="8"/>
        <color rgb="FF000000"/>
        <rFont val="Arial"/>
        <family val="2"/>
      </rPr>
      <t>26</t>
    </r>
    <r>
      <rPr>
        <sz val="8"/>
        <color rgb="FF000000"/>
        <rFont val="Arial"/>
        <family val="2"/>
      </rPr>
      <t>NO</t>
    </r>
    <r>
      <rPr>
        <vertAlign val="subscript"/>
        <sz val="8"/>
        <color rgb="FF000000"/>
        <rFont val="Arial"/>
        <family val="2"/>
      </rPr>
      <t>4</t>
    </r>
    <r>
      <rPr>
        <sz val="8"/>
        <color rgb="FF000000"/>
        <rFont val="Arial"/>
        <family val="2"/>
      </rPr>
      <t>S</t>
    </r>
    <r>
      <rPr>
        <vertAlign val="subscript"/>
        <sz val="8"/>
        <color rgb="FF000000"/>
        <rFont val="Arial"/>
        <family val="2"/>
      </rPr>
      <t>2</t>
    </r>
    <r>
      <rPr>
        <vertAlign val="superscript"/>
        <sz val="8"/>
        <color rgb="FF000000"/>
        <rFont val="Arial"/>
        <family val="2"/>
      </rPr>
      <t>-</t>
    </r>
  </si>
  <si>
    <r>
      <t>C</t>
    </r>
    <r>
      <rPr>
        <vertAlign val="subscript"/>
        <sz val="8"/>
        <color rgb="FF000000"/>
        <rFont val="Arial"/>
        <family val="2"/>
      </rPr>
      <t>9</t>
    </r>
    <r>
      <rPr>
        <sz val="8"/>
        <color rgb="FF000000"/>
        <rFont val="Arial"/>
        <family val="2"/>
      </rPr>
      <t>H</t>
    </r>
    <r>
      <rPr>
        <vertAlign val="subscript"/>
        <sz val="8"/>
        <color rgb="FF000000"/>
        <rFont val="Arial"/>
        <family val="2"/>
      </rPr>
      <t>3</t>
    </r>
    <r>
      <rPr>
        <sz val="8"/>
        <color rgb="FF000000"/>
        <rFont val="Arial"/>
        <family val="2"/>
      </rPr>
      <t>F</t>
    </r>
    <r>
      <rPr>
        <vertAlign val="subscript"/>
        <sz val="8"/>
        <color rgb="FF000000"/>
        <rFont val="Arial"/>
        <family val="2"/>
      </rPr>
      <t>17</t>
    </r>
    <r>
      <rPr>
        <sz val="8"/>
        <color rgb="FF000000"/>
        <rFont val="Arial"/>
        <family val="2"/>
      </rPr>
      <t>NO</t>
    </r>
    <r>
      <rPr>
        <vertAlign val="subscript"/>
        <sz val="8"/>
        <color rgb="FF000000"/>
        <rFont val="Arial"/>
        <family val="2"/>
      </rPr>
      <t>2</t>
    </r>
    <r>
      <rPr>
        <sz val="8"/>
        <color rgb="FF000000"/>
        <rFont val="Arial"/>
        <family val="2"/>
      </rPr>
      <t>S</t>
    </r>
    <r>
      <rPr>
        <vertAlign val="superscript"/>
        <sz val="8"/>
        <color rgb="FF000000"/>
        <rFont val="Arial"/>
        <family val="2"/>
      </rPr>
      <t>-</t>
    </r>
  </si>
  <si>
    <r>
      <t>C</t>
    </r>
    <r>
      <rPr>
        <vertAlign val="subscript"/>
        <sz val="8"/>
        <color rgb="FF000000"/>
        <rFont val="Arial"/>
        <family val="2"/>
      </rPr>
      <t>10</t>
    </r>
    <r>
      <rPr>
        <sz val="8"/>
        <color rgb="FF000000"/>
        <rFont val="Arial"/>
        <family val="2"/>
      </rPr>
      <t>H</t>
    </r>
    <r>
      <rPr>
        <vertAlign val="subscript"/>
        <sz val="8"/>
        <color rgb="FF000000"/>
        <rFont val="Arial"/>
        <family val="2"/>
      </rPr>
      <t>3</t>
    </r>
    <r>
      <rPr>
        <sz val="8"/>
        <color rgb="FF000000"/>
        <rFont val="Arial"/>
        <family val="2"/>
      </rPr>
      <t>F</t>
    </r>
    <r>
      <rPr>
        <vertAlign val="subscript"/>
        <sz val="8"/>
        <color rgb="FF000000"/>
        <rFont val="Arial"/>
        <family val="2"/>
      </rPr>
      <t>17</t>
    </r>
    <r>
      <rPr>
        <sz val="8"/>
        <color rgb="FF000000"/>
        <rFont val="Arial"/>
        <family val="2"/>
      </rPr>
      <t>NO</t>
    </r>
    <r>
      <rPr>
        <vertAlign val="subscript"/>
        <sz val="8"/>
        <color rgb="FF000000"/>
        <rFont val="Arial"/>
        <family val="2"/>
      </rPr>
      <t>4</t>
    </r>
    <r>
      <rPr>
        <sz val="8"/>
        <color rgb="FF000000"/>
        <rFont val="Arial"/>
        <family val="2"/>
      </rPr>
      <t>S</t>
    </r>
    <r>
      <rPr>
        <vertAlign val="superscript"/>
        <sz val="8"/>
        <color rgb="FF000000"/>
        <rFont val="Arial"/>
        <family val="2"/>
      </rPr>
      <t>-</t>
    </r>
  </si>
  <si>
    <r>
      <t>C</t>
    </r>
    <r>
      <rPr>
        <vertAlign val="subscript"/>
        <sz val="8"/>
        <color rgb="FF000000"/>
        <rFont val="Arial"/>
        <family val="2"/>
      </rPr>
      <t>11</t>
    </r>
    <r>
      <rPr>
        <sz val="8"/>
        <color rgb="FF000000"/>
        <rFont val="Arial"/>
        <family val="2"/>
      </rPr>
      <t>H</t>
    </r>
    <r>
      <rPr>
        <vertAlign val="subscript"/>
        <sz val="8"/>
        <color rgb="FF000000"/>
        <rFont val="Arial"/>
        <family val="2"/>
      </rPr>
      <t>5</t>
    </r>
    <r>
      <rPr>
        <sz val="8"/>
        <color rgb="FF000000"/>
        <rFont val="Arial"/>
        <family val="2"/>
      </rPr>
      <t>F</t>
    </r>
    <r>
      <rPr>
        <vertAlign val="subscript"/>
        <sz val="8"/>
        <color rgb="FF000000"/>
        <rFont val="Arial"/>
        <family val="2"/>
      </rPr>
      <t>17</t>
    </r>
    <r>
      <rPr>
        <sz val="8"/>
        <color rgb="FF000000"/>
        <rFont val="Arial"/>
        <family val="2"/>
      </rPr>
      <t>NO</t>
    </r>
    <r>
      <rPr>
        <vertAlign val="subscript"/>
        <sz val="8"/>
        <color rgb="FF000000"/>
        <rFont val="Arial"/>
        <family val="2"/>
      </rPr>
      <t>4</t>
    </r>
    <r>
      <rPr>
        <sz val="8"/>
        <color rgb="FF000000"/>
        <rFont val="Arial"/>
        <family val="2"/>
      </rPr>
      <t>S</t>
    </r>
    <r>
      <rPr>
        <vertAlign val="superscript"/>
        <sz val="8"/>
        <color rgb="FF000000"/>
        <rFont val="Arial"/>
        <family val="2"/>
      </rPr>
      <t>-</t>
    </r>
  </si>
  <si>
    <r>
      <t>C</t>
    </r>
    <r>
      <rPr>
        <vertAlign val="subscript"/>
        <sz val="8"/>
        <color rgb="FF000000"/>
        <rFont val="Arial"/>
        <family val="2"/>
      </rPr>
      <t>12</t>
    </r>
    <r>
      <rPr>
        <sz val="8"/>
        <color rgb="FF000000"/>
        <rFont val="Arial"/>
        <family val="2"/>
      </rPr>
      <t>H</t>
    </r>
    <r>
      <rPr>
        <vertAlign val="subscript"/>
        <sz val="8"/>
        <color rgb="FF000000"/>
        <rFont val="Arial"/>
        <family val="2"/>
      </rPr>
      <t>7</t>
    </r>
    <r>
      <rPr>
        <sz val="8"/>
        <color rgb="FF000000"/>
        <rFont val="Arial"/>
        <family val="2"/>
      </rPr>
      <t>F</t>
    </r>
    <r>
      <rPr>
        <vertAlign val="subscript"/>
        <sz val="8"/>
        <color rgb="FF000000"/>
        <rFont val="Arial"/>
        <family val="2"/>
      </rPr>
      <t>17</t>
    </r>
    <r>
      <rPr>
        <sz val="8"/>
        <color rgb="FF000000"/>
        <rFont val="Arial"/>
        <family val="2"/>
      </rPr>
      <t>NO</t>
    </r>
    <r>
      <rPr>
        <vertAlign val="subscript"/>
        <sz val="8"/>
        <color rgb="FF000000"/>
        <rFont val="Arial"/>
        <family val="2"/>
      </rPr>
      <t>4</t>
    </r>
    <r>
      <rPr>
        <sz val="8"/>
        <color rgb="FF000000"/>
        <rFont val="Arial"/>
        <family val="2"/>
      </rPr>
      <t>S</t>
    </r>
    <r>
      <rPr>
        <vertAlign val="superscript"/>
        <sz val="8"/>
        <color rgb="FF000000"/>
        <rFont val="Arial"/>
        <family val="2"/>
      </rPr>
      <t>-</t>
    </r>
  </si>
  <si>
    <r>
      <t>C</t>
    </r>
    <r>
      <rPr>
        <vertAlign val="subscript"/>
        <sz val="8"/>
        <color theme="1"/>
        <rFont val="Arial"/>
        <family val="2"/>
      </rPr>
      <t>11</t>
    </r>
    <r>
      <rPr>
        <sz val="8"/>
        <color rgb="FF000000"/>
        <rFont val="Arial"/>
        <family val="2"/>
      </rPr>
      <t>H</t>
    </r>
    <r>
      <rPr>
        <vertAlign val="subscript"/>
        <sz val="8"/>
        <color theme="1"/>
        <rFont val="Arial"/>
        <family val="2"/>
      </rPr>
      <t>14</t>
    </r>
    <r>
      <rPr>
        <sz val="8"/>
        <color rgb="FF000000"/>
        <rFont val="Arial"/>
        <family val="2"/>
      </rPr>
      <t>F</t>
    </r>
    <r>
      <rPr>
        <vertAlign val="subscript"/>
        <sz val="8"/>
        <color theme="1"/>
        <rFont val="Arial"/>
        <family val="2"/>
      </rPr>
      <t>13</t>
    </r>
    <r>
      <rPr>
        <sz val="8"/>
        <color rgb="FF000000"/>
        <rFont val="Arial"/>
        <family val="2"/>
      </rPr>
      <t>N</t>
    </r>
    <r>
      <rPr>
        <vertAlign val="subscript"/>
        <sz val="8"/>
        <color theme="1"/>
        <rFont val="Arial"/>
        <family val="2"/>
      </rPr>
      <t>2</t>
    </r>
    <r>
      <rPr>
        <sz val="8"/>
        <color rgb="FF000000"/>
        <rFont val="Arial"/>
        <family val="2"/>
      </rPr>
      <t>O</t>
    </r>
    <r>
      <rPr>
        <vertAlign val="subscript"/>
        <sz val="8"/>
        <color theme="1"/>
        <rFont val="Arial"/>
        <family val="2"/>
      </rPr>
      <t>2</t>
    </r>
    <r>
      <rPr>
        <sz val="8"/>
        <color rgb="FF000000"/>
        <rFont val="Arial"/>
        <family val="2"/>
      </rPr>
      <t>S</t>
    </r>
    <r>
      <rPr>
        <vertAlign val="superscript"/>
        <sz val="8"/>
        <color theme="1"/>
        <rFont val="Arial"/>
        <family val="2"/>
      </rPr>
      <t>+</t>
    </r>
  </si>
  <si>
    <r>
      <t>C</t>
    </r>
    <r>
      <rPr>
        <vertAlign val="subscript"/>
        <sz val="8"/>
        <color rgb="FF000000"/>
        <rFont val="Arial"/>
        <family val="2"/>
      </rPr>
      <t>11</t>
    </r>
    <r>
      <rPr>
        <sz val="8"/>
        <color rgb="FF000000"/>
        <rFont val="Arial"/>
        <family val="2"/>
      </rPr>
      <t>H</t>
    </r>
    <r>
      <rPr>
        <vertAlign val="subscript"/>
        <sz val="8"/>
        <color rgb="FF000000"/>
        <rFont val="Arial"/>
        <family val="2"/>
      </rPr>
      <t>12</t>
    </r>
    <r>
      <rPr>
        <sz val="8"/>
        <color rgb="FF000000"/>
        <rFont val="Arial"/>
        <family val="2"/>
      </rPr>
      <t>F</t>
    </r>
    <r>
      <rPr>
        <vertAlign val="subscript"/>
        <sz val="8"/>
        <color rgb="FF000000"/>
        <rFont val="Arial"/>
        <family val="2"/>
      </rPr>
      <t>13</t>
    </r>
    <r>
      <rPr>
        <sz val="8"/>
        <color rgb="FF000000"/>
        <rFont val="Arial"/>
        <family val="2"/>
      </rPr>
      <t>N</t>
    </r>
    <r>
      <rPr>
        <vertAlign val="subscript"/>
        <sz val="8"/>
        <color rgb="FF000000"/>
        <rFont val="Arial"/>
        <family val="2"/>
      </rPr>
      <t>2</t>
    </r>
    <r>
      <rPr>
        <sz val="8"/>
        <color rgb="FF000000"/>
        <rFont val="Arial"/>
        <family val="2"/>
      </rPr>
      <t>O</t>
    </r>
    <r>
      <rPr>
        <vertAlign val="subscript"/>
        <sz val="8"/>
        <color rgb="FF000000"/>
        <rFont val="Arial"/>
        <family val="2"/>
      </rPr>
      <t>2</t>
    </r>
    <r>
      <rPr>
        <sz val="8"/>
        <color rgb="FF000000"/>
        <rFont val="Arial"/>
        <family val="2"/>
      </rPr>
      <t>S</t>
    </r>
    <r>
      <rPr>
        <vertAlign val="superscript"/>
        <sz val="8"/>
        <color rgb="FF000000"/>
        <rFont val="Arial"/>
        <family val="2"/>
      </rPr>
      <t>-</t>
    </r>
  </si>
  <si>
    <r>
      <t>C</t>
    </r>
    <r>
      <rPr>
        <vertAlign val="subscript"/>
        <sz val="8"/>
        <color rgb="FF000000"/>
        <rFont val="Arial"/>
        <family val="2"/>
      </rPr>
      <t>12</t>
    </r>
    <r>
      <rPr>
        <sz val="8"/>
        <color rgb="FF000000"/>
        <rFont val="Arial"/>
        <family val="2"/>
      </rPr>
      <t>H</t>
    </r>
    <r>
      <rPr>
        <vertAlign val="subscript"/>
        <sz val="8"/>
        <color rgb="FF000000"/>
        <rFont val="Arial"/>
        <family val="2"/>
      </rPr>
      <t>16</t>
    </r>
    <r>
      <rPr>
        <sz val="8"/>
        <color rgb="FF000000"/>
        <rFont val="Arial"/>
        <family val="2"/>
      </rPr>
      <t>F</t>
    </r>
    <r>
      <rPr>
        <vertAlign val="subscript"/>
        <sz val="8"/>
        <color rgb="FF000000"/>
        <rFont val="Arial"/>
        <family val="2"/>
      </rPr>
      <t>13</t>
    </r>
    <r>
      <rPr>
        <sz val="8"/>
        <color rgb="FF000000"/>
        <rFont val="Arial"/>
        <family val="2"/>
      </rPr>
      <t>N</t>
    </r>
    <r>
      <rPr>
        <vertAlign val="subscript"/>
        <sz val="8"/>
        <color rgb="FF000000"/>
        <rFont val="Arial"/>
        <family val="2"/>
      </rPr>
      <t>2</t>
    </r>
    <r>
      <rPr>
        <sz val="8"/>
        <color rgb="FF000000"/>
        <rFont val="Arial"/>
        <family val="2"/>
      </rPr>
      <t>O</t>
    </r>
    <r>
      <rPr>
        <vertAlign val="subscript"/>
        <sz val="8"/>
        <color rgb="FF000000"/>
        <rFont val="Arial"/>
        <family val="2"/>
      </rPr>
      <t>2</t>
    </r>
    <r>
      <rPr>
        <sz val="8"/>
        <color rgb="FF000000"/>
        <rFont val="Arial"/>
        <family val="2"/>
      </rPr>
      <t>S</t>
    </r>
    <r>
      <rPr>
        <vertAlign val="superscript"/>
        <sz val="8"/>
        <color rgb="FF000000"/>
        <rFont val="Arial"/>
        <family val="2"/>
      </rPr>
      <t>+</t>
    </r>
  </si>
  <si>
    <r>
      <t>C</t>
    </r>
    <r>
      <rPr>
        <vertAlign val="subscript"/>
        <sz val="8"/>
        <color theme="1"/>
        <rFont val="Arial"/>
        <family val="2"/>
      </rPr>
      <t>15</t>
    </r>
    <r>
      <rPr>
        <sz val="8"/>
        <color rgb="FF000000"/>
        <rFont val="Arial"/>
        <family val="2"/>
      </rPr>
      <t>H</t>
    </r>
    <r>
      <rPr>
        <vertAlign val="subscript"/>
        <sz val="8"/>
        <color theme="1"/>
        <rFont val="Arial"/>
        <family val="2"/>
      </rPr>
      <t>16</t>
    </r>
    <r>
      <rPr>
        <sz val="8"/>
        <color rgb="FF000000"/>
        <rFont val="Arial"/>
        <family val="2"/>
      </rPr>
      <t>F</t>
    </r>
    <r>
      <rPr>
        <vertAlign val="subscript"/>
        <sz val="8"/>
        <color theme="1"/>
        <rFont val="Arial"/>
        <family val="2"/>
      </rPr>
      <t>17</t>
    </r>
    <r>
      <rPr>
        <sz val="8"/>
        <color rgb="FF000000"/>
        <rFont val="Arial"/>
        <family val="2"/>
      </rPr>
      <t>N</t>
    </r>
    <r>
      <rPr>
        <vertAlign val="subscript"/>
        <sz val="8"/>
        <color theme="1"/>
        <rFont val="Arial"/>
        <family val="2"/>
      </rPr>
      <t>2</t>
    </r>
    <r>
      <rPr>
        <sz val="8"/>
        <color rgb="FF000000"/>
        <rFont val="Arial"/>
        <family val="2"/>
      </rPr>
      <t>O</t>
    </r>
    <r>
      <rPr>
        <vertAlign val="subscript"/>
        <sz val="8"/>
        <color theme="1"/>
        <rFont val="Arial"/>
        <family val="2"/>
      </rPr>
      <t>4</t>
    </r>
    <r>
      <rPr>
        <sz val="8"/>
        <color rgb="FF000000"/>
        <rFont val="Arial"/>
        <family val="2"/>
      </rPr>
      <t>S</t>
    </r>
    <r>
      <rPr>
        <vertAlign val="superscript"/>
        <sz val="8"/>
        <color theme="1"/>
        <rFont val="Arial"/>
        <family val="2"/>
      </rPr>
      <t>+</t>
    </r>
  </si>
  <si>
    <r>
      <t>C</t>
    </r>
    <r>
      <rPr>
        <vertAlign val="subscript"/>
        <sz val="8"/>
        <color rgb="FF000000"/>
        <rFont val="Arial"/>
        <family val="2"/>
      </rPr>
      <t>9</t>
    </r>
    <r>
      <rPr>
        <sz val="8"/>
        <color rgb="FF000000"/>
        <rFont val="Arial"/>
        <family val="2"/>
      </rPr>
      <t>H</t>
    </r>
    <r>
      <rPr>
        <vertAlign val="subscript"/>
        <sz val="8"/>
        <color rgb="FF000000"/>
        <rFont val="Arial"/>
        <family val="2"/>
      </rPr>
      <t>7</t>
    </r>
    <r>
      <rPr>
        <sz val="8"/>
        <color rgb="FF000000"/>
        <rFont val="Arial"/>
        <family val="2"/>
      </rPr>
      <t>F</t>
    </r>
    <r>
      <rPr>
        <vertAlign val="subscript"/>
        <sz val="8"/>
        <color rgb="FF000000"/>
        <rFont val="Arial"/>
        <family val="2"/>
      </rPr>
      <t>13</t>
    </r>
    <r>
      <rPr>
        <sz val="8"/>
        <color rgb="FF000000"/>
        <rFont val="Arial"/>
        <family val="2"/>
      </rPr>
      <t>NO</t>
    </r>
    <r>
      <rPr>
        <vertAlign val="subscript"/>
        <sz val="8"/>
        <color rgb="FF000000"/>
        <rFont val="Arial"/>
        <family val="2"/>
      </rPr>
      <t>5</t>
    </r>
    <r>
      <rPr>
        <sz val="8"/>
        <color rgb="FF000000"/>
        <rFont val="Arial"/>
        <family val="2"/>
      </rPr>
      <t>S</t>
    </r>
    <r>
      <rPr>
        <vertAlign val="subscript"/>
        <sz val="8"/>
        <color rgb="FF000000"/>
        <rFont val="Arial"/>
        <family val="2"/>
      </rPr>
      <t>2</t>
    </r>
    <r>
      <rPr>
        <vertAlign val="superscript"/>
        <sz val="8"/>
        <color rgb="FF000000"/>
        <rFont val="Arial"/>
        <family val="2"/>
      </rPr>
      <t>-</t>
    </r>
  </si>
  <si>
    <r>
      <t>C</t>
    </r>
    <r>
      <rPr>
        <vertAlign val="subscript"/>
        <sz val="8"/>
        <color theme="1"/>
        <rFont val="Arial"/>
        <family val="2"/>
      </rPr>
      <t>8</t>
    </r>
    <r>
      <rPr>
        <sz val="8"/>
        <color rgb="FF000000"/>
        <rFont val="Arial"/>
        <family val="2"/>
      </rPr>
      <t>H</t>
    </r>
    <r>
      <rPr>
        <vertAlign val="subscript"/>
        <sz val="8"/>
        <color theme="1"/>
        <rFont val="Arial"/>
        <family val="2"/>
      </rPr>
      <t>4</t>
    </r>
    <r>
      <rPr>
        <sz val="8"/>
        <color rgb="FF000000"/>
        <rFont val="Arial"/>
        <family val="2"/>
      </rPr>
      <t>F</t>
    </r>
    <r>
      <rPr>
        <vertAlign val="subscript"/>
        <sz val="8"/>
        <color theme="1"/>
        <rFont val="Arial"/>
        <family val="2"/>
      </rPr>
      <t>11</t>
    </r>
    <r>
      <rPr>
        <sz val="8"/>
        <color rgb="FF000000"/>
        <rFont val="Arial"/>
        <family val="2"/>
      </rPr>
      <t>O</t>
    </r>
    <r>
      <rPr>
        <vertAlign val="subscript"/>
        <sz val="8"/>
        <color theme="1"/>
        <rFont val="Arial"/>
        <family val="2"/>
      </rPr>
      <t>2</t>
    </r>
    <r>
      <rPr>
        <vertAlign val="superscript"/>
        <sz val="8"/>
        <color theme="1"/>
        <rFont val="Arial"/>
        <family val="2"/>
      </rPr>
      <t>-</t>
    </r>
  </si>
  <si>
    <r>
      <t>C</t>
    </r>
    <r>
      <rPr>
        <vertAlign val="subscript"/>
        <sz val="8"/>
        <color theme="1"/>
        <rFont val="Arial"/>
        <family val="2"/>
      </rPr>
      <t>8</t>
    </r>
    <r>
      <rPr>
        <sz val="8"/>
        <color rgb="FF000000"/>
        <rFont val="Arial"/>
        <family val="2"/>
      </rPr>
      <t>H</t>
    </r>
    <r>
      <rPr>
        <vertAlign val="subscript"/>
        <sz val="8"/>
        <color theme="1"/>
        <rFont val="Arial"/>
        <family val="2"/>
      </rPr>
      <t>4</t>
    </r>
    <r>
      <rPr>
        <sz val="8"/>
        <color rgb="FF000000"/>
        <rFont val="Arial"/>
        <family val="2"/>
      </rPr>
      <t>F</t>
    </r>
    <r>
      <rPr>
        <vertAlign val="subscript"/>
        <sz val="8"/>
        <color theme="1"/>
        <rFont val="Arial"/>
        <family val="2"/>
      </rPr>
      <t>13</t>
    </r>
    <r>
      <rPr>
        <sz val="8"/>
        <color rgb="FF000000"/>
        <rFont val="Arial"/>
        <family val="2"/>
      </rPr>
      <t>O</t>
    </r>
    <r>
      <rPr>
        <vertAlign val="subscript"/>
        <sz val="8"/>
        <color theme="1"/>
        <rFont val="Arial"/>
        <family val="2"/>
      </rPr>
      <t>3</t>
    </r>
    <r>
      <rPr>
        <sz val="8"/>
        <color rgb="FF000000"/>
        <rFont val="Arial"/>
        <family val="2"/>
      </rPr>
      <t>S</t>
    </r>
    <r>
      <rPr>
        <vertAlign val="superscript"/>
        <sz val="8"/>
        <color theme="1"/>
        <rFont val="Arial"/>
        <family val="2"/>
      </rPr>
      <t>-</t>
    </r>
  </si>
  <si>
    <r>
      <t>C</t>
    </r>
    <r>
      <rPr>
        <vertAlign val="subscript"/>
        <sz val="8"/>
        <color rgb="FF000000"/>
        <rFont val="Arial"/>
        <family val="2"/>
      </rPr>
      <t>14</t>
    </r>
    <r>
      <rPr>
        <sz val="8"/>
        <color rgb="FF000000"/>
        <rFont val="Arial"/>
        <family val="2"/>
      </rPr>
      <t>H</t>
    </r>
    <r>
      <rPr>
        <vertAlign val="subscript"/>
        <sz val="8"/>
        <color rgb="FF000000"/>
        <rFont val="Arial"/>
        <family val="2"/>
      </rPr>
      <t>14</t>
    </r>
    <r>
      <rPr>
        <sz val="8"/>
        <color rgb="FF000000"/>
        <rFont val="Arial"/>
        <family val="2"/>
      </rPr>
      <t>F</t>
    </r>
    <r>
      <rPr>
        <vertAlign val="subscript"/>
        <sz val="8"/>
        <color rgb="FF000000"/>
        <rFont val="Arial"/>
        <family val="2"/>
      </rPr>
      <t>16</t>
    </r>
    <r>
      <rPr>
        <sz val="8"/>
        <color rgb="FF000000"/>
        <rFont val="Arial"/>
        <family val="2"/>
      </rPr>
      <t>NO</t>
    </r>
    <r>
      <rPr>
        <vertAlign val="subscript"/>
        <sz val="8"/>
        <color rgb="FF000000"/>
        <rFont val="Arial"/>
        <family val="2"/>
      </rPr>
      <t>2</t>
    </r>
    <r>
      <rPr>
        <vertAlign val="superscript"/>
        <sz val="8"/>
        <color rgb="FF000000"/>
        <rFont val="Arial"/>
        <family val="2"/>
      </rPr>
      <t>+</t>
    </r>
  </si>
  <si>
    <r>
      <t>C</t>
    </r>
    <r>
      <rPr>
        <vertAlign val="subscript"/>
        <sz val="8"/>
        <color rgb="FF000000"/>
        <rFont val="Arial"/>
        <family val="2"/>
      </rPr>
      <t>15</t>
    </r>
    <r>
      <rPr>
        <sz val="8"/>
        <color rgb="FF000000"/>
        <rFont val="Arial"/>
        <family val="2"/>
      </rPr>
      <t>H</t>
    </r>
    <r>
      <rPr>
        <vertAlign val="subscript"/>
        <sz val="8"/>
        <color rgb="FF000000"/>
        <rFont val="Arial"/>
        <family val="2"/>
      </rPr>
      <t>16</t>
    </r>
    <r>
      <rPr>
        <sz val="8"/>
        <color rgb="FF000000"/>
        <rFont val="Arial"/>
        <family val="2"/>
      </rPr>
      <t>F</t>
    </r>
    <r>
      <rPr>
        <vertAlign val="subscript"/>
        <sz val="8"/>
        <color rgb="FF000000"/>
        <rFont val="Arial"/>
        <family val="2"/>
      </rPr>
      <t>16</t>
    </r>
    <r>
      <rPr>
        <sz val="8"/>
        <color rgb="FF000000"/>
        <rFont val="Arial"/>
        <family val="2"/>
      </rPr>
      <t>NO</t>
    </r>
    <r>
      <rPr>
        <vertAlign val="subscript"/>
        <sz val="8"/>
        <color rgb="FF000000"/>
        <rFont val="Arial"/>
        <family val="2"/>
      </rPr>
      <t>2</t>
    </r>
    <r>
      <rPr>
        <vertAlign val="superscript"/>
        <sz val="8"/>
        <color rgb="FF000000"/>
        <rFont val="Arial"/>
        <family val="2"/>
      </rPr>
      <t>+</t>
    </r>
  </si>
  <si>
    <r>
      <t>C</t>
    </r>
    <r>
      <rPr>
        <vertAlign val="subscript"/>
        <sz val="8"/>
        <color rgb="FF000000"/>
        <rFont val="Arial"/>
        <family val="2"/>
      </rPr>
      <t>12</t>
    </r>
    <r>
      <rPr>
        <sz val="8"/>
        <color rgb="FF000000"/>
        <rFont val="Arial"/>
        <family val="2"/>
      </rPr>
      <t>H</t>
    </r>
    <r>
      <rPr>
        <vertAlign val="subscript"/>
        <sz val="8"/>
        <color rgb="FF000000"/>
        <rFont val="Arial"/>
        <family val="2"/>
      </rPr>
      <t>13</t>
    </r>
    <r>
      <rPr>
        <sz val="8"/>
        <color rgb="FF000000"/>
        <rFont val="Arial"/>
        <family val="2"/>
      </rPr>
      <t>F</t>
    </r>
    <r>
      <rPr>
        <vertAlign val="subscript"/>
        <sz val="8"/>
        <color rgb="FF000000"/>
        <rFont val="Arial"/>
        <family val="2"/>
      </rPr>
      <t>13</t>
    </r>
    <r>
      <rPr>
        <sz val="8"/>
        <color rgb="FF000000"/>
        <rFont val="Arial"/>
        <family val="2"/>
      </rPr>
      <t>NO</t>
    </r>
    <r>
      <rPr>
        <vertAlign val="subscript"/>
        <sz val="8"/>
        <color rgb="FF000000"/>
        <rFont val="Arial"/>
        <family val="2"/>
      </rPr>
      <t>2</t>
    </r>
    <r>
      <rPr>
        <vertAlign val="superscript"/>
        <sz val="8"/>
        <color rgb="FF000000"/>
        <rFont val="Arial"/>
        <family val="2"/>
      </rPr>
      <t>+</t>
    </r>
  </si>
  <si>
    <r>
      <t>C</t>
    </r>
    <r>
      <rPr>
        <vertAlign val="subscript"/>
        <sz val="8"/>
        <color rgb="FF000000"/>
        <rFont val="Arial"/>
        <family val="2"/>
      </rPr>
      <t>14</t>
    </r>
    <r>
      <rPr>
        <sz val="8"/>
        <color rgb="FF000000"/>
        <rFont val="Arial"/>
        <family val="2"/>
      </rPr>
      <t>H</t>
    </r>
    <r>
      <rPr>
        <vertAlign val="subscript"/>
        <sz val="8"/>
        <color rgb="FF000000"/>
        <rFont val="Arial"/>
        <family val="2"/>
      </rPr>
      <t>15</t>
    </r>
    <r>
      <rPr>
        <sz val="8"/>
        <color rgb="FF000000"/>
        <rFont val="Arial"/>
        <family val="2"/>
      </rPr>
      <t>F</t>
    </r>
    <r>
      <rPr>
        <vertAlign val="subscript"/>
        <sz val="8"/>
        <color rgb="FF000000"/>
        <rFont val="Arial"/>
        <family val="2"/>
      </rPr>
      <t>15</t>
    </r>
    <r>
      <rPr>
        <sz val="8"/>
        <color rgb="FF000000"/>
        <rFont val="Arial"/>
        <family val="2"/>
      </rPr>
      <t>NO</t>
    </r>
    <r>
      <rPr>
        <vertAlign val="subscript"/>
        <sz val="8"/>
        <color rgb="FF000000"/>
        <rFont val="Arial"/>
        <family val="2"/>
      </rPr>
      <t>2</t>
    </r>
    <r>
      <rPr>
        <vertAlign val="superscript"/>
        <sz val="8"/>
        <color rgb="FF000000"/>
        <rFont val="Arial"/>
        <family val="2"/>
      </rPr>
      <t>+</t>
    </r>
  </si>
  <si>
    <r>
      <t>C</t>
    </r>
    <r>
      <rPr>
        <vertAlign val="subscript"/>
        <sz val="8"/>
        <color theme="1"/>
        <rFont val="Arial"/>
        <family val="2"/>
      </rPr>
      <t>14</t>
    </r>
    <r>
      <rPr>
        <sz val="8"/>
        <color rgb="FF000000"/>
        <rFont val="Arial"/>
        <family val="2"/>
      </rPr>
      <t>H</t>
    </r>
    <r>
      <rPr>
        <vertAlign val="subscript"/>
        <sz val="8"/>
        <color theme="1"/>
        <rFont val="Arial"/>
        <family val="2"/>
      </rPr>
      <t>17</t>
    </r>
    <r>
      <rPr>
        <sz val="8"/>
        <color rgb="FF000000"/>
        <rFont val="Arial"/>
        <family val="2"/>
      </rPr>
      <t>F</t>
    </r>
    <r>
      <rPr>
        <vertAlign val="subscript"/>
        <sz val="8"/>
        <color theme="1"/>
        <rFont val="Arial"/>
        <family val="2"/>
      </rPr>
      <t>13</t>
    </r>
    <r>
      <rPr>
        <sz val="8"/>
        <color rgb="FF000000"/>
        <rFont val="Arial"/>
        <family val="2"/>
      </rPr>
      <t>NO</t>
    </r>
    <r>
      <rPr>
        <vertAlign val="subscript"/>
        <sz val="8"/>
        <color theme="1"/>
        <rFont val="Arial"/>
        <family val="2"/>
      </rPr>
      <t>2</t>
    </r>
    <r>
      <rPr>
        <vertAlign val="superscript"/>
        <sz val="8"/>
        <color theme="1"/>
        <rFont val="Arial"/>
        <family val="2"/>
      </rPr>
      <t>+</t>
    </r>
  </si>
  <si>
    <r>
      <t>C</t>
    </r>
    <r>
      <rPr>
        <vertAlign val="subscript"/>
        <sz val="8"/>
        <color rgb="FF000000"/>
        <rFont val="Arial"/>
        <family val="2"/>
      </rPr>
      <t>8</t>
    </r>
    <r>
      <rPr>
        <sz val="8"/>
        <color rgb="FF000000"/>
        <rFont val="Arial"/>
        <family val="2"/>
      </rPr>
      <t>H</t>
    </r>
    <r>
      <rPr>
        <vertAlign val="subscript"/>
        <sz val="8"/>
        <color rgb="FF000000"/>
        <rFont val="Arial"/>
        <family val="2"/>
      </rPr>
      <t>5</t>
    </r>
    <r>
      <rPr>
        <sz val="8"/>
        <color rgb="FF000000"/>
        <rFont val="Arial"/>
        <family val="2"/>
      </rPr>
      <t>F</t>
    </r>
    <r>
      <rPr>
        <vertAlign val="subscript"/>
        <sz val="8"/>
        <color rgb="FF000000"/>
        <rFont val="Arial"/>
        <family val="2"/>
      </rPr>
      <t>13</t>
    </r>
    <r>
      <rPr>
        <sz val="8"/>
        <color rgb="FF000000"/>
        <rFont val="Arial"/>
        <family val="2"/>
      </rPr>
      <t>NO</t>
    </r>
    <r>
      <rPr>
        <vertAlign val="subscript"/>
        <sz val="8"/>
        <color rgb="FF000000"/>
        <rFont val="Arial"/>
        <family val="2"/>
      </rPr>
      <t>2</t>
    </r>
    <r>
      <rPr>
        <sz val="8"/>
        <color rgb="FF000000"/>
        <rFont val="Arial"/>
        <family val="2"/>
      </rPr>
      <t>S</t>
    </r>
    <r>
      <rPr>
        <vertAlign val="superscript"/>
        <sz val="8"/>
        <color rgb="FF000000"/>
        <rFont val="Arial"/>
        <family val="2"/>
      </rPr>
      <t>-</t>
    </r>
  </si>
  <si>
    <r>
      <t>C</t>
    </r>
    <r>
      <rPr>
        <vertAlign val="subscript"/>
        <sz val="8"/>
        <color rgb="FF000000"/>
        <rFont val="Arial"/>
        <family val="2"/>
      </rPr>
      <t>16</t>
    </r>
    <r>
      <rPr>
        <sz val="8"/>
        <color rgb="FF000000"/>
        <rFont val="Arial"/>
        <family val="2"/>
      </rPr>
      <t>H</t>
    </r>
    <r>
      <rPr>
        <vertAlign val="subscript"/>
        <sz val="8"/>
        <color rgb="FF000000"/>
        <rFont val="Arial"/>
        <family val="2"/>
      </rPr>
      <t>8</t>
    </r>
    <r>
      <rPr>
        <sz val="8"/>
        <color rgb="FF000000"/>
        <rFont val="Arial"/>
        <family val="2"/>
      </rPr>
      <t>F</t>
    </r>
    <r>
      <rPr>
        <vertAlign val="subscript"/>
        <sz val="8"/>
        <color rgb="FF000000"/>
        <rFont val="Arial"/>
        <family val="2"/>
      </rPr>
      <t>26</t>
    </r>
    <r>
      <rPr>
        <sz val="8"/>
        <color rgb="FF000000"/>
        <rFont val="Arial"/>
        <family val="2"/>
      </rPr>
      <t>NO</t>
    </r>
    <r>
      <rPr>
        <vertAlign val="subscript"/>
        <sz val="8"/>
        <color rgb="FF000000"/>
        <rFont val="Arial"/>
        <family val="2"/>
      </rPr>
      <t>4</t>
    </r>
    <r>
      <rPr>
        <sz val="8"/>
        <color rgb="FF000000"/>
        <rFont val="Arial"/>
        <family val="2"/>
      </rPr>
      <t>S</t>
    </r>
    <r>
      <rPr>
        <vertAlign val="subscript"/>
        <sz val="8"/>
        <color rgb="FF000000"/>
        <rFont val="Arial"/>
        <family val="2"/>
      </rPr>
      <t>2</t>
    </r>
    <r>
      <rPr>
        <vertAlign val="superscript"/>
        <sz val="8"/>
        <color rgb="FF000000"/>
        <rFont val="Arial"/>
        <family val="2"/>
      </rPr>
      <t>-</t>
    </r>
  </si>
  <si>
    <r>
      <t>C</t>
    </r>
    <r>
      <rPr>
        <vertAlign val="subscript"/>
        <sz val="8"/>
        <color theme="1"/>
        <rFont val="Arial"/>
        <family val="2"/>
      </rPr>
      <t>12</t>
    </r>
    <r>
      <rPr>
        <sz val="8"/>
        <color rgb="FF000000"/>
        <rFont val="Arial"/>
        <family val="2"/>
      </rPr>
      <t>H</t>
    </r>
    <r>
      <rPr>
        <vertAlign val="subscript"/>
        <sz val="8"/>
        <color theme="1"/>
        <rFont val="Arial"/>
        <family val="2"/>
      </rPr>
      <t>16</t>
    </r>
    <r>
      <rPr>
        <sz val="8"/>
        <color rgb="FF000000"/>
        <rFont val="Arial"/>
        <family val="2"/>
      </rPr>
      <t>F</t>
    </r>
    <r>
      <rPr>
        <vertAlign val="subscript"/>
        <sz val="8"/>
        <color theme="1"/>
        <rFont val="Arial"/>
        <family val="2"/>
      </rPr>
      <t>13</t>
    </r>
    <r>
      <rPr>
        <sz val="8"/>
        <color rgb="FF000000"/>
        <rFont val="Arial"/>
        <family val="2"/>
      </rPr>
      <t>N</t>
    </r>
    <r>
      <rPr>
        <vertAlign val="subscript"/>
        <sz val="8"/>
        <color theme="1"/>
        <rFont val="Arial"/>
        <family val="2"/>
      </rPr>
      <t>2</t>
    </r>
    <r>
      <rPr>
        <sz val="8"/>
        <color rgb="FF000000"/>
        <rFont val="Arial"/>
        <family val="2"/>
      </rPr>
      <t>O</t>
    </r>
    <r>
      <rPr>
        <vertAlign val="subscript"/>
        <sz val="8"/>
        <color theme="1"/>
        <rFont val="Arial"/>
        <family val="2"/>
      </rPr>
      <t>2</t>
    </r>
    <r>
      <rPr>
        <sz val="8"/>
        <color rgb="FF000000"/>
        <rFont val="Arial"/>
        <family val="2"/>
      </rPr>
      <t>S</t>
    </r>
    <r>
      <rPr>
        <vertAlign val="superscript"/>
        <sz val="8"/>
        <color theme="1"/>
        <rFont val="Arial"/>
        <family val="2"/>
      </rPr>
      <t>+</t>
    </r>
  </si>
  <si>
    <r>
      <t>C</t>
    </r>
    <r>
      <rPr>
        <vertAlign val="subscript"/>
        <sz val="8"/>
        <color rgb="FF000000"/>
        <rFont val="Arial"/>
        <family val="2"/>
      </rPr>
      <t>12</t>
    </r>
    <r>
      <rPr>
        <sz val="8"/>
        <color rgb="FF000000"/>
        <rFont val="Arial"/>
        <family val="2"/>
      </rPr>
      <t>H</t>
    </r>
    <r>
      <rPr>
        <vertAlign val="subscript"/>
        <sz val="8"/>
        <color rgb="FF000000"/>
        <rFont val="Arial"/>
        <family val="2"/>
      </rPr>
      <t>14</t>
    </r>
    <r>
      <rPr>
        <sz val="8"/>
        <color rgb="FF000000"/>
        <rFont val="Arial"/>
        <family val="2"/>
      </rPr>
      <t>F</t>
    </r>
    <r>
      <rPr>
        <vertAlign val="subscript"/>
        <sz val="8"/>
        <color rgb="FF000000"/>
        <rFont val="Arial"/>
        <family val="2"/>
      </rPr>
      <t>13</t>
    </r>
    <r>
      <rPr>
        <sz val="8"/>
        <color rgb="FF000000"/>
        <rFont val="Arial"/>
        <family val="2"/>
      </rPr>
      <t>N</t>
    </r>
    <r>
      <rPr>
        <vertAlign val="subscript"/>
        <sz val="8"/>
        <color rgb="FF000000"/>
        <rFont val="Arial"/>
        <family val="2"/>
      </rPr>
      <t>2</t>
    </r>
    <r>
      <rPr>
        <sz val="8"/>
        <color rgb="FF000000"/>
        <rFont val="Arial"/>
        <family val="2"/>
      </rPr>
      <t>O</t>
    </r>
    <r>
      <rPr>
        <vertAlign val="subscript"/>
        <sz val="8"/>
        <color rgb="FF000000"/>
        <rFont val="Arial"/>
        <family val="2"/>
      </rPr>
      <t>2</t>
    </r>
    <r>
      <rPr>
        <sz val="8"/>
        <color rgb="FF000000"/>
        <rFont val="Arial"/>
        <family val="2"/>
      </rPr>
      <t>S</t>
    </r>
    <r>
      <rPr>
        <vertAlign val="superscript"/>
        <sz val="8"/>
        <color rgb="FF000000"/>
        <rFont val="Arial"/>
        <family val="2"/>
      </rPr>
      <t>-</t>
    </r>
  </si>
  <si>
    <r>
      <t>C</t>
    </r>
    <r>
      <rPr>
        <vertAlign val="subscript"/>
        <sz val="8"/>
        <color theme="1"/>
        <rFont val="Arial"/>
        <family val="2"/>
      </rPr>
      <t>15</t>
    </r>
    <r>
      <rPr>
        <sz val="8"/>
        <color rgb="FF000000"/>
        <rFont val="Arial"/>
        <family val="2"/>
      </rPr>
      <t>H</t>
    </r>
    <r>
      <rPr>
        <vertAlign val="subscript"/>
        <sz val="8"/>
        <color theme="1"/>
        <rFont val="Arial"/>
        <family val="2"/>
      </rPr>
      <t>18</t>
    </r>
    <r>
      <rPr>
        <sz val="8"/>
        <color rgb="FF000000"/>
        <rFont val="Arial"/>
        <family val="2"/>
      </rPr>
      <t>F</t>
    </r>
    <r>
      <rPr>
        <vertAlign val="subscript"/>
        <sz val="8"/>
        <color theme="1"/>
        <rFont val="Arial"/>
        <family val="2"/>
      </rPr>
      <t>17</t>
    </r>
    <r>
      <rPr>
        <sz val="8"/>
        <color rgb="FF000000"/>
        <rFont val="Arial"/>
        <family val="2"/>
      </rPr>
      <t>N</t>
    </r>
    <r>
      <rPr>
        <vertAlign val="subscript"/>
        <sz val="8"/>
        <color theme="1"/>
        <rFont val="Arial"/>
        <family val="2"/>
      </rPr>
      <t>2</t>
    </r>
    <r>
      <rPr>
        <sz val="8"/>
        <color rgb="FF000000"/>
        <rFont val="Arial"/>
        <family val="2"/>
      </rPr>
      <t>O</t>
    </r>
    <r>
      <rPr>
        <vertAlign val="subscript"/>
        <sz val="8"/>
        <color theme="1"/>
        <rFont val="Arial"/>
        <family val="2"/>
      </rPr>
      <t>2</t>
    </r>
    <r>
      <rPr>
        <sz val="8"/>
        <color rgb="FF000000"/>
        <rFont val="Arial"/>
        <family val="2"/>
      </rPr>
      <t>S</t>
    </r>
    <r>
      <rPr>
        <vertAlign val="superscript"/>
        <sz val="8"/>
        <color theme="1"/>
        <rFont val="Arial"/>
        <family val="2"/>
      </rPr>
      <t>+</t>
    </r>
  </si>
  <si>
    <r>
      <t>C</t>
    </r>
    <r>
      <rPr>
        <vertAlign val="subscript"/>
        <sz val="8"/>
        <color rgb="FF000000"/>
        <rFont val="Arial"/>
        <family val="2"/>
      </rPr>
      <t>15</t>
    </r>
    <r>
      <rPr>
        <sz val="8"/>
        <color rgb="FF000000"/>
        <rFont val="Arial"/>
        <family val="2"/>
      </rPr>
      <t>H</t>
    </r>
    <r>
      <rPr>
        <vertAlign val="subscript"/>
        <sz val="8"/>
        <color rgb="FF000000"/>
        <rFont val="Arial"/>
        <family val="2"/>
      </rPr>
      <t>16</t>
    </r>
    <r>
      <rPr>
        <sz val="8"/>
        <color rgb="FF000000"/>
        <rFont val="Arial"/>
        <family val="2"/>
      </rPr>
      <t>F</t>
    </r>
    <r>
      <rPr>
        <vertAlign val="subscript"/>
        <sz val="8"/>
        <color rgb="FF000000"/>
        <rFont val="Arial"/>
        <family val="2"/>
      </rPr>
      <t>17</t>
    </r>
    <r>
      <rPr>
        <sz val="8"/>
        <color rgb="FF000000"/>
        <rFont val="Arial"/>
        <family val="2"/>
      </rPr>
      <t>N</t>
    </r>
    <r>
      <rPr>
        <vertAlign val="subscript"/>
        <sz val="8"/>
        <color rgb="FF000000"/>
        <rFont val="Arial"/>
        <family val="2"/>
      </rPr>
      <t>2</t>
    </r>
    <r>
      <rPr>
        <sz val="8"/>
        <color rgb="FF000000"/>
        <rFont val="Arial"/>
        <family val="2"/>
      </rPr>
      <t>O</t>
    </r>
    <r>
      <rPr>
        <vertAlign val="subscript"/>
        <sz val="8"/>
        <color rgb="FF000000"/>
        <rFont val="Arial"/>
        <family val="2"/>
      </rPr>
      <t>2</t>
    </r>
    <r>
      <rPr>
        <sz val="8"/>
        <color rgb="FF000000"/>
        <rFont val="Arial"/>
        <family val="2"/>
      </rPr>
      <t>S</t>
    </r>
    <r>
      <rPr>
        <vertAlign val="superscript"/>
        <sz val="8"/>
        <color rgb="FF000000"/>
        <rFont val="Arial"/>
        <family val="2"/>
      </rPr>
      <t>-</t>
    </r>
  </si>
  <si>
    <r>
      <t>C</t>
    </r>
    <r>
      <rPr>
        <vertAlign val="subscript"/>
        <sz val="8"/>
        <color rgb="FF000000"/>
        <rFont val="Arial"/>
        <family val="2"/>
      </rPr>
      <t>13</t>
    </r>
    <r>
      <rPr>
        <sz val="8"/>
        <color rgb="FF000000"/>
        <rFont val="Arial"/>
        <family val="2"/>
      </rPr>
      <t>H</t>
    </r>
    <r>
      <rPr>
        <vertAlign val="subscript"/>
        <sz val="8"/>
        <color rgb="FF000000"/>
        <rFont val="Arial"/>
        <family val="2"/>
      </rPr>
      <t>18</t>
    </r>
    <r>
      <rPr>
        <sz val="8"/>
        <color rgb="FF000000"/>
        <rFont val="Arial"/>
        <family val="2"/>
      </rPr>
      <t>F</t>
    </r>
    <r>
      <rPr>
        <vertAlign val="subscript"/>
        <sz val="8"/>
        <color rgb="FF000000"/>
        <rFont val="Arial"/>
        <family val="2"/>
      </rPr>
      <t>13</t>
    </r>
    <r>
      <rPr>
        <sz val="8"/>
        <color rgb="FF000000"/>
        <rFont val="Arial"/>
        <family val="2"/>
      </rPr>
      <t>N</t>
    </r>
    <r>
      <rPr>
        <vertAlign val="subscript"/>
        <sz val="8"/>
        <color rgb="FF000000"/>
        <rFont val="Arial"/>
        <family val="2"/>
      </rPr>
      <t>2</t>
    </r>
    <r>
      <rPr>
        <sz val="8"/>
        <color rgb="FF000000"/>
        <rFont val="Arial"/>
        <family val="2"/>
      </rPr>
      <t>O</t>
    </r>
    <r>
      <rPr>
        <vertAlign val="subscript"/>
        <sz val="8"/>
        <color rgb="FF000000"/>
        <rFont val="Arial"/>
        <family val="2"/>
      </rPr>
      <t>3</t>
    </r>
    <r>
      <rPr>
        <sz val="8"/>
        <color rgb="FF000000"/>
        <rFont val="Arial"/>
        <family val="2"/>
      </rPr>
      <t>S</t>
    </r>
    <r>
      <rPr>
        <vertAlign val="superscript"/>
        <sz val="8"/>
        <color rgb="FF000000"/>
        <rFont val="Arial"/>
        <family val="2"/>
      </rPr>
      <t>+</t>
    </r>
  </si>
  <si>
    <r>
      <t>C</t>
    </r>
    <r>
      <rPr>
        <vertAlign val="subscript"/>
        <sz val="8"/>
        <color rgb="FF000000"/>
        <rFont val="Arial"/>
        <family val="2"/>
      </rPr>
      <t>13</t>
    </r>
    <r>
      <rPr>
        <sz val="8"/>
        <color rgb="FF000000"/>
        <rFont val="Arial"/>
        <family val="2"/>
      </rPr>
      <t>H</t>
    </r>
    <r>
      <rPr>
        <vertAlign val="subscript"/>
        <sz val="8"/>
        <color rgb="FF000000"/>
        <rFont val="Arial"/>
        <family val="2"/>
      </rPr>
      <t>16</t>
    </r>
    <r>
      <rPr>
        <sz val="8"/>
        <color rgb="FF000000"/>
        <rFont val="Arial"/>
        <family val="2"/>
      </rPr>
      <t>F</t>
    </r>
    <r>
      <rPr>
        <vertAlign val="subscript"/>
        <sz val="8"/>
        <color rgb="FF000000"/>
        <rFont val="Arial"/>
        <family val="2"/>
      </rPr>
      <t>13</t>
    </r>
    <r>
      <rPr>
        <sz val="8"/>
        <color rgb="FF000000"/>
        <rFont val="Arial"/>
        <family val="2"/>
      </rPr>
      <t>N</t>
    </r>
    <r>
      <rPr>
        <vertAlign val="subscript"/>
        <sz val="8"/>
        <color rgb="FF000000"/>
        <rFont val="Arial"/>
        <family val="2"/>
      </rPr>
      <t>2</t>
    </r>
    <r>
      <rPr>
        <sz val="8"/>
        <color rgb="FF000000"/>
        <rFont val="Arial"/>
        <family val="2"/>
      </rPr>
      <t>O</t>
    </r>
    <r>
      <rPr>
        <vertAlign val="subscript"/>
        <sz val="8"/>
        <color rgb="FF000000"/>
        <rFont val="Arial"/>
        <family val="2"/>
      </rPr>
      <t>3</t>
    </r>
    <r>
      <rPr>
        <sz val="8"/>
        <color rgb="FF000000"/>
        <rFont val="Arial"/>
        <family val="2"/>
      </rPr>
      <t>S</t>
    </r>
    <r>
      <rPr>
        <vertAlign val="superscript"/>
        <sz val="8"/>
        <color rgb="FF000000"/>
        <rFont val="Arial"/>
        <family val="2"/>
      </rPr>
      <t>-</t>
    </r>
  </si>
  <si>
    <r>
      <t>C</t>
    </r>
    <r>
      <rPr>
        <vertAlign val="subscript"/>
        <sz val="8"/>
        <color rgb="FF000000"/>
        <rFont val="Arial"/>
        <family val="2"/>
      </rPr>
      <t>15</t>
    </r>
    <r>
      <rPr>
        <sz val="8"/>
        <color rgb="FF000000"/>
        <rFont val="Arial"/>
        <family val="2"/>
      </rPr>
      <t>H</t>
    </r>
    <r>
      <rPr>
        <vertAlign val="subscript"/>
        <sz val="8"/>
        <color rgb="FF000000"/>
        <rFont val="Arial"/>
        <family val="2"/>
      </rPr>
      <t>20</t>
    </r>
    <r>
      <rPr>
        <sz val="8"/>
        <color rgb="FF000000"/>
        <rFont val="Arial"/>
        <family val="2"/>
      </rPr>
      <t>F</t>
    </r>
    <r>
      <rPr>
        <vertAlign val="subscript"/>
        <sz val="8"/>
        <color rgb="FF000000"/>
        <rFont val="Arial"/>
        <family val="2"/>
      </rPr>
      <t>13</t>
    </r>
    <r>
      <rPr>
        <sz val="8"/>
        <color rgb="FF000000"/>
        <rFont val="Arial"/>
        <family val="2"/>
      </rPr>
      <t>N</t>
    </r>
    <r>
      <rPr>
        <vertAlign val="subscript"/>
        <sz val="8"/>
        <color rgb="FF000000"/>
        <rFont val="Arial"/>
        <family val="2"/>
      </rPr>
      <t>2</t>
    </r>
    <r>
      <rPr>
        <sz val="8"/>
        <color rgb="FF000000"/>
        <rFont val="Arial"/>
        <family val="2"/>
      </rPr>
      <t>O</t>
    </r>
    <r>
      <rPr>
        <vertAlign val="subscript"/>
        <sz val="8"/>
        <color rgb="FF000000"/>
        <rFont val="Arial"/>
        <family val="2"/>
      </rPr>
      <t>4</t>
    </r>
    <r>
      <rPr>
        <sz val="8"/>
        <color rgb="FF000000"/>
        <rFont val="Arial"/>
        <family val="2"/>
      </rPr>
      <t>S</t>
    </r>
    <r>
      <rPr>
        <vertAlign val="superscript"/>
        <sz val="8"/>
        <color rgb="FF000000"/>
        <rFont val="Arial"/>
        <family val="2"/>
      </rPr>
      <t>+</t>
    </r>
  </si>
  <si>
    <r>
      <t>C</t>
    </r>
    <r>
      <rPr>
        <vertAlign val="subscript"/>
        <sz val="8"/>
        <color rgb="FF000000"/>
        <rFont val="Arial"/>
        <family val="2"/>
      </rPr>
      <t>15</t>
    </r>
    <r>
      <rPr>
        <sz val="8"/>
        <color rgb="FF000000"/>
        <rFont val="Arial"/>
        <family val="2"/>
      </rPr>
      <t>H</t>
    </r>
    <r>
      <rPr>
        <vertAlign val="subscript"/>
        <sz val="8"/>
        <color rgb="FF000000"/>
        <rFont val="Arial"/>
        <family val="2"/>
      </rPr>
      <t>18</t>
    </r>
    <r>
      <rPr>
        <sz val="8"/>
        <color rgb="FF000000"/>
        <rFont val="Arial"/>
        <family val="2"/>
      </rPr>
      <t>F</t>
    </r>
    <r>
      <rPr>
        <vertAlign val="subscript"/>
        <sz val="8"/>
        <color rgb="FF000000"/>
        <rFont val="Arial"/>
        <family val="2"/>
      </rPr>
      <t>13</t>
    </r>
    <r>
      <rPr>
        <sz val="8"/>
        <color rgb="FF000000"/>
        <rFont val="Arial"/>
        <family val="2"/>
      </rPr>
      <t>N</t>
    </r>
    <r>
      <rPr>
        <vertAlign val="subscript"/>
        <sz val="8"/>
        <color rgb="FF000000"/>
        <rFont val="Arial"/>
        <family val="2"/>
      </rPr>
      <t>2</t>
    </r>
    <r>
      <rPr>
        <sz val="8"/>
        <color rgb="FF000000"/>
        <rFont val="Arial"/>
        <family val="2"/>
      </rPr>
      <t>O</t>
    </r>
    <r>
      <rPr>
        <vertAlign val="subscript"/>
        <sz val="8"/>
        <color rgb="FF000000"/>
        <rFont val="Arial"/>
        <family val="2"/>
      </rPr>
      <t>4</t>
    </r>
    <r>
      <rPr>
        <sz val="8"/>
        <color rgb="FF000000"/>
        <rFont val="Arial"/>
        <family val="2"/>
      </rPr>
      <t>S</t>
    </r>
    <r>
      <rPr>
        <vertAlign val="superscript"/>
        <sz val="8"/>
        <color rgb="FF000000"/>
        <rFont val="Arial"/>
        <family val="2"/>
      </rPr>
      <t>-</t>
    </r>
  </si>
  <si>
    <r>
      <t>C</t>
    </r>
    <r>
      <rPr>
        <vertAlign val="subscript"/>
        <sz val="8"/>
        <color rgb="FF000000"/>
        <rFont val="Arial"/>
        <family val="2"/>
      </rPr>
      <t>12</t>
    </r>
    <r>
      <rPr>
        <sz val="8"/>
        <color rgb="FF000000"/>
        <rFont val="Arial"/>
        <family val="2"/>
      </rPr>
      <t>H</t>
    </r>
    <r>
      <rPr>
        <vertAlign val="subscript"/>
        <sz val="8"/>
        <color rgb="FF000000"/>
        <rFont val="Arial"/>
        <family val="2"/>
      </rPr>
      <t>11</t>
    </r>
    <r>
      <rPr>
        <sz val="8"/>
        <color rgb="FF000000"/>
        <rFont val="Arial"/>
        <family val="2"/>
      </rPr>
      <t>F</t>
    </r>
    <r>
      <rPr>
        <vertAlign val="subscript"/>
        <sz val="8"/>
        <color rgb="FF000000"/>
        <rFont val="Arial"/>
        <family val="2"/>
      </rPr>
      <t>13</t>
    </r>
    <r>
      <rPr>
        <sz val="8"/>
        <color rgb="FF000000"/>
        <rFont val="Arial"/>
        <family val="2"/>
      </rPr>
      <t>NO</t>
    </r>
    <r>
      <rPr>
        <vertAlign val="subscript"/>
        <sz val="8"/>
        <color rgb="FF000000"/>
        <rFont val="Arial"/>
        <family val="2"/>
      </rPr>
      <t>4</t>
    </r>
    <r>
      <rPr>
        <sz val="8"/>
        <color rgb="FF000000"/>
        <rFont val="Arial"/>
        <family val="2"/>
      </rPr>
      <t>S</t>
    </r>
    <r>
      <rPr>
        <vertAlign val="superscript"/>
        <sz val="8"/>
        <color rgb="FF000000"/>
        <rFont val="Arial"/>
        <family val="2"/>
      </rPr>
      <t>-</t>
    </r>
  </si>
  <si>
    <r>
      <t>C</t>
    </r>
    <r>
      <rPr>
        <vertAlign val="subscript"/>
        <sz val="8"/>
        <color rgb="FF000000"/>
        <rFont val="Arial"/>
        <family val="2"/>
      </rPr>
      <t>11</t>
    </r>
    <r>
      <rPr>
        <sz val="8"/>
        <color rgb="FF000000"/>
        <rFont val="Arial"/>
        <family val="2"/>
      </rPr>
      <t>H</t>
    </r>
    <r>
      <rPr>
        <vertAlign val="subscript"/>
        <sz val="8"/>
        <color rgb="FF000000"/>
        <rFont val="Arial"/>
        <family val="2"/>
      </rPr>
      <t>8</t>
    </r>
    <r>
      <rPr>
        <sz val="8"/>
        <color rgb="FF000000"/>
        <rFont val="Arial"/>
        <family val="2"/>
      </rPr>
      <t>F</t>
    </r>
    <r>
      <rPr>
        <vertAlign val="subscript"/>
        <sz val="8"/>
        <color rgb="FF000000"/>
        <rFont val="Arial"/>
        <family val="2"/>
      </rPr>
      <t>13</t>
    </r>
    <r>
      <rPr>
        <sz val="8"/>
        <color rgb="FF000000"/>
        <rFont val="Arial"/>
        <family val="2"/>
      </rPr>
      <t>O</t>
    </r>
    <r>
      <rPr>
        <vertAlign val="subscript"/>
        <sz val="8"/>
        <color rgb="FF000000"/>
        <rFont val="Arial"/>
        <family val="2"/>
      </rPr>
      <t>4</t>
    </r>
    <r>
      <rPr>
        <sz val="8"/>
        <color rgb="FF000000"/>
        <rFont val="Arial"/>
        <family val="2"/>
      </rPr>
      <t>S</t>
    </r>
    <r>
      <rPr>
        <vertAlign val="superscript"/>
        <sz val="8"/>
        <color rgb="FF000000"/>
        <rFont val="Arial"/>
        <family val="2"/>
      </rPr>
      <t>-</t>
    </r>
  </si>
  <si>
    <r>
      <t>C</t>
    </r>
    <r>
      <rPr>
        <vertAlign val="subscript"/>
        <sz val="8"/>
        <color rgb="FF000000"/>
        <rFont val="Arial"/>
        <family val="2"/>
      </rPr>
      <t>14</t>
    </r>
    <r>
      <rPr>
        <sz val="8"/>
        <color rgb="FF000000"/>
        <rFont val="Arial"/>
        <family val="2"/>
      </rPr>
      <t>H</t>
    </r>
    <r>
      <rPr>
        <vertAlign val="subscript"/>
        <sz val="8"/>
        <color rgb="FF000000"/>
        <rFont val="Arial"/>
        <family val="2"/>
      </rPr>
      <t>19</t>
    </r>
    <r>
      <rPr>
        <sz val="8"/>
        <color rgb="FF000000"/>
        <rFont val="Arial"/>
        <family val="2"/>
      </rPr>
      <t>F</t>
    </r>
    <r>
      <rPr>
        <vertAlign val="subscript"/>
        <sz val="8"/>
        <color rgb="FF000000"/>
        <rFont val="Arial"/>
        <family val="2"/>
      </rPr>
      <t>13</t>
    </r>
    <r>
      <rPr>
        <sz val="8"/>
        <color rgb="FF000000"/>
        <rFont val="Arial"/>
        <family val="2"/>
      </rPr>
      <t>NOS</t>
    </r>
    <r>
      <rPr>
        <vertAlign val="superscript"/>
        <sz val="8"/>
        <color rgb="FF000000"/>
        <rFont val="Arial"/>
        <family val="2"/>
      </rPr>
      <t>+</t>
    </r>
  </si>
  <si>
    <r>
      <t>C</t>
    </r>
    <r>
      <rPr>
        <vertAlign val="subscript"/>
        <sz val="8"/>
        <color theme="1"/>
        <rFont val="Arial"/>
        <family val="2"/>
      </rPr>
      <t>14</t>
    </r>
    <r>
      <rPr>
        <sz val="8"/>
        <color rgb="FF000000"/>
        <rFont val="Arial"/>
        <family val="2"/>
      </rPr>
      <t>H</t>
    </r>
    <r>
      <rPr>
        <vertAlign val="subscript"/>
        <sz val="8"/>
        <color theme="1"/>
        <rFont val="Arial"/>
        <family val="2"/>
      </rPr>
      <t>19</t>
    </r>
    <r>
      <rPr>
        <sz val="8"/>
        <color rgb="FF000000"/>
        <rFont val="Arial"/>
        <family val="2"/>
      </rPr>
      <t>F</t>
    </r>
    <r>
      <rPr>
        <vertAlign val="subscript"/>
        <sz val="8"/>
        <color theme="1"/>
        <rFont val="Arial"/>
        <family val="2"/>
      </rPr>
      <t>13</t>
    </r>
    <r>
      <rPr>
        <sz val="8"/>
        <color rgb="FF000000"/>
        <rFont val="Arial"/>
        <family val="2"/>
      </rPr>
      <t>NO</t>
    </r>
    <r>
      <rPr>
        <vertAlign val="subscript"/>
        <sz val="8"/>
        <color theme="1"/>
        <rFont val="Arial"/>
        <family val="2"/>
      </rPr>
      <t>2</t>
    </r>
    <r>
      <rPr>
        <sz val="8"/>
        <color rgb="FF000000"/>
        <rFont val="Arial"/>
        <family val="2"/>
      </rPr>
      <t>S</t>
    </r>
    <r>
      <rPr>
        <vertAlign val="superscript"/>
        <sz val="8"/>
        <color theme="1"/>
        <rFont val="Arial"/>
        <family val="2"/>
      </rPr>
      <t>+</t>
    </r>
  </si>
  <si>
    <r>
      <t>C</t>
    </r>
    <r>
      <rPr>
        <vertAlign val="subscript"/>
        <sz val="8"/>
        <color theme="1"/>
        <rFont val="Arial"/>
        <family val="2"/>
      </rPr>
      <t>14</t>
    </r>
    <r>
      <rPr>
        <sz val="8"/>
        <color rgb="FF000000"/>
        <rFont val="Arial"/>
        <family val="2"/>
      </rPr>
      <t>H</t>
    </r>
    <r>
      <rPr>
        <vertAlign val="subscript"/>
        <sz val="8"/>
        <color theme="1"/>
        <rFont val="Arial"/>
        <family val="2"/>
      </rPr>
      <t>19</t>
    </r>
    <r>
      <rPr>
        <sz val="8"/>
        <color rgb="FF000000"/>
        <rFont val="Arial"/>
        <family val="2"/>
      </rPr>
      <t>F</t>
    </r>
    <r>
      <rPr>
        <vertAlign val="subscript"/>
        <sz val="8"/>
        <color theme="1"/>
        <rFont val="Arial"/>
        <family val="2"/>
      </rPr>
      <t>13</t>
    </r>
    <r>
      <rPr>
        <sz val="8"/>
        <color rgb="FF000000"/>
        <rFont val="Arial"/>
        <family val="2"/>
      </rPr>
      <t>NO</t>
    </r>
    <r>
      <rPr>
        <vertAlign val="subscript"/>
        <sz val="8"/>
        <color theme="1"/>
        <rFont val="Arial"/>
        <family val="2"/>
      </rPr>
      <t>3</t>
    </r>
    <r>
      <rPr>
        <sz val="8"/>
        <color rgb="FF000000"/>
        <rFont val="Arial"/>
        <family val="2"/>
      </rPr>
      <t>S</t>
    </r>
    <r>
      <rPr>
        <vertAlign val="superscript"/>
        <sz val="8"/>
        <color theme="1"/>
        <rFont val="Arial"/>
        <family val="2"/>
      </rPr>
      <t>+</t>
    </r>
  </si>
  <si>
    <r>
      <t>C</t>
    </r>
    <r>
      <rPr>
        <vertAlign val="subscript"/>
        <sz val="8"/>
        <color rgb="FF000000"/>
        <rFont val="Arial"/>
        <family val="2"/>
      </rPr>
      <t>15</t>
    </r>
    <r>
      <rPr>
        <sz val="8"/>
        <color rgb="FF000000"/>
        <rFont val="Arial"/>
        <family val="2"/>
      </rPr>
      <t>H</t>
    </r>
    <r>
      <rPr>
        <vertAlign val="subscript"/>
        <sz val="8"/>
        <color rgb="FF000000"/>
        <rFont val="Arial"/>
        <family val="2"/>
      </rPr>
      <t>17</t>
    </r>
    <r>
      <rPr>
        <sz val="8"/>
        <color rgb="FF000000"/>
        <rFont val="Arial"/>
        <family val="2"/>
      </rPr>
      <t>F</t>
    </r>
    <r>
      <rPr>
        <vertAlign val="subscript"/>
        <sz val="8"/>
        <color rgb="FF000000"/>
        <rFont val="Arial"/>
        <family val="2"/>
      </rPr>
      <t>13</t>
    </r>
    <r>
      <rPr>
        <sz val="8"/>
        <color rgb="FF000000"/>
        <rFont val="Arial"/>
        <family val="2"/>
      </rPr>
      <t>NO</t>
    </r>
    <r>
      <rPr>
        <vertAlign val="subscript"/>
        <sz val="8"/>
        <color rgb="FF000000"/>
        <rFont val="Arial"/>
        <family val="2"/>
      </rPr>
      <t>4</t>
    </r>
    <r>
      <rPr>
        <sz val="8"/>
        <color rgb="FF000000"/>
        <rFont val="Arial"/>
        <family val="2"/>
      </rPr>
      <t>S</t>
    </r>
    <r>
      <rPr>
        <vertAlign val="subscript"/>
        <sz val="8"/>
        <color rgb="FF000000"/>
        <rFont val="Arial"/>
        <family val="2"/>
      </rPr>
      <t>2</t>
    </r>
    <r>
      <rPr>
        <vertAlign val="superscript"/>
        <sz val="8"/>
        <color rgb="FF000000"/>
        <rFont val="Arial"/>
        <family val="2"/>
      </rPr>
      <t>-</t>
    </r>
  </si>
  <si>
    <r>
      <t>C</t>
    </r>
    <r>
      <rPr>
        <vertAlign val="subscript"/>
        <sz val="8"/>
        <color rgb="FF000000"/>
        <rFont val="Arial"/>
        <family val="2"/>
      </rPr>
      <t>15</t>
    </r>
    <r>
      <rPr>
        <sz val="8"/>
        <color rgb="FF000000"/>
        <rFont val="Arial"/>
        <family val="2"/>
      </rPr>
      <t>H</t>
    </r>
    <r>
      <rPr>
        <vertAlign val="subscript"/>
        <sz val="8"/>
        <color rgb="FF000000"/>
        <rFont val="Arial"/>
        <family val="2"/>
      </rPr>
      <t>17</t>
    </r>
    <r>
      <rPr>
        <sz val="8"/>
        <color rgb="FF000000"/>
        <rFont val="Arial"/>
        <family val="2"/>
      </rPr>
      <t>F</t>
    </r>
    <r>
      <rPr>
        <vertAlign val="subscript"/>
        <sz val="8"/>
        <color rgb="FF000000"/>
        <rFont val="Arial"/>
        <family val="2"/>
      </rPr>
      <t>13</t>
    </r>
    <r>
      <rPr>
        <sz val="8"/>
        <color rgb="FF000000"/>
        <rFont val="Arial"/>
        <family val="2"/>
      </rPr>
      <t>NO</t>
    </r>
    <r>
      <rPr>
        <vertAlign val="subscript"/>
        <sz val="8"/>
        <color rgb="FF000000"/>
        <rFont val="Arial"/>
        <family val="2"/>
      </rPr>
      <t>5</t>
    </r>
    <r>
      <rPr>
        <sz val="8"/>
        <color rgb="FF000000"/>
        <rFont val="Arial"/>
        <family val="2"/>
      </rPr>
      <t>S</t>
    </r>
    <r>
      <rPr>
        <vertAlign val="subscript"/>
        <sz val="8"/>
        <color rgb="FF000000"/>
        <rFont val="Arial"/>
        <family val="2"/>
      </rPr>
      <t>2</t>
    </r>
    <r>
      <rPr>
        <vertAlign val="superscript"/>
        <sz val="8"/>
        <color rgb="FF000000"/>
        <rFont val="Arial"/>
        <family val="2"/>
      </rPr>
      <t>-</t>
    </r>
  </si>
  <si>
    <r>
      <t>C</t>
    </r>
    <r>
      <rPr>
        <vertAlign val="subscript"/>
        <sz val="8"/>
        <color rgb="FF000000"/>
        <rFont val="Arial"/>
        <family val="2"/>
      </rPr>
      <t>8</t>
    </r>
    <r>
      <rPr>
        <sz val="8"/>
        <color rgb="FF000000"/>
        <rFont val="Arial"/>
        <family val="2"/>
      </rPr>
      <t>H</t>
    </r>
    <r>
      <rPr>
        <vertAlign val="subscript"/>
        <sz val="8"/>
        <color rgb="FF000000"/>
        <rFont val="Arial"/>
        <family val="2"/>
      </rPr>
      <t>4</t>
    </r>
    <r>
      <rPr>
        <sz val="8"/>
        <color rgb="FF000000"/>
        <rFont val="Arial"/>
        <family val="2"/>
      </rPr>
      <t>F</t>
    </r>
    <r>
      <rPr>
        <vertAlign val="subscript"/>
        <sz val="8"/>
        <color rgb="FF000000"/>
        <rFont val="Arial"/>
        <family val="2"/>
      </rPr>
      <t>13</t>
    </r>
    <r>
      <rPr>
        <sz val="8"/>
        <color rgb="FF000000"/>
        <rFont val="Arial"/>
        <family val="2"/>
      </rPr>
      <t>O</t>
    </r>
    <r>
      <rPr>
        <vertAlign val="subscript"/>
        <sz val="8"/>
        <color rgb="FF000000"/>
        <rFont val="Arial"/>
        <family val="2"/>
      </rPr>
      <t>4</t>
    </r>
    <r>
      <rPr>
        <sz val="8"/>
        <color rgb="FF000000"/>
        <rFont val="Arial"/>
        <family val="2"/>
      </rPr>
      <t>S</t>
    </r>
    <r>
      <rPr>
        <vertAlign val="superscript"/>
        <sz val="8"/>
        <color rgb="FF000000"/>
        <rFont val="Arial"/>
        <family val="2"/>
      </rPr>
      <t>-</t>
    </r>
  </si>
  <si>
    <t>✓ (8, level 4)</t>
  </si>
  <si>
    <t>✓ (10, level 2)</t>
  </si>
  <si>
    <t>✓ (7, level 5)</t>
  </si>
  <si>
    <t>✓ (3, level 2)</t>
  </si>
  <si>
    <t>✓ (4, level 2)</t>
  </si>
  <si>
    <t>Unknown</t>
  </si>
  <si>
    <t>[?]+</t>
  </si>
  <si>
    <t>✓ (3, level 5)</t>
  </si>
  <si>
    <t>✓ (2, level 5)</t>
  </si>
  <si>
    <t>[?]-</t>
  </si>
  <si>
    <t>In-Source Fragment (267.08065)</t>
  </si>
  <si>
    <t>[?-O]-</t>
  </si>
  <si>
    <t>✓ (4, level 5)</t>
  </si>
  <si>
    <t>[?-H+Na]+</t>
  </si>
  <si>
    <t xml:space="preserve">[M]+ </t>
  </si>
  <si>
    <t>C14H20F13N2O5S2+</t>
  </si>
  <si>
    <t>C14H18F13N2O5S2-</t>
  </si>
  <si>
    <r>
      <t>C</t>
    </r>
    <r>
      <rPr>
        <vertAlign val="subscript"/>
        <sz val="8"/>
        <color rgb="FF000000"/>
        <rFont val="Arial"/>
        <family val="2"/>
      </rPr>
      <t>12</t>
    </r>
    <r>
      <rPr>
        <sz val="8"/>
        <color rgb="FF000000"/>
        <rFont val="Arial"/>
        <family val="2"/>
      </rPr>
      <t>H</t>
    </r>
    <r>
      <rPr>
        <vertAlign val="subscript"/>
        <sz val="8"/>
        <color rgb="FF000000"/>
        <rFont val="Arial"/>
        <family val="2"/>
      </rPr>
      <t>13</t>
    </r>
    <r>
      <rPr>
        <sz val="8"/>
        <color rgb="FF000000"/>
        <rFont val="Arial"/>
        <family val="2"/>
      </rPr>
      <t>F</t>
    </r>
    <r>
      <rPr>
        <vertAlign val="subscript"/>
        <sz val="8"/>
        <color rgb="FF000000"/>
        <rFont val="Arial"/>
        <family val="2"/>
      </rPr>
      <t>13</t>
    </r>
    <r>
      <rPr>
        <sz val="8"/>
        <color rgb="FF000000"/>
        <rFont val="Arial"/>
        <family val="2"/>
      </rPr>
      <t>NO</t>
    </r>
    <r>
      <rPr>
        <vertAlign val="subscript"/>
        <sz val="8"/>
        <color rgb="FF000000"/>
        <rFont val="Arial"/>
        <family val="2"/>
      </rPr>
      <t>4</t>
    </r>
    <r>
      <rPr>
        <sz val="8"/>
        <color rgb="FF000000"/>
        <rFont val="Arial"/>
        <family val="2"/>
      </rPr>
      <t>S</t>
    </r>
    <r>
      <rPr>
        <vertAlign val="superscript"/>
        <sz val="8"/>
        <color rgb="FF000000"/>
        <rFont val="Arial"/>
        <family val="2"/>
      </rPr>
      <t>+</t>
    </r>
  </si>
  <si>
    <r>
      <t>C</t>
    </r>
    <r>
      <rPr>
        <vertAlign val="subscript"/>
        <sz val="8"/>
        <color rgb="FF000000"/>
        <rFont val="Arial"/>
        <family val="2"/>
      </rPr>
      <t>15</t>
    </r>
    <r>
      <rPr>
        <sz val="8"/>
        <color rgb="FF000000"/>
        <rFont val="Arial"/>
        <family val="2"/>
      </rPr>
      <t>H</t>
    </r>
    <r>
      <rPr>
        <vertAlign val="subscript"/>
        <sz val="8"/>
        <color rgb="FF000000"/>
        <rFont val="Arial"/>
        <family val="2"/>
      </rPr>
      <t>17</t>
    </r>
    <r>
      <rPr>
        <sz val="8"/>
        <color rgb="FF000000"/>
        <rFont val="Arial"/>
        <family val="2"/>
      </rPr>
      <t>F</t>
    </r>
    <r>
      <rPr>
        <vertAlign val="subscript"/>
        <sz val="8"/>
        <color rgb="FF000000"/>
        <rFont val="Arial"/>
        <family val="2"/>
      </rPr>
      <t>13</t>
    </r>
    <r>
      <rPr>
        <sz val="8"/>
        <color rgb="FF000000"/>
        <rFont val="Arial"/>
        <family val="2"/>
      </rPr>
      <t>NO</t>
    </r>
    <r>
      <rPr>
        <vertAlign val="subscript"/>
        <sz val="8"/>
        <color rgb="FF000000"/>
        <rFont val="Arial"/>
        <family val="2"/>
      </rPr>
      <t>6</t>
    </r>
    <r>
      <rPr>
        <sz val="8"/>
        <color rgb="FF000000"/>
        <rFont val="Arial"/>
        <family val="2"/>
      </rPr>
      <t>S</t>
    </r>
    <r>
      <rPr>
        <vertAlign val="subscript"/>
        <sz val="8"/>
        <color rgb="FF000000"/>
        <rFont val="Arial"/>
        <family val="2"/>
      </rPr>
      <t>2</t>
    </r>
    <r>
      <rPr>
        <vertAlign val="superscript"/>
        <sz val="8"/>
        <color rgb="FF000000"/>
        <rFont val="Arial"/>
        <family val="2"/>
      </rPr>
      <t>-</t>
    </r>
  </si>
  <si>
    <r>
      <t>C</t>
    </r>
    <r>
      <rPr>
        <vertAlign val="subscript"/>
        <sz val="8"/>
        <color rgb="FF000000"/>
        <rFont val="Arial"/>
        <family val="2"/>
      </rPr>
      <t>15</t>
    </r>
    <r>
      <rPr>
        <sz val="8"/>
        <color rgb="FF000000"/>
        <rFont val="Arial"/>
        <family val="2"/>
      </rPr>
      <t>H</t>
    </r>
    <r>
      <rPr>
        <vertAlign val="subscript"/>
        <sz val="8"/>
        <color rgb="FF000000"/>
        <rFont val="Arial"/>
        <family val="2"/>
      </rPr>
      <t>14</t>
    </r>
    <r>
      <rPr>
        <sz val="8"/>
        <color rgb="FF000000"/>
        <rFont val="Arial"/>
        <family val="2"/>
      </rPr>
      <t>F</t>
    </r>
    <r>
      <rPr>
        <vertAlign val="subscript"/>
        <sz val="8"/>
        <color rgb="FF000000"/>
        <rFont val="Arial"/>
        <family val="2"/>
      </rPr>
      <t>17</t>
    </r>
    <r>
      <rPr>
        <sz val="8"/>
        <color rgb="FF000000"/>
        <rFont val="Arial"/>
        <family val="2"/>
      </rPr>
      <t>N</t>
    </r>
    <r>
      <rPr>
        <vertAlign val="subscript"/>
        <sz val="8"/>
        <color rgb="FF000000"/>
        <rFont val="Arial"/>
        <family val="2"/>
      </rPr>
      <t>2</t>
    </r>
    <r>
      <rPr>
        <sz val="8"/>
        <color rgb="FF000000"/>
        <rFont val="Arial"/>
        <family val="2"/>
      </rPr>
      <t>O</t>
    </r>
    <r>
      <rPr>
        <vertAlign val="subscript"/>
        <sz val="8"/>
        <color rgb="FF000000"/>
        <rFont val="Arial"/>
        <family val="2"/>
      </rPr>
      <t>4</t>
    </r>
    <r>
      <rPr>
        <sz val="8"/>
        <color rgb="FF000000"/>
        <rFont val="Arial"/>
        <family val="2"/>
      </rPr>
      <t>S</t>
    </r>
    <r>
      <rPr>
        <vertAlign val="superscript"/>
        <sz val="8"/>
        <color rgb="FF000000"/>
        <rFont val="Arial"/>
        <family val="2"/>
      </rPr>
      <t>-</t>
    </r>
  </si>
  <si>
    <t>✓
(positive: 2, negative: 1, level 1)</t>
  </si>
  <si>
    <t>✓
(positive: 4, negative: 2, level 2)</t>
  </si>
  <si>
    <t>Isomers</t>
  </si>
  <si>
    <t>✓ (9, level 3)</t>
  </si>
  <si>
    <t>6:2 FTSAm-PrA</t>
  </si>
  <si>
    <t>C11H10F13NO4S</t>
  </si>
  <si>
    <t>C8F13H3SO4</t>
  </si>
  <si>
    <t>C10F17H3SO4</t>
  </si>
  <si>
    <t>C12F21H3SO4</t>
  </si>
  <si>
    <r>
      <t>C</t>
    </r>
    <r>
      <rPr>
        <vertAlign val="subscript"/>
        <sz val="8"/>
        <color rgb="FF000000"/>
        <rFont val="Arial"/>
        <family val="2"/>
      </rPr>
      <t>8</t>
    </r>
    <r>
      <rPr>
        <sz val="8"/>
        <color rgb="FF000000"/>
        <rFont val="Arial"/>
        <family val="2"/>
      </rPr>
      <t>H</t>
    </r>
    <r>
      <rPr>
        <vertAlign val="subscript"/>
        <sz val="8"/>
        <color rgb="FF000000"/>
        <rFont val="Arial"/>
        <family val="2"/>
      </rPr>
      <t>2</t>
    </r>
    <r>
      <rPr>
        <sz val="8"/>
        <color rgb="FF000000"/>
        <rFont val="Arial"/>
        <family val="2"/>
      </rPr>
      <t>F</t>
    </r>
    <r>
      <rPr>
        <vertAlign val="subscript"/>
        <sz val="8"/>
        <color rgb="FF000000"/>
        <rFont val="Arial"/>
        <family val="2"/>
      </rPr>
      <t>13</t>
    </r>
    <r>
      <rPr>
        <sz val="8"/>
        <color rgb="FF000000"/>
        <rFont val="Arial"/>
        <family val="2"/>
      </rPr>
      <t>O</t>
    </r>
    <r>
      <rPr>
        <vertAlign val="subscript"/>
        <sz val="8"/>
        <color rgb="FF000000"/>
        <rFont val="Arial"/>
        <family val="2"/>
      </rPr>
      <t>4</t>
    </r>
    <r>
      <rPr>
        <sz val="8"/>
        <color rgb="FF000000"/>
        <rFont val="Arial"/>
        <family val="2"/>
      </rPr>
      <t>S</t>
    </r>
    <r>
      <rPr>
        <vertAlign val="superscript"/>
        <sz val="8"/>
        <color rgb="FF000000"/>
        <rFont val="Arial"/>
        <family val="2"/>
      </rPr>
      <t>-</t>
    </r>
  </si>
  <si>
    <r>
      <t>C</t>
    </r>
    <r>
      <rPr>
        <vertAlign val="subscript"/>
        <sz val="8"/>
        <color rgb="FF000000"/>
        <rFont val="Arial"/>
        <family val="2"/>
      </rPr>
      <t>11</t>
    </r>
    <r>
      <rPr>
        <sz val="8"/>
        <color rgb="FF000000"/>
        <rFont val="Arial"/>
        <family val="2"/>
      </rPr>
      <t>H</t>
    </r>
    <r>
      <rPr>
        <vertAlign val="subscript"/>
        <sz val="8"/>
        <color rgb="FF000000"/>
        <rFont val="Arial"/>
        <family val="2"/>
      </rPr>
      <t>9</t>
    </r>
    <r>
      <rPr>
        <sz val="8"/>
        <color rgb="FF000000"/>
        <rFont val="Arial"/>
        <family val="2"/>
      </rPr>
      <t>F</t>
    </r>
    <r>
      <rPr>
        <vertAlign val="subscript"/>
        <sz val="8"/>
        <color rgb="FF000000"/>
        <rFont val="Arial"/>
        <family val="2"/>
      </rPr>
      <t>13</t>
    </r>
    <r>
      <rPr>
        <sz val="8"/>
        <color rgb="FF000000"/>
        <rFont val="Arial"/>
        <family val="2"/>
      </rPr>
      <t>NO</t>
    </r>
    <r>
      <rPr>
        <vertAlign val="subscript"/>
        <sz val="8"/>
        <color rgb="FF000000"/>
        <rFont val="Arial"/>
        <family val="2"/>
      </rPr>
      <t>4</t>
    </r>
    <r>
      <rPr>
        <sz val="8"/>
        <color rgb="FF000000"/>
        <rFont val="Arial"/>
        <family val="2"/>
      </rPr>
      <t>S</t>
    </r>
    <r>
      <rPr>
        <vertAlign val="superscript"/>
        <sz val="8"/>
        <color rgb="FF000000"/>
        <rFont val="Arial"/>
        <family val="2"/>
      </rPr>
      <t>-</t>
    </r>
  </si>
  <si>
    <t>C8H3F13O3S</t>
  </si>
  <si>
    <t>C10H3F17O3S</t>
  </si>
  <si>
    <r>
      <t>C</t>
    </r>
    <r>
      <rPr>
        <vertAlign val="subscript"/>
        <sz val="8"/>
        <color rgb="FF000000"/>
        <rFont val="Arial"/>
        <family val="2"/>
      </rPr>
      <t>8</t>
    </r>
    <r>
      <rPr>
        <sz val="8"/>
        <color rgb="FF000000"/>
        <rFont val="Arial"/>
        <family val="2"/>
      </rPr>
      <t>H</t>
    </r>
    <r>
      <rPr>
        <vertAlign val="subscript"/>
        <sz val="8"/>
        <color rgb="FF000000"/>
        <rFont val="Arial"/>
        <family val="2"/>
      </rPr>
      <t>2</t>
    </r>
    <r>
      <rPr>
        <sz val="8"/>
        <color rgb="FF000000"/>
        <rFont val="Arial"/>
        <family val="2"/>
      </rPr>
      <t>F</t>
    </r>
    <r>
      <rPr>
        <vertAlign val="subscript"/>
        <sz val="8"/>
        <color rgb="FF000000"/>
        <rFont val="Arial"/>
        <family val="2"/>
      </rPr>
      <t>13</t>
    </r>
    <r>
      <rPr>
        <sz val="8"/>
        <color rgb="FF000000"/>
        <rFont val="Arial"/>
        <family val="2"/>
      </rPr>
      <t>O</t>
    </r>
    <r>
      <rPr>
        <vertAlign val="subscript"/>
        <sz val="8"/>
        <color rgb="FF000000"/>
        <rFont val="Arial"/>
        <family val="2"/>
      </rPr>
      <t>3</t>
    </r>
    <r>
      <rPr>
        <sz val="8"/>
        <color rgb="FF000000"/>
        <rFont val="Arial"/>
        <family val="2"/>
      </rPr>
      <t>S</t>
    </r>
    <r>
      <rPr>
        <vertAlign val="superscript"/>
        <sz val="8"/>
        <color rgb="FF000000"/>
        <rFont val="Arial"/>
        <family val="2"/>
      </rPr>
      <t>-</t>
    </r>
  </si>
  <si>
    <t>C13H15F13N2O2S</t>
  </si>
  <si>
    <r>
      <t>C</t>
    </r>
    <r>
      <rPr>
        <vertAlign val="subscript"/>
        <sz val="8"/>
        <color rgb="FF000000"/>
        <rFont val="Arial"/>
        <family val="2"/>
      </rPr>
      <t>13</t>
    </r>
    <r>
      <rPr>
        <sz val="8"/>
        <color rgb="FF000000"/>
        <rFont val="Arial"/>
        <family val="2"/>
      </rPr>
      <t>H</t>
    </r>
    <r>
      <rPr>
        <vertAlign val="subscript"/>
        <sz val="8"/>
        <color rgb="FF000000"/>
        <rFont val="Arial"/>
        <family val="2"/>
      </rPr>
      <t>16</t>
    </r>
    <r>
      <rPr>
        <sz val="8"/>
        <color rgb="FF000000"/>
        <rFont val="Arial"/>
        <family val="2"/>
      </rPr>
      <t>F</t>
    </r>
    <r>
      <rPr>
        <vertAlign val="subscript"/>
        <sz val="8"/>
        <color rgb="FF000000"/>
        <rFont val="Arial"/>
        <family val="2"/>
      </rPr>
      <t>13</t>
    </r>
    <r>
      <rPr>
        <sz val="8"/>
        <color rgb="FF000000"/>
        <rFont val="Arial"/>
        <family val="2"/>
      </rPr>
      <t>N</t>
    </r>
    <r>
      <rPr>
        <vertAlign val="subscript"/>
        <sz val="8"/>
        <color rgb="FF000000"/>
        <rFont val="Arial"/>
        <family val="2"/>
      </rPr>
      <t>2</t>
    </r>
    <r>
      <rPr>
        <sz val="8"/>
        <color rgb="FF000000"/>
        <rFont val="Arial"/>
        <family val="2"/>
      </rPr>
      <t>O</t>
    </r>
    <r>
      <rPr>
        <vertAlign val="subscript"/>
        <sz val="8"/>
        <color rgb="FF000000"/>
        <rFont val="Arial"/>
        <family val="2"/>
      </rPr>
      <t>2</t>
    </r>
    <r>
      <rPr>
        <sz val="8"/>
        <color rgb="FF000000"/>
        <rFont val="Arial"/>
        <family val="2"/>
      </rPr>
      <t>S</t>
    </r>
    <r>
      <rPr>
        <vertAlign val="superscript"/>
        <sz val="8"/>
        <color rgb="FF000000"/>
        <rFont val="Arial"/>
        <family val="2"/>
      </rPr>
      <t>+</t>
    </r>
  </si>
  <si>
    <t>6:2 FTSAm-U-Pr-DiMeAm</t>
  </si>
  <si>
    <t>✓ (2, level 4)</t>
  </si>
  <si>
    <t>6:2 FTSAm-EtOH</t>
  </si>
  <si>
    <t>C10H10F13NO2S</t>
  </si>
  <si>
    <t>C10H10F13NO3S</t>
  </si>
  <si>
    <t>C10H8F13NO3S</t>
  </si>
  <si>
    <t>C8H4F11NO</t>
  </si>
  <si>
    <t>C10H4F15NO</t>
  </si>
  <si>
    <t>6:2 FTSAm-EtK</t>
  </si>
  <si>
    <t>6:2 FTSAm-Et</t>
  </si>
  <si>
    <r>
      <t>C</t>
    </r>
    <r>
      <rPr>
        <vertAlign val="subscript"/>
        <sz val="8"/>
        <color theme="1"/>
        <rFont val="Arial"/>
        <family val="2"/>
      </rPr>
      <t>8</t>
    </r>
    <r>
      <rPr>
        <sz val="8"/>
        <color rgb="FF000000"/>
        <rFont val="Arial"/>
        <family val="2"/>
      </rPr>
      <t>H</t>
    </r>
    <r>
      <rPr>
        <vertAlign val="subscript"/>
        <sz val="8"/>
        <color theme="1"/>
        <rFont val="Arial"/>
        <family val="2"/>
      </rPr>
      <t>3</t>
    </r>
    <r>
      <rPr>
        <sz val="8"/>
        <color rgb="FF000000"/>
        <rFont val="Arial"/>
        <family val="2"/>
      </rPr>
      <t>F</t>
    </r>
    <r>
      <rPr>
        <vertAlign val="subscript"/>
        <sz val="8"/>
        <color theme="1"/>
        <rFont val="Arial"/>
        <family val="2"/>
      </rPr>
      <t>11</t>
    </r>
    <r>
      <rPr>
        <sz val="8"/>
        <color rgb="FF000000"/>
        <rFont val="Arial"/>
        <family val="2"/>
      </rPr>
      <t>NO</t>
    </r>
    <r>
      <rPr>
        <vertAlign val="superscript"/>
        <sz val="8"/>
        <color theme="1"/>
        <rFont val="Arial"/>
        <family val="2"/>
      </rPr>
      <t>-</t>
    </r>
  </si>
  <si>
    <r>
      <t>C</t>
    </r>
    <r>
      <rPr>
        <vertAlign val="subscript"/>
        <sz val="8"/>
        <color theme="1"/>
        <rFont val="Arial"/>
        <family val="2"/>
      </rPr>
      <t>10</t>
    </r>
    <r>
      <rPr>
        <sz val="8"/>
        <color rgb="FF000000"/>
        <rFont val="Arial"/>
        <family val="2"/>
      </rPr>
      <t>H</t>
    </r>
    <r>
      <rPr>
        <vertAlign val="subscript"/>
        <sz val="8"/>
        <color theme="1"/>
        <rFont val="Arial"/>
        <family val="2"/>
      </rPr>
      <t>9</t>
    </r>
    <r>
      <rPr>
        <sz val="8"/>
        <color rgb="FF000000"/>
        <rFont val="Arial"/>
        <family val="2"/>
      </rPr>
      <t>F</t>
    </r>
    <r>
      <rPr>
        <vertAlign val="subscript"/>
        <sz val="8"/>
        <color theme="1"/>
        <rFont val="Arial"/>
        <family val="2"/>
      </rPr>
      <t>13</t>
    </r>
    <r>
      <rPr>
        <sz val="8"/>
        <color rgb="FF000000"/>
        <rFont val="Arial"/>
        <family val="2"/>
      </rPr>
      <t>NO</t>
    </r>
    <r>
      <rPr>
        <vertAlign val="subscript"/>
        <sz val="8"/>
        <color theme="1"/>
        <rFont val="Arial"/>
        <family val="2"/>
      </rPr>
      <t>2</t>
    </r>
    <r>
      <rPr>
        <sz val="8"/>
        <color rgb="FF000000"/>
        <rFont val="Arial"/>
        <family val="2"/>
      </rPr>
      <t>S</t>
    </r>
    <r>
      <rPr>
        <vertAlign val="superscript"/>
        <sz val="8"/>
        <color theme="1"/>
        <rFont val="Arial"/>
        <family val="2"/>
      </rPr>
      <t>-</t>
    </r>
  </si>
  <si>
    <r>
      <t>C</t>
    </r>
    <r>
      <rPr>
        <vertAlign val="subscript"/>
        <sz val="8"/>
        <color theme="1"/>
        <rFont val="Arial"/>
        <family val="2"/>
      </rPr>
      <t>10</t>
    </r>
    <r>
      <rPr>
        <sz val="8"/>
        <color rgb="FF000000"/>
        <rFont val="Arial"/>
        <family val="2"/>
      </rPr>
      <t>H</t>
    </r>
    <r>
      <rPr>
        <vertAlign val="subscript"/>
        <sz val="8"/>
        <color theme="1"/>
        <rFont val="Arial"/>
        <family val="2"/>
      </rPr>
      <t>7</t>
    </r>
    <r>
      <rPr>
        <sz val="8"/>
        <color rgb="FF000000"/>
        <rFont val="Arial"/>
        <family val="2"/>
      </rPr>
      <t>F</t>
    </r>
    <r>
      <rPr>
        <vertAlign val="subscript"/>
        <sz val="8"/>
        <color theme="1"/>
        <rFont val="Arial"/>
        <family val="2"/>
      </rPr>
      <t>13</t>
    </r>
    <r>
      <rPr>
        <sz val="8"/>
        <color rgb="FF000000"/>
        <rFont val="Arial"/>
        <family val="2"/>
      </rPr>
      <t>NO</t>
    </r>
    <r>
      <rPr>
        <vertAlign val="subscript"/>
        <sz val="8"/>
        <color theme="1"/>
        <rFont val="Arial"/>
        <family val="2"/>
      </rPr>
      <t>3</t>
    </r>
    <r>
      <rPr>
        <sz val="8"/>
        <color rgb="FF000000"/>
        <rFont val="Arial"/>
        <family val="2"/>
      </rPr>
      <t>S</t>
    </r>
    <r>
      <rPr>
        <vertAlign val="superscript"/>
        <sz val="8"/>
        <color theme="1"/>
        <rFont val="Arial"/>
        <family val="2"/>
      </rPr>
      <t>-</t>
    </r>
  </si>
  <si>
    <r>
      <t>C</t>
    </r>
    <r>
      <rPr>
        <vertAlign val="subscript"/>
        <sz val="8"/>
        <color theme="1"/>
        <rFont val="Arial"/>
        <family val="2"/>
      </rPr>
      <t>10</t>
    </r>
    <r>
      <rPr>
        <sz val="8"/>
        <color rgb="FF000000"/>
        <rFont val="Arial"/>
        <family val="2"/>
      </rPr>
      <t>H</t>
    </r>
    <r>
      <rPr>
        <vertAlign val="subscript"/>
        <sz val="8"/>
        <color theme="1"/>
        <rFont val="Arial"/>
        <family val="2"/>
      </rPr>
      <t>9</t>
    </r>
    <r>
      <rPr>
        <sz val="8"/>
        <color rgb="FF000000"/>
        <rFont val="Arial"/>
        <family val="2"/>
      </rPr>
      <t>F</t>
    </r>
    <r>
      <rPr>
        <vertAlign val="subscript"/>
        <sz val="8"/>
        <color theme="1"/>
        <rFont val="Arial"/>
        <family val="2"/>
      </rPr>
      <t>13</t>
    </r>
    <r>
      <rPr>
        <sz val="8"/>
        <color rgb="FF000000"/>
        <rFont val="Arial"/>
        <family val="2"/>
      </rPr>
      <t>NO</t>
    </r>
    <r>
      <rPr>
        <vertAlign val="subscript"/>
        <sz val="8"/>
        <color theme="1"/>
        <rFont val="Arial"/>
        <family val="2"/>
      </rPr>
      <t>3</t>
    </r>
    <r>
      <rPr>
        <sz val="8"/>
        <color rgb="FF000000"/>
        <rFont val="Arial"/>
        <family val="2"/>
      </rPr>
      <t>S</t>
    </r>
    <r>
      <rPr>
        <vertAlign val="superscript"/>
        <sz val="8"/>
        <color theme="1"/>
        <rFont val="Arial"/>
        <family val="2"/>
      </rPr>
      <t>-</t>
    </r>
  </si>
  <si>
    <r>
      <t>C</t>
    </r>
    <r>
      <rPr>
        <vertAlign val="subscript"/>
        <sz val="8"/>
        <color theme="1"/>
        <rFont val="Arial"/>
        <family val="2"/>
      </rPr>
      <t>14</t>
    </r>
    <r>
      <rPr>
        <sz val="8"/>
        <color rgb="FF000000"/>
        <rFont val="Arial"/>
        <family val="2"/>
      </rPr>
      <t>H</t>
    </r>
    <r>
      <rPr>
        <vertAlign val="subscript"/>
        <sz val="8"/>
        <color theme="1"/>
        <rFont val="Arial"/>
        <family val="2"/>
      </rPr>
      <t>16</t>
    </r>
    <r>
      <rPr>
        <sz val="8"/>
        <color rgb="FF000000"/>
        <rFont val="Arial"/>
        <family val="2"/>
      </rPr>
      <t>F</t>
    </r>
    <r>
      <rPr>
        <vertAlign val="subscript"/>
        <sz val="8"/>
        <color theme="1"/>
        <rFont val="Arial"/>
        <family val="2"/>
      </rPr>
      <t>13</t>
    </r>
    <r>
      <rPr>
        <sz val="8"/>
        <color rgb="FF000000"/>
        <rFont val="Arial"/>
        <family val="2"/>
      </rPr>
      <t>N</t>
    </r>
    <r>
      <rPr>
        <vertAlign val="subscript"/>
        <sz val="8"/>
        <color theme="1"/>
        <rFont val="Arial"/>
        <family val="2"/>
      </rPr>
      <t>2</t>
    </r>
    <r>
      <rPr>
        <sz val="8"/>
        <color rgb="FF000000"/>
        <rFont val="Arial"/>
        <family val="2"/>
      </rPr>
      <t>O</t>
    </r>
    <r>
      <rPr>
        <vertAlign val="subscript"/>
        <sz val="8"/>
        <color theme="1"/>
        <rFont val="Arial"/>
        <family val="2"/>
      </rPr>
      <t>3</t>
    </r>
    <r>
      <rPr>
        <sz val="8"/>
        <color rgb="FF000000"/>
        <rFont val="Arial"/>
        <family val="2"/>
      </rPr>
      <t>S</t>
    </r>
    <r>
      <rPr>
        <vertAlign val="superscript"/>
        <sz val="8"/>
        <color theme="1"/>
        <rFont val="Arial"/>
        <family val="2"/>
      </rPr>
      <t>-</t>
    </r>
  </si>
  <si>
    <r>
      <t>C</t>
    </r>
    <r>
      <rPr>
        <vertAlign val="subscript"/>
        <sz val="8"/>
        <color theme="1"/>
        <rFont val="Arial"/>
        <family val="2"/>
      </rPr>
      <t>13</t>
    </r>
    <r>
      <rPr>
        <sz val="8"/>
        <color rgb="FF000000"/>
        <rFont val="Arial"/>
        <family val="2"/>
      </rPr>
      <t>H</t>
    </r>
    <r>
      <rPr>
        <vertAlign val="subscript"/>
        <sz val="8"/>
        <color theme="1"/>
        <rFont val="Arial"/>
        <family val="2"/>
      </rPr>
      <t>14</t>
    </r>
    <r>
      <rPr>
        <sz val="8"/>
        <color rgb="FF000000"/>
        <rFont val="Arial"/>
        <family val="2"/>
      </rPr>
      <t>F</t>
    </r>
    <r>
      <rPr>
        <vertAlign val="subscript"/>
        <sz val="8"/>
        <color theme="1"/>
        <rFont val="Arial"/>
        <family val="2"/>
      </rPr>
      <t>13</t>
    </r>
    <r>
      <rPr>
        <sz val="8"/>
        <color rgb="FF000000"/>
        <rFont val="Arial"/>
        <family val="2"/>
      </rPr>
      <t>N</t>
    </r>
    <r>
      <rPr>
        <vertAlign val="subscript"/>
        <sz val="8"/>
        <color theme="1"/>
        <rFont val="Arial"/>
        <family val="2"/>
      </rPr>
      <t>2</t>
    </r>
    <r>
      <rPr>
        <sz val="8"/>
        <color rgb="FF000000"/>
        <rFont val="Arial"/>
        <family val="2"/>
      </rPr>
      <t>O</t>
    </r>
    <r>
      <rPr>
        <vertAlign val="subscript"/>
        <sz val="8"/>
        <color theme="1"/>
        <rFont val="Arial"/>
        <family val="2"/>
      </rPr>
      <t>3</t>
    </r>
    <r>
      <rPr>
        <sz val="8"/>
        <color rgb="FF000000"/>
        <rFont val="Arial"/>
        <family val="2"/>
      </rPr>
      <t>S</t>
    </r>
    <r>
      <rPr>
        <vertAlign val="superscript"/>
        <sz val="8"/>
        <color theme="1"/>
        <rFont val="Arial"/>
        <family val="2"/>
      </rPr>
      <t>-</t>
    </r>
  </si>
  <si>
    <t>✓ (14)</t>
  </si>
  <si>
    <t>✓ (3, level 4)</t>
  </si>
  <si>
    <r>
      <t>C</t>
    </r>
    <r>
      <rPr>
        <vertAlign val="subscript"/>
        <sz val="8"/>
        <color rgb="FF000000"/>
        <rFont val="Arial"/>
        <family val="2"/>
      </rPr>
      <t>10</t>
    </r>
    <r>
      <rPr>
        <sz val="8"/>
        <color rgb="FF000000"/>
        <rFont val="Arial"/>
        <family val="2"/>
      </rPr>
      <t>HF</t>
    </r>
    <r>
      <rPr>
        <vertAlign val="subscript"/>
        <sz val="8"/>
        <color rgb="FF000000"/>
        <rFont val="Arial"/>
        <family val="2"/>
      </rPr>
      <t>20</t>
    </r>
    <r>
      <rPr>
        <sz val="8"/>
        <color rgb="FF000000"/>
        <rFont val="Arial"/>
        <family val="2"/>
      </rPr>
      <t>O</t>
    </r>
    <r>
      <rPr>
        <vertAlign val="subscript"/>
        <sz val="8"/>
        <color rgb="FF000000"/>
        <rFont val="Arial"/>
        <family val="2"/>
      </rPr>
      <t>3</t>
    </r>
    <r>
      <rPr>
        <sz val="8"/>
        <color rgb="FF000000"/>
        <rFont val="Arial"/>
        <family val="2"/>
      </rPr>
      <t>S</t>
    </r>
    <r>
      <rPr>
        <vertAlign val="superscript"/>
        <sz val="8"/>
        <color rgb="FF000000"/>
        <rFont val="Arial"/>
        <family val="2"/>
      </rPr>
      <t>-</t>
    </r>
  </si>
  <si>
    <t>C8H2F16O3S</t>
  </si>
  <si>
    <t>H-PFOS</t>
  </si>
  <si>
    <t>C10H2F20O3S</t>
  </si>
  <si>
    <t>H-PFDS</t>
  </si>
  <si>
    <t xml:space="preserve">PFHxSAm
(n = 6)
</t>
  </si>
  <si>
    <t>PFHxSAm-Pr-B
(n = 6)</t>
  </si>
  <si>
    <t>PFAAs</t>
  </si>
  <si>
    <t>Cyclic and Unsaturated PFAAs</t>
  </si>
  <si>
    <t>Ether PFAAs and K-PFAAs</t>
  </si>
  <si>
    <t>K-PFSAs</t>
  </si>
  <si>
    <t>U-E-PFSAs</t>
  </si>
  <si>
    <t>FTSAs and FTCAs</t>
  </si>
  <si>
    <t>FTSA and FTCA Derivatives</t>
  </si>
  <si>
    <t>6:2 FTSAm-EtAl</t>
  </si>
  <si>
    <t>PFASAm-Pr-DiMeAms</t>
  </si>
  <si>
    <t>PFHxSAm-Pr-DiMeAm</t>
  </si>
  <si>
    <t>PFOSAm-Pr-DiMeAm</t>
  </si>
  <si>
    <t>n:1:2 FTBs</t>
  </si>
  <si>
    <t>n:3 FTBs</t>
  </si>
  <si>
    <t>n:2 FTSAm-Pr-Bs</t>
  </si>
  <si>
    <t>n:2 FTSAm-Pr-DiMeNOs</t>
  </si>
  <si>
    <t>PFCAs</t>
  </si>
  <si>
    <t>PFSAs</t>
  </si>
  <si>
    <t>PFASAms</t>
  </si>
  <si>
    <t>PFPrSAm</t>
  </si>
  <si>
    <t>PFBSAm</t>
  </si>
  <si>
    <t>PFPeSAm</t>
  </si>
  <si>
    <t>PFHxSAm</t>
  </si>
  <si>
    <t>PFHpSAm</t>
  </si>
  <si>
    <t>PFOSAm</t>
  </si>
  <si>
    <t>n:3 FTCAs</t>
  </si>
  <si>
    <t>n:2 FTSAs</t>
  </si>
  <si>
    <t>U-PFSAs</t>
  </si>
  <si>
    <t>SF5-PFSAs</t>
  </si>
  <si>
    <t>PFASAm-Pr-Bs</t>
  </si>
  <si>
    <t>PFBSAm-Pr-B</t>
  </si>
  <si>
    <t>PFPeSAm-Pr-B</t>
  </si>
  <si>
    <t>PFHxSAm-Pr-B</t>
  </si>
  <si>
    <t>PFOSAm-Pr-B</t>
  </si>
  <si>
    <t>n:2 FTBs</t>
  </si>
  <si>
    <t>n:2 FTSAms</t>
  </si>
  <si>
    <t>SF5-U-PFSAs</t>
  </si>
  <si>
    <t>Cl-PFSAs</t>
  </si>
  <si>
    <t>H-PFSAs</t>
  </si>
  <si>
    <t>PFASAm-Pr-TriMeAms</t>
  </si>
  <si>
    <t>PFHxSAm-Pr-TriMeAm</t>
  </si>
  <si>
    <t>PFOSAm-Pr-TriMeAm</t>
  </si>
  <si>
    <t>n:4 FTBs</t>
  </si>
  <si>
    <t>n:2 FTSAm-Pr-MeAms</t>
  </si>
  <si>
    <t>n:2 FTSAm-Pr-DiMeAms</t>
  </si>
  <si>
    <t>OH-n:2 FTSAs</t>
  </si>
  <si>
    <t>OH-6:2 FTSA</t>
  </si>
  <si>
    <t>K-n:2 FTSAs</t>
  </si>
  <si>
    <t>K-6:2 FTSA</t>
  </si>
  <si>
    <t>K-8:2 FTSA</t>
  </si>
  <si>
    <t>K-10:2 FTSA</t>
  </si>
  <si>
    <t>U-E-PFSAs/K-PFSAs</t>
  </si>
  <si>
    <t>n:1:3 FTBs</t>
  </si>
  <si>
    <t>E-PFSAs</t>
  </si>
  <si>
    <t>n:2 FTSAm-EtOHs</t>
  </si>
  <si>
    <t>H-E-PFSAs</t>
  </si>
  <si>
    <t>n:2 FTSAm-Ets</t>
  </si>
  <si>
    <t>n:2 FTSAm-EtAls</t>
  </si>
  <si>
    <t>n:2 FTSAm-KAmMePes</t>
  </si>
  <si>
    <t>PFHxSAm-Pr-DiMeAm
(n = 6)</t>
  </si>
  <si>
    <t>PFHxSAm-Pr-TriMeAm
(n = 6)</t>
  </si>
  <si>
    <t>PFHxSAm-PrSA
(n = 6)</t>
  </si>
  <si>
    <t xml:space="preserve"> (1)OH-6:2 FTSA</t>
  </si>
  <si>
    <t>(2)K-6:2 FTSA</t>
  </si>
  <si>
    <t>(10)H-PFDS
(n = 10)</t>
  </si>
  <si>
    <t>(6)U-PFOS
(n = 8)</t>
  </si>
  <si>
    <t>(1)Cl-PFOS
(n = 8)</t>
  </si>
  <si>
    <t>n:2 FTSAm-KAmPes</t>
  </si>
  <si>
    <t>m/C
(&gt; 25)</t>
  </si>
  <si>
    <t>✓ (2, level 2)</t>
  </si>
  <si>
    <t>✓
(positive: 2, negative: 1,
level 2)</t>
  </si>
  <si>
    <t xml:space="preserve"> ✓ (3, level 2)</t>
  </si>
  <si>
    <t>✓ (3, level 3)</t>
  </si>
  <si>
    <t>PFASAm-PrSAs</t>
  </si>
  <si>
    <t>PFBSAm-PrSA</t>
  </si>
  <si>
    <t>PFPeSAm-PrSA</t>
  </si>
  <si>
    <t>PFHxSAm-PrSA</t>
  </si>
  <si>
    <t>n:2 FTSAm-U-Pr-DiMeAms</t>
  </si>
  <si>
    <t>n:2 FTSAm-PrAs</t>
  </si>
  <si>
    <t>Alternative Names in Literature</t>
  </si>
  <si>
    <t>Experimental data: Occurrence in AFFFs (incomplete)</t>
  </si>
  <si>
    <t>Experimental data: Occurrence in the environment and experiments (incomplete)</t>
  </si>
  <si>
    <t>References</t>
  </si>
  <si>
    <t>1. Buck RC, Franklin J, Berger U, Conder JM, Cousins IT, de Voogt P, Jensen AA, Kannan K, Mabury SA, van Leeuwen SP (2011) Perfluoroalkyl and polyfluoroalkyl substances in the environment: Terminology, classification, and origins. Integrated Environmental Assessment and Management 7 (4):513–541. doi:10.1002/ieam.258</t>
  </si>
  <si>
    <t>2. Zweigle J, Bugsel B, Röhler K, Haluska AA, Zwiener C (2023) PFAS-Contaminated Soil Site in Germany: Nontarget Screening before and after Direct TOP Assay by Kendrick Mass Defect and FindPFΔS. Environ Sci Technol 57 (16):6647-6655. doi:10.1021/acs.est.2c07969</t>
  </si>
  <si>
    <t>3. Nason SL, Koelmel J, Zuverza-Mena N, Stanley C, Tamez C, Bowden JA, Godri Pollitt KJ (2021) Software Comparison for Nontargeted Analysis of PFAS in AFFF-Contaminated Soil. Journal of the American Society for Mass Spectrometry 32 (4):840-846. doi:10.1021/jasms.0c00261</t>
  </si>
  <si>
    <t>4. Barzen-Hanson KA, Roberts SC, Choyke S, Oetjen K, McAlees A, Riddell N, McCrindle R, Ferguson PL, Higgins CP, Field JA (2017) Discovery of 40 Classes of Per- and Polyfluoroalkyl Substances in Historical Aqueous Film-Forming Foams (AFFFs) and AFFF-Impacted Groundwater. Environ Sci Technol 51 (4):2047-2057. doi:10.1021/acs.est.6b05843</t>
  </si>
  <si>
    <t>5. Lin Y, Ruan T, Liu A, Jiang G (2017) Identification of Novel Hydrogen-Substituted Polyfluoroalkyl Ether Sulfonates in Environmental Matrices near Metal-Plating Facilities. Environ Sci Technol 51 (20):11588-11596. doi:10.1021/acs.est.7b02961</t>
  </si>
  <si>
    <t>6. Pan Y, Zhang H, Cui Q, Sheng N, Yeung LWY, Sun Y, Guo Y, Dai J (2018) Worldwide Distribution of Novel Perfluoroether Carboxylic and Sulfonic Acids in Surface Water. Environ Sci Technol 52 (14):7621-7629. doi:10.1021/acs.est.8b00829</t>
  </si>
  <si>
    <t>7. Qiao B, Song D, Fang B, Yu H, Li X, Zhao L, Yao Y, Zhu L, Chen H, Sun H (2023) Nontarget Screening and Fate of Emerging Per- and Polyfluoroalkyl Substances in Wastewater Treatment Plants in Tianjin, China. Environ Sci Technol 57 (48):20127-20137. doi:10.1021/acs.est.3c03997</t>
  </si>
  <si>
    <t>8. Knepper TP, Lange FT (2011) Polyfluorinated Chemicals and Transformation Products. Springer Science &amp; Business Media,</t>
  </si>
  <si>
    <t>PFASI [1]</t>
  </si>
  <si>
    <t>U-SF5-PFSA [2]</t>
  </si>
  <si>
    <t>U-ether-PFSA [2]</t>
  </si>
  <si>
    <t>Ether-PFSA [3]</t>
  </si>
  <si>
    <t>Bis(perfluorsulfonyl)amine [3]</t>
  </si>
  <si>
    <t>H-PFAS [4]</t>
  </si>
  <si>
    <t>K-PFAS [4]</t>
  </si>
  <si>
    <t>1H-PFESA [5]
n:2 H-PFESA [6,7]</t>
  </si>
  <si>
    <t xml:space="preserve">FASA [1]
PFASA [8]
</t>
  </si>
  <si>
    <t xml:space="preserve">PFASaAm [9]
PFOSAm (n = 8) [10]
AmPr-FASA [11]
N-AP-FASA [12] 
PFnSAm [13]
PFASAA [14]
</t>
  </si>
  <si>
    <t>9. Backe WJ, Day TC, Field JA (2013) Zwitterionic, Cationic, and Anionic Fluorinated Chemicals in Aqueous Film Forming Foam Formulations and Groundwater from U.S. Military Bases by Nonaqueous Large-Volume Injection HPLC-MS/MS. Environ Sci Technol 47 (10):5226-5234. doi:10.1021/es3034999</t>
  </si>
  <si>
    <t>10. Mejia-Avendaño S, Vo Duy S, Sauvé S, Liu J (2016) Generation of Perfluoroalkyl Acids from Aerobic Biotransformation of Quaternary Ammonium Polyfluoroalkyl Surfactants. Environ Sci Technol 50 (18):9923-9932. doi:10.1021/acs.est.6b00140</t>
  </si>
  <si>
    <t>11. Nickerson A, Maizel AC, Kulkarni PR, Adamson DT, Kornuc JJ, Higgins CP (2020) Enhanced Extraction of AFFF-Associated PFASs from Source Zone Soils. Environ Sci Technol 54 (8):4952-4962. doi:10.1021/acs.est.0c00792</t>
  </si>
  <si>
    <t>12. Li Z, Lu Y, Chen T, He A, Huang Y, Li L, Pan W, Li J, Zhu N, Wang Y, Jiang G (2023) Generation Mechanism of Perfluorohexanesulfonic Acid from Polyfluoroalkyl Sulfonamide Derivatives During Chloramination in Drinking Water. Environ Sci Technol 57 (47):18462-18472. doi:10.1021/acs.est.2c07881</t>
  </si>
  <si>
    <t>13. Houtz EF, Higgins CP, Field JA, Sedlak DL (2013) Persistence of Perfluoroalkyl Acid Precursors in AFFF-Impacted Groundwater and Soil. Environ Sci Technol 47 (15):8187-8195. doi:10.1021/es4018877</t>
  </si>
  <si>
    <t>14. Glüge J, Scheringer M, Cousins IT, Dewitt JC, Goldenman G, Herzke D, Lohmann R, Ng CA, Trier X, Wang Z (2020) An overview of the uses of per- and polyfluoroalkyl substances (PFAS). Environmental Science: Processes &amp; Impacts 22 (12):2345-2373. doi:10.1039/d0em00291g</t>
  </si>
  <si>
    <t>PFOSAmS (n = 8) [10]
N-TamP-FASA  [4]
TAmPr-FASA [11]</t>
  </si>
  <si>
    <t>N-CMAmP-FASA  [4]
PFOSB (n = 8) [15]
CMeAmPr-FASA [11]</t>
  </si>
  <si>
    <t>N-SP-FASA  [4]
SPr-FASA [16]</t>
  </si>
  <si>
    <t>n:2 FTS [17]</t>
  </si>
  <si>
    <t>CMAmEt-FA  [4,18]</t>
  </si>
  <si>
    <t>CmAmB-FA  [4,18]</t>
  </si>
  <si>
    <t xml:space="preserve">n:2 FTSA [11]
</t>
  </si>
  <si>
    <t>N-Et-n:2 FTSAm [19]</t>
  </si>
  <si>
    <t>n:2 FTSAm-AcAL [19]</t>
  </si>
  <si>
    <t>n:2 FTSAm-EtOH [19]</t>
  </si>
  <si>
    <t>n:2 FTUAA [19]</t>
  </si>
  <si>
    <t>n:2 FTSAm-Conjunct-2 [19]</t>
  </si>
  <si>
    <t>n:2 FTSAm-Conjunct-1 [19]</t>
  </si>
  <si>
    <t>Ketone-n:2 FTSA [19]</t>
  </si>
  <si>
    <t>n:3 FTU amides [19]</t>
  </si>
  <si>
    <t>n:2 FTSO2PA [4]
X:2 FTSO2PrA [11]</t>
  </si>
  <si>
    <t>n:2 FTSO2-OHPrTAm [11]</t>
  </si>
  <si>
    <t>6:2 FTSeAm [19] 
X:2 FTSA-Pr-MeAn [11]
n:2 FTSAPr-DiMeAn-CH2 [20]
n:2 demethyl-FTA [18]</t>
  </si>
  <si>
    <t xml:space="preserve">n:2 FtSaAm [9]
N-AP-n:2 FASA [4]
n:2 FTSAPr-DiMeAn [11]
n:2 FTAA [21]
n:2 FTA [15]
n:2 FTSAPr-DiMeAn [22]
</t>
  </si>
  <si>
    <t>n:2 FTNO [15]
Capstone A (n = 6) [23]
n:2 FTSA-PrAmO [17]</t>
  </si>
  <si>
    <t>n:2 FTAB [24]
Forafac 1157 (n = 6) [24]
n:2 FTSaB [9]
CMAmP-n:2 FASA [4]
Capstone B (n = 6) [23]
n:2 FTSA-PrMB [20]</t>
  </si>
  <si>
    <t>n:2 FtTHN+ [9]
n:2 FTSHA [25]
n:2 FTTh-OHPrTAm [11]</t>
  </si>
  <si>
    <t>n:2 FTSHA-sulfoxide [15,26]
n:2 FTSO-OHPrTAm [11]</t>
  </si>
  <si>
    <t>n:2 FtTAoS  [9,27]
n:2 FTSAS [15]
n:2 FAThPA-MePS [4]
n:2 FTTh-PrAd-DiMeEtS [11]
Lodyne [27]</t>
  </si>
  <si>
    <t xml:space="preserve">n:2 FtSOAoS [27]
n:2 FTSAS-sulfoxide [15]
</t>
  </si>
  <si>
    <t>n:2 FtSO2AoS [27]
n:2 FTSO2PrAd-DiMeEtS [11]</t>
  </si>
  <si>
    <t>1HO-n:2 FTS [4]
1OH-n:2 FTS [20]
OH-n:2 FTSA [19]</t>
  </si>
  <si>
    <t>15. Mejia-Avendaño S, Munoz G, Vo Duy S, Desrosiers M, Benoı̂T P, Sauvé S, Liu J (2017) Novel Fluoroalkylated Surfactants in Soils Following Firefighting Foam Deployment During the Lac-Mégantic Railway Accident. Environ Sci Technol 51 (15):8313-8323. doi:10.1021/acs.est.7b02028</t>
  </si>
  <si>
    <t>16. Nickerson A, Maizel AC, Olivares CI, Schaefer CE, Higgins CP (2021) Simulating Impacts of Biosparging on Release and Transformation of Poly- and Perfluorinated Alkyl Substances from Aqueous Film-Forming Foam-Impacted Soil. Environ Sci Technol 55 (23):15744-15753. doi:10.1021/acs.est.1c03448</t>
  </si>
  <si>
    <t>17. Liu M, Glover CM, Munoz G, Duy SV, Sauve S, Liu J (2024) Hunting the missing fluorine in aqueous film-forming foams containing per- and polyfluoroalkyl substances. J Hazard Mater 464:133006. doi:10.1016/j.jhazmat.2023.133006</t>
  </si>
  <si>
    <t>18. Liu M, Munoz G, Vo Duy S, Sauvé S, Liu J (2022) Per- and Polyfluoroalkyl Substances in Contaminated Soil and Groundwater at Airports: A Canadian Case Study. Environ Sci Technol 56 (2):885-895. doi:10.1021/acs.est.1c04798</t>
  </si>
  <si>
    <t>19. Fang B, Zhang Y, Chen H, Qiao B, Yu H, Zhao M, Gao M, Li X, Yao Y, Zhu L, Sun H (2024) Stability and Biotransformation of 6:2 Fluorotelomer Sulfonic Acid, Sulfonamide Amine Oxide, and Sulfonamide Alkylbetaine in Aerobic Sludge. Environ Sci Technol 58 (5):2446-2457. doi:10.1021/acs.est.3c05506</t>
  </si>
  <si>
    <t>20. Luo Y-S, Aly NA, McCord J, Strynar MJ, Chiu WA, Dodds JN, Baker ES, Rusyn I (2020) Rapid Characterization of Emerging Per- and Polyfluoroalkyl Substances in Aqueous Film-Forming Foams Using Ion Mobility Spectrometry–Mass Spectrometry. Environ Sci Technol 54 (23):15024-15034. doi:10.1021/acs.est.0c04798</t>
  </si>
  <si>
    <t>21. D'Agostino LA, Mabury SA (2017) Aerobic biodegradation of 2 fluorotelomer sulfonamide–based aqueous film–forming foam components produces perfluoroalkyl carboxylates. Environmental toxicology and chemistry 36 (8):2012-2021</t>
  </si>
  <si>
    <t>22. Liu M, Munoz G, Vo Duy S, Sauvé S, Liu J (2021) Stability of Nitrogen-Containing Polyfluoroalkyl Substances in Aerobic Soils. Environ Sci Technol 55 (8):4698-4708. doi:10.1021/acs.est.0c05811</t>
  </si>
  <si>
    <t>23. Cornelsen M, Weber R, Panglisch S (2021) Minimizing the environmental impact of PFAS by using specialized coagulants for the treatment of PFAS polluted waters and for the decontamination of firefighting equipment. Emerging Contaminants 7:63-76</t>
  </si>
  <si>
    <t>24. Moe MK, Huber S, Svenson J, Hagenaars A, Pabon M, Trümper M, Berger U, Knapen D, Herzke D (2012) The structure of the fire fighting foam surfactant Forafac®1157 and its biological and photolytic transformation products. Chemosphere 89 (7):869-875. doi:https://doi.org/10.1016/j.chemosphere.2012.05.012</t>
  </si>
  <si>
    <t>25. D’Agostino LA, Mabury SA (2014) Identification of Novel Fluorinated Surfactants in Aqueous Film Forming Foams and Commercial Surfactant Concentrates. Environ Sci Technol 48 (1):121-129. doi:10.1021/es403729e</t>
  </si>
  <si>
    <t>26. D’Agostino LA, Mabury SA (2017) Certain Perfluoroalkyl and Polyfluoroalkyl Substances Associated with Aqueous Film Forming Foam Are Widespread in Canadian Surface Waters. Environ Sci Technol 51 (23):13603-13613. doi:10.1021/acs.est.7b03994</t>
  </si>
  <si>
    <t>27. Harding-Marjanovic KC, Houtz EF, Yi S, Field JA, Sedlak DL, Alvarez-Cohen L (2015) Aerobic Biotransformation of Fluorotelomer Thioether Amido Sulfonate (Lodyne) in AFFF-Amended Microcosms. Environ Sci Technol 49 (13):7666-7674. doi:10.1021/acs.est.5b01219</t>
  </si>
  <si>
    <t>U-n:2 FTSAs</t>
  </si>
  <si>
    <t>U-6:2 FTSA</t>
  </si>
  <si>
    <t>U-8:2 FTSA</t>
  </si>
  <si>
    <t>n:2 FTUSA [19]</t>
  </si>
  <si>
    <t>6:2 FTSAm-KAmPe</t>
  </si>
  <si>
    <t>6:2 FTSAm-KAmMePe</t>
  </si>
  <si>
    <t>U-5:3 FTAd</t>
  </si>
  <si>
    <t>U-n:3 FTAds</t>
  </si>
  <si>
    <t>U-7:3 FTAd</t>
  </si>
  <si>
    <t>in soil and groundwater [8]</t>
  </si>
  <si>
    <t>in soil [1,2] and spiked soil [3] 
readily biodgradable [4]</t>
  </si>
  <si>
    <t>in soil [11]</t>
  </si>
  <si>
    <t>in soil [2]</t>
  </si>
  <si>
    <t xml:space="preserve">n = 4, 5, 6: 3M [5,6]
n = 3-14: Angus (N-4210-21-900-4823 3), 3M, 1999 FC-203FC Lightwater Brand AFFF [7]
apart from PFOS, PFHxS and AmPr-FASA-Pra (not detected here) most predominant species in AFFF [4]
</t>
  </si>
  <si>
    <t xml:space="preserve">n = 5, 7, 9: Buckeye [5,6,9]
n = 5, 7, 9, 11,13: Ansulite but n = 5 &amp; n = 7 most abundant [10]
n = 5, 7, 9, 11, 13, 15: Ansulite 3% AFFF DC-3 [7]
</t>
  </si>
  <si>
    <t>n = 5, 7, 9: Buckeye [5,6,9]
n = 5,7,9,11,13: Ansulite [10]
n = 5, 7, 9, 11, 13: Ansulite 3% AFFF DC-3 [7]</t>
  </si>
  <si>
    <t>n/m = 6/6: Fire Stopper [15]</t>
  </si>
  <si>
    <t>n = 6: Solberg [15]</t>
  </si>
  <si>
    <t>n = 6, 8, 10, 12: National Foam [6,9,12]
n = 6, 8: Fireade [6]
n = 6: Fire Service plus [8,9]
n = 6, 8: Hazard Control Tech.(F-500,1997), Angus (Tridol S, 2004), Angus Fire, (Niagara 1-3, 2000) [7]
n = 10, 12: Hazard Control Tech.(F-500, 1997), Angus (Forexpan, 1997) [13]
n = 4: Angus (Forexpan, 1997) [13]
National Foam &amp; Arctiv Foam n = 6,8,10,12,14 [10] C6 &amp; C8 most abundant one of the 14 most abundant PFAS in contemporary AFFF [14]
together with FtTAoS highest detection frequency in FT-AFFF [4]
FireStopper [15]</t>
  </si>
  <si>
    <t>in soil [2,4,16] and sediment [17]</t>
  </si>
  <si>
    <t>in soil [11], as intermediate in the biodegradation of 6:2 FTSA [18] and from other different precursors [19,20]</t>
  </si>
  <si>
    <t>in soil [2,11]
synthetic byproduct and/or TP of fluorotelomer based AFFF PFAS such as FTSAm-Pr-B [10]</t>
  </si>
  <si>
    <t>in soil [21]</t>
  </si>
  <si>
    <t>in soil [2]
high stability in the environment [4]</t>
  </si>
  <si>
    <t>n = 6, 8, 10, 12, 14: Ansulite#1 [10]
n = 6, 8, 10: Buckeye Fire Equipment (2009) [12]</t>
  </si>
  <si>
    <t>n = 4, 6, 8,10: Ansulite [10]
n = 4, 6, 8: Buckeye Fire equipment 2009 [12]</t>
  </si>
  <si>
    <t>in soil [2], AFFF impacted water and sediment [22], and soil from an oil refinery [23]
secondary precursor FTSAm-Pr-DiMeNO (In-House)</t>
  </si>
  <si>
    <t>Chemguard, FireAde, Fometic, Solberg, Tridol [15]</t>
  </si>
  <si>
    <t>in soil [2,16], activated sludge [28], in PFOSAm-Pr-B-spiked live, and sterile soil extracts [29]</t>
  </si>
  <si>
    <t>n = 2-7: (AFFF not specified) [12]</t>
  </si>
  <si>
    <t>in soil [11,16] and landfill leachate [30]</t>
  </si>
  <si>
    <t>in soil [2]
high persistence to biodegradation [4]</t>
  </si>
  <si>
    <t>in soil [2] and groundwater [25,31]</t>
  </si>
  <si>
    <t>m/z (835.9485) found in groundwater [25]</t>
  </si>
  <si>
    <t>in soil ([2]) and as transformation product of 6:2 FTSAm-Pr-DiMeNO [19] and 6:2 FTSAm-Pr-B [32]</t>
  </si>
  <si>
    <t>in soil [11], water, and sediment [22]
synthetic intermediate and/or TP of FT derived PFAS such as 6:2 FTSAm-Pr-B [4,10]</t>
  </si>
  <si>
    <t>in aerobic sludge [19]</t>
  </si>
  <si>
    <t>in sludge [19] and as transformation product of 6:2 FTSAm-Pr-DiMeAm [33] and 6:2 FTSAm-Pr-DiMeNO [19]</t>
  </si>
  <si>
    <t>in soil [2] and groundwater [12]
likely TP of FT AFFF precursor [12]</t>
  </si>
  <si>
    <t>n = 6: Ansul [6]
n = 6: Angus [6]
n = 4, 6, 8: Hazard Control Tech., (F-500, 1997 ), Angus (Tridol S), Ansul (Ansulite 3% AFFF DC-3, 2002), Angus (Niagara 1-3), Ansul (Ansulite ARC, 2006 ) [7] 
n = 4, 6, 8, 10 Ansulite#2 (Oxidation byproduct) [10] 
Hazard Control Tech, Angus Fire (2004 &amp; 2000), Ansul 2002, 2006 [13]
One of the 14 most abundant PFAS in contemporary AFFF [14]</t>
  </si>
  <si>
    <t>U-E-PFSAs: in soil [21]
K-PFSAs: in soil [2,16]</t>
  </si>
  <si>
    <t>n = 4, 6, 8, 10: Ansulite#1 [10]</t>
  </si>
  <si>
    <t>in soil [2] and groundwater [12]</t>
  </si>
  <si>
    <t>in soil [2,16] and groundwater [31]</t>
  </si>
  <si>
    <t>Solberg [15]
n = 4, 6, 8: Ansul [5,6,9] 
n = 4, 6, 8: Chemguard [5,6,9] 
n = 4, 6: Angus (Angus 2002) [6,9]
n = 4, 6, 8: Hazard Control Tech., (F-500, 1997), Angus (Tridol S), Ansul (Ansulite 3% AFFF DC-3, 2002), Angus (Niagara 1-3), Ansul, (Ansulite ARC, 2006) [7]
n = 4, 6, 8, 10: Ansulite#2 [10]
One of the 14 most abundant PFAS in contemporary AFFF [14]
Together with FTSAm-Pr-B highest detection frequency in FT-AFFF [4]</t>
  </si>
  <si>
    <t>in soil [34], water [35-37], sewage sludge, river sediment [37], and as transformation product of Cl-PFESA [38]</t>
  </si>
  <si>
    <t>in soil [39]</t>
  </si>
  <si>
    <t>1. Munoz G, Ray P, Mejia-Avendano S, Vo Duy S, Tien Do D, Liu J, Sauve S (2018) Optimization of extraction methods for comprehensive profiling of perfluoroalkyl and polyfluoroalkyl substances in firefighting foam impacted soils. Anal Chim Acta 1034:74-84. doi:10.1016/j.aca.2018.06.046</t>
  </si>
  <si>
    <t>2. Nickerson A, Maizel AC, Kulkarni PR, Adamson DT, Kornuc JJ, Higgins CP (2020) Enhanced Extraction of AFFF-Associated PFASs from Source Zone Soils. Environ Sci Technol 54 (8):4952-4962. doi:10.1021/acs.est.0c00792</t>
  </si>
  <si>
    <t>3. Mejia-Avendaño S, Vo Duy S, Sauvé S, Liu J (2016) Generation of Perfluoroalkyl Acids from Aerobic Biotransformation of Quaternary Ammonium Polyfluoroalkyl Surfactants. Environ Sci Technol 50 (18):9923-9932. doi:10.1021/acs.est.6b00140</t>
  </si>
  <si>
    <t>4. Yan PF, Dong S, Pennell KD, Capiro NL (2024) A review of the occurrence and microbial transformation of per- and polyfluoroalkyl substances (PFAS) in aqueous film-forming foam (AFFF)-impacted environments. Sci Total Environ 927:171883. doi:10.1016/j.scitotenv.2024.171883</t>
  </si>
  <si>
    <t>5. Houtz EF, Higgins CP, Field JA, Sedlak DL (2013) Persistence of Perfluoroalkyl Acid Precursors in AFFF-Impacted Groundwater and Soil. Environ Sci Technol 47 (15):8187-8195. doi:10.1021/es4018877</t>
  </si>
  <si>
    <t>6. Place BJ, Field JA (2012) Identification of Novel Fluorochemicals in Aqueous Film-Forming Foams Used by the US Military. Environ Sci Technol 46 (13):7120-7127. doi:10.1021/es301465n</t>
  </si>
  <si>
    <t>7. D'Agostino LA, Mabury SA (2014) Identification of Novel Fluorinated Surfactants in Aqueous Film Forming Foams and Commercial Surfactant Concentrates. Environ Sci Technol 48 (1):121-129. doi:10.1021/es403729e</t>
  </si>
  <si>
    <t>8. Liu M, Munoz G, Vo Duy S, Sauvé S, Liu J (2022) Per- and Polyfluoroalkyl Substances in Contaminated Soil and Groundwater at Airports: A Canadian Case Study. Environ Sci Technol 56 (2):885-895. doi:10.1021/acs.est.1c04798</t>
  </si>
  <si>
    <t>10. Liu M, Glover CM, Munoz G, Duy SV, Sauve S, Liu J (2024) Hunting the missing fluorine in aqueous film-forming foams containing per- and polyfluoroalkyl substances. J Hazard Mater 464:133006. doi:10.1016/j.jhazmat.2023.133006</t>
  </si>
  <si>
    <t>11. Mejia-Avendaño S, Munoz G, Vo Duy S, Desrosiers M, Benoı̂T P, Sauvé S, Liu J (2017) Novel Fluoroalkylated Surfactants in Soils Following Firefighting Foam Deployment During the Lac-Mégantic Railway Accident. Environ Sci Technol 51 (15):8313-8323. doi:10.1021/acs.est.7b02028</t>
  </si>
  <si>
    <t>12. Barzen-Hanson KA, Roberts SC, Choyke S, Oetjen K, McAlees A, Riddell N, McCrindle R, Ferguson PL, Higgins CP, Field JA (2017) Discovery of 40 Classes of Per- and Polyfluoroalkyl Substances in Historical Aqueous Film-Forming Foams (AFFFs) and AFFF-Impacted Groundwater. Environ Sci Technol 51 (4):2047-2057. doi:10.1021/acs.est.6b05843</t>
  </si>
  <si>
    <t>13. Weiner B, Yeung LW, Marchington EB, D’Agostino LA, Mabury SA (2013) Organic fluorine content in aqueous film forming foams (AFFFs) and biodegradation of the foam component 6: 2 fluorotelomermercaptoalkylamido sulfonate (6: 2 FTSAS). Environmental Chemistry 10 (6):486-493</t>
  </si>
  <si>
    <t>14. Ruyle BJ, Thackray CP, McCord JP, Strynar MJ, Mauge-Lewis KA, Fenton SE, Sunderland EM (2021) Reconstructing the Composition of Per- and Polyfluoroalkyl Substances in Contemporary Aqueous Film-Forming Foams. Environ Sci Technol Lett 8 (1):59-65. doi:10.1021/acs.estlett.0c00798</t>
  </si>
  <si>
    <t>15. Luo Y-S, Aly NA, McCord J, Strynar MJ, Chiu WA, Dodds JN, Baker ES, Rusyn I (2020) Rapid Characterization of Emerging Per- and Polyfluoroalkyl Substances in Aqueous Film-Forming Foams Using Ion Mobility Spectrometry–Mass Spectrometry. Environ Sci Technol 54 (23):15024-15034. doi:10.1021/acs.est.0c04798</t>
  </si>
  <si>
    <t>16. Maizel AC, Shea S, Nickerson A, Schaefer C, Higgins CP (2021) Release of Per- and Polyfluoroalkyl Substances from Aqueous Film-Forming Foam Impacted Soils. Environ Sci Technol 55 (21):14617-14627. doi:10.1021/acs.est.1c02871</t>
  </si>
  <si>
    <t>17. Benskin JP (2011) Application of Perfluorinated Acid Isomer Profiles for Manufacturing and Exposure Source Determination.</t>
  </si>
  <si>
    <t>18. Calore F, Guolo PP, Wu J, Xu Q, Lu J, Marcomini A (2023) Legacy and novel PFASs in wastewater, natural water, and drinking water: Occurrence in Western Countries vs China. Emerging Contaminants:100228. doi:https://doi.org/10.1016/j.emcon.2023.100228</t>
  </si>
  <si>
    <t>20. Harding-Marjanovic KC, Houtz EF, Yi S, Field JA, Sedlak DL, Alvarez-Cohen L (2015) Aerobic Biotransformation of Fluorotelomer Thioether Amido Sulfonate (Lodyne) in AFFF-Amended Microcosms. Environ Sci Technol 49 (13):7666-7674. doi:10.1021/acs.est.5b01219</t>
  </si>
  <si>
    <t>21. Zweigle J, Bugsel B, Röhler K, Haluska AA, Zwiener C (2023) PFAS-Contaminated Soil Site in Germany: Nontarget Screening before and after Direct TOP Assay by Kendrick Mass Defect and FindPFΔS. Environ Sci Technol 57 (16):6647-6655. doi:10.1021/acs.est.2c07969</t>
  </si>
  <si>
    <t>22. D'Agostino LA, Mabury SA (2017) Certain Perfluoroalkyl and Polyfluoroalkyl Substances Associated with Aqueous Film Forming Foam Are Widespread in Canadian Surface Waters. Environ Sci Technol 51 (23):13603-13613. doi:10.1021/acs.est.7b03994</t>
  </si>
  <si>
    <t>23. Zhao M, Yao Y, Dong X, Baqar M, Fang B, Chen H, Sun H (2023) Nontarget Identification of Novel Per- and Polyfluoroalkyl Substances (PFAS) in Soils from an Oil Refinery in Southwestern China: A Combined Approach with TOP Assay. Environ Sci Technol 57 (48):20194-20205. doi:10.1021/acs.est.3c05859</t>
  </si>
  <si>
    <t>24. Hao S, Choi Y-J, Wu B, Higgins CP, Deeb R, Strathmann TJ (2021) Hydrothermal Alkaline Treatment for Destruction of Per- and Polyfluoroalkyl Substances in Aqueous Film-Forming Foam. Environ Sci Technol 55 (5):3283-3295. doi:10.1021/acs.est.0c06906</t>
  </si>
  <si>
    <t>25. Yukioka S (2020) Study on Suspect and Non-Target Screening of Per-and Polyfluoroalkyl Substances (PFASs) by Ion Mobility Mass Spectrometry.</t>
  </si>
  <si>
    <t>26. Houtz E, Wang M, Park J-S (2018) Identification and Fate of Aqueous Film Forming Foam Derived Per- and Polyfluoroalkyl Substances in a Wastewater Treatment Plant. Environ Sci Technol 52 (22):13212-13221. doi:10.1021/acs.est.8b04028</t>
  </si>
  <si>
    <t>27. Olivares CI, Yi S, Cook EK, Choi YJ, Montagnolli R, Byrne A, Higgins CP, Sedlak DL, Alvarez-Cohen L (2022) Aerobic BTEX biodegradation increases yield of perfluoroalkyl carboxylic acids from biotransformation of a polyfluoroalkyl surfactant, 6:2 FtTAoS. Environmental Science: Processes &amp; Impacts 24 (3):439-446. doi:10.1039/d1em00494h</t>
  </si>
  <si>
    <t>28. Rhoads KR, Janssen EM, Luthy RG, Criddle CS (2008) Aerobic biotransformation and fate of N-ethyl perfluorooctane sulfonamidoethanol (N-EtFOSE) in activated sludge. Environ Sci Technol 42 (8):2873-2878. doi:10.1021/es702866c</t>
  </si>
  <si>
    <t>29. Liu M, Munoz G, Vo Duy S, Sauvé S, Liu J (2021) Stability of Nitrogen-Containing Polyfluoroalkyl Substances in Aerobic Soils. Environ Sci Technol 55 (8):4698-4708. doi:10.1021/acs.est.0c05811</t>
  </si>
  <si>
    <t>30. Allred BM, Lang JR, Barlaz MA, Field JA (2014) Orthogonal zirconium diol/C18 liquid chromatography–tandem mass spectrometry analysis of poly and perfluoroalkyl substances in landfill leachate. Journal of Chromatography A 1359:202-211. doi:https://doi.org/10.1016/j.chroma.2014.07.056</t>
  </si>
  <si>
    <t>31. Ghorbani Gorji S, Gómez Ramos MJ, Dewapriya P, Schulze B, Mackie R, Nguyen TMH, Higgins CP, Bowles K, Mueller JF, Thomas KV, Kaserzon SL (2024) New PFASs Identified in AFFF Impacted Groundwater by Passive Sampling and Nontarget Analysis. Environ Sci Technol 58 (3):1690-1699. doi:10.1021/acs.est.3c06591</t>
  </si>
  <si>
    <t>32. Moe MK, Huber S, Svenson J, Hagenaars A, Pabon M, Trümper M, Berger U, Knapen D, Herzke D (2012) The structure of the fire fighting foam surfactant Forafac®1157 and its biological and photolytic transformation products. Chemosphere 89 (7):869-875. doi:https://doi.org/10.1016/j.chemosphere.2012.05.012</t>
  </si>
  <si>
    <t>33. D'Agostino LA, Mabury SA (2017) Aerobic biodegradation of 2 fluorotelomer sulfonamide–based aqueous film–forming foam components produces perfluoroalkyl carboxylates. Environmental toxicology and chemistry 36 (8):2012-2021</t>
  </si>
  <si>
    <t>34. Feng X, Yi S, Shan G, Chen X, Yang Y, Yang L, Jia Y, Zhu Y, Zhu L (2023) Occurrence of perfluoroalkyl substances in the environment compartments near a mega fluorochemical industry: Implication of specific behaviors and emission estimation. Journal of Hazardous Materials 445:130473. doi:https://doi.org/10.1016/j.jhazmat.2022.130473</t>
  </si>
  <si>
    <t>35. Pan Y, Zhang H, Cui Q, Sheng N, Yeung LWY, Sun Y, Guo Y, Dai J (2018) Worldwide Distribution of Novel Perfluoroether Carboxylic and Sulfonic Acids in Surface Water. Environ Sci Technol 52 (14):7621-7629. doi:10.1021/acs.est.8b00829</t>
  </si>
  <si>
    <t>36. Qiao B, Song D, Fang B, Yu H, Li X, Zhao L, Yao Y, Zhu L, Chen H, Sun H (2023) Nontarget Screening and Fate of Emerging Per- and Polyfluoroalkyl Substances in Wastewater Treatment Plants in Tianjin, China. Environ Sci Technol 57 (48):20127-20137. doi:10.1021/acs.est.3c03997</t>
  </si>
  <si>
    <t>37. Lin Y, Ruan T, Liu A, Jiang G (2017) Identification of Novel Hydrogen-Substituted Polyfluoroalkyl Ether Sulfonates in Environmental Matrices near Metal-Plating Facilities. Environ Sci Technol 51 (20):11588-11596. doi:10.1021/acs.est.7b02961</t>
  </si>
  <si>
    <t>38. Yi S, Morson N, Edwards EA, Yang D, Liu R, Zhu L, Mabury SA (2022) Anaerobic Microbial Dechlorination of 6:2 Chlorinated Polyfluorooctane Ether Sulfonate and the Underlying Mechanisms. Environ Sci Technol 56 (2):907-916. doi:10.1021/acs.est.1c05475</t>
  </si>
  <si>
    <t>39. Nason SL, Koelmel J, Zuverza-Mena N, Stanley C, Tamez C, Bowden JA, Godri Pollitt KJ (2021) Software Comparison for Nontargeted Analysis of PFAS in AFFF-Contaminated Soil. Journal of the American Society for Mass Spectrometry 32 (4):840-846. doi:10.1021/jasms.0c00261</t>
  </si>
  <si>
    <t>n = 1-10: 3M (1989, 1993a/b, 1998, FC-95, FC-129) [12]</t>
  </si>
  <si>
    <t>n = 3-6: 3M (1988, 1989) [12]</t>
  </si>
  <si>
    <t>K-PFSAs: n = 3-8: 3M (1988,1989, 1993a&amp;b, 1998, 2001) [12]</t>
  </si>
  <si>
    <t>n = 3-9: 3M (1988, 1989, 1992a&amp;b, 2001, FC-95) [12]</t>
  </si>
  <si>
    <t>in soil [2], groundwater [25], wastewater treatment plant [26], as intermediate product of n:2 FTTh-Pr-Ad-DiMeEtSAs in microcosms [20], and in aerobic microcosm studies by inoculating AFFF-impacted soil [27]</t>
  </si>
  <si>
    <t>in AFFF impacted soil [16], groundwater [12], and drinking water [10]; likely TP of FT AFFF precursor [12]</t>
  </si>
  <si>
    <t>not detected in investigated AFFF [13]</t>
  </si>
  <si>
    <t>in FireStopper and Tridol [15]</t>
  </si>
  <si>
    <t>National Foam n = ? [6,9,12]
n = 6, 8: Fireade [6]
n = 6, 8: Fire Service plus [9]
n = 6: Hazard Control Tech. (F-500, 1997), Angus (Tridol S, 2004), Angus (Niagara 1-3, 2000) [7]
n = 8: Hazard Control Tech. (F-500, 1997), Angus 1997, Forexpan [7]
n = 6, 8, 10,1 2: National Foam and Arctiv Foam [10] 
n = 6: Solberg Arctic U.U. type 6 (6&amp;) MIL SPEC AFFF [15]</t>
  </si>
  <si>
    <t>n = 1-8: 3M (1988, 1989, 1993a &amp; b, 1998, 2001) [12]</t>
  </si>
  <si>
    <t>n = 3-8: 3M (1988, 1989, 1993a &amp;b, 1998, 2001) [12]
Unclear if used as major ingredient in AFFF [4]</t>
  </si>
  <si>
    <t xml:space="preserve">Ansul (Ansulite Anulite ARC) impurity [6,7]
Unnamed AFFF [24]
n = 2-8: Lightwater (030, 032, 038, 047, 059) [10]
in Chemguard, Fometic &amp; Solberg [15] </t>
  </si>
  <si>
    <t>n = 6, 8: Ansul (Ansulite Anulite ARC) [6,7]
n = 4, 6, 8,10: Ansulite#2 (oxidation byproduct) [10]
one of the 14 most abundant PFAS in contemporary AFFF [14]</t>
  </si>
  <si>
    <t>n = 6, 8: Ansul [5,6]
n = 4, 6, 8, 10: Ansul (Ansulite Ansulite ARC) [6,7]
n = 6, 8: Angus [6,9]
n = 4, 6, 8, 10 Ansulite#2 [10]
one of the 14 most abundant PFAS in contemporary AFFF [14]</t>
  </si>
  <si>
    <t>n = 3-6: 3M (1993a &amp; b, 1998, 2001) [12]
unclear if used as major ingredient in AFFF [4]</t>
  </si>
  <si>
    <t>n = 10, 12, 14: National Foam (2003) [12]
n = 6, 8, 10, 12: Ansulite (Dorval), National Foam (103, 008, 013, 017), Arctic Foam (069, 071, 072, 074, 075, 076, 087, 091) [10] (synthesis byproduct)
n = 6: one of the 14 most abundant PFAS in contemporary AFFF [14]
widely detected in AFFF [4]</t>
  </si>
  <si>
    <t xml:space="preserve">detected at low levels in AFFF [4]
</t>
  </si>
  <si>
    <t>n = 3-6, 8, 9: Lightwater (030, 032, 038, 047, 053, 059 and 3M062) [10]
occurence in low concentrations: transfomration during storage of AFFF? [4]</t>
  </si>
  <si>
    <t>n = 6, 7, 8: 3M [6]
n = 4-10: 3M (1989, 1993a/b, 1998, 2001) [9]
n = 4, 6, 8: Angus Fire (Niagara, 2000), 3M (2005 &amp; 1999) [13]
n = 4, 6, 8, 10: Angus Fire (unknown) [13]
PFOS: Higher level in AFFF than any other PFAS in ECF-based PFAS and most dominant in AFFF impacted soils. Second most PFAS: PFHxS [4]</t>
  </si>
  <si>
    <t>no PFCAs found in investigated AFFF [6]
before 1988: PFCAs in AFFF, after that: only trace levels [8]
n = 4-8: 3M (1989, 1993a/b, 1998, 2001) [9]
n = 4-8: Angus Fire (Niagara 1-3, 2000) [13]
n = 4-8: Angus Fire (not specified), 3M (2005 &amp; 1999) [13]</t>
  </si>
  <si>
    <t>n = 6: National Foam, Arctic Foam 087 &amp; 072 [10]
n = 6: FireStopper [15]
one of the 14 most abundant PFAS in contemporary AFFF [14]</t>
  </si>
  <si>
    <t>OH-8:2 FTSA</t>
  </si>
  <si>
    <r>
      <t xml:space="preserve">PFCA
</t>
    </r>
    <r>
      <rPr>
        <i/>
        <sz val="8"/>
        <color theme="1"/>
        <rFont val="Arial"/>
        <family val="2"/>
      </rPr>
      <t>Perfluoro carboxylic acid</t>
    </r>
  </si>
  <si>
    <r>
      <t xml:space="preserve">PFSA
</t>
    </r>
    <r>
      <rPr>
        <i/>
        <sz val="8"/>
        <color theme="1"/>
        <rFont val="Arial"/>
        <family val="2"/>
      </rPr>
      <t>Perfluoro sulfonic acid</t>
    </r>
  </si>
  <si>
    <r>
      <t xml:space="preserve">U-PFSA
</t>
    </r>
    <r>
      <rPr>
        <i/>
        <sz val="8"/>
        <color theme="1"/>
        <rFont val="Arial"/>
        <family val="2"/>
      </rPr>
      <t>Unsaturated perfluoro sulfonic acid</t>
    </r>
  </si>
  <si>
    <r>
      <t xml:space="preserve">SF5-PFSA
</t>
    </r>
    <r>
      <rPr>
        <i/>
        <sz val="8"/>
        <color theme="1"/>
        <rFont val="Arial"/>
        <family val="2"/>
      </rPr>
      <t>Pentafluorosulfanyl perfluoro sulfonic acid</t>
    </r>
  </si>
  <si>
    <r>
      <t xml:space="preserve">SF5-U-PFSA
</t>
    </r>
    <r>
      <rPr>
        <i/>
        <sz val="8"/>
        <color theme="1"/>
        <rFont val="Arial"/>
        <family val="2"/>
      </rPr>
      <t>Pentafluorosulfanyl unsaturated perfluoro sulfonic acid</t>
    </r>
  </si>
  <si>
    <r>
      <t xml:space="preserve">Cl-PFSA
</t>
    </r>
    <r>
      <rPr>
        <i/>
        <sz val="8"/>
        <color theme="1"/>
        <rFont val="Arial"/>
        <family val="2"/>
      </rPr>
      <t>Chloro substituted perfluoro sulfonic acid</t>
    </r>
  </si>
  <si>
    <r>
      <t xml:space="preserve">U-E-PFSA
</t>
    </r>
    <r>
      <rPr>
        <i/>
        <sz val="8"/>
        <rFont val="Arial"/>
        <family val="2"/>
      </rPr>
      <t>Unsaturated ether perfluoro sulfonic acid</t>
    </r>
  </si>
  <si>
    <r>
      <t xml:space="preserve">H-PFSA
</t>
    </r>
    <r>
      <rPr>
        <i/>
        <sz val="8"/>
        <rFont val="Arial"/>
        <family val="2"/>
      </rPr>
      <t>H-substituted perfluoro sulfonic acid</t>
    </r>
  </si>
  <si>
    <r>
      <t xml:space="preserve">H-E-PFSA
</t>
    </r>
    <r>
      <rPr>
        <i/>
        <sz val="8"/>
        <rFont val="Arial"/>
        <family val="2"/>
      </rPr>
      <t>H-substituted ether perfluoro sulfonic acid</t>
    </r>
  </si>
  <si>
    <r>
      <t xml:space="preserve">K-PFSA
</t>
    </r>
    <r>
      <rPr>
        <i/>
        <sz val="8"/>
        <rFont val="Arial"/>
        <family val="2"/>
      </rPr>
      <t>Ketone perfluoro sulfonic acid</t>
    </r>
  </si>
  <si>
    <r>
      <t xml:space="preserve">n:3 FTCA
</t>
    </r>
    <r>
      <rPr>
        <i/>
        <sz val="8"/>
        <color theme="1"/>
        <rFont val="Arial"/>
        <family val="2"/>
      </rPr>
      <t>n:3 fluorotelomer carboxylic acid</t>
    </r>
  </si>
  <si>
    <r>
      <rPr>
        <sz val="8"/>
        <color theme="1"/>
        <rFont val="Arial"/>
        <family val="2"/>
      </rPr>
      <t>n:2 FTSA</t>
    </r>
    <r>
      <rPr>
        <i/>
        <sz val="8"/>
        <color theme="1"/>
        <rFont val="Arial"/>
        <family val="2"/>
      </rPr>
      <t xml:space="preserve">
n:2 fluorotelomer sulfonic acid</t>
    </r>
  </si>
  <si>
    <r>
      <rPr>
        <sz val="8"/>
        <color rgb="FF000000"/>
        <rFont val="Arial"/>
        <family val="2"/>
      </rPr>
      <t>n:1:2 FTB</t>
    </r>
    <r>
      <rPr>
        <i/>
        <sz val="8"/>
        <color rgb="FF000000"/>
        <rFont val="Arial"/>
        <family val="2"/>
      </rPr>
      <t xml:space="preserve">
n:1:2 fluorotelomer betaine</t>
    </r>
  </si>
  <si>
    <r>
      <rPr>
        <sz val="8"/>
        <color theme="1"/>
        <rFont val="Arial"/>
        <family val="2"/>
      </rPr>
      <t>n:1:3 FTB</t>
    </r>
    <r>
      <rPr>
        <i/>
        <sz val="8"/>
        <color theme="1"/>
        <rFont val="Arial"/>
        <family val="2"/>
      </rPr>
      <t xml:space="preserve">
n:1:3 fluorotelomer betaine</t>
    </r>
  </si>
  <si>
    <r>
      <rPr>
        <sz val="8"/>
        <color theme="1"/>
        <rFont val="Arial"/>
        <family val="2"/>
      </rPr>
      <t>n:2 FTB</t>
    </r>
    <r>
      <rPr>
        <i/>
        <sz val="8"/>
        <color theme="1"/>
        <rFont val="Arial"/>
        <family val="2"/>
      </rPr>
      <t xml:space="preserve">
n:2 fluorotelomer betaine</t>
    </r>
  </si>
  <si>
    <r>
      <rPr>
        <sz val="8"/>
        <color rgb="FF000000"/>
        <rFont val="Arial"/>
        <family val="2"/>
      </rPr>
      <t>n:3 FTB</t>
    </r>
    <r>
      <rPr>
        <i/>
        <sz val="8"/>
        <color rgb="FF000000"/>
        <rFont val="Arial"/>
        <family val="2"/>
      </rPr>
      <t xml:space="preserve">
n:3 fluorotelomer betaine</t>
    </r>
  </si>
  <si>
    <r>
      <rPr>
        <sz val="8"/>
        <color theme="1"/>
        <rFont val="Arial"/>
        <family val="2"/>
      </rPr>
      <t>n:4 FTB</t>
    </r>
    <r>
      <rPr>
        <i/>
        <sz val="8"/>
        <color theme="1"/>
        <rFont val="Arial"/>
        <family val="2"/>
      </rPr>
      <t xml:space="preserve">
n:4 fluorotelomer betaine</t>
    </r>
  </si>
  <si>
    <r>
      <rPr>
        <sz val="8"/>
        <color theme="1"/>
        <rFont val="Arial"/>
        <family val="2"/>
      </rPr>
      <t>n:2 FTSAm</t>
    </r>
    <r>
      <rPr>
        <i/>
        <sz val="8"/>
        <color theme="1"/>
        <rFont val="Arial"/>
        <family val="2"/>
      </rPr>
      <t xml:space="preserve">
n:2 fluorotelomer sulfonamide</t>
    </r>
  </si>
  <si>
    <r>
      <rPr>
        <sz val="8"/>
        <color theme="1"/>
        <rFont val="Arial"/>
        <family val="2"/>
      </rPr>
      <t>n:2/m:2 FTSAm dimer</t>
    </r>
    <r>
      <rPr>
        <i/>
        <sz val="8"/>
        <color theme="1"/>
        <rFont val="Arial"/>
        <family val="2"/>
      </rPr>
      <t xml:space="preserve">
n:2/m:2 fluorotelomer sulfonamide dimer</t>
    </r>
  </si>
  <si>
    <r>
      <t xml:space="preserve">n:2 FTSAm-Et
</t>
    </r>
    <r>
      <rPr>
        <i/>
        <sz val="8"/>
        <color theme="1"/>
        <rFont val="Arial"/>
        <family val="2"/>
      </rPr>
      <t>n:2 fluorotelomer sulfonamide ethyl</t>
    </r>
  </si>
  <si>
    <r>
      <t xml:space="preserve">n:2 FTSAm-EtAl
</t>
    </r>
    <r>
      <rPr>
        <i/>
        <sz val="8"/>
        <color theme="1"/>
        <rFont val="Arial"/>
        <family val="2"/>
      </rPr>
      <t>n:2 fluorotelomer sulfonamide ethyl aldehyde</t>
    </r>
    <r>
      <rPr>
        <sz val="8"/>
        <color theme="1"/>
        <rFont val="Arial"/>
        <family val="2"/>
      </rPr>
      <t xml:space="preserve">
</t>
    </r>
  </si>
  <si>
    <r>
      <t xml:space="preserve">n:2 FTSAm-EtOH
</t>
    </r>
    <r>
      <rPr>
        <i/>
        <sz val="8"/>
        <color theme="1"/>
        <rFont val="Arial"/>
        <family val="2"/>
      </rPr>
      <t>n:2 fluorotelomer sulfonamide ethanol</t>
    </r>
  </si>
  <si>
    <r>
      <rPr>
        <sz val="8"/>
        <color theme="1"/>
        <rFont val="Arial"/>
        <family val="2"/>
      </rPr>
      <t>n:2 FTSAm-Pr-MeAm</t>
    </r>
    <r>
      <rPr>
        <i/>
        <sz val="8"/>
        <color theme="1"/>
        <rFont val="Arial"/>
        <family val="2"/>
      </rPr>
      <t xml:space="preserve">
n:2 fluorotelomer sulfonamide propyl methylamine</t>
    </r>
  </si>
  <si>
    <r>
      <rPr>
        <sz val="8"/>
        <color theme="1"/>
        <rFont val="Arial"/>
        <family val="2"/>
      </rPr>
      <t>n:2 FTSAm-Pr-DiMeAm</t>
    </r>
    <r>
      <rPr>
        <i/>
        <sz val="8"/>
        <color theme="1"/>
        <rFont val="Arial"/>
        <family val="2"/>
      </rPr>
      <t xml:space="preserve">
n:2 fluorotelomer sulfonamide propyl dimethylamine</t>
    </r>
  </si>
  <si>
    <r>
      <rPr>
        <sz val="8"/>
        <rFont val="Arial"/>
        <family val="2"/>
      </rPr>
      <t>n:2 FTSAm-U-Pr-DiMeAm</t>
    </r>
    <r>
      <rPr>
        <i/>
        <sz val="8"/>
        <rFont val="Arial"/>
        <family val="2"/>
      </rPr>
      <t xml:space="preserve">
n:2 fluorotelomer sulfonamide unsaturated propyl dimethylamine</t>
    </r>
  </si>
  <si>
    <r>
      <rPr>
        <sz val="8"/>
        <color theme="1"/>
        <rFont val="Arial"/>
        <family val="2"/>
      </rPr>
      <t>n:2 FTSAm-Pr-B</t>
    </r>
    <r>
      <rPr>
        <i/>
        <sz val="8"/>
        <color theme="1"/>
        <rFont val="Arial"/>
        <family val="2"/>
      </rPr>
      <t xml:space="preserve">
n:2 fluorotelomer sulfonamide propyl betaine</t>
    </r>
  </si>
  <si>
    <r>
      <rPr>
        <sz val="8"/>
        <color theme="1"/>
        <rFont val="Arial"/>
        <family val="2"/>
      </rPr>
      <t>n:2 FTSAm-PrA</t>
    </r>
    <r>
      <rPr>
        <i/>
        <sz val="8"/>
        <color theme="1"/>
        <rFont val="Arial"/>
        <family val="2"/>
      </rPr>
      <t xml:space="preserve">
n:2 fluorotelomer sulfonamide propanoic acid</t>
    </r>
  </si>
  <si>
    <r>
      <t xml:space="preserve">n:2 FTSAm-KAmPe
</t>
    </r>
    <r>
      <rPr>
        <i/>
        <sz val="8"/>
        <color theme="1"/>
        <rFont val="Arial"/>
        <family val="2"/>
      </rPr>
      <t xml:space="preserve">n:2 fluorotelomer sulfonamide ketone amine pentyl </t>
    </r>
  </si>
  <si>
    <r>
      <t xml:space="preserve"> n:2 FTSAm-KAmMePe
</t>
    </r>
    <r>
      <rPr>
        <i/>
        <sz val="8"/>
        <color theme="1"/>
        <rFont val="Arial"/>
        <family val="2"/>
      </rPr>
      <t xml:space="preserve">n:2 fluorotelomer sulfonamide ketone amine methyl pentyl </t>
    </r>
  </si>
  <si>
    <r>
      <rPr>
        <sz val="8"/>
        <color theme="1"/>
        <rFont val="Arial"/>
        <family val="2"/>
      </rPr>
      <t>U-n:2 FTSA</t>
    </r>
    <r>
      <rPr>
        <i/>
        <sz val="8"/>
        <color theme="1"/>
        <rFont val="Arial"/>
        <family val="2"/>
      </rPr>
      <t xml:space="preserve">
Unsaturated n:2 fluorotelomer sulfonic acid</t>
    </r>
  </si>
  <si>
    <r>
      <rPr>
        <sz val="8"/>
        <color theme="1"/>
        <rFont val="Arial"/>
        <family val="2"/>
      </rPr>
      <t>U-n:3 FTAd</t>
    </r>
    <r>
      <rPr>
        <i/>
        <sz val="8"/>
        <color theme="1"/>
        <rFont val="Arial"/>
        <family val="2"/>
      </rPr>
      <t xml:space="preserve">
Unsaturated n:3 fluorotelomer amide</t>
    </r>
  </si>
  <si>
    <t>6:2/6:2 FTSAm dimer</t>
  </si>
  <si>
    <t>6/6 PFASAm dimer
(n = 6/6)</t>
  </si>
  <si>
    <t>(2)U-5:3 FTAd</t>
  </si>
  <si>
    <t>(1)U-6:2 FTSA</t>
  </si>
  <si>
    <t xml:space="preserve">6:2 FTSy-PrA </t>
  </si>
  <si>
    <r>
      <rPr>
        <sz val="8"/>
        <color theme="1"/>
        <rFont val="Arial"/>
        <family val="2"/>
      </rPr>
      <t>n:2 FTSy-PrA</t>
    </r>
    <r>
      <rPr>
        <i/>
        <sz val="8"/>
        <color theme="1"/>
        <rFont val="Arial"/>
        <family val="2"/>
      </rPr>
      <t xml:space="preserve">
n:2 fluorotelomer sulfone propanoic acid</t>
    </r>
  </si>
  <si>
    <r>
      <rPr>
        <i/>
        <sz val="8"/>
        <rFont val="Arial"/>
        <family val="2"/>
      </rPr>
      <t>N</t>
    </r>
    <r>
      <rPr>
        <sz val="8"/>
        <rFont val="Arial"/>
        <family val="2"/>
      </rPr>
      <t>-Me-n:2 FTSAm-PrA [19]</t>
    </r>
  </si>
  <si>
    <t>6:2 FTSAm-(3)U-Pr-DiMeAm</t>
  </si>
  <si>
    <r>
      <t>PFHxSAm-</t>
    </r>
    <r>
      <rPr>
        <i/>
        <sz val="8"/>
        <rFont val="Arial"/>
        <family val="2"/>
      </rPr>
      <t>N</t>
    </r>
    <r>
      <rPr>
        <sz val="8"/>
        <rFont val="Arial"/>
        <family val="2"/>
      </rPr>
      <t>-PrSA-</t>
    </r>
    <r>
      <rPr>
        <i/>
        <sz val="8"/>
        <rFont val="Arial"/>
        <family val="2"/>
      </rPr>
      <t>N</t>
    </r>
    <r>
      <rPr>
        <sz val="8"/>
        <rFont val="Arial"/>
        <family val="2"/>
      </rPr>
      <t>-Pr-DiMeAm
(n = 6)</t>
    </r>
  </si>
  <si>
    <r>
      <rPr>
        <sz val="8"/>
        <color theme="1"/>
        <rFont val="Arial"/>
        <family val="2"/>
      </rPr>
      <t>n:2 FTSAm-</t>
    </r>
    <r>
      <rPr>
        <i/>
        <sz val="8"/>
        <color theme="1"/>
        <rFont val="Arial"/>
        <family val="2"/>
      </rPr>
      <t>N</t>
    </r>
    <r>
      <rPr>
        <sz val="8"/>
        <color theme="1"/>
        <rFont val="Arial"/>
        <family val="2"/>
      </rPr>
      <t>-Me-</t>
    </r>
    <r>
      <rPr>
        <i/>
        <sz val="8"/>
        <color theme="1"/>
        <rFont val="Arial"/>
        <family val="2"/>
      </rPr>
      <t>N</t>
    </r>
    <r>
      <rPr>
        <sz val="8"/>
        <color theme="1"/>
        <rFont val="Arial"/>
        <family val="2"/>
      </rPr>
      <t>-PrA</t>
    </r>
    <r>
      <rPr>
        <i/>
        <sz val="8"/>
        <color theme="1"/>
        <rFont val="Arial"/>
        <family val="2"/>
      </rPr>
      <t xml:space="preserve">
n:2 fluorotelomer sulfonamide N-methyl N-propanoic acid</t>
    </r>
  </si>
  <si>
    <r>
      <t xml:space="preserve">MeFASA [1]
</t>
    </r>
    <r>
      <rPr>
        <i/>
        <sz val="8"/>
        <rFont val="Arial"/>
        <family val="2"/>
      </rPr>
      <t>N</t>
    </r>
    <r>
      <rPr>
        <sz val="8"/>
        <rFont val="Arial"/>
        <family val="2"/>
      </rPr>
      <t>-MeFASA [7]</t>
    </r>
  </si>
  <si>
    <r>
      <t>PFOSAm-</t>
    </r>
    <r>
      <rPr>
        <i/>
        <sz val="8"/>
        <color theme="1"/>
        <rFont val="Arial"/>
        <family val="2"/>
      </rPr>
      <t>N</t>
    </r>
    <r>
      <rPr>
        <sz val="8"/>
        <color theme="1"/>
        <rFont val="Arial"/>
        <family val="2"/>
      </rPr>
      <t>-Me-</t>
    </r>
    <r>
      <rPr>
        <i/>
        <sz val="8"/>
        <color theme="1"/>
        <rFont val="Arial"/>
        <family val="2"/>
      </rPr>
      <t>N</t>
    </r>
    <r>
      <rPr>
        <sz val="8"/>
        <color theme="1"/>
        <rFont val="Arial"/>
        <family val="2"/>
      </rPr>
      <t>-PrA
(n = 8)</t>
    </r>
  </si>
  <si>
    <r>
      <t>PFASAm-</t>
    </r>
    <r>
      <rPr>
        <i/>
        <sz val="8"/>
        <color theme="1"/>
        <rFont val="Arial"/>
        <family val="2"/>
      </rPr>
      <t>N</t>
    </r>
    <r>
      <rPr>
        <sz val="8"/>
        <color theme="1"/>
        <rFont val="Arial"/>
        <family val="2"/>
      </rPr>
      <t>-Me-</t>
    </r>
    <r>
      <rPr>
        <i/>
        <sz val="8"/>
        <color theme="1"/>
        <rFont val="Arial"/>
        <family val="2"/>
      </rPr>
      <t>N</t>
    </r>
    <r>
      <rPr>
        <sz val="8"/>
        <color theme="1"/>
        <rFont val="Arial"/>
        <family val="2"/>
      </rPr>
      <t>-PrA</t>
    </r>
  </si>
  <si>
    <r>
      <t xml:space="preserve">PFASAm-Me
</t>
    </r>
    <r>
      <rPr>
        <i/>
        <sz val="8"/>
        <color theme="1"/>
        <rFont val="Arial"/>
        <family val="2"/>
      </rPr>
      <t>Perfluoroalkane sulfonamide methyl</t>
    </r>
  </si>
  <si>
    <t>PFOSAm-Me
(n = 8)</t>
  </si>
  <si>
    <r>
      <t xml:space="preserve">PFASAm-EtA
</t>
    </r>
    <r>
      <rPr>
        <i/>
        <sz val="8"/>
        <color theme="1"/>
        <rFont val="Arial"/>
        <family val="2"/>
      </rPr>
      <t>Perfluoroalkane sulfonamide ethanoic acid</t>
    </r>
  </si>
  <si>
    <t>PFOSAm-EtA
(n = 8)</t>
  </si>
  <si>
    <r>
      <t>PFASAm-</t>
    </r>
    <r>
      <rPr>
        <i/>
        <sz val="8"/>
        <color theme="1"/>
        <rFont val="Arial"/>
        <family val="2"/>
      </rPr>
      <t>N</t>
    </r>
    <r>
      <rPr>
        <sz val="8"/>
        <color theme="1"/>
        <rFont val="Arial"/>
        <family val="2"/>
      </rPr>
      <t>-Me-</t>
    </r>
    <r>
      <rPr>
        <i/>
        <sz val="8"/>
        <color theme="1"/>
        <rFont val="Arial"/>
        <family val="2"/>
      </rPr>
      <t>N</t>
    </r>
    <r>
      <rPr>
        <sz val="8"/>
        <color theme="1"/>
        <rFont val="Arial"/>
        <family val="2"/>
      </rPr>
      <t>-EtA</t>
    </r>
    <r>
      <rPr>
        <i/>
        <sz val="8"/>
        <color theme="1"/>
        <rFont val="Arial"/>
        <family val="2"/>
      </rPr>
      <t xml:space="preserve">
Perfluoroalkane sulfonamide N-methyl N-ethanoic acid</t>
    </r>
  </si>
  <si>
    <r>
      <t>PFOSAm-</t>
    </r>
    <r>
      <rPr>
        <i/>
        <sz val="8"/>
        <color theme="1"/>
        <rFont val="Arial"/>
        <family val="2"/>
      </rPr>
      <t>N</t>
    </r>
    <r>
      <rPr>
        <sz val="8"/>
        <color theme="1"/>
        <rFont val="Arial"/>
        <family val="2"/>
      </rPr>
      <t>-Me-</t>
    </r>
    <r>
      <rPr>
        <i/>
        <sz val="8"/>
        <color theme="1"/>
        <rFont val="Arial"/>
        <family val="2"/>
      </rPr>
      <t>N</t>
    </r>
    <r>
      <rPr>
        <sz val="8"/>
        <color theme="1"/>
        <rFont val="Arial"/>
        <family val="2"/>
      </rPr>
      <t>-EtA
(n = 8)</t>
    </r>
  </si>
  <si>
    <r>
      <t>PFASAm-</t>
    </r>
    <r>
      <rPr>
        <i/>
        <sz val="8"/>
        <color theme="1"/>
        <rFont val="Arial"/>
        <family val="2"/>
      </rPr>
      <t>N</t>
    </r>
    <r>
      <rPr>
        <sz val="8"/>
        <color theme="1"/>
        <rFont val="Arial"/>
        <family val="2"/>
      </rPr>
      <t>-Et-</t>
    </r>
    <r>
      <rPr>
        <i/>
        <sz val="8"/>
        <color theme="1"/>
        <rFont val="Arial"/>
        <family val="2"/>
      </rPr>
      <t>N</t>
    </r>
    <r>
      <rPr>
        <sz val="8"/>
        <color theme="1"/>
        <rFont val="Arial"/>
        <family val="2"/>
      </rPr>
      <t>-EtA</t>
    </r>
    <r>
      <rPr>
        <i/>
        <sz val="8"/>
        <color theme="1"/>
        <rFont val="Arial"/>
        <family val="2"/>
      </rPr>
      <t xml:space="preserve">
Perfluoroalkane sulfonamide N-ethyl N-ethanoic acid</t>
    </r>
  </si>
  <si>
    <r>
      <t>PFOSAm-</t>
    </r>
    <r>
      <rPr>
        <i/>
        <sz val="8"/>
        <color theme="1"/>
        <rFont val="Arial"/>
        <family val="2"/>
      </rPr>
      <t>N</t>
    </r>
    <r>
      <rPr>
        <sz val="8"/>
        <color theme="1"/>
        <rFont val="Arial"/>
        <family val="2"/>
      </rPr>
      <t>-Et-</t>
    </r>
    <r>
      <rPr>
        <i/>
        <sz val="8"/>
        <color theme="1"/>
        <rFont val="Arial"/>
        <family val="2"/>
      </rPr>
      <t>N</t>
    </r>
    <r>
      <rPr>
        <sz val="8"/>
        <color theme="1"/>
        <rFont val="Arial"/>
        <family val="2"/>
      </rPr>
      <t>-EtA
(n = 8)</t>
    </r>
  </si>
  <si>
    <t>FASAA [1]</t>
  </si>
  <si>
    <r>
      <rPr>
        <sz val="8"/>
        <color theme="1"/>
        <rFont val="Arial"/>
        <family val="2"/>
      </rPr>
      <t xml:space="preserve">MeFASAA [1]
</t>
    </r>
    <r>
      <rPr>
        <i/>
        <sz val="8"/>
        <color theme="1"/>
        <rFont val="Arial"/>
        <family val="2"/>
      </rPr>
      <t>N</t>
    </r>
    <r>
      <rPr>
        <sz val="8"/>
        <color theme="1"/>
        <rFont val="Arial"/>
        <family val="2"/>
      </rPr>
      <t>-MeFASAA [4]</t>
    </r>
  </si>
  <si>
    <r>
      <rPr>
        <sz val="8"/>
        <color theme="1"/>
        <rFont val="Arial"/>
        <family val="2"/>
      </rPr>
      <t xml:space="preserve">EtFASAA [1]
</t>
    </r>
    <r>
      <rPr>
        <i/>
        <sz val="8"/>
        <color theme="1"/>
        <rFont val="Arial"/>
        <family val="2"/>
      </rPr>
      <t>N</t>
    </r>
    <r>
      <rPr>
        <sz val="8"/>
        <color theme="1"/>
        <rFont val="Arial"/>
        <family val="2"/>
      </rPr>
      <t>-EtFASAA [4]</t>
    </r>
  </si>
  <si>
    <r>
      <t xml:space="preserve">PFASyA
</t>
    </r>
    <r>
      <rPr>
        <i/>
        <sz val="8"/>
        <color theme="1"/>
        <rFont val="Arial"/>
        <family val="2"/>
      </rPr>
      <t>Perfluoro sulfinic acid</t>
    </r>
  </si>
  <si>
    <t>PFOSyA
(n = 8)</t>
  </si>
  <si>
    <t>(7)K-PFOS
(n = 7)</t>
  </si>
  <si>
    <r>
      <t>6:2 FTSAm-</t>
    </r>
    <r>
      <rPr>
        <i/>
        <sz val="8"/>
        <color theme="1"/>
        <rFont val="Arial"/>
        <family val="2"/>
      </rPr>
      <t>N</t>
    </r>
    <r>
      <rPr>
        <sz val="8"/>
        <color theme="1"/>
        <rFont val="Arial"/>
        <family val="2"/>
      </rPr>
      <t>-Me-</t>
    </r>
    <r>
      <rPr>
        <i/>
        <sz val="8"/>
        <color theme="1"/>
        <rFont val="Arial"/>
        <family val="2"/>
      </rPr>
      <t>N</t>
    </r>
    <r>
      <rPr>
        <sz val="8"/>
        <color theme="1"/>
        <rFont val="Arial"/>
        <family val="2"/>
      </rPr>
      <t>-PrA</t>
    </r>
  </si>
  <si>
    <r>
      <t xml:space="preserve">PFASAm
</t>
    </r>
    <r>
      <rPr>
        <i/>
        <sz val="8"/>
        <color theme="1"/>
        <rFont val="Arial"/>
        <family val="2"/>
      </rPr>
      <t>Perfluoroalkane sulfonamide</t>
    </r>
  </si>
  <si>
    <r>
      <t xml:space="preserve">n/m PFASAm dimer
</t>
    </r>
    <r>
      <rPr>
        <i/>
        <sz val="8"/>
        <color theme="1"/>
        <rFont val="Arial"/>
        <family val="2"/>
      </rPr>
      <t>n/n Perfluoroalkane sulfonamide dimer</t>
    </r>
  </si>
  <si>
    <r>
      <t>PFASAm-</t>
    </r>
    <r>
      <rPr>
        <i/>
        <sz val="8"/>
        <color theme="1"/>
        <rFont val="Arial"/>
        <family val="2"/>
      </rPr>
      <t>N</t>
    </r>
    <r>
      <rPr>
        <sz val="8"/>
        <color theme="1"/>
        <rFont val="Arial"/>
        <family val="2"/>
      </rPr>
      <t>-Me-</t>
    </r>
    <r>
      <rPr>
        <i/>
        <sz val="8"/>
        <color theme="1"/>
        <rFont val="Arial"/>
        <family val="2"/>
      </rPr>
      <t>N</t>
    </r>
    <r>
      <rPr>
        <sz val="8"/>
        <color theme="1"/>
        <rFont val="Arial"/>
        <family val="2"/>
      </rPr>
      <t xml:space="preserve">-PrA
</t>
    </r>
    <r>
      <rPr>
        <i/>
        <sz val="8"/>
        <color theme="1"/>
        <rFont val="Arial"/>
        <family val="2"/>
      </rPr>
      <t>Perfluoroalkane sulfonamide N-methyl N-propanoic acid</t>
    </r>
  </si>
  <si>
    <r>
      <t xml:space="preserve">PFASAm-Pr-DiMeAm
</t>
    </r>
    <r>
      <rPr>
        <i/>
        <sz val="8"/>
        <color theme="1"/>
        <rFont val="Arial"/>
        <family val="2"/>
      </rPr>
      <t>Perfluoroalkane sulfonamide propyl dimethylamine</t>
    </r>
    <r>
      <rPr>
        <sz val="8"/>
        <color theme="1"/>
        <rFont val="Arial"/>
        <family val="2"/>
      </rPr>
      <t xml:space="preserve">
</t>
    </r>
  </si>
  <si>
    <r>
      <t xml:space="preserve">E-PFSA
</t>
    </r>
    <r>
      <rPr>
        <i/>
        <sz val="8"/>
        <rFont val="Arial"/>
        <family val="2"/>
      </rPr>
      <t>Ether perfluoro sulfonic acid</t>
    </r>
  </si>
  <si>
    <t>PFOSyA</t>
  </si>
  <si>
    <t>PFASyAs</t>
  </si>
  <si>
    <t>PFHxSAm-EtA</t>
  </si>
  <si>
    <t>PFOSAm-EtA</t>
  </si>
  <si>
    <r>
      <t>PFASAm-</t>
    </r>
    <r>
      <rPr>
        <i/>
        <sz val="8"/>
        <color theme="1"/>
        <rFont val="Arial"/>
        <family val="2"/>
      </rPr>
      <t>N</t>
    </r>
    <r>
      <rPr>
        <sz val="8"/>
        <color theme="1"/>
        <rFont val="Arial"/>
        <family val="2"/>
      </rPr>
      <t>-PrSA-</t>
    </r>
    <r>
      <rPr>
        <i/>
        <sz val="8"/>
        <color theme="1"/>
        <rFont val="Arial"/>
        <family val="2"/>
      </rPr>
      <t>N</t>
    </r>
    <r>
      <rPr>
        <sz val="8"/>
        <color theme="1"/>
        <rFont val="Arial"/>
        <family val="2"/>
      </rPr>
      <t>-Pr-DiMeAms</t>
    </r>
  </si>
  <si>
    <r>
      <t>PFBSAm-</t>
    </r>
    <r>
      <rPr>
        <i/>
        <sz val="8"/>
        <color theme="1"/>
        <rFont val="Arial"/>
        <family val="2"/>
      </rPr>
      <t>N</t>
    </r>
    <r>
      <rPr>
        <sz val="8"/>
        <color theme="1"/>
        <rFont val="Arial"/>
        <family val="2"/>
      </rPr>
      <t>-PrSA-</t>
    </r>
    <r>
      <rPr>
        <i/>
        <sz val="8"/>
        <color theme="1"/>
        <rFont val="Arial"/>
        <family val="2"/>
      </rPr>
      <t>N</t>
    </r>
    <r>
      <rPr>
        <sz val="8"/>
        <color theme="1"/>
        <rFont val="Arial"/>
        <family val="2"/>
      </rPr>
      <t>-Pr-DiMeAm</t>
    </r>
  </si>
  <si>
    <r>
      <t>PFPeSAm-</t>
    </r>
    <r>
      <rPr>
        <i/>
        <sz val="8"/>
        <color theme="1"/>
        <rFont val="Arial"/>
        <family val="2"/>
      </rPr>
      <t>N</t>
    </r>
    <r>
      <rPr>
        <sz val="8"/>
        <color theme="1"/>
        <rFont val="Arial"/>
        <family val="2"/>
      </rPr>
      <t>-PrSA-</t>
    </r>
    <r>
      <rPr>
        <i/>
        <sz val="8"/>
        <color theme="1"/>
        <rFont val="Arial"/>
        <family val="2"/>
      </rPr>
      <t>N</t>
    </r>
    <r>
      <rPr>
        <sz val="8"/>
        <color theme="1"/>
        <rFont val="Arial"/>
        <family val="2"/>
      </rPr>
      <t>-Pr-DiMeAm</t>
    </r>
  </si>
  <si>
    <r>
      <t>PFHxSAm-</t>
    </r>
    <r>
      <rPr>
        <i/>
        <sz val="8"/>
        <color theme="1"/>
        <rFont val="Arial"/>
        <family val="2"/>
      </rPr>
      <t>N</t>
    </r>
    <r>
      <rPr>
        <sz val="8"/>
        <color theme="1"/>
        <rFont val="Arial"/>
        <family val="2"/>
      </rPr>
      <t>-PrSA-</t>
    </r>
    <r>
      <rPr>
        <i/>
        <sz val="8"/>
        <color theme="1"/>
        <rFont val="Arial"/>
        <family val="2"/>
      </rPr>
      <t>N</t>
    </r>
    <r>
      <rPr>
        <sz val="8"/>
        <color theme="1"/>
        <rFont val="Arial"/>
        <family val="2"/>
      </rPr>
      <t>-Pr-DiMeAm</t>
    </r>
  </si>
  <si>
    <t>n:2/m:2 FTSAm dimers</t>
  </si>
  <si>
    <t>6:2/8:2 FTSAm dimer</t>
  </si>
  <si>
    <r>
      <t>n:2 FTSAm-</t>
    </r>
    <r>
      <rPr>
        <i/>
        <sz val="8"/>
        <color theme="1"/>
        <rFont val="Arial"/>
        <family val="2"/>
      </rPr>
      <t>N</t>
    </r>
    <r>
      <rPr>
        <sz val="8"/>
        <color theme="1"/>
        <rFont val="Arial"/>
        <family val="2"/>
      </rPr>
      <t>-Me-</t>
    </r>
    <r>
      <rPr>
        <i/>
        <sz val="8"/>
        <color theme="1"/>
        <rFont val="Arial"/>
        <family val="2"/>
      </rPr>
      <t>N</t>
    </r>
    <r>
      <rPr>
        <sz val="8"/>
        <color theme="1"/>
        <rFont val="Arial"/>
        <family val="2"/>
      </rPr>
      <t>-PrAs</t>
    </r>
  </si>
  <si>
    <t>n:2 FTSy-PrAs</t>
  </si>
  <si>
    <t>4:2 FTSy-PrA</t>
  </si>
  <si>
    <t>6:2 FTSy-PrA</t>
  </si>
  <si>
    <t>8:2 FTSy-PrA</t>
  </si>
  <si>
    <t>U-E-PFPeDS/K-PFTeDS</t>
  </si>
  <si>
    <t>PFASAm-Mes</t>
  </si>
  <si>
    <t>PFBSAm-Me</t>
  </si>
  <si>
    <t>PFHxSAm-Me</t>
  </si>
  <si>
    <t>PFOSAm-Me</t>
  </si>
  <si>
    <t>E-PFHpDS</t>
  </si>
  <si>
    <r>
      <t>PFASAm-</t>
    </r>
    <r>
      <rPr>
        <i/>
        <sz val="8"/>
        <color theme="1"/>
        <rFont val="Arial"/>
        <family val="2"/>
      </rPr>
      <t>N</t>
    </r>
    <r>
      <rPr>
        <sz val="8"/>
        <color theme="1"/>
        <rFont val="Arial"/>
        <family val="2"/>
      </rPr>
      <t>-Me-</t>
    </r>
    <r>
      <rPr>
        <i/>
        <sz val="8"/>
        <color theme="1"/>
        <rFont val="Arial"/>
        <family val="2"/>
      </rPr>
      <t>N</t>
    </r>
    <r>
      <rPr>
        <sz val="8"/>
        <color theme="1"/>
        <rFont val="Arial"/>
        <family val="2"/>
      </rPr>
      <t>-EtAs</t>
    </r>
  </si>
  <si>
    <r>
      <t>PFOSAm-</t>
    </r>
    <r>
      <rPr>
        <i/>
        <sz val="8"/>
        <color theme="1"/>
        <rFont val="Arial"/>
        <family val="2"/>
      </rPr>
      <t>N</t>
    </r>
    <r>
      <rPr>
        <sz val="8"/>
        <color theme="1"/>
        <rFont val="Arial"/>
        <family val="2"/>
      </rPr>
      <t>-Me-</t>
    </r>
    <r>
      <rPr>
        <i/>
        <sz val="8"/>
        <color theme="1"/>
        <rFont val="Arial"/>
        <family val="2"/>
      </rPr>
      <t>N-</t>
    </r>
    <r>
      <rPr>
        <sz val="8"/>
        <color theme="1"/>
        <rFont val="Arial"/>
        <family val="2"/>
      </rPr>
      <t>EtA</t>
    </r>
  </si>
  <si>
    <r>
      <t>PFTriDSAm-</t>
    </r>
    <r>
      <rPr>
        <i/>
        <sz val="8"/>
        <color theme="1"/>
        <rFont val="Arial"/>
        <family val="2"/>
      </rPr>
      <t>N</t>
    </r>
    <r>
      <rPr>
        <sz val="8"/>
        <color theme="1"/>
        <rFont val="Arial"/>
        <family val="2"/>
      </rPr>
      <t>-Me-</t>
    </r>
    <r>
      <rPr>
        <i/>
        <sz val="8"/>
        <color theme="1"/>
        <rFont val="Arial"/>
        <family val="2"/>
      </rPr>
      <t>N</t>
    </r>
    <r>
      <rPr>
        <sz val="8"/>
        <color theme="1"/>
        <rFont val="Arial"/>
        <family val="2"/>
      </rPr>
      <t>-EtA</t>
    </r>
  </si>
  <si>
    <r>
      <t>PFPeDSAm-</t>
    </r>
    <r>
      <rPr>
        <i/>
        <sz val="8"/>
        <color theme="1"/>
        <rFont val="Arial"/>
        <family val="2"/>
      </rPr>
      <t>N</t>
    </r>
    <r>
      <rPr>
        <sz val="8"/>
        <color theme="1"/>
        <rFont val="Arial"/>
        <family val="2"/>
      </rPr>
      <t>-Me-</t>
    </r>
    <r>
      <rPr>
        <i/>
        <sz val="8"/>
        <color theme="1"/>
        <rFont val="Arial"/>
        <family val="2"/>
      </rPr>
      <t>N</t>
    </r>
    <r>
      <rPr>
        <sz val="8"/>
        <color theme="1"/>
        <rFont val="Arial"/>
        <family val="2"/>
      </rPr>
      <t>-EtA</t>
    </r>
  </si>
  <si>
    <r>
      <t>PFASAm-</t>
    </r>
    <r>
      <rPr>
        <i/>
        <sz val="8"/>
        <color theme="1"/>
        <rFont val="Arial"/>
        <family val="2"/>
      </rPr>
      <t>N</t>
    </r>
    <r>
      <rPr>
        <sz val="8"/>
        <color theme="1"/>
        <rFont val="Arial"/>
        <family val="2"/>
      </rPr>
      <t>-Et-</t>
    </r>
    <r>
      <rPr>
        <i/>
        <sz val="8"/>
        <color theme="1"/>
        <rFont val="Arial"/>
        <family val="2"/>
      </rPr>
      <t>N</t>
    </r>
    <r>
      <rPr>
        <sz val="8"/>
        <color theme="1"/>
        <rFont val="Arial"/>
        <family val="2"/>
      </rPr>
      <t>-EtAs</t>
    </r>
  </si>
  <si>
    <r>
      <t>PFOSAm-</t>
    </r>
    <r>
      <rPr>
        <i/>
        <sz val="8"/>
        <color theme="1"/>
        <rFont val="Arial"/>
        <family val="2"/>
      </rPr>
      <t>N</t>
    </r>
    <r>
      <rPr>
        <sz val="8"/>
        <color theme="1"/>
        <rFont val="Arial"/>
        <family val="2"/>
      </rPr>
      <t>-Et-</t>
    </r>
    <r>
      <rPr>
        <i/>
        <sz val="8"/>
        <color theme="1"/>
        <rFont val="Arial"/>
        <family val="2"/>
      </rPr>
      <t>N</t>
    </r>
    <r>
      <rPr>
        <sz val="8"/>
        <color theme="1"/>
        <rFont val="Arial"/>
        <family val="2"/>
      </rPr>
      <t>-EtA</t>
    </r>
  </si>
  <si>
    <r>
      <t>PFHxSAm-</t>
    </r>
    <r>
      <rPr>
        <i/>
        <sz val="8"/>
        <color theme="1"/>
        <rFont val="Arial"/>
        <family val="2"/>
      </rPr>
      <t>N</t>
    </r>
    <r>
      <rPr>
        <sz val="8"/>
        <color theme="1"/>
        <rFont val="Arial"/>
        <family val="2"/>
      </rPr>
      <t>-Et-</t>
    </r>
    <r>
      <rPr>
        <i/>
        <sz val="8"/>
        <color theme="1"/>
        <rFont val="Arial"/>
        <family val="2"/>
      </rPr>
      <t>N</t>
    </r>
    <r>
      <rPr>
        <sz val="8"/>
        <color theme="1"/>
        <rFont val="Arial"/>
        <family val="2"/>
      </rPr>
      <t>-EtA</t>
    </r>
  </si>
  <si>
    <r>
      <t>PFASAm-</t>
    </r>
    <r>
      <rPr>
        <i/>
        <sz val="8"/>
        <color theme="1"/>
        <rFont val="Arial"/>
        <family val="2"/>
      </rPr>
      <t>N</t>
    </r>
    <r>
      <rPr>
        <sz val="8"/>
        <color theme="1"/>
        <rFont val="Arial"/>
        <family val="2"/>
      </rPr>
      <t>-Me-</t>
    </r>
    <r>
      <rPr>
        <i/>
        <sz val="8"/>
        <color theme="1"/>
        <rFont val="Arial"/>
        <family val="2"/>
      </rPr>
      <t>N</t>
    </r>
    <r>
      <rPr>
        <sz val="8"/>
        <color theme="1"/>
        <rFont val="Arial"/>
        <family val="2"/>
      </rPr>
      <t>-PrAs</t>
    </r>
  </si>
  <si>
    <r>
      <t>PFHxSAm-</t>
    </r>
    <r>
      <rPr>
        <i/>
        <sz val="8"/>
        <color theme="1"/>
        <rFont val="Arial"/>
        <family val="2"/>
      </rPr>
      <t>N</t>
    </r>
    <r>
      <rPr>
        <sz val="8"/>
        <color theme="1"/>
        <rFont val="Arial"/>
        <family val="2"/>
      </rPr>
      <t>-Me-</t>
    </r>
    <r>
      <rPr>
        <i/>
        <sz val="8"/>
        <color theme="1"/>
        <rFont val="Arial"/>
        <family val="2"/>
      </rPr>
      <t>N</t>
    </r>
    <r>
      <rPr>
        <sz val="8"/>
        <color theme="1"/>
        <rFont val="Arial"/>
        <family val="2"/>
      </rPr>
      <t>-PrA</t>
    </r>
  </si>
  <si>
    <r>
      <t>PFOAm-</t>
    </r>
    <r>
      <rPr>
        <i/>
        <sz val="8"/>
        <color theme="1"/>
        <rFont val="Arial"/>
        <family val="2"/>
      </rPr>
      <t>N</t>
    </r>
    <r>
      <rPr>
        <sz val="8"/>
        <color theme="1"/>
        <rFont val="Arial"/>
        <family val="2"/>
      </rPr>
      <t>-Me-</t>
    </r>
    <r>
      <rPr>
        <i/>
        <sz val="8"/>
        <color theme="1"/>
        <rFont val="Arial"/>
        <family val="2"/>
      </rPr>
      <t>N</t>
    </r>
    <r>
      <rPr>
        <sz val="8"/>
        <color theme="1"/>
        <rFont val="Arial"/>
        <family val="2"/>
      </rPr>
      <t>-PrA</t>
    </r>
  </si>
  <si>
    <t>H-E-PFNS</t>
  </si>
  <si>
    <t>H-E-PFUnDS</t>
  </si>
  <si>
    <t>n/m PFASAm dimers</t>
  </si>
  <si>
    <t>3/3 PFASAm dimer</t>
  </si>
  <si>
    <t>4/3 PFASAm dimer</t>
  </si>
  <si>
    <t>4/4 PFASAm dimer</t>
  </si>
  <si>
    <t>5/4 PFASAm dimer</t>
  </si>
  <si>
    <t>5/5 PFASAm dimer</t>
  </si>
  <si>
    <t>6/5 PFASAm dimer</t>
  </si>
  <si>
    <t>6/6 PFASAm dimer</t>
  </si>
  <si>
    <r>
      <t>PFASAm-</t>
    </r>
    <r>
      <rPr>
        <i/>
        <sz val="8"/>
        <color theme="1"/>
        <rFont val="Arial"/>
        <family val="2"/>
      </rPr>
      <t>N</t>
    </r>
    <r>
      <rPr>
        <sz val="8"/>
        <color theme="1"/>
        <rFont val="Arial"/>
        <family val="2"/>
      </rPr>
      <t>-Et-</t>
    </r>
    <r>
      <rPr>
        <i/>
        <sz val="8"/>
        <color theme="1"/>
        <rFont val="Arial"/>
        <family val="2"/>
      </rPr>
      <t>N</t>
    </r>
    <r>
      <rPr>
        <sz val="8"/>
        <color theme="1"/>
        <rFont val="Arial"/>
        <family val="2"/>
      </rPr>
      <t>-EtA</t>
    </r>
  </si>
  <si>
    <r>
      <t>PFASAm-</t>
    </r>
    <r>
      <rPr>
        <i/>
        <sz val="8"/>
        <rFont val="Arial"/>
        <family val="2"/>
      </rPr>
      <t>N</t>
    </r>
    <r>
      <rPr>
        <sz val="8"/>
        <rFont val="Arial"/>
        <family val="2"/>
      </rPr>
      <t>-PrSA-</t>
    </r>
    <r>
      <rPr>
        <i/>
        <sz val="8"/>
        <rFont val="Arial"/>
        <family val="2"/>
      </rPr>
      <t>N</t>
    </r>
    <r>
      <rPr>
        <sz val="8"/>
        <rFont val="Arial"/>
        <family val="2"/>
      </rPr>
      <t xml:space="preserve">-Pr-DiMeAm
</t>
    </r>
    <r>
      <rPr>
        <i/>
        <sz val="8"/>
        <rFont val="Arial"/>
        <family val="2"/>
      </rPr>
      <t>Perfluoroalkane sulfonamide N-propyl sulfonic acid N-propyl dimethylamine</t>
    </r>
  </si>
  <si>
    <r>
      <t xml:space="preserve">PFASAm-PrSA
</t>
    </r>
    <r>
      <rPr>
        <i/>
        <sz val="8"/>
        <color theme="1"/>
        <rFont val="Arial"/>
        <family val="2"/>
      </rPr>
      <t>Perfluoroalkane sulfonamide propyl sulfonic acid</t>
    </r>
  </si>
  <si>
    <r>
      <t xml:space="preserve">PFASAm-Pr-B
</t>
    </r>
    <r>
      <rPr>
        <i/>
        <sz val="8"/>
        <color theme="1"/>
        <rFont val="Arial"/>
        <family val="2"/>
      </rPr>
      <t>Perfluoroalkane sulfonamide propyl betaine</t>
    </r>
  </si>
  <si>
    <r>
      <t xml:space="preserve">PFASAm-Pr-TriMeAm
</t>
    </r>
    <r>
      <rPr>
        <i/>
        <sz val="8"/>
        <color theme="1"/>
        <rFont val="Arial"/>
        <family val="2"/>
      </rPr>
      <t>Perfluoroalkane sulfonamide propyl trimethylamine</t>
    </r>
  </si>
  <si>
    <t>N.D.</t>
  </si>
  <si>
    <t>&gt; 23</t>
  </si>
  <si>
    <t>(11)H-(3)E-PFUnDS
(n = 10)</t>
  </si>
  <si>
    <t>(8)U-(7)E-PFNS
(n = 8)</t>
  </si>
  <si>
    <t>(5)E-PFDS
(n = 9)</t>
  </si>
  <si>
    <t>SF5-(1)U-PFOS
(n = 8)</t>
  </si>
  <si>
    <t>InChI=1S/C11H13F13N2O2S/c1-26(2)5-3-4-25-29(27,28)11(23,24)9(18,19)7(14,15)6(12,13)8(16,17)10(20,21)22/h25H,3-5H2,1-2H3</t>
  </si>
  <si>
    <t>InChI=1S/C13H13F17N2O2S/c1-32(2)5-3-4-31-35(33,34)13(29,30)11(24,25)9(20,21)7(16,17)6(14,15)8(18,19)10(22,23)12(26,27)28/h31H,3-5H2,1-2H3</t>
  </si>
  <si>
    <t>InChI=1S/C14H13F16NO2/c1-31(2,5-7(32)33)4-3-6(15)8(16,17)9(18,19)10(20,21)11(22,23)12(24,25)13(26,27)14(28,29)30/h6H,3-5H2,1-2H3/p+1</t>
  </si>
  <si>
    <t>InChI=1S/C16H13F20NO2/c1-37(2,5-7(38)39)4-3-6(17)8(18,19)9(20,21)10(22,23)11(24,25)12(26,27)13(28,29)14(30,31)15(32,33)16(34,35)36/h6H,3-5H2,1-2H3/p+1</t>
  </si>
  <si>
    <t>InChI=1S/C18H13F24NO2/c1-43(2,5-7(44)45)4-3-6(19)8(20,21)9(22,23)10(24,25)11(26,27)12(28,29)13(30,31)14(32,33)15(34,35)16(36,37)17(38,39)18(40,41)42/h6H,3-5H2,1-2H3/p+1</t>
  </si>
  <si>
    <t>InChI=1S/C20H13F28NO2/c1-49(2,5-7(50)51)4-3-6(21)8(22,23)9(24,25)10(26,27)11(28,29)12(30,31)13(32,33)14(34,35)15(36,37)16(38,39)17(40,41)18(42,43)19(44,45)20(46,47)48/h6H,3-5H2,1-2H3/p+1</t>
  </si>
  <si>
    <t>InChI=1S/C22H13F32NO2/c1-55(2,5-7(56)57)4-3-6(23)8(24,25)9(26,27)10(28,29)11(30,31)12(32,33)13(34,35)14(36,37)15(38,39)16(40,41)17(42,43)18(44,45)19(46,47)20(48,49)21(50,51)22(52,53)54/h6H,3-5H2,1-2H3/p+1</t>
  </si>
  <si>
    <t>InChI=1S/C12H13F12NO2/c1-25(2,5-7(26)27)4-3-6(13)8(14,15)9(16,17)10(18,19)11(20,21)12(22,23)24/h6H,3-5H2,1-2H3/p+1</t>
  </si>
  <si>
    <t>InChI=1S/C14H14F15NO2/c1-30(2,6-7(31)32)5-3-4-8(15,16)9(17,18)10(19,20)11(21,22)12(23,24)13(25,26)14(27,28)29/h3-6H2,1-2H3/p+1</t>
  </si>
  <si>
    <t>InChI=1S/C16H14F19NO2/c1-36(2,6-7(37)38)5-3-4-8(17,18)9(19,20)10(21,22)11(23,24)12(25,26)13(27,28)14(29,30)15(31,32)16(33,34)35/h3-6H2,1-2H3/p+1</t>
  </si>
  <si>
    <t>InChI=1S/C18H14F23NO2/c1-42(2,6-7(43)44)5-3-4-8(19,20)9(21,22)10(23,24)11(25,26)12(27,28)13(29,30)14(31,32)15(33,34)16(35,36)17(37,38)18(39,40)41/h3-6H2,1-2H3/p+1</t>
  </si>
  <si>
    <t>InChI=1S/C20H14F27NO2/c1-48(2,6-7(49)50)5-3-4-8(21,22)9(23,24)10(25,26)11(27,28)12(29,30)13(31,32)14(33,34)15(35,36)16(37,38)17(39,40)18(41,42)19(43,44)20(45,46)47/h3-6H2,1-2H3/p+1</t>
  </si>
  <si>
    <t>InChI=1S/C12H14F11NO2/c1-24(2,6-7(25)26)5-3-4-8(13,14)9(15,16)10(17,18)11(19,20)12(21,22)23/h3-6H2,1-2H3/p+1</t>
  </si>
  <si>
    <t>InChI=1S/C8HF15O2/c9-2(10,1(24)25)3(11,12)4(13,14)5(15,16)6(17,18)7(19,20)8(21,22)23/h(H,24,25)</t>
  </si>
  <si>
    <t>InChI=1S/C7HF13O2/c8-2(9,1(21)22)3(10,11)4(12,13)5(14,15)6(16,17)7(18,19)20/h(H,21,22)</t>
  </si>
  <si>
    <t>InChI=1S/C6HF11O2/c7-2(8,1(18)19)3(9,10)4(11,12)5(13,14)6(15,16)17/h(H,18,19)</t>
  </si>
  <si>
    <t>InChI=1S/C5HF9O2/c6-2(7,1(15)16)3(8,9)4(10,11)5(12,13)14/h(H,15,16)</t>
  </si>
  <si>
    <t>InChI=1S/C4HF7O2/c5-2(6,1(12)13)3(7,8)4(9,10)11/h(H,12,13)</t>
  </si>
  <si>
    <t>InChI=1S/C9HF17O2/c10-2(11,1(27)28)3(12,13)4(14,15)5(16,17)6(18,19)7(20,21)8(22,23)9(24,25)26/h(H,27,28)</t>
  </si>
  <si>
    <t>InChI=1S/C10HF19O2/c11-2(12,1(30)31)3(13,14)4(15,16)5(17,18)6(19,20)7(21,22)8(23,24)9(25,26)10(27,28)29/h(H,30,31)</t>
  </si>
  <si>
    <t>InChI=1S/C11HF21O2/c12-2(13,1(33)34)3(14,15)4(16,17)5(18,19)6(20,21)7(22,23)8(24,25)9(26,27)10(28,29)11(30,31)32/h(H,33,34)</t>
  </si>
  <si>
    <t>InChI=1S/C12HF23O2/c13-2(14,1(36)37)3(15,16)4(17,18)5(19,20)6(21,22)7(23,24)8(25,26)9(27,28)10(29,30)11(31,32)12(33,34)35/h(H,36,37)</t>
  </si>
  <si>
    <t>InChI=1S/C8HF17O3S/c9-1(10,3(13,14)5(17,18)7(21,22)23)2(11,12)4(15,16)6(19,20)8(24,25)29(26,27)28/h(H,26,27,28)</t>
  </si>
  <si>
    <t>InChI=1S/C9HF19O3S/c10-1(11,2(12,13)4(16,17)6(20,21)8(24,25)26)3(14,15)5(18,19)7(22,23)9(27,28)32(29,30)31/h(H,29,30,31)</t>
  </si>
  <si>
    <t>InChI=1S/C10HF21O3S/c11-1(12,3(15,16)5(19,20)7(23,24)9(27,28)29)2(13,14)4(17,18)6(21,22)8(25,26)10(30,31)35(32,33)34/h(H,32,33,34)</t>
  </si>
  <si>
    <t>InChI=1S/C11HF23O3S/c12-1(13,2(14,15)4(18,19)6(22,23)8(26,27)10(30,31)32)3(16,17)5(20,21)7(24,25)9(28,29)11(33,34)38(35,36)37/h(H,35,36,37)</t>
  </si>
  <si>
    <t>InChI=1S/C12HF25O3S/c13-1(14,3(17,18)5(21,22)7(25,26)9(29,30)11(33,34)35)2(15,16)4(19,20)6(23,24)8(27,28)10(31,32)12(36,37)41(38,39)40/h(H,38,39,40)</t>
  </si>
  <si>
    <t>InChI=1S/C13HF27O3S/c14-1(15,2(16,17)4(20,21)6(24,25)8(28,29)10(32,33)12(36,37)38)3(18,19)5(22,23)7(26,27)9(30,31)11(34,35)13(39,40)44(41,42)43/h(H,41,42,43)</t>
  </si>
  <si>
    <t>InChI=1S/C7HF15O3S/c8-1(9,2(10,11)4(14,15)6(18,19)20)3(12,13)5(16,17)7(21,22)26(23,24)25/h(H,23,24,25)</t>
  </si>
  <si>
    <t>InChI=1S/C6HF13O3S/c7-1(8,3(11,12)5(15,16)17)2(9,10)4(13,14)6(18,19)23(20,21)22/h(H,20,21,22)</t>
  </si>
  <si>
    <t>InChI=1S/C5HF11O3S/c6-1(7,2(8,9)4(12,13)14)3(10,11)5(15,16)20(17,18)19/h(H,17,18,19)</t>
  </si>
  <si>
    <t>InChI=1S/C4HF9O3S/c5-1(6,3(9,10)11)2(7,8)4(12,13)17(14,15)16/h(H,14,15,16)</t>
  </si>
  <si>
    <t>InChI=1S/C3HF7O3S/c4-1(5,2(6,7)8)3(9,10)14(11,12)13/h(H,11,12,13)</t>
  </si>
  <si>
    <t>InChI=1S/C8H5F11O2/c9-4(10,2-1-3(20)21)5(11,12)6(13,14)7(15,16)8(17,18)19/h1-2H2,(H,20,21)</t>
  </si>
  <si>
    <t>InChI=1S/C9H5F13O2/c10-4(11,2-1-3(23)24)5(12,13)6(14,15)7(16,17)8(18,19)9(20,21)22/h1-2H2,(H,23,24)</t>
  </si>
  <si>
    <t>InChI=1S/C10H5F15O2/c11-4(12,2-1-3(26)27)5(13,14)6(15,16)7(17,18)8(19,20)9(21,22)10(23,24)25/h1-2H2,(H,26,27)</t>
  </si>
  <si>
    <t>InChI=1S/C11H5F17O2/c12-4(13,2-1-3(29)30)5(14,15)6(16,17)7(18,19)8(20,21)9(22,23)10(24,25)11(26,27)28/h1-2H2,(H,29,30)</t>
  </si>
  <si>
    <t>InChI=1S/C12H5F19O2/c13-4(14,2-1-3(32)33)5(15,16)6(17,18)7(19,20)8(21,22)9(23,24)10(25,26)11(27,28)12(29,30)31/h1-2H2,(H,32,33)</t>
  </si>
  <si>
    <t>InChI=1S/C7H5F9O2/c8-4(9,2-1-3(17)18)5(10,11)6(12,13)7(14,15)16/h1-2H2,(H,17,18)</t>
  </si>
  <si>
    <t>InChI=1S/C6H5F7O2/c7-4(8,2-1-3(14)15)5(9,10)6(11,12)13/h1-2H2,(H,14,15)</t>
  </si>
  <si>
    <t>InChI=1S/C8H5F13O3S/c9-3(10,1-2-25(22,23)24)4(11,12)5(13,14)6(15,16)7(17,18)8(19,20)21/h1-2H2,(H,22,23,24)</t>
  </si>
  <si>
    <t>InChI=1S/C10H5F17O3S/c11-3(12,1-2-31(28,29)30)4(13,14)5(15,16)6(17,18)7(19,20)8(21,22)9(23,24)10(25,26)27/h1-2H2,(H,28,29,30)</t>
  </si>
  <si>
    <t>InChI=1S/C12H5F21O3S/c13-3(14,1-2-37(34,35)36)4(15,16)5(17,18)6(19,20)7(21,22)8(23,24)9(25,26)10(27,28)11(29,30)12(31,32)33/h1-2H2,(H,34,35,36)</t>
  </si>
  <si>
    <t>InChI=1S/C14H5F25O3S/c15-3(16,1-2-43(40,41)42)4(17,18)5(19,20)6(21,22)7(23,24)8(25,26)9(27,28)10(29,30)11(31,32)12(33,34)13(35,36)14(37,38)39/h1-2H2,(H,40,41,42)</t>
  </si>
  <si>
    <t>InChI=1S/C16H5F29O3S/c17-3(18,1-2-49(46,47)48)4(19,20)5(21,22)6(23,24)7(25,26)8(27,28)9(29,30)10(31,32)11(33,34)12(35,36)13(37,38)14(39,40)15(41,42)16(43,44)45/h1-2H2,(H,46,47,48)</t>
  </si>
  <si>
    <t>InChI=1S/C8HF15O3S/c9-1(2(10)27(24,25)26)3(11,12)4(13,14)5(15,16)6(17,18)7(19,20)8(21,22)23/h(H,24,25,26)/b2-1-</t>
  </si>
  <si>
    <t>InChI=1S/C9HF17O3S/c10-1(2(11)30(27,28)29)3(12,13)4(14,15)5(16,17)6(18,19)7(20,21)8(22,23)9(24,25)26/h(H,27,28,29)/b2-1-</t>
  </si>
  <si>
    <t>InChI=1S/C10HF19O3S/c11-1(2(12)33(30,31)32)3(13,14)4(15,16)5(17,18)6(19,20)7(21,22)8(23,24)9(25,26)10(27,28)29/h(H,30,31,32)/b2-1-</t>
  </si>
  <si>
    <t>InChI=1S/C11HF21O3S/c12-1(2(13)36(33,34)35)3(14,15)4(16,17)5(18,19)6(20,21)7(22,23)8(24,25)9(26,27)10(28,29)11(30,31)32/h(H,33,34,35)/b2-1-</t>
  </si>
  <si>
    <t>InChI=1S/C12HF23O3S/c13-1(2(14)39(36,37)38)3(15,16)4(17,18)5(19,20)6(21,22)7(23,24)8(25,26)9(27,28)10(29,30)11(31,32)12(33,34)35/h(H,36,37,38)/b2-1-</t>
  </si>
  <si>
    <t>InChI=1S/C13HF25O3S/c14-1(2(15)42(39,40)41)3(16,17)4(18,19)5(20,21)6(22,23)7(24,25)8(26,27)9(28,29)10(30,31)11(32,33)12(34,35)13(36,37)38/h(H,39,40,41)/b2-1-</t>
  </si>
  <si>
    <t>InChI=1S/C14HF27O3S/c15-1(2(16)45(42,43)44)3(17,18)4(19,20)5(21,22)6(23,24)7(25,26)8(27,28)9(29,30)10(31,32)11(33,34)12(35,36)13(37,38)14(39,40)41/h(H,42,43,44)/b2-1-</t>
  </si>
  <si>
    <t>InChI=1S/C15HF29O3S/c16-1(2(17)48(45,46)47)3(18,19)4(20,21)5(22,23)6(24,25)7(26,27)8(28,29)9(30,31)10(32,33)11(34,35)12(36,37)13(38,39)14(40,41)15(42,43)44/h(H,45,46,47)/b2-1-</t>
  </si>
  <si>
    <t>InChI=1S/C7HF13O3S/c8-1(2(9)24(21,22)23)3(10,11)4(12,13)5(14,15)6(16,17)7(18,19)20/h(H,21,22,23)/b2-1-</t>
  </si>
  <si>
    <t>InChI=1S/C6HF11O3S/c7-1(2(8)21(18,19)20)3(9,10)4(11,12)5(13,14)6(15,16)17/h(H,18,19,20)/b2-1-</t>
  </si>
  <si>
    <t>6:2 FTSAm-(1')K(2')AmPe</t>
  </si>
  <si>
    <t xml:space="preserve">6:2 FTSAm-(1')K(2')Am(3)MePe
</t>
  </si>
  <si>
    <t>6:2 FTTh-(2')OHPr-TriMeAm</t>
  </si>
  <si>
    <t>6:2 FTSO-(2')OHPr-TriMeAm</t>
  </si>
  <si>
    <t>6:2 FTSy-(2')OHPr-TriMeAm</t>
  </si>
  <si>
    <t>6:2 FTSO-Pr-Ad-(5',5')DiMeEtSA</t>
  </si>
  <si>
    <t>6:2 FTSy-Pr-Ad-(5',5')DiMeEtSA</t>
  </si>
  <si>
    <t>6:2 FTTh-Pr-Ad-(5',5')DiMeEtSA</t>
  </si>
  <si>
    <t>n:2 FTTh-(2')OHPr-TriMeAms</t>
  </si>
  <si>
    <t>4:2 FTTh-(2')OHPr-TriMeAm</t>
  </si>
  <si>
    <t>8:2 FTTh-(2')OHPr-TriMeAm</t>
  </si>
  <si>
    <t>10:2 FTTh-(2')OHPr-TriMeAm</t>
  </si>
  <si>
    <t>n:2 FTSO-(2')OHPr-TriMeAms</t>
  </si>
  <si>
    <t>4:2 FTSO-(2')OHPr-TriMeAm</t>
  </si>
  <si>
    <t>8:2 FTSO-(2')OHPr-TriMeAm</t>
  </si>
  <si>
    <t>n:2 FTSy-(2')OHPr-TriMeAms</t>
  </si>
  <si>
    <t>4:2 FTSy-(2')OHPr-TriMeAm</t>
  </si>
  <si>
    <t>8:2 FTSy-(2')OHPr-TriMeAm</t>
  </si>
  <si>
    <t>n:2 FTSy-Pr-Ad-(5',5')DiMeEtSAs</t>
  </si>
  <si>
    <t>8:2 FTSy-Pr-Ad-(5',5')DiMeEtSA</t>
  </si>
  <si>
    <t>10:2 FTSy-Pr-Ad-(5',5')DiMeEtSA</t>
  </si>
  <si>
    <t>12:2 FTSy-Pr-Ad-(5',5')DiMeEtSA</t>
  </si>
  <si>
    <t>n:2 FTSO-Pr-Ad-(5',5')DiMeEtSAs</t>
  </si>
  <si>
    <t>n:2 FTTh-Pr-Ad-(5',5')DiMeEtSAs</t>
  </si>
  <si>
    <t>InChI=1S/C12H12F13NO2/c1-26(2,5-6(27)28)4-3-7(13,14)8(15,16)9(17,18)10(19,20)11(21,22)12(23,24)25/h3-5H2,1-2H3/p+1</t>
  </si>
  <si>
    <t>InChI=1S/C14H12F17NO2/c1-32(2,5-6(33)34)4-3-7(15,16)8(17,18)9(19,20)10(21,22)11(23,24)12(25,26)13(27,28)14(29,30)31/h3-5H2,1-2H3/p+1</t>
  </si>
  <si>
    <t>InChI=1S/C16H12F21NO2/c1-38(2,5-6(39)40)4-3-7(17,18)8(19,20)9(21,22)10(23,24)11(25,26)12(27,28)13(29,30)14(31,32)15(33,34)16(35,36)37/h3-5H2,1-2H3/p+1</t>
  </si>
  <si>
    <t>InChI=1S/C18H12F25NO2/c1-44(2,5-6(45)46)4-3-7(19,20)8(21,22)9(23,24)10(25,26)11(27,28)12(29,30)13(31,32)14(33,34)15(35,36)16(37,38)17(39,40)18(41,42)43/h3-5H2,1-2H3/p+1</t>
  </si>
  <si>
    <t>InChI=1S/C8H6F13NO2S/c9-3(10,1-2-25(22,23)24)4(11,12)5(13,14)6(15,16)7(17,18)8(19,20)21/h1-2H2,(H2,22,23,24)</t>
  </si>
  <si>
    <t>InChI=1S/C10H6F17NO2S/c11-3(12,1-2-31(28,29)30)4(13,14)5(15,16)6(17,18)7(19,20)8(21,22)9(23,24)10(25,26)27/h1-2H2,(H2,28,29,30)</t>
  </si>
  <si>
    <t>InChI=1S/C12H6F21NO2S/c13-3(14,1-2-37(34,35)36)4(15,16)5(17,18)6(19,20)7(21,22)8(23,24)9(25,26)10(27,28)11(29,30)12(31,32)33/h1-2H2,(H2,34,35,36)</t>
  </si>
  <si>
    <t>InChI=1S/C14H19F13NOS/c1-28(2,3)6-8(29)7-30-5-4-9(15,16)10(17,18)11(19,20)12(21,22)13(23,24)14(25,26)27/h8,29H,4-7H2,1-3H3/q+1</t>
  </si>
  <si>
    <t>InChI=1S/C16H19F17NOS/c1-34(2,3)6-8(35)7-36-5-4-9(17,18)10(19,20)11(21,22)12(23,24)13(25,26)14(27,28)15(29,30)16(31,32)33/h8,35H,4-7H2,1-3H3/q+1</t>
  </si>
  <si>
    <t>InChI=1S/C18H19F21NOS/c1-40(2,3)6-8(41)7-42-5-4-9(19,20)10(21,22)11(23,24)12(25,26)13(27,28)14(29,30)15(31,32)16(33,34)17(35,36)18(37,38)39/h8,41H,4-7H2,1-3H3/q+1</t>
  </si>
  <si>
    <t>InChI=1S/C12H19F9NOS/c1-22(2,3)6-8(23)7-24-5-4-9(13,14)10(15,16)11(17,18)12(19,20)21/h8,23H,4-7H2,1-3H3/q+1</t>
  </si>
  <si>
    <t>InChI=1S/C14H19F13NO2S/c1-28(2,3)6-8(29)7-31(30)5-4-9(15,16)10(17,18)11(19,20)12(21,22)13(23,24)14(25,26)27/h8,29H,4-7H2,1-3H3/q+1</t>
  </si>
  <si>
    <t>Formula (M)</t>
  </si>
  <si>
    <t>InChI=1S/C15H19F13N2O4S/c1-30(2,8-9(31)32)6-3-5-29-35(33,34)7-4-10(16,17)11(18,19)12(20,21)13(22,23)14(24,25)15(26,27)28/h29H,3-8H2,1-2H3/p+1</t>
  </si>
  <si>
    <t>InChI=1S/C13H19F9N2O4S/c1-24(2,8-9(25)26)6-3-5-23-29(27,28)7-4-10(14,15)11(16,17)12(18,19)13(20,21)22/h23H,3-8H2,1-2H3/p+1</t>
  </si>
  <si>
    <t>InChI=1S/C17H19F17N2O4S/c1-36(2,8-9(37)38)6-3-5-35-41(39,40)7-4-10(18,19)11(20,21)12(22,23)13(24,25)14(26,27)15(28,29)16(30,31)17(32,33)34/h35H,3-8H2,1-2H3/p+1</t>
  </si>
  <si>
    <t>InChI=1S/C19H19F21N2O4S/c1-42(2,8-9(43)44)6-3-5-41-47(45,46)7-4-10(20,21)11(22,23)12(24,25)13(26,27)14(28,29)15(30,31)16(32,33)17(34,35)18(36,37)19(38,39)40/h41H,3-8H2,1-2H3/p+1</t>
  </si>
  <si>
    <t>InChI=1S/C21H19F25N2O4S/c1-48(2,8-9(49)50)6-3-5-47-53(51,52)7-4-10(22,23)11(24,25)12(26,27)13(28,29)14(30,31)15(32,33)16(34,35)17(36,37)18(38,39)19(40,41)20(42,43)21(44,45)46/h47H,3-8H2,1-2H3/p+1</t>
  </si>
  <si>
    <t>InChI=1S/C13H18F13N2O3S/c1-28(2,29)6-3-5-27-32(30,31)7-4-8(14,15)9(16,17)10(18,19)11(20,21)12(22,23)13(24,25)26/h27,29H,3-7H2,1-2H3/q+1</t>
  </si>
  <si>
    <t>InChI=1S/C15H18F17N2O3S/c1-34(2,35)6-3-5-33-38(36,37)7-4-8(16,17)9(18,19)10(20,21)11(22,23)12(24,25)13(26,27)14(28,29)15(30,31)32/h33,35H,3-7H2,1-2H3/q+1</t>
  </si>
  <si>
    <t>InChI=1S/C8HF21O3S2/c9-1(10,3(13,14)5(17,18)7(21,22)33(30,31)32)2(11,12)4(15,16)6(19,20)8(23,24)34(25,26,27,28)29/h(H,30,31,32)</t>
  </si>
  <si>
    <t>InChI=1S/C7HF19O3S2/c8-1(9,2(10,11)4(14,15)6(18,19)30(27,28)29)3(12,13)5(16,17)7(20,21)31(22,23,24,25)26/h(H,27,28,29)</t>
  </si>
  <si>
    <t>InChI=1S/C9HF23O3S2/c10-1(11,2(12,13)4(16,17)6(20,21)8(24,25)36(33,34)35)3(14,15)5(18,19)7(22,23)9(26,27)37(28,29,30,31)32/h(H,33,34,35)</t>
  </si>
  <si>
    <t>InChI=1S/C10HF25O3S2/c11-1(12,3(15,16)5(19,20)7(23,24)9(27,28)39(36,37)38)2(13,14)4(17,18)6(21,22)8(25,26)10(29,30)40(31,32,33,34)35/h(H,36,37,38)</t>
  </si>
  <si>
    <t>InChI=1S/C13H15F13N2O4S/c1-28(2,6-7(29)30)5-3-4-27-33(31,32)13(25,26)11(20,21)9(16,17)8(14,15)10(18,19)12(22,23)24/h27H,3-6H2,1-2H3/p+1</t>
  </si>
  <si>
    <t>InChI=1S/C11H15F9N2O4S/c1-22(2,6-7(23)24)5-3-4-21-27(25,26)11(19,20)9(14,15)8(12,13)10(16,17)18/h21H,3-6H2,1-2H3/p+1</t>
  </si>
  <si>
    <t>InChI=1S/C12H15F11N2O4S/c1-25(2,6-7(26)27)5-3-4-24-30(28,29)12(22,23)10(17,18)8(13,14)9(15,16)11(19,20)21/h24H,3-6H2,1-2H3/p+1</t>
  </si>
  <si>
    <t>InChI=1S/C15H15F17N2O4S/c1-34(2,6-7(35)36)5-3-4-33-39(37,38)15(31,32)13(26,27)11(22,23)9(18,19)8(16,17)10(20,21)12(24,25)14(28,29)30/h33H,3-6H2,1-2H3/p+1</t>
  </si>
  <si>
    <t>InChI=1S/C16H19F17NO2S/c1-34(2,3)6-8(35)7-37(36)5-4-9(17,18)10(19,20)11(21,22)12(23,24)13(25,26)14(27,28)15(29,30)16(31,32)33/h8,35H,4-7H2,1-3H3/q+1</t>
  </si>
  <si>
    <t>InChI=1S/C12H19F9NO2S/c1-22(2,3)6-8(23)7-25(24)5-4-9(13,14)10(15,16)11(17,18)12(19,20)21/h8,23H,4-7H2,1-3H3/q+1</t>
  </si>
  <si>
    <t>InChI=1S/C14H19F13NO3S/c1-28(2,3)6-8(29)7-32(30,31)5-4-9(15,16)10(17,18)11(19,20)12(21,22)13(23,24)14(25,26)27/h8,29H,4-7H2,1-3H3/q+1</t>
  </si>
  <si>
    <t>InChI=1S/C16H19F17NO3S/c1-34(2,3)6-8(35)7-38(36,37)5-4-9(17,18)10(19,20)11(21,22)12(23,24)13(25,26)14(27,28)15(29,30)16(31,32)33/h8,35H,4-7H2,1-3H3/q+1</t>
  </si>
  <si>
    <t>InChI=1S/C12H19F9NO3S/c1-22(2,3)6-8(23)7-26(24,25)5-4-9(13,14)10(15,16)11(17,18)12(19,20)21/h8,23H,4-7H2,1-3H3/q+1</t>
  </si>
  <si>
    <t>InChI=1S/C15H18F13NO6S2/c1-9(2,7-37(33,34)35)29-8(30)3-5-36(31,32)6-4-10(16,17)11(18,19)12(20,21)13(22,23)14(24,25)15(26,27)28/h3-7H2,1-2H3,(H,29,30)(H,33,34,35)</t>
  </si>
  <si>
    <t>InChI=1S/C17H18F17NO6S2/c1-9(2,7-43(39,40)41)35-8(36)3-5-42(37,38)6-4-10(18,19)11(20,21)12(22,23)13(24,25)14(26,27)15(28,29)16(30,31)17(32,33)34/h3-7H2,1-2H3,(H,35,36)(H,39,40,41)</t>
  </si>
  <si>
    <t>InChI=1S/C19H18F21NO6S2/c1-9(2,7-49(45,46)47)41-8(42)3-5-48(43,44)6-4-10(20,21)11(22,23)12(24,25)13(26,27)14(28,29)15(30,31)16(32,33)17(34,35)18(36,37)19(38,39)40/h3-7H2,1-2H3,(H,41,42)(H,45,46,47)</t>
  </si>
  <si>
    <t>InChI=1S/C21H18F25NO6S2/c1-9(2,7-55(51,52)53)47-8(48)3-5-54(49,50)6-4-10(22,23)11(24,25)12(26,27)13(28,29)14(30,31)15(32,33)16(34,35)17(36,37)18(38,39)19(40,41)20(42,43)21(44,45)46/h3-7H2,1-2H3,(H,47,48)(H,51,52,53)</t>
  </si>
  <si>
    <t>InChI=1S/C8HF17O2S/c9-1(10,3(13,14)5(17,18)7(21,22)23)2(11,12)4(15,16)6(19,20)8(24,25)28(26)27/h(H,26,27)</t>
  </si>
  <si>
    <t>InChI=1S/C8HF19O3S2/c9-1(2(10)31(28,29)30)3(11,12)4(13,14)5(15,16)6(17,18)7(19,20)8(21,22)32(23,24,25,26)27/h(H,28,29,30)/b2-1-</t>
  </si>
  <si>
    <t>InChI=1S/C8HClF16O3S/c9-7(22,29(26,27)28)5(18,19)3(14,15)1(10,11)2(12,13)4(16,17)6(20,21)8(23,24)25/h(H,26,27,28)</t>
  </si>
  <si>
    <t>InChI=1S/C6HClF12O3S/c7-5(16,23(20,21)22)3(12,13)1(8,9)2(10,11)4(14,15)6(17,18)19/h(H,20,21,22)</t>
  </si>
  <si>
    <t>InChI=1S/C10H2F20O3S/c11-1(12)2(13,14)3(15,16)4(17,18)5(19,20)6(21,22)7(23,24)8(25,26)9(27,28)10(29,30)34(31,32)33/h1H,(H,31,32,33)</t>
  </si>
  <si>
    <t>InChI=1S/C8H2F16O3S/c9-1(10)2(11,12)3(13,14)4(15,16)5(17,18)6(19,20)7(21,22)8(23,24)28(25,26)27/h1H,(H,25,26,27)</t>
  </si>
  <si>
    <t>InChI=1S/C9HF21O3S2/c10-1(2(11)34(31,32)33)3(12,13)4(14,15)5(16,17)6(18,19)7(20,21)8(22,23)9(24,25)35(26,27,28,29)30/h(H,31,32,33)/b2-1-</t>
  </si>
  <si>
    <t>InChI=1S/C10HF23O3S2/c11-1(2(12)37(34,35)36)3(13,14)4(15,16)5(17,18)6(19,20)7(21,22)8(23,24)9(25,26)10(27,28)38(29,30,31,32)33/h(H,34,35,36)/b2-1-</t>
  </si>
  <si>
    <t>PFASAm-EtAs</t>
  </si>
  <si>
    <t>InChI=1S/C10H4F17NO4S/c11-3(12,5(15,16)7(19,20)9(23,24)25)4(13,14)6(17,18)8(21,22)10(26,27)33(31,32)28-1-2(29)30/h28H,1H2,(H,29,30)</t>
  </si>
  <si>
    <t>InChI=1S/C8H4F13NO4S/c9-3(10,5(13,14)7(17,18)19)4(11,12)6(15,16)8(20,21)27(25,26)22-1-2(23)24/h22H,1H2,(H,23,24)</t>
  </si>
  <si>
    <t>InChI=1S/C12H16F13N2O2S/c1-27(2,3)6-4-5-26-30(28,29)12(24,25)10(19,20)8(15,16)7(13,14)9(17,18)11(21,22)23/h26H,4-6H2,1-3H3/q+1</t>
  </si>
  <si>
    <t>InChI=1S/C14H16F17N2O2S/c1-33(2,3)6-4-5-32-36(34,35)14(30,31)12(25,26)10(21,22)8(17,18)7(15,16)9(19,20)11(23,24)13(27,28)29/h32H,4-6H2,1-3H3/q+1</t>
  </si>
  <si>
    <t>InChI=1S/C9H8F13NO5S2/c10-4(11,6(14,15)8(18,19)20)5(12,13)7(16,17)9(21,22)30(27,28)23-2-1-3-29(24,25)26/h23H,1-3H2,(H,24,25,26)</t>
  </si>
  <si>
    <t>InChI=1S/C8H8F11NO5S2/c9-4(10,5(11,12)7(15,16)17)6(13,14)8(18,19)27(24,25)20-2-1-3-26(21,22)23/h20H,1-3H2,(H,21,22,23)</t>
  </si>
  <si>
    <t>InChI=1S/C7H8F9NO5S2/c8-4(9,6(12,13)14)5(10,11)7(15,16)24(21,22)17-2-1-3-23(18,19)20/h17H,1-3H2,(H,18,19,20)</t>
  </si>
  <si>
    <t>InChI=1S/C14H19F13N2O5S2/c1-28(2)5-3-6-29(7-4-8-35(30,31)32)36(33,34)14(26,27)12(21,22)10(17,18)9(15,16)11(19,20)13(23,24)25/h3-8H2,1-2H3,(H,30,31,32)</t>
  </si>
  <si>
    <t>InChI=1S/C13H19F11N2O5S2/c1-25(2)5-3-6-26(7-4-8-32(27,28)29)33(30,31)13(23,24)11(18,19)9(14,15)10(16,17)12(20,21)22/h3-8H2,1-2H3,(H,27,28,29)</t>
  </si>
  <si>
    <t>InChI=1S/C12H19F9N2O5S2/c1-22(2)5-3-6-23(7-4-8-29(24,25)26)30(27,28)12(20,21)10(15,16)9(13,14)11(17,18)19/h3-8H2,1-2H3,(H,24,25,26)</t>
  </si>
  <si>
    <t>InChI=1S/C14H16F13NO2/c1-28(2,7-8(29)30)6-4-3-5-9(15,16)10(17,18)11(19,20)12(21,22)13(23,24)14(25,26)27/h3-7H2,1-2H3/p+1</t>
  </si>
  <si>
    <t>InChI=1S/C16H16F17NO2/c1-34(2,7-8(35)36)6-4-3-5-9(17,18)10(19,20)11(21,22)12(23,24)13(25,26)14(27,28)15(29,30)16(31,32)33/h3-7H2,1-2H3/p+1</t>
  </si>
  <si>
    <t>InChI=1S/C18H16F21NO2/c1-40(2,7-8(41)42)6-4-3-5-9(19,20)10(21,22)11(23,24)12(25,26)13(27,28)14(29,30)15(31,32)16(33,34)17(35,36)18(37,38)39/h3-7H2,1-2H3/p+1</t>
  </si>
  <si>
    <t>InChI=1S/C12H16F9NO2/c1-22(2,7-8(23)24)6-4-3-5-9(13,14)10(15,16)11(17,18)12(19,20)21/h3-7H2,1-2H3/p+1</t>
  </si>
  <si>
    <t>InChI=1S/C16H9F26NO4S2/c17-5(18,7(21,22)9(25,26)11(29,30)13(33,34)15(37,38)39)1-3-48(44,45)43-49(46,47)4-2-6(19,20)8(23,24)10(27,28)12(31,32)14(35,36)16(40,41)42/h43H,1-4H2</t>
  </si>
  <si>
    <t>InChI=1S/C18H9F30NO4S2/c19-5(20,7(23,24)9(27,28)11(31,32)12(33,34)14(37,38)16(41,42)18(46,47)48)1-3-54(50,51)49-55(52,53)4-2-6(21,22)8(25,26)10(29,30)13(35,36)15(39,40)17(43,44)45/h49H,1-4H2</t>
  </si>
  <si>
    <t>InChI=1S/C12H15F13N2O2S/c1-26-4-2-5-27-30(28,29)6-3-7(13,14)8(15,16)9(17,18)10(19,20)11(21,22)12(23,24)25/h26-27H,2-6H2,1H3</t>
  </si>
  <si>
    <t>InChI=1S/C15H17F17N2O2S/c1-34(2)6-3-5-33-37(35,36)7-4-8(16,17)9(18,19)10(20,21)11(22,23)12(24,25)13(26,27)14(28,29)15(30,31)32/h33H,3-7H2,1-2H3</t>
  </si>
  <si>
    <t>InChI=1S/C13H17F13N2O2S/c1-28(2)6-3-5-27-31(29,30)7-4-8(14,15)9(16,17)10(18,19)11(20,21)12(22,23)13(24,25)26/h27H,3-7H2,1-2H3</t>
  </si>
  <si>
    <t>InChI=1S/C13H16F13N2O2S/c1-28(2)6-3-5-27-31(29,30)7-4-8(14,15)9(16,17)10(18,19)11(20,21)12(22,23)13(24,25)26/h6,27H,3-5,7H2,1-2H3/q+1</t>
  </si>
  <si>
    <t>InChI=1S/C11H10F13NO4S/c12-6(13,2-4-30(28,29)25-3-1-5(26)27)7(14,15)8(16,17)9(18,19)10(20,21)11(22,23)24/h25H,1-4H2,(H,26,27)</t>
  </si>
  <si>
    <t>InChI=1S/C12H12F13NO4S/c1-26(4-2-6(27)28)31(29,30)5-3-7(13,14)8(15,16)9(17,18)10(19,20)11(21,22)12(23,24)25/h2-5H2,1H3,(H,27,28)</t>
  </si>
  <si>
    <t>InChI=1S/C11H9F13O4S/c12-6(13,2-4-29(27,28)3-1-5(25)26)7(14,15)8(16,17)9(18,19)10(20,21)11(22,23)24/h1-4H2,(H,25,26)</t>
  </si>
  <si>
    <t>InChI=1S/C13H9F17O4S/c14-6(15,2-4-35(33,34)3-1-5(31)32)7(16,17)8(18,19)9(20,21)10(22,23)11(24,25)12(26,27)13(28,29)30/h1-4H2,(H,31,32)</t>
  </si>
  <si>
    <t>InChI=1S/C9H9F9O4S/c10-6(11,2-4-23(21,22)3-1-5(19)20)7(12,13)8(14,15)9(16,17)18/h1-4H2,(H,19,20)</t>
  </si>
  <si>
    <t>InChI=1S/C15H18F13NO5S2/c1-9(2,7-36(32,33)34)29-8(30)3-5-35(31)6-4-10(16,17)11(18,19)12(20,21)13(22,23)14(24,25)15(26,27)28/h3-7H2,1-2H3,(H,29,30)(H,32,33,34)</t>
  </si>
  <si>
    <t>InChI=1S/C8H5F13O4S/c9-3(10,1-2(22)26(23,24)25)4(11,12)5(13,14)6(15,16)7(17,18)8(19,20)21/h2,22H,1H2,(H,23,24,25)</t>
  </si>
  <si>
    <t>InChI=1S/C10H5F17O4S/c11-3(12,1-2(28)32(29,30)31)4(13,14)5(15,16)6(17,18)7(19,20)8(21,22)9(23,24)10(25,26)27/h2,28H,1H2,(H,29,30,31)</t>
  </si>
  <si>
    <t>InChI=1S/C8H3F13O4S/c9-3(10,2(22)1-26(23,24)25)4(11,12)5(13,14)6(15,16)7(17,18)8(19,20)21/h1H2,(H,23,24,25)</t>
  </si>
  <si>
    <t>InChI=1S/C10H3F17O4S/c11-3(12,2(28)1-32(29,30)31)4(13,14)5(15,16)6(17,18)7(19,20)8(21,22)9(23,24)10(25,26)27/h1H2,(H,29,30,31)</t>
  </si>
  <si>
    <t>InChI=1S/C12H3F21O4S/c13-3(14,2(34)1-38(35,36)37)4(15,16)5(17,18)6(19,20)7(21,22)8(23,24)9(25,26)10(27,28)11(29,30)12(31,32)33/h1H2,(H,35,36,37)</t>
  </si>
  <si>
    <t>InChI=1S/C8H3F13O3S/c9-3(10,1-2-25(22,23)24)4(11,12)5(13,14)6(15,16)7(17,18)8(19,20)21/h1-2H,(H,22,23,24)/b2-1+</t>
  </si>
  <si>
    <t>InChI=1S/C10H3F17O3S/c11-3(12,1-2-31(28,29)30)4(13,14)5(15,16)6(17,18)7(19,20)8(21,22)9(23,24)10(25,26)27/h1-2H,(H,28,29,30)/b2-1+</t>
  </si>
  <si>
    <t>InChI (Example)</t>
  </si>
  <si>
    <t>InChI=1S/C8HF15O4S/c9-1(10)2(11)27-7(20,21)5(16,17)3(12,13)4(14,15)6(18,19)8(22,23)28(24,25)26/h(H,24,25,26) / InChI=1S/C8HF15O4S/c9-2(10,1(24)3(11,12)13)4(14,15)5(16,17)6(18,19)7(20,21)8(22,23)28(25,26)27/h(H,25,26,27)</t>
  </si>
  <si>
    <t>InChI=1S/C9HF17O4S/c10-1(11)2(12)30-8(23,24)6(19,20)4(15,16)3(13,14)5(17,18)7(21,22)9(25,26)31(27,28)29/h(H,27,28,29) / InChI=1S/C9HF17O4S/c10-2(11,1(27)3(12,13)14)4(15,16)5(17,18)6(19,20)7(21,22)8(23,24)9(25,26)31(28,29)30/h(H,28,29,30)</t>
  </si>
  <si>
    <t>InChI=1S/C10HF19O4S/c11-1(12)2(13)33-9(26,27)7(22,23)5(18,19)3(14,15)4(16,17)6(20,21)8(24,25)10(28,29)34(30,31)32/h(H,30,31,32) / InChI=1S/C10HF19O4S/c11-2(12,1(30)3(13,14)15)4(16,17)5(18,19)6(20,21)7(22,23)8(24,25)9(26,27)10(28,29)34(31,32)33/h(H,31,32,33)</t>
  </si>
  <si>
    <t>InChI=1S/C11HF21O4S/c12-1(13)2(14)36-10(29,30)8(25,26)6(21,22)4(17,18)3(15,16)5(19,20)7(23,24)9(27,28)11(31,32)37(33,34)35/h(H,33,34,35) / InChI=1S/C11HF21O4S/c12-2(13,1(33)3(14,15)16)4(17,18)5(19,20)6(21,22)7(23,24)8(25,26)9(27,28)10(29,30)11(31,32)37(34,35)36/h(H,34,35,36)</t>
  </si>
  <si>
    <t>InChI=1S/C12HF23O4S/c13-1(14)2(15)39-11(32,33)9(28,29)7(24,25)5(20,21)3(16,17)4(18,19)6(22,23)8(26,27)10(30,31)12(34,35)40(36,37)38/h(H,36,37,38) / InChI=1S/C12HF23O4S/c13-2(14,1(36)3(15,16)17)4(18,19)5(20,21)6(22,23)7(24,25)8(26,27)9(28,29)10(30,31)11(32,33)12(34,35)40(37,38)39/h(H,37,38,39)</t>
  </si>
  <si>
    <t>InChI=1S/C13HF25O4S/c14-1(15)2(16)42-12(35,36)10(31,32)8(27,28)6(23,24)4(19,20)3(17,18)5(21,22)7(25,26)9(29,30)11(33,34)13(37,38)43(39,40)41/h(H,39,40,41) / InChI=1S/C13HF25O4S/c14-2(15,1(39)3(16,17)18)4(19,20)5(21,22)6(23,24)7(25,26)8(27,28)9(29,30)10(31,32)11(33,34)12(35,36)13(37,38)43(40,41)42/h(H,40,41,42)</t>
  </si>
  <si>
    <t>InChI=1S/C14HF27O4S/c15-1(16)2(17)45-13(38,39)11(34,35)9(30,31)7(26,27)5(22,23)3(18,19)4(20,21)6(24,25)8(28,29)10(32,33)12(36,37)14(40,41)46(42,43)44/h(H,42,43,44) / InChI=1S/C14HF27O4S/c15-2(16,1(42)3(17,18)19)4(20,21)5(22,23)6(24,25)7(26,27)8(28,29)9(30,31)10(32,33)11(34,35)12(36,37)13(38,39)14(40,41)46(43,44)45/h(H,43,44,45)</t>
  </si>
  <si>
    <t>InChI=1S/C7HF13O4S/c8-1(9)2(10)24-6(17,18)4(13,14)3(11,12)5(15,16)7(19,20)25(21,22)23/h(H,21,22,23) / InChI=1S/C7HF13O4S/c8-2(9,1(21)3(10,11)12)4(13,14)5(15,16)6(17,18)7(19,20)25(22,23)24/h(H,22,23,24)</t>
  </si>
  <si>
    <t>InChI=1S/C6HF11O4S/c7-1(8)2(9)21-5(14,15)3(10,11)4(12,13)6(16,17)22(18,19)20/h(H,18,19,20) / InChI=1S/C6HF11O4S/c7-2(8,1(18)3(9,10)11)4(12,13)5(14,15)6(16,17)22(19,20)21/h(H,19,20,21)</t>
  </si>
  <si>
    <t>InChI=1S/C9H4F17NO2S/c1-27-30(28,29)9(25,26)7(20,21)5(16,17)3(12,13)2(10,11)4(14,15)6(18,19)8(22,23)24/h27H,1H3</t>
  </si>
  <si>
    <t>InChI=1S/C7H4F13NO2S/c1-21-24(22,23)7(19,20)5(14,15)3(10,11)2(8,9)4(12,13)6(16,17)18/h21H,1H3</t>
  </si>
  <si>
    <t>InChI=1S/C5H4F9NO2S/c1-15-18(16,17)5(13,14)3(8,9)2(6,7)4(10,11)12/h15H,1H3</t>
  </si>
  <si>
    <t>InChI=1S/C15H15F16NO2/c1-32(2,6-8(33)34)5-3-4-7(16)9(17,18)10(19,20)11(21,22)12(23,24)13(25,26)14(27,28)15(29,30)31/h7H,3-6H2,1-2H3/p+1</t>
  </si>
  <si>
    <t>InChI=1S/C17H15F20NO2/c1-38(2,6-8(39)40)5-3-4-7(18)9(19,20)10(21,22)11(23,24)12(25,26)13(27,28)14(29,30)15(31,32)16(33,34)17(35,36)37/h7H,3-6H2,1-2H3/p+1</t>
  </si>
  <si>
    <t>InChI=1S/C13H15F12NO2/c1-26(2,6-8(27)28)5-3-4-7(14)9(15,16)10(17,18)11(19,20)12(21,22)13(23,24)25/h7H,3-6H2,1-2H3/p+1</t>
  </si>
  <si>
    <t>InChI=1S/C9HF19O4S/c10-1(11,3(14,15)5(18,19)7(22,23)32-9(26,27)28)2(12,13)4(16,17)6(20,21)8(24,25)33(29,30)31/h(H,29,30,31)</t>
  </si>
  <si>
    <t>InChI=1S/C10HF21O4S/c11-1(12,3(15,16)5(19,20)7(23,24)9(27,28)36(32,33)34)2(13,14)4(17,18)6(21,22)8(25,26)35-10(29,30)31/h(H,32,33,34)</t>
  </si>
  <si>
    <t>InChI=1S/C11HF23O4S/c12-1(13,3(16,17)5(20,21)7(24,25)9(28,29)38-11(32,33)34)2(14,15)4(18,19)6(22,23)8(26,27)10(30,31)39(35,36)37/h(H,35,36,37)</t>
  </si>
  <si>
    <t>InChI=1S/C12HF25O4S/c13-1(14,3(17,18)5(21,22)7(25,26)9(29,30)11(33,34)42(38,39)40)2(15,16)4(19,20)6(23,24)8(27,28)10(31,32)41-12(35,36)37/h(H,38,39,40)</t>
  </si>
  <si>
    <t>InChI=1S/C13HF27O4S/c14-1(15,3(18,19)5(22,23)7(26,27)9(30,31)11(34,35)44-13(38,39)40)2(16,17)4(20,21)6(24,25)8(28,29)10(32,33)12(36,37)45(41,42)43/h(H,41,42,43)</t>
  </si>
  <si>
    <t>InChI=1S/C14HF29O4S/c15-1(16,3(19,20)5(23,24)7(27,28)9(31,32)11(35,36)13(39,40)48(44,45)46)2(17,18)4(21,22)6(25,26)8(29,30)10(33,34)12(37,38)47-14(41,42)43/h(H,44,45,46)</t>
  </si>
  <si>
    <t>InChI=1S/C15HF31O4S/c16-1(17,3(20,21)5(24,25)7(28,29)9(32,33)11(36,37)13(40,41)50-15(44,45)46)2(18,19)4(22,23)6(26,27)8(30,31)10(34,35)12(38,39)14(42,43)51(47,48)49/h(H,47,48,49)</t>
  </si>
  <si>
    <t>InChI=1S/C16HF33O4S/c17-1(18,3(21,22)5(25,26)7(29,30)9(33,34)11(37,38)13(41,42)15(45,46)54(50,51)52)2(19,20)4(23,24)6(27,28)8(31,32)10(35,36)12(39,40)14(43,44)53-16(47,48)49/h(H,50,51,52)</t>
  </si>
  <si>
    <t>InChI=1S/C11H6F17NO4S/c1-29(2-3(30)31)34(32,33)11(27,28)9(22,23)7(18,19)5(14,15)4(12,13)6(16,17)8(20,21)10(24,25)26/h2H2,1H3,(H,30,31)</t>
  </si>
  <si>
    <t>InChI=1S/C16H6F27NO4S/c1-44(2-3(45)46)49(47,48)16(42,43)14(37,38)12(33,34)10(29,30)8(25,26)6(21,22)4(17,18)5(19,20)7(23,24)9(27,28)11(31,32)13(35,36)15(39,40)41/h2H2,1H3,(H,45,46)</t>
  </si>
  <si>
    <t>InChI=1S/C18H6F31NO4S/c1-50(2-3(51)52)55(53,54)18(48,49)16(43,44)14(39,40)12(35,36)10(31,32)8(27,28)6(23,24)4(19,20)5(21,22)7(25,26)9(29,30)11(33,34)13(37,38)15(41,42)17(45,46)47/h2H2,1H3,(H,51,52)</t>
  </si>
  <si>
    <t>InChI=1S/C12H8F17NO4S/c1-2-30(3-4(31)32)35(33,34)12(28,29)10(23,24)8(19,20)6(15,16)5(13,14)7(17,18)9(21,22)11(25,26)27/h2-3H2,1H3,(H,31,32)</t>
  </si>
  <si>
    <t>InChI=1S/C10H8F13NO4S/c1-2-24(3-4(25)26)29(27,28)10(22,23)8(17,18)6(13,14)5(11,12)7(15,16)9(19,20)21/h2-3H2,1H3,(H,25,26)</t>
  </si>
  <si>
    <t>InChI=1S/C12H8F17NO4S/c1-30(3-2-4(31)32)35(33,34)12(28,29)10(23,24)8(19,20)6(15,16)5(13,14)7(17,18)9(21,22)11(25,26)27/h2-3H2,1H3,(H,31,32)</t>
  </si>
  <si>
    <t>InChI=1S/C10H8F13NO4S/c1-24(3-2-4(25)26)29(27,28)10(22,23)8(17,18)6(13,14)5(11,12)7(15,16)9(19,20)21/h2-3H2,1H3,(H,25,26)</t>
  </si>
  <si>
    <t>InChI=1S/C10H10F13NO3S/c11-5(12,1-4-28(26,27)24-2-3-25)6(13,14)7(15,16)8(17,18)9(19,20)10(21,22)23/h24-25H,1-4H2</t>
  </si>
  <si>
    <t>InChI=1S/C13H15F13N2O3S/c1-2-3-6(27)7(29)28-32(30,31)5-4-8(14,15)9(16,17)10(18,19)11(20,21)12(22,23)13(24,25)26/h6H,2-5,27H2,1H3,(H,28,29)</t>
  </si>
  <si>
    <t>InChI=1S/2C15H18F13NO4S2/c2*1-9(2,7-35(31,32)33)29-8(30)3-5-34-6-4-10(16,17)11(18,19)12(20,21)13(22,23)14(24,25)15(26,27)28/h2*3-7H2,1-2H3,(H,29,30)(H,31,32,33)/p-1</t>
  </si>
  <si>
    <t>InChI=1S/C8H4F11NO/c9-4(10,2-1-3(20)21)5(11,12)6(13,14)7(15,16)8(17,18)19/h1-2H,(H2,20,21)/b2-1+</t>
  </si>
  <si>
    <t>InChI=1S/C10H4F15NO/c11-4(12,2-1-3(26)27)5(13,14)6(15,16)7(17,18)8(19,20)9(21,22)10(23,24)25/h1-2H,(H2,26,27)/b2-1+</t>
  </si>
  <si>
    <t>InChI=1S/C10H2F20O4S/c11-1(12)2(13,14)3(15,16)4(17,18)5(19,20)6(21,22)7(23,24)8(25,26)34-9(27,28)10(29,30)35(31,32)33/h1H,(H,31,32,33)</t>
  </si>
  <si>
    <t>InChI=1S/C8H2F16O4S/c9-1(10)2(11,12)3(13,14)4(15,16)5(17,18)6(19,20)28-7(21,22)8(23,24)29(25,26)27/h1H,(H,25,26,27)</t>
  </si>
  <si>
    <t>InChI=1S/C12HF26NO4S2/c13-1(14,5(21,22)9(29,30)31)3(17,18)7(25,26)11(35,36)44(40,41)39-45(42,43)12(37,38)8(27,28)4(19,20)2(15,16)6(23,24)10(32,33)34/h39H</t>
  </si>
  <si>
    <t>InChI=1S/C11HF24NO4S2/c12-1(13,4(18,19)8(26,27)28)2(14,15)6(22,23)10(32,33)41(37,38)36-42(39,40)11(34,35)7(24,25)3(16,17)5(20,21)9(29,30)31/h36H</t>
  </si>
  <si>
    <t>InChI=1S/C10HF22NO4S2/c11-1(12,3(15,16)7(23,24)25)5(19,20)9(29,30)38(34,35)33-39(36,37)10(31,32)6(21,22)2(13,14)4(17,18)8(26,27)28/h33H</t>
  </si>
  <si>
    <t>InChI=1S/C9HF20NO4S2/c10-1(11,2(12,13)6(20,21)22)4(16,17)8(26,27)35(31,32)30-36(33,34)9(28,29)5(18,19)3(14,15)7(23,24)25/h30H</t>
  </si>
  <si>
    <t>InChI=1S/C8HF18NO4S2/c9-1(10,5(17,18)19)3(13,14)7(23,24)32(28,29)27-33(30,31)8(25,26)4(15,16)2(11,12)6(20,21)22/h27H</t>
  </si>
  <si>
    <t>InChI=1S/C7HF16NO4S2/c8-1(9,4(14,15)16)2(10,11)6(20,21)29(25,26)24-30(27,28)7(22,23)3(12,13)5(17,18)19/h24H</t>
  </si>
  <si>
    <t>InChI=1S/C6HF14NO4S2/c7-1(8,3(11,12)13)5(17,18)26(22,23)21-27(24,25)6(19,20)2(9,10)4(14,15)16/h21H</t>
  </si>
  <si>
    <t>InChI=1S/C10H10F13NO2S/c1-2-24-27(25,26)4-3-5(11,12)6(13,14)7(15,16)8(17,18)9(19,20)10(21,22)23/h24H,2-4H2,1H3</t>
  </si>
  <si>
    <t>InChI=1S/C10H8F13NO3S/c11-5(12,1-4-28(26,27)24-2-3-25)6(13,14)7(15,16)8(17,18)9(19,20)10(21,22)23/h3,24H,1-2,4H2</t>
  </si>
  <si>
    <t>InChI=1S/C14H17F13N2O3S/c1-3-6(2)7(28)8(30)29-33(31,32)5-4-9(15,16)10(17,18)11(19,20)12(21,22)13(23,24)14(25,26)27/h6-7H,3-5,28H2,1-2H3,(H,29,30)</t>
  </si>
  <si>
    <t>C14H17F13N2O3S</t>
  </si>
  <si>
    <t>C13H15F13N2O3S</t>
  </si>
  <si>
    <r>
      <rPr>
        <sz val="8"/>
        <color theme="1"/>
        <rFont val="Arial"/>
        <family val="2"/>
      </rPr>
      <t>n:2 FTTh-(2')OHPr-TriMeAm</t>
    </r>
    <r>
      <rPr>
        <i/>
        <sz val="8"/>
        <color theme="1"/>
        <rFont val="Arial"/>
        <family val="2"/>
      </rPr>
      <t xml:space="preserve">
n:2 fluorotelomer thio (2')-propanol trimethylamine</t>
    </r>
  </si>
  <si>
    <r>
      <rPr>
        <sz val="8"/>
        <color theme="1"/>
        <rFont val="Arial"/>
        <family val="2"/>
      </rPr>
      <t>n:2 FTSO-(2')OHPr-TriMeAm</t>
    </r>
    <r>
      <rPr>
        <i/>
        <sz val="8"/>
        <color theme="1"/>
        <rFont val="Arial"/>
        <family val="2"/>
      </rPr>
      <t xml:space="preserve">
n:2 fluorotelomer sulfoxide (2')-propanol trimethylamine</t>
    </r>
  </si>
  <si>
    <r>
      <rPr>
        <sz val="8"/>
        <color theme="1"/>
        <rFont val="Arial"/>
        <family val="2"/>
      </rPr>
      <t>n:2 FTSy-(2')OHPr-TriMeAm</t>
    </r>
    <r>
      <rPr>
        <i/>
        <sz val="8"/>
        <color theme="1"/>
        <rFont val="Arial"/>
        <family val="2"/>
      </rPr>
      <t xml:space="preserve">
n:2 fluorotelomer sulfone (2')-propanol trimethylamine</t>
    </r>
  </si>
  <si>
    <r>
      <rPr>
        <sz val="8"/>
        <color theme="1"/>
        <rFont val="Arial"/>
        <family val="2"/>
      </rPr>
      <t>n:2 FTTh-Pr-Ad-(5',5')DiMeEtSA</t>
    </r>
    <r>
      <rPr>
        <i/>
        <sz val="8"/>
        <color theme="1"/>
        <rFont val="Arial"/>
        <family val="2"/>
      </rPr>
      <t xml:space="preserve">
n:2 fluorotelomer thio propyl amide (5'5')-dimethylethyl sulfonic acid</t>
    </r>
  </si>
  <si>
    <r>
      <rPr>
        <sz val="8"/>
        <color theme="1"/>
        <rFont val="Arial"/>
        <family val="2"/>
      </rPr>
      <t>n:2 FTSO-Pr-Ad-(5',5')DiMeEtSA</t>
    </r>
    <r>
      <rPr>
        <i/>
        <sz val="8"/>
        <color theme="1"/>
        <rFont val="Arial"/>
        <family val="2"/>
      </rPr>
      <t xml:space="preserve">
n:2 fluorotelomer sulfoxide propyl amide (5'5')-dimethylethyl sulfonic acid</t>
    </r>
  </si>
  <si>
    <r>
      <rPr>
        <sz val="8"/>
        <color theme="1"/>
        <rFont val="Arial"/>
        <family val="2"/>
      </rPr>
      <t>n:2 FTSy-Pr-Ad-(5',5')DiMeEtSA</t>
    </r>
    <r>
      <rPr>
        <i/>
        <sz val="8"/>
        <color theme="1"/>
        <rFont val="Arial"/>
        <family val="2"/>
      </rPr>
      <t xml:space="preserve">
n:2 fluorotelomer sulfone propyl amide (5'5')-dimethylethyl sulfonic acid</t>
    </r>
  </si>
  <si>
    <r>
      <rPr>
        <sz val="8"/>
        <color theme="1"/>
        <rFont val="Arial"/>
        <family val="2"/>
      </rPr>
      <t>K-n:2 FTSA</t>
    </r>
    <r>
      <rPr>
        <i/>
        <sz val="8"/>
        <color theme="1"/>
        <rFont val="Arial"/>
        <family val="2"/>
      </rPr>
      <t xml:space="preserve">
Ketone-n:2 fluorotelomer sulfonic acid</t>
    </r>
  </si>
  <si>
    <r>
      <rPr>
        <sz val="8"/>
        <color theme="1"/>
        <rFont val="Arial"/>
        <family val="2"/>
      </rPr>
      <t>OH-n:2 FTSA</t>
    </r>
    <r>
      <rPr>
        <i/>
        <sz val="8"/>
        <color theme="1"/>
        <rFont val="Arial"/>
        <family val="2"/>
      </rPr>
      <t xml:space="preserve">
Hydroxy-n:2 fluorotelomer sulfonic acid</t>
    </r>
  </si>
  <si>
    <r>
      <rPr>
        <sz val="8"/>
        <color theme="1"/>
        <rFont val="Arial"/>
        <family val="2"/>
      </rPr>
      <t>n:2 FTSAm-Pr-DiMeNO</t>
    </r>
    <r>
      <rPr>
        <i/>
        <sz val="8"/>
        <color theme="1"/>
        <rFont val="Arial"/>
        <family val="2"/>
      </rPr>
      <t xml:space="preserve">
n:2 fluorotelomer sulfonamide propyl dimethylamineoxide</t>
    </r>
  </si>
  <si>
    <t>Acronym Subclass</t>
  </si>
  <si>
    <t>Subclass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</si>
</sst>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3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color theme="1"/>
      <name val="Arial"/>
      <family val="2"/>
    </font>
    <font>
      <sz val="9"/>
      <color indexed="81"/>
      <name val="Tahoma"/>
      <family val="2"/>
    </font>
    <font>
      <b/>
      <sz val="10"/>
      <name val="Arial"/>
      <family val="2"/>
    </font>
    <font>
      <sz val="8"/>
      <color theme="1"/>
      <name val="Arial"/>
      <family val="2"/>
    </font>
    <font>
      <i/>
      <sz val="8"/>
      <color theme="1"/>
      <name val="Arial"/>
      <family val="2"/>
    </font>
    <font>
      <sz val="8"/>
      <color rgb="FF000000"/>
      <name val="Arial"/>
      <family val="2"/>
    </font>
    <font>
      <vertAlign val="subscript"/>
      <sz val="8"/>
      <color theme="1"/>
      <name val="Arial"/>
      <family val="2"/>
    </font>
    <font>
      <vertAlign val="superscript"/>
      <sz val="8"/>
      <color theme="1"/>
      <name val="Arial"/>
      <family val="2"/>
    </font>
    <font>
      <sz val="8"/>
      <name val="Arial"/>
      <family val="2"/>
    </font>
    <font>
      <vertAlign val="subscript"/>
      <sz val="8"/>
      <color rgb="FF000000"/>
      <name val="Arial"/>
      <family val="2"/>
    </font>
    <font>
      <vertAlign val="superscript"/>
      <sz val="8"/>
      <color rgb="FF000000"/>
      <name val="Arial"/>
      <family val="2"/>
    </font>
    <font>
      <i/>
      <sz val="8"/>
      <name val="Arial"/>
      <family val="2"/>
    </font>
    <font>
      <i/>
      <sz val="8"/>
      <color rgb="FF000000"/>
      <name val="Arial"/>
      <family val="2"/>
    </font>
    <font>
      <b/>
      <sz val="9"/>
      <color indexed="81"/>
      <name val="Tahoma"/>
      <family val="2"/>
    </font>
    <font>
      <sz val="8"/>
      <color rgb="FFFF0000"/>
      <name val="Arial"/>
      <family val="2"/>
    </font>
    <font>
      <b/>
      <sz val="9"/>
      <color theme="1"/>
      <name val="Arial"/>
      <family val="2"/>
    </font>
    <font>
      <b/>
      <sz val="8"/>
      <color theme="1"/>
      <name val="Arial"/>
      <family val="2"/>
    </font>
    <font>
      <b/>
      <sz val="8"/>
      <color rgb="FFFF0000"/>
      <name val="Arial"/>
      <family val="2"/>
    </font>
    <font>
      <b/>
      <sz val="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1">
    <xf numFmtId="0" fontId="0" fillId="0" borderId="0" xfId="0"/>
    <xf numFmtId="0" fontId="19" fillId="33" borderId="10" xfId="0" applyFont="1" applyFill="1" applyBorder="1" applyAlignment="1">
      <alignment horizontal="left"/>
    </xf>
    <xf numFmtId="0" fontId="19" fillId="33" borderId="10" xfId="0" applyFont="1" applyFill="1" applyBorder="1"/>
    <xf numFmtId="0" fontId="18" fillId="0" borderId="10" xfId="0" applyFont="1" applyBorder="1" applyAlignment="1">
      <alignment horizontal="left" vertical="top"/>
    </xf>
    <xf numFmtId="0" fontId="18" fillId="0" borderId="10" xfId="0" applyFont="1" applyBorder="1" applyAlignment="1">
      <alignment vertical="top"/>
    </xf>
    <xf numFmtId="0" fontId="18" fillId="0" borderId="10" xfId="0" applyFont="1" applyBorder="1"/>
    <xf numFmtId="0" fontId="18" fillId="0" borderId="10" xfId="0" applyFont="1" applyBorder="1" applyAlignment="1">
      <alignment horizontal="center" vertical="center"/>
    </xf>
    <xf numFmtId="0" fontId="22" fillId="33" borderId="10" xfId="0" applyFont="1" applyFill="1" applyBorder="1" applyAlignment="1">
      <alignment horizontal="left" vertical="top"/>
    </xf>
    <xf numFmtId="0" fontId="22" fillId="33" borderId="10" xfId="0" applyFont="1" applyFill="1" applyBorder="1" applyAlignment="1">
      <alignment vertical="top"/>
    </xf>
    <xf numFmtId="0" fontId="22" fillId="33" borderId="10" xfId="0" applyFont="1" applyFill="1" applyBorder="1"/>
    <xf numFmtId="0" fontId="22" fillId="33" borderId="10" xfId="0" applyFont="1" applyFill="1" applyBorder="1" applyAlignment="1">
      <alignment horizontal="center" vertical="center"/>
    </xf>
    <xf numFmtId="0" fontId="22" fillId="0" borderId="10" xfId="0" applyFont="1" applyBorder="1" applyAlignment="1">
      <alignment vertical="top" wrapText="1"/>
    </xf>
    <xf numFmtId="0" fontId="24" fillId="0" borderId="10" xfId="0" applyFont="1" applyBorder="1"/>
    <xf numFmtId="0" fontId="24" fillId="0" borderId="10" xfId="0" applyFont="1" applyBorder="1" applyAlignment="1">
      <alignment horizontal="center" vertical="center"/>
    </xf>
    <xf numFmtId="0" fontId="27" fillId="0" borderId="10" xfId="0" applyFont="1" applyBorder="1" applyAlignment="1">
      <alignment horizontal="left" vertical="top"/>
    </xf>
    <xf numFmtId="0" fontId="27" fillId="0" borderId="10" xfId="0" applyFont="1" applyBorder="1" applyAlignment="1">
      <alignment vertical="top"/>
    </xf>
    <xf numFmtId="0" fontId="22" fillId="0" borderId="10" xfId="15" applyFont="1" applyFill="1" applyBorder="1" applyAlignment="1">
      <alignment vertical="top" wrapText="1"/>
    </xf>
    <xf numFmtId="0" fontId="24" fillId="0" borderId="10" xfId="15" applyFont="1" applyFill="1" applyBorder="1"/>
    <xf numFmtId="0" fontId="24" fillId="0" borderId="10" xfId="15" applyFont="1" applyFill="1" applyBorder="1" applyAlignment="1">
      <alignment horizontal="center" vertical="center"/>
    </xf>
    <xf numFmtId="0" fontId="24" fillId="0" borderId="10" xfId="15" applyFont="1" applyFill="1" applyBorder="1" applyAlignment="1"/>
    <xf numFmtId="0" fontId="27" fillId="0" borderId="10" xfId="9" applyFont="1" applyFill="1" applyBorder="1" applyAlignment="1">
      <alignment vertical="top" wrapText="1"/>
    </xf>
    <xf numFmtId="0" fontId="27" fillId="0" borderId="10" xfId="9" applyFont="1" applyFill="1" applyBorder="1"/>
    <xf numFmtId="0" fontId="27" fillId="0" borderId="10" xfId="9" applyFont="1" applyFill="1" applyBorder="1" applyAlignment="1">
      <alignment horizontal="center" vertical="center"/>
    </xf>
    <xf numFmtId="0" fontId="27" fillId="0" borderId="10" xfId="9" applyFont="1" applyFill="1" applyBorder="1" applyAlignment="1">
      <alignment vertical="top"/>
    </xf>
    <xf numFmtId="0" fontId="24" fillId="0" borderId="10" xfId="0" applyFont="1" applyBorder="1" applyAlignment="1">
      <alignment vertical="top" wrapText="1"/>
    </xf>
    <xf numFmtId="0" fontId="22" fillId="0" borderId="10" xfId="15" applyFont="1" applyFill="1" applyBorder="1" applyAlignment="1">
      <alignment vertical="top"/>
    </xf>
    <xf numFmtId="0" fontId="22" fillId="0" borderId="10" xfId="15" applyFont="1" applyFill="1" applyBorder="1" applyAlignment="1">
      <alignment horizontal="center" vertical="center"/>
    </xf>
    <xf numFmtId="0" fontId="27" fillId="0" borderId="10" xfId="0" applyFont="1" applyBorder="1" applyAlignment="1">
      <alignment vertical="top" wrapText="1"/>
    </xf>
    <xf numFmtId="0" fontId="27" fillId="33" borderId="10" xfId="0" applyFont="1" applyFill="1" applyBorder="1" applyAlignment="1">
      <alignment vertical="top"/>
    </xf>
    <xf numFmtId="0" fontId="27" fillId="0" borderId="10" xfId="15" applyFont="1" applyFill="1" applyBorder="1" applyAlignment="1">
      <alignment vertical="top" wrapText="1"/>
    </xf>
    <xf numFmtId="0" fontId="27" fillId="34" borderId="10" xfId="0" applyFont="1" applyFill="1" applyBorder="1" applyAlignment="1">
      <alignment vertical="top" wrapText="1"/>
    </xf>
    <xf numFmtId="0" fontId="27" fillId="34" borderId="10" xfId="0" applyFont="1" applyFill="1" applyBorder="1" applyAlignment="1">
      <alignment vertical="top"/>
    </xf>
    <xf numFmtId="0" fontId="27" fillId="34" borderId="10" xfId="15" applyFont="1" applyFill="1" applyBorder="1" applyAlignment="1">
      <alignment vertical="top" wrapText="1"/>
    </xf>
    <xf numFmtId="0" fontId="22" fillId="0" borderId="10" xfId="0" applyFont="1" applyFill="1" applyBorder="1" applyAlignment="1">
      <alignment horizontal="left" vertical="top" wrapText="1"/>
    </xf>
    <xf numFmtId="0" fontId="22" fillId="0" borderId="10" xfId="0" applyFont="1" applyFill="1" applyBorder="1" applyAlignment="1">
      <alignment vertical="top" wrapText="1"/>
    </xf>
    <xf numFmtId="0" fontId="24" fillId="0" borderId="10" xfId="0" applyFont="1" applyFill="1" applyBorder="1"/>
    <xf numFmtId="0" fontId="24" fillId="0" borderId="10" xfId="0" applyFont="1" applyFill="1" applyBorder="1" applyAlignment="1">
      <alignment horizontal="center" vertical="center"/>
    </xf>
    <xf numFmtId="0" fontId="27" fillId="0" borderId="10" xfId="0" applyFont="1" applyFill="1" applyBorder="1" applyAlignment="1">
      <alignment vertical="top" wrapText="1"/>
    </xf>
    <xf numFmtId="0" fontId="22" fillId="0" borderId="10" xfId="0" applyFont="1" applyFill="1" applyBorder="1" applyAlignment="1">
      <alignment vertical="top"/>
    </xf>
    <xf numFmtId="0" fontId="23" fillId="0" borderId="10" xfId="0" applyFont="1" applyBorder="1" applyAlignment="1">
      <alignment horizontal="left" vertical="top" wrapText="1"/>
    </xf>
    <xf numFmtId="0" fontId="23" fillId="0" borderId="10" xfId="0" applyFont="1" applyBorder="1" applyAlignment="1">
      <alignment vertical="top" wrapText="1"/>
    </xf>
    <xf numFmtId="0" fontId="23" fillId="0" borderId="10" xfId="15" applyFont="1" applyFill="1" applyBorder="1" applyAlignment="1">
      <alignment vertical="top" wrapText="1"/>
    </xf>
    <xf numFmtId="0" fontId="31" fillId="0" borderId="10" xfId="0" applyFont="1" applyBorder="1" applyAlignment="1">
      <alignment vertical="top" wrapText="1"/>
    </xf>
    <xf numFmtId="0" fontId="23" fillId="0" borderId="10" xfId="0" applyFont="1" applyFill="1" applyBorder="1" applyAlignment="1">
      <alignment vertical="top" wrapText="1"/>
    </xf>
    <xf numFmtId="0" fontId="22" fillId="0" borderId="10" xfId="15" applyFont="1" applyFill="1" applyBorder="1" applyAlignment="1">
      <alignment horizontal="left" vertical="top" wrapText="1"/>
    </xf>
    <xf numFmtId="0" fontId="22" fillId="0" borderId="10" xfId="0" applyFont="1" applyBorder="1" applyAlignment="1">
      <alignment horizontal="left" vertical="top" wrapText="1"/>
    </xf>
    <xf numFmtId="0" fontId="22" fillId="0" borderId="10" xfId="0" applyFont="1" applyBorder="1" applyAlignment="1">
      <alignment horizontal="left" vertical="top"/>
    </xf>
    <xf numFmtId="0" fontId="22" fillId="0" borderId="10" xfId="0" applyFont="1" applyBorder="1" applyAlignment="1">
      <alignment vertical="top"/>
    </xf>
    <xf numFmtId="0" fontId="27" fillId="0" borderId="10" xfId="0" applyFont="1" applyBorder="1" applyAlignment="1">
      <alignment horizontal="left" vertical="top" wrapText="1"/>
    </xf>
    <xf numFmtId="0" fontId="18" fillId="0" borderId="10" xfId="0" applyFont="1" applyFill="1" applyBorder="1" applyAlignment="1">
      <alignment vertical="top"/>
    </xf>
    <xf numFmtId="0" fontId="23" fillId="0" borderId="10" xfId="0" applyFont="1" applyFill="1" applyBorder="1" applyAlignment="1">
      <alignment horizontal="left" vertical="top" wrapText="1"/>
    </xf>
    <xf numFmtId="0" fontId="22" fillId="0" borderId="10" xfId="0" applyFont="1" applyFill="1" applyBorder="1" applyAlignment="1">
      <alignment horizontal="left" vertical="top"/>
    </xf>
    <xf numFmtId="0" fontId="27" fillId="0" borderId="10" xfId="0" applyFont="1" applyFill="1" applyBorder="1" applyAlignment="1">
      <alignment horizontal="left" vertical="top" wrapText="1"/>
    </xf>
    <xf numFmtId="0" fontId="19" fillId="0" borderId="0" xfId="0" applyFont="1" applyBorder="1"/>
    <xf numFmtId="0" fontId="18" fillId="0" borderId="0" xfId="0" applyFont="1" applyBorder="1"/>
    <xf numFmtId="0" fontId="27" fillId="0" borderId="0" xfId="0" applyFont="1" applyBorder="1" applyAlignment="1">
      <alignment vertical="top"/>
    </xf>
    <xf numFmtId="0" fontId="18" fillId="0" borderId="0" xfId="0" applyFont="1" applyBorder="1" applyAlignment="1">
      <alignment horizontal="left" vertical="top"/>
    </xf>
    <xf numFmtId="0" fontId="18" fillId="0" borderId="0" xfId="0" applyFont="1" applyFill="1" applyBorder="1"/>
    <xf numFmtId="0" fontId="22" fillId="0" borderId="0" xfId="0" applyFont="1" applyBorder="1" applyAlignment="1">
      <alignment horizontal="left" vertical="top"/>
    </xf>
    <xf numFmtId="0" fontId="18" fillId="0" borderId="0" xfId="15" applyFont="1" applyFill="1" applyBorder="1"/>
    <xf numFmtId="0" fontId="18" fillId="0" borderId="0" xfId="15" applyFont="1" applyFill="1" applyBorder="1" applyAlignment="1">
      <alignment vertical="top"/>
    </xf>
    <xf numFmtId="0" fontId="9" fillId="0" borderId="0" xfId="9" applyFill="1" applyBorder="1"/>
    <xf numFmtId="0" fontId="18" fillId="0" borderId="0" xfId="0" applyFont="1" applyBorder="1" applyAlignment="1">
      <alignment vertical="top"/>
    </xf>
    <xf numFmtId="0" fontId="18" fillId="0" borderId="0" xfId="0" applyFont="1" applyBorder="1" applyAlignment="1">
      <alignment horizontal="center" vertical="center"/>
    </xf>
    <xf numFmtId="0" fontId="22" fillId="0" borderId="10" xfId="0" applyFont="1" applyFill="1" applyBorder="1" applyAlignment="1">
      <alignment horizontal="center" vertical="center"/>
    </xf>
    <xf numFmtId="0" fontId="27" fillId="0" borderId="10" xfId="0" applyFont="1" applyFill="1" applyBorder="1" applyAlignment="1">
      <alignment vertical="top"/>
    </xf>
    <xf numFmtId="0" fontId="22" fillId="0" borderId="0" xfId="0" applyFont="1" applyFill="1" applyBorder="1"/>
    <xf numFmtId="0" fontId="31" fillId="0" borderId="10" xfId="0" applyFont="1" applyFill="1" applyBorder="1" applyAlignment="1">
      <alignment vertical="top" wrapText="1"/>
    </xf>
    <xf numFmtId="0" fontId="24" fillId="0" borderId="10" xfId="0" applyFont="1" applyFill="1" applyBorder="1" applyAlignment="1">
      <alignment vertical="top" wrapText="1"/>
    </xf>
    <xf numFmtId="0" fontId="30" fillId="0" borderId="10" xfId="0" applyFont="1" applyFill="1" applyBorder="1" applyAlignment="1">
      <alignment vertical="top" wrapText="1"/>
    </xf>
    <xf numFmtId="0" fontId="18" fillId="0" borderId="10" xfId="0" applyFont="1" applyFill="1" applyBorder="1" applyAlignment="1">
      <alignment horizontal="left" vertical="top"/>
    </xf>
    <xf numFmtId="0" fontId="21" fillId="33" borderId="10" xfId="0" applyFont="1" applyFill="1" applyBorder="1" applyAlignment="1">
      <alignment wrapText="1"/>
    </xf>
    <xf numFmtId="0" fontId="34" fillId="0" borderId="0" xfId="0" applyFont="1" applyBorder="1" applyAlignment="1">
      <alignment horizontal="left" vertical="top"/>
    </xf>
    <xf numFmtId="0" fontId="35" fillId="0" borderId="0" xfId="0" applyFont="1"/>
    <xf numFmtId="0" fontId="35" fillId="0" borderId="0" xfId="0" applyFont="1" applyAlignment="1">
      <alignment horizontal="center"/>
    </xf>
    <xf numFmtId="0" fontId="22" fillId="0" borderId="0" xfId="0" applyFont="1" applyAlignment="1">
      <alignment horizontal="center" vertical="center"/>
    </xf>
    <xf numFmtId="0" fontId="22" fillId="0" borderId="0" xfId="0" applyFont="1" applyAlignment="1">
      <alignment horizontal="left" vertical="center"/>
    </xf>
    <xf numFmtId="0" fontId="35" fillId="0" borderId="0" xfId="0" applyFont="1" applyAlignment="1">
      <alignment horizontal="center" vertical="center"/>
    </xf>
    <xf numFmtId="0" fontId="22" fillId="0" borderId="0" xfId="0" applyFont="1"/>
    <xf numFmtId="0" fontId="33" fillId="0" borderId="0" xfId="0" applyFont="1"/>
    <xf numFmtId="0" fontId="27" fillId="0" borderId="0" xfId="0" applyFont="1"/>
    <xf numFmtId="0" fontId="22" fillId="0" borderId="0" xfId="0" applyFont="1" applyAlignment="1">
      <alignment vertical="center"/>
    </xf>
    <xf numFmtId="0" fontId="22" fillId="0" borderId="11" xfId="15" applyFont="1" applyFill="1" applyBorder="1"/>
    <xf numFmtId="0" fontId="22" fillId="0" borderId="8" xfId="15" applyFont="1" applyFill="1"/>
    <xf numFmtId="0" fontId="22" fillId="0" borderId="0" xfId="0" applyFont="1" applyFill="1"/>
    <xf numFmtId="0" fontId="35" fillId="0" borderId="0" xfId="0" applyFont="1" applyBorder="1" applyAlignment="1">
      <alignment horizontal="left" vertical="top"/>
    </xf>
    <xf numFmtId="0" fontId="33" fillId="0" borderId="0" xfId="0" applyFont="1" applyAlignment="1">
      <alignment horizontal="left" vertical="center"/>
    </xf>
    <xf numFmtId="0" fontId="22" fillId="0" borderId="0" xfId="0" applyFont="1" applyAlignment="1">
      <alignment horizontal="center"/>
    </xf>
    <xf numFmtId="0" fontId="22" fillId="0" borderId="0" xfId="0" applyFont="1" applyAlignment="1">
      <alignment horizontal="left"/>
    </xf>
    <xf numFmtId="164" fontId="22" fillId="0" borderId="0" xfId="0" applyNumberFormat="1" applyFont="1" applyAlignment="1">
      <alignment horizontal="left"/>
    </xf>
    <xf numFmtId="2" fontId="22" fillId="0" borderId="0" xfId="0" applyNumberFormat="1" applyFont="1" applyAlignment="1">
      <alignment horizontal="left"/>
    </xf>
    <xf numFmtId="165" fontId="22" fillId="0" borderId="0" xfId="0" applyNumberFormat="1" applyFont="1" applyAlignment="1">
      <alignment horizontal="center"/>
    </xf>
    <xf numFmtId="0" fontId="36" fillId="0" borderId="0" xfId="0" applyFont="1" applyAlignment="1">
      <alignment horizontal="center"/>
    </xf>
    <xf numFmtId="0" fontId="37" fillId="0" borderId="0" xfId="0" applyFont="1" applyAlignment="1">
      <alignment vertical="center"/>
    </xf>
    <xf numFmtId="0" fontId="27" fillId="0" borderId="0" xfId="0" applyFont="1" applyFill="1" applyBorder="1" applyAlignment="1">
      <alignment vertical="center"/>
    </xf>
    <xf numFmtId="164" fontId="22" fillId="0" borderId="10" xfId="0" applyNumberFormat="1" applyFont="1" applyBorder="1" applyAlignment="1">
      <alignment horizontal="left" vertical="center"/>
    </xf>
    <xf numFmtId="2" fontId="22" fillId="0" borderId="10" xfId="0" applyNumberFormat="1" applyFont="1" applyBorder="1" applyAlignment="1">
      <alignment horizontal="left" vertical="center"/>
    </xf>
    <xf numFmtId="164" fontId="22" fillId="0" borderId="10" xfId="0" applyNumberFormat="1" applyFont="1" applyBorder="1" applyAlignment="1">
      <alignment horizontal="center" vertical="center"/>
    </xf>
    <xf numFmtId="164" fontId="22" fillId="0" borderId="10" xfId="15" applyNumberFormat="1" applyFont="1" applyFill="1" applyBorder="1" applyAlignment="1">
      <alignment horizontal="left" vertical="center"/>
    </xf>
    <xf numFmtId="2" fontId="22" fillId="0" borderId="10" xfId="15" applyNumberFormat="1" applyFont="1" applyFill="1" applyBorder="1" applyAlignment="1">
      <alignment horizontal="left" vertical="center"/>
    </xf>
    <xf numFmtId="165" fontId="22" fillId="0" borderId="10" xfId="15" applyNumberFormat="1" applyFont="1" applyFill="1" applyBorder="1" applyAlignment="1">
      <alignment horizontal="center" vertical="center"/>
    </xf>
    <xf numFmtId="164" fontId="22" fillId="0" borderId="10" xfId="0" applyNumberFormat="1" applyFont="1" applyFill="1" applyBorder="1" applyAlignment="1">
      <alignment horizontal="left" vertical="center"/>
    </xf>
    <xf numFmtId="2" fontId="22" fillId="0" borderId="10" xfId="0" applyNumberFormat="1" applyFont="1" applyFill="1" applyBorder="1" applyAlignment="1">
      <alignment horizontal="left" vertical="center"/>
    </xf>
    <xf numFmtId="165" fontId="22" fillId="0" borderId="10" xfId="0" applyNumberFormat="1" applyFont="1" applyFill="1" applyBorder="1" applyAlignment="1">
      <alignment horizontal="center" vertical="center"/>
    </xf>
    <xf numFmtId="0" fontId="22" fillId="0" borderId="10" xfId="0" applyFont="1" applyFill="1" applyBorder="1" applyAlignment="1">
      <alignment vertical="center" wrapText="1"/>
    </xf>
    <xf numFmtId="0" fontId="35" fillId="33" borderId="10" xfId="0" applyFont="1" applyFill="1" applyBorder="1"/>
    <xf numFmtId="0" fontId="35" fillId="33" borderId="10" xfId="0" applyFont="1" applyFill="1" applyBorder="1" applyAlignment="1">
      <alignment horizontal="center"/>
    </xf>
    <xf numFmtId="0" fontId="35" fillId="33" borderId="10" xfId="0" applyFont="1" applyFill="1" applyBorder="1" applyAlignment="1">
      <alignment horizontal="left" wrapText="1"/>
    </xf>
    <xf numFmtId="164" fontId="35" fillId="33" borderId="10" xfId="0" applyNumberFormat="1" applyFont="1" applyFill="1" applyBorder="1" applyAlignment="1">
      <alignment horizontal="left"/>
    </xf>
    <xf numFmtId="2" fontId="35" fillId="33" borderId="10" xfId="0" applyNumberFormat="1" applyFont="1" applyFill="1" applyBorder="1" applyAlignment="1">
      <alignment horizontal="left" wrapText="1"/>
    </xf>
    <xf numFmtId="0" fontId="35" fillId="33" borderId="10" xfId="0" applyFont="1" applyFill="1" applyBorder="1" applyAlignment="1">
      <alignment horizontal="center" wrapText="1"/>
    </xf>
    <xf numFmtId="165" fontId="35" fillId="33" borderId="10" xfId="0" applyNumberFormat="1" applyFont="1" applyFill="1" applyBorder="1" applyAlignment="1">
      <alignment horizontal="center" wrapText="1"/>
    </xf>
    <xf numFmtId="0" fontId="35" fillId="33" borderId="10" xfId="0" applyFont="1" applyFill="1" applyBorder="1" applyAlignment="1">
      <alignment wrapText="1"/>
    </xf>
    <xf numFmtId="0" fontId="35" fillId="33" borderId="10" xfId="0" applyFont="1" applyFill="1" applyBorder="1" applyAlignment="1"/>
    <xf numFmtId="0" fontId="35" fillId="33" borderId="10" xfId="0" applyFont="1" applyFill="1" applyBorder="1" applyAlignment="1">
      <alignment horizontal="left"/>
    </xf>
    <xf numFmtId="0" fontId="22" fillId="0" borderId="10" xfId="0" applyFont="1" applyFill="1" applyBorder="1" applyAlignment="1">
      <alignment vertical="top"/>
    </xf>
    <xf numFmtId="0" fontId="22" fillId="0" borderId="10" xfId="0" applyFont="1" applyFill="1" applyBorder="1" applyAlignment="1">
      <alignment vertical="top" wrapText="1"/>
    </xf>
    <xf numFmtId="0" fontId="35" fillId="0" borderId="10" xfId="0" applyFont="1" applyBorder="1" applyAlignment="1">
      <alignment horizontal="center" vertical="center"/>
    </xf>
    <xf numFmtId="0" fontId="35" fillId="0" borderId="10" xfId="15" applyFont="1" applyFill="1" applyBorder="1" applyAlignment="1">
      <alignment horizontal="center" vertical="center"/>
    </xf>
    <xf numFmtId="0" fontId="35" fillId="0" borderId="10" xfId="0" applyFont="1" applyFill="1" applyBorder="1" applyAlignment="1">
      <alignment horizontal="center" vertical="center"/>
    </xf>
    <xf numFmtId="0" fontId="22" fillId="0" borderId="10" xfId="0" applyFont="1" applyBorder="1" applyAlignment="1">
      <alignment horizontal="center" vertical="center"/>
    </xf>
    <xf numFmtId="0" fontId="22" fillId="0" borderId="10" xfId="15" applyFont="1" applyFill="1" applyBorder="1" applyAlignment="1">
      <alignment horizontal="center" vertical="center"/>
    </xf>
    <xf numFmtId="165" fontId="22" fillId="0" borderId="10" xfId="0" applyNumberFormat="1" applyFont="1" applyBorder="1" applyAlignment="1">
      <alignment horizontal="center" vertical="center"/>
    </xf>
    <xf numFmtId="0" fontId="22" fillId="0" borderId="10" xfId="0" applyFont="1" applyBorder="1" applyAlignment="1">
      <alignment horizontal="left" vertical="center"/>
    </xf>
    <xf numFmtId="0" fontId="22" fillId="0" borderId="10" xfId="0" applyFont="1" applyBorder="1" applyAlignment="1">
      <alignment vertical="center"/>
    </xf>
    <xf numFmtId="0" fontId="22" fillId="0" borderId="10" xfId="15" applyFont="1" applyFill="1" applyBorder="1" applyAlignment="1">
      <alignment horizontal="left" vertical="center"/>
    </xf>
    <xf numFmtId="0" fontId="22" fillId="0" borderId="10" xfId="0" applyFont="1" applyBorder="1" applyAlignment="1">
      <alignment horizontal="left" vertical="center" wrapText="1"/>
    </xf>
    <xf numFmtId="0" fontId="22" fillId="0" borderId="10" xfId="0" applyFont="1" applyFill="1" applyBorder="1" applyAlignment="1">
      <alignment horizontal="left" vertical="center"/>
    </xf>
    <xf numFmtId="0" fontId="22" fillId="0" borderId="10" xfId="0" applyFont="1" applyBorder="1" applyAlignment="1">
      <alignment horizontal="left" vertical="center"/>
    </xf>
    <xf numFmtId="0" fontId="22" fillId="0" borderId="10" xfId="0" applyFont="1" applyFill="1" applyBorder="1" applyAlignment="1">
      <alignment vertical="top" wrapText="1"/>
    </xf>
    <xf numFmtId="0" fontId="22" fillId="0" borderId="10" xfId="0" applyFont="1" applyFill="1" applyBorder="1" applyAlignment="1">
      <alignment horizontal="left" vertical="top"/>
    </xf>
    <xf numFmtId="0" fontId="22" fillId="34" borderId="10" xfId="0" applyFont="1" applyFill="1" applyBorder="1" applyAlignment="1">
      <alignment vertical="top" wrapText="1"/>
    </xf>
    <xf numFmtId="0" fontId="35" fillId="0" borderId="10" xfId="0" applyFont="1" applyBorder="1" applyAlignment="1">
      <alignment horizontal="center" vertical="center"/>
    </xf>
    <xf numFmtId="0" fontId="22" fillId="0" borderId="10" xfId="0" applyFont="1" applyBorder="1" applyAlignment="1">
      <alignment horizontal="left" vertical="center"/>
    </xf>
    <xf numFmtId="0" fontId="22" fillId="0" borderId="10" xfId="0" applyFont="1" applyFill="1" applyBorder="1" applyAlignment="1">
      <alignment horizontal="left" vertical="center"/>
    </xf>
    <xf numFmtId="0" fontId="22" fillId="0" borderId="10" xfId="0" applyFont="1" applyBorder="1" applyAlignment="1">
      <alignment horizontal="left" vertical="center"/>
    </xf>
    <xf numFmtId="0" fontId="33" fillId="0" borderId="10" xfId="9" applyFont="1" applyFill="1" applyBorder="1" applyAlignment="1">
      <alignment vertical="top" wrapText="1"/>
    </xf>
    <xf numFmtId="0" fontId="22" fillId="0" borderId="10" xfId="0" applyFont="1" applyBorder="1" applyAlignment="1">
      <alignment horizontal="left" vertical="center"/>
    </xf>
    <xf numFmtId="0" fontId="22" fillId="0" borderId="10" xfId="0" applyFont="1" applyFill="1" applyBorder="1" applyAlignment="1">
      <alignment horizontal="left" vertical="center"/>
    </xf>
    <xf numFmtId="0" fontId="22" fillId="0" borderId="10" xfId="0" applyFont="1" applyBorder="1" applyAlignment="1">
      <alignment horizontal="left" vertical="center"/>
    </xf>
    <xf numFmtId="0" fontId="22" fillId="0" borderId="10" xfId="0" applyFont="1" applyFill="1" applyBorder="1" applyAlignment="1">
      <alignment horizontal="left" vertical="center"/>
    </xf>
    <xf numFmtId="0" fontId="35" fillId="0" borderId="10" xfId="0" applyFont="1" applyFill="1" applyBorder="1" applyAlignment="1">
      <alignment horizontal="center" vertical="center"/>
    </xf>
    <xf numFmtId="0" fontId="22" fillId="0" borderId="10" xfId="0" applyFont="1" applyFill="1" applyBorder="1" applyAlignment="1">
      <alignment horizontal="left" vertical="center"/>
    </xf>
    <xf numFmtId="0" fontId="22" fillId="0" borderId="10" xfId="0" applyFont="1" applyFill="1" applyBorder="1" applyAlignment="1">
      <alignment vertical="center"/>
    </xf>
    <xf numFmtId="164" fontId="22" fillId="0" borderId="10" xfId="0" applyNumberFormat="1" applyFont="1" applyFill="1" applyBorder="1" applyAlignment="1">
      <alignment horizontal="center" vertical="center"/>
    </xf>
    <xf numFmtId="0" fontId="22" fillId="0" borderId="10" xfId="0" applyFont="1" applyBorder="1" applyAlignment="1">
      <alignment horizontal="left" vertical="center"/>
    </xf>
    <xf numFmtId="0" fontId="22" fillId="0" borderId="10" xfId="0" applyFont="1" applyFill="1" applyBorder="1" applyAlignment="1">
      <alignment horizontal="left" vertical="center"/>
    </xf>
    <xf numFmtId="0" fontId="22" fillId="0" borderId="10" xfId="15" applyFont="1" applyFill="1" applyBorder="1" applyAlignment="1">
      <alignment horizontal="left" vertical="center"/>
    </xf>
    <xf numFmtId="0" fontId="22" fillId="0" borderId="10" xfId="0" applyFont="1" applyFill="1" applyBorder="1" applyAlignment="1">
      <alignment vertical="top"/>
    </xf>
    <xf numFmtId="0" fontId="22" fillId="0" borderId="10" xfId="0" applyFont="1" applyFill="1" applyBorder="1" applyAlignment="1">
      <alignment vertical="top" wrapText="1"/>
    </xf>
    <xf numFmtId="0" fontId="22" fillId="34" borderId="10" xfId="0" applyFont="1" applyFill="1" applyBorder="1" applyAlignment="1">
      <alignment vertical="top"/>
    </xf>
    <xf numFmtId="0" fontId="22" fillId="0" borderId="10" xfId="15" applyFont="1" applyFill="1" applyBorder="1" applyAlignment="1">
      <alignment vertical="top" wrapText="1"/>
    </xf>
    <xf numFmtId="0" fontId="22" fillId="0" borderId="10" xfId="15" applyFont="1" applyFill="1" applyBorder="1" applyAlignment="1">
      <alignment vertical="top"/>
    </xf>
    <xf numFmtId="0" fontId="22" fillId="0" borderId="10" xfId="0" applyFont="1" applyFill="1" applyBorder="1" applyAlignment="1">
      <alignment horizontal="left" vertical="top"/>
    </xf>
    <xf numFmtId="0" fontId="35" fillId="0" borderId="10" xfId="0" applyFont="1" applyBorder="1" applyAlignment="1">
      <alignment horizontal="center" vertical="center"/>
    </xf>
    <xf numFmtId="0" fontId="35" fillId="0" borderId="10" xfId="15" applyFont="1" applyFill="1" applyBorder="1" applyAlignment="1">
      <alignment horizontal="center" vertical="center"/>
    </xf>
    <xf numFmtId="0" fontId="35" fillId="0" borderId="10" xfId="0" applyFont="1" applyFill="1" applyBorder="1" applyAlignment="1">
      <alignment horizontal="center" vertical="center"/>
    </xf>
    <xf numFmtId="0" fontId="22" fillId="0" borderId="10" xfId="0" applyFont="1" applyBorder="1" applyAlignment="1">
      <alignment horizontal="center" vertical="center"/>
    </xf>
    <xf numFmtId="0" fontId="35" fillId="0" borderId="10" xfId="0" applyFont="1" applyBorder="1" applyAlignment="1">
      <alignment horizontal="center" vertical="center" wrapText="1"/>
    </xf>
    <xf numFmtId="0" fontId="22" fillId="0" borderId="10" xfId="15" applyFont="1" applyFill="1" applyBorder="1" applyAlignment="1">
      <alignment horizontal="center" vertical="center"/>
    </xf>
    <xf numFmtId="165" fontId="22" fillId="0" borderId="10" xfId="0" applyNumberFormat="1" applyFont="1" applyBorder="1" applyAlignment="1">
      <alignment horizontal="center" vertical="center"/>
    </xf>
    <xf numFmtId="0" fontId="22" fillId="0" borderId="10" xfId="0" applyFont="1" applyFill="1" applyBorder="1" applyAlignment="1">
      <alignment horizontal="center" vertical="center"/>
    </xf>
    <xf numFmtId="0" fontId="22" fillId="0" borderId="10" xfId="15" applyFont="1" applyFill="1" applyBorder="1" applyAlignment="1">
      <alignment vertical="center" wrapText="1"/>
    </xf>
    <xf numFmtId="0" fontId="27" fillId="0" borderId="10" xfId="0" applyFont="1" applyFill="1" applyBorder="1" applyAlignment="1">
      <alignment horizontal="left" vertical="center"/>
    </xf>
    <xf numFmtId="0" fontId="22" fillId="0" borderId="10" xfId="0" applyFont="1" applyBorder="1" applyAlignment="1">
      <alignment vertical="center"/>
    </xf>
    <xf numFmtId="0" fontId="22" fillId="0" borderId="10" xfId="0" applyFont="1" applyFill="1" applyBorder="1" applyAlignment="1">
      <alignment horizontal="left" vertical="center" wrapText="1"/>
    </xf>
    <xf numFmtId="0" fontId="22" fillId="0" borderId="10" xfId="0" applyFont="1" applyBorder="1" applyAlignment="1">
      <alignment vertical="center" wrapText="1"/>
    </xf>
    <xf numFmtId="0" fontId="22" fillId="0" borderId="12" xfId="0" applyFont="1" applyBorder="1" applyAlignment="1">
      <alignment horizontal="left" vertical="center"/>
    </xf>
    <xf numFmtId="0" fontId="22" fillId="0" borderId="13" xfId="0" applyFont="1" applyBorder="1" applyAlignment="1">
      <alignment horizontal="left" vertical="center"/>
    </xf>
    <xf numFmtId="0" fontId="22" fillId="0" borderId="10" xfId="0" applyFont="1" applyFill="1" applyBorder="1" applyAlignment="1">
      <alignment vertical="center"/>
    </xf>
    <xf numFmtId="0" fontId="22" fillId="0" borderId="10" xfId="0" applyFont="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BD92DE"/>
      <color rgb="FFDA8E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9" Type="http://schemas.openxmlformats.org/officeDocument/2006/relationships/image" Target="../media/image39.emf"/><Relationship Id="rId21" Type="http://schemas.openxmlformats.org/officeDocument/2006/relationships/image" Target="../media/image21.emf"/><Relationship Id="rId34" Type="http://schemas.openxmlformats.org/officeDocument/2006/relationships/image" Target="../media/image34.emf"/><Relationship Id="rId42" Type="http://schemas.openxmlformats.org/officeDocument/2006/relationships/image" Target="../media/image42.emf"/><Relationship Id="rId47" Type="http://schemas.openxmlformats.org/officeDocument/2006/relationships/image" Target="../media/image47.emf"/><Relationship Id="rId50" Type="http://schemas.openxmlformats.org/officeDocument/2006/relationships/image" Target="../media/image50.emf"/><Relationship Id="rId55" Type="http://schemas.openxmlformats.org/officeDocument/2006/relationships/image" Target="../media/image55.emf"/><Relationship Id="rId63" Type="http://schemas.openxmlformats.org/officeDocument/2006/relationships/image" Target="../media/image63.emf"/><Relationship Id="rId7" Type="http://schemas.openxmlformats.org/officeDocument/2006/relationships/image" Target="../media/image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29" Type="http://schemas.openxmlformats.org/officeDocument/2006/relationships/image" Target="../media/image29.emf"/><Relationship Id="rId41" Type="http://schemas.openxmlformats.org/officeDocument/2006/relationships/image" Target="../media/image41.emf"/><Relationship Id="rId54" Type="http://schemas.openxmlformats.org/officeDocument/2006/relationships/image" Target="../media/image54.emf"/><Relationship Id="rId62" Type="http://schemas.openxmlformats.org/officeDocument/2006/relationships/image" Target="../media/image6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32" Type="http://schemas.openxmlformats.org/officeDocument/2006/relationships/image" Target="../media/image32.emf"/><Relationship Id="rId37" Type="http://schemas.openxmlformats.org/officeDocument/2006/relationships/image" Target="../media/image37.emf"/><Relationship Id="rId40" Type="http://schemas.openxmlformats.org/officeDocument/2006/relationships/image" Target="../media/image40.emf"/><Relationship Id="rId45" Type="http://schemas.openxmlformats.org/officeDocument/2006/relationships/image" Target="../media/image45.emf"/><Relationship Id="rId53" Type="http://schemas.openxmlformats.org/officeDocument/2006/relationships/image" Target="../media/image53.emf"/><Relationship Id="rId58" Type="http://schemas.openxmlformats.org/officeDocument/2006/relationships/image" Target="../media/image58.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36" Type="http://schemas.openxmlformats.org/officeDocument/2006/relationships/image" Target="../media/image36.emf"/><Relationship Id="rId49" Type="http://schemas.openxmlformats.org/officeDocument/2006/relationships/image" Target="../media/image49.emf"/><Relationship Id="rId57" Type="http://schemas.openxmlformats.org/officeDocument/2006/relationships/image" Target="../media/image57.emf"/><Relationship Id="rId61" Type="http://schemas.openxmlformats.org/officeDocument/2006/relationships/image" Target="../media/image61.emf"/><Relationship Id="rId10" Type="http://schemas.openxmlformats.org/officeDocument/2006/relationships/image" Target="../media/image10.emf"/><Relationship Id="rId19" Type="http://schemas.openxmlformats.org/officeDocument/2006/relationships/image" Target="../media/image19.emf"/><Relationship Id="rId31" Type="http://schemas.openxmlformats.org/officeDocument/2006/relationships/image" Target="../media/image31.emf"/><Relationship Id="rId44" Type="http://schemas.openxmlformats.org/officeDocument/2006/relationships/image" Target="../media/image44.emf"/><Relationship Id="rId52" Type="http://schemas.openxmlformats.org/officeDocument/2006/relationships/image" Target="../media/image52.emf"/><Relationship Id="rId60" Type="http://schemas.openxmlformats.org/officeDocument/2006/relationships/image" Target="../media/image6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 Id="rId30" Type="http://schemas.openxmlformats.org/officeDocument/2006/relationships/image" Target="../media/image30.emf"/><Relationship Id="rId35" Type="http://schemas.openxmlformats.org/officeDocument/2006/relationships/image" Target="../media/image35.emf"/><Relationship Id="rId43" Type="http://schemas.openxmlformats.org/officeDocument/2006/relationships/image" Target="../media/image43.emf"/><Relationship Id="rId48" Type="http://schemas.openxmlformats.org/officeDocument/2006/relationships/image" Target="../media/image48.emf"/><Relationship Id="rId56" Type="http://schemas.openxmlformats.org/officeDocument/2006/relationships/image" Target="../media/image56.emf"/><Relationship Id="rId64" Type="http://schemas.openxmlformats.org/officeDocument/2006/relationships/image" Target="../media/image64.emf"/><Relationship Id="rId8" Type="http://schemas.openxmlformats.org/officeDocument/2006/relationships/image" Target="../media/image8.emf"/><Relationship Id="rId51" Type="http://schemas.openxmlformats.org/officeDocument/2006/relationships/image" Target="../media/image51.emf"/><Relationship Id="rId3" Type="http://schemas.openxmlformats.org/officeDocument/2006/relationships/image" Target="../media/image3.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33" Type="http://schemas.openxmlformats.org/officeDocument/2006/relationships/image" Target="../media/image33.emf"/><Relationship Id="rId38" Type="http://schemas.openxmlformats.org/officeDocument/2006/relationships/image" Target="../media/image38.emf"/><Relationship Id="rId46" Type="http://schemas.openxmlformats.org/officeDocument/2006/relationships/image" Target="../media/image46.emf"/><Relationship Id="rId59" Type="http://schemas.openxmlformats.org/officeDocument/2006/relationships/image" Target="../media/image59.emf"/></Relationships>
</file>

<file path=xl/drawings/drawing1.xml><?xml version="1.0" encoding="utf-8"?>
<xdr:wsDr xmlns:xdr="http://schemas.openxmlformats.org/drawingml/2006/spreadsheetDrawing" xmlns:a="http://schemas.openxmlformats.org/drawingml/2006/main">
  <xdr:twoCellAnchor>
    <xdr:from>
      <xdr:col>3</xdr:col>
      <xdr:colOff>25400</xdr:colOff>
      <xdr:row>26</xdr:row>
      <xdr:rowOff>25400</xdr:rowOff>
    </xdr:from>
    <xdr:to>
      <xdr:col>3</xdr:col>
      <xdr:colOff>1927509</xdr:colOff>
      <xdr:row>26</xdr:row>
      <xdr:rowOff>569777</xdr:rowOff>
    </xdr:to>
    <xdr:pic macro="[1]!'Execute &quot;1003&quot;, 0'">
      <xdr:nvPicPr>
        <xdr:cNvPr id="3" name="Picture 2">
          <a:extLst>
            <a:ext uri="{FF2B5EF4-FFF2-40B4-BE49-F238E27FC236}">
              <a16:creationId xmlns:a16="http://schemas.microsoft.com/office/drawing/2014/main" id="{4B9272D4-4A91-4194-89F1-EED44A0257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00" y="673100"/>
          <a:ext cx="1902109" cy="544377"/>
        </a:xfrm>
        <a:prstGeom prst="rect">
          <a:avLst/>
        </a:prstGeom>
      </xdr:spPr>
    </xdr:pic>
    <xdr:clientData/>
  </xdr:twoCellAnchor>
  <xdr:twoCellAnchor>
    <xdr:from>
      <xdr:col>3</xdr:col>
      <xdr:colOff>25400</xdr:colOff>
      <xdr:row>27</xdr:row>
      <xdr:rowOff>25400</xdr:rowOff>
    </xdr:from>
    <xdr:to>
      <xdr:col>3</xdr:col>
      <xdr:colOff>1900301</xdr:colOff>
      <xdr:row>27</xdr:row>
      <xdr:rowOff>568135</xdr:rowOff>
    </xdr:to>
    <xdr:pic macro="[1]!'Execute &quot;1003&quot;, 0'">
      <xdr:nvPicPr>
        <xdr:cNvPr id="11" name="Picture 10">
          <a:extLst>
            <a:ext uri="{FF2B5EF4-FFF2-40B4-BE49-F238E27FC236}">
              <a16:creationId xmlns:a16="http://schemas.microsoft.com/office/drawing/2014/main" id="{86BCEE9B-5106-429B-BA61-7509FC312F3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78200" y="1463675"/>
          <a:ext cx="1874901" cy="542735"/>
        </a:xfrm>
        <a:prstGeom prst="rect">
          <a:avLst/>
        </a:prstGeom>
      </xdr:spPr>
    </xdr:pic>
    <xdr:clientData/>
  </xdr:twoCellAnchor>
  <xdr:twoCellAnchor>
    <xdr:from>
      <xdr:col>3</xdr:col>
      <xdr:colOff>25400</xdr:colOff>
      <xdr:row>29</xdr:row>
      <xdr:rowOff>25400</xdr:rowOff>
    </xdr:from>
    <xdr:to>
      <xdr:col>3</xdr:col>
      <xdr:colOff>2577943</xdr:colOff>
      <xdr:row>29</xdr:row>
      <xdr:rowOff>612219</xdr:rowOff>
    </xdr:to>
    <xdr:pic macro="[1]!'Execute &quot;1003&quot;, 0'">
      <xdr:nvPicPr>
        <xdr:cNvPr id="13" name="Picture 12">
          <a:extLst>
            <a:ext uri="{FF2B5EF4-FFF2-40B4-BE49-F238E27FC236}">
              <a16:creationId xmlns:a16="http://schemas.microsoft.com/office/drawing/2014/main" id="{2883330D-9F4B-447E-96EE-09130590133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378200" y="1644650"/>
          <a:ext cx="2552543" cy="586819"/>
        </a:xfrm>
        <a:prstGeom prst="rect">
          <a:avLst/>
        </a:prstGeom>
      </xdr:spPr>
    </xdr:pic>
    <xdr:clientData/>
  </xdr:twoCellAnchor>
  <xdr:twoCellAnchor>
    <xdr:from>
      <xdr:col>3</xdr:col>
      <xdr:colOff>25400</xdr:colOff>
      <xdr:row>28</xdr:row>
      <xdr:rowOff>25400</xdr:rowOff>
    </xdr:from>
    <xdr:to>
      <xdr:col>3</xdr:col>
      <xdr:colOff>1900301</xdr:colOff>
      <xdr:row>28</xdr:row>
      <xdr:rowOff>568135</xdr:rowOff>
    </xdr:to>
    <xdr:pic macro="[1]!'Execute &quot;1003&quot;, 0'">
      <xdr:nvPicPr>
        <xdr:cNvPr id="17" name="Picture 16">
          <a:extLst>
            <a:ext uri="{FF2B5EF4-FFF2-40B4-BE49-F238E27FC236}">
              <a16:creationId xmlns:a16="http://schemas.microsoft.com/office/drawing/2014/main" id="{222C5EB0-0CF8-4A83-A4ED-CAB6AE091A1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378200" y="4064000"/>
          <a:ext cx="1874901" cy="542735"/>
        </a:xfrm>
        <a:prstGeom prst="rect">
          <a:avLst/>
        </a:prstGeom>
      </xdr:spPr>
    </xdr:pic>
    <xdr:clientData/>
  </xdr:twoCellAnchor>
  <xdr:twoCellAnchor>
    <xdr:from>
      <xdr:col>3</xdr:col>
      <xdr:colOff>25400</xdr:colOff>
      <xdr:row>42</xdr:row>
      <xdr:rowOff>25400</xdr:rowOff>
    </xdr:from>
    <xdr:to>
      <xdr:col>3</xdr:col>
      <xdr:colOff>2161096</xdr:colOff>
      <xdr:row>42</xdr:row>
      <xdr:rowOff>536986</xdr:rowOff>
    </xdr:to>
    <xdr:pic macro="[1]!'Execute &quot;1003&quot;, 0'">
      <xdr:nvPicPr>
        <xdr:cNvPr id="21" name="Picture 20">
          <a:extLst>
            <a:ext uri="{FF2B5EF4-FFF2-40B4-BE49-F238E27FC236}">
              <a16:creationId xmlns:a16="http://schemas.microsoft.com/office/drawing/2014/main" id="{046E6121-425F-4C62-A91B-9C53FD0370D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625850" y="9398000"/>
          <a:ext cx="2135696" cy="511586"/>
        </a:xfrm>
        <a:prstGeom prst="rect">
          <a:avLst/>
        </a:prstGeom>
      </xdr:spPr>
    </xdr:pic>
    <xdr:clientData/>
  </xdr:twoCellAnchor>
  <xdr:twoCellAnchor>
    <xdr:from>
      <xdr:col>3</xdr:col>
      <xdr:colOff>25400</xdr:colOff>
      <xdr:row>40</xdr:row>
      <xdr:rowOff>25400</xdr:rowOff>
    </xdr:from>
    <xdr:to>
      <xdr:col>3</xdr:col>
      <xdr:colOff>1886204</xdr:colOff>
      <xdr:row>40</xdr:row>
      <xdr:rowOff>542240</xdr:rowOff>
    </xdr:to>
    <xdr:pic macro="[1]!'Execute &quot;1003&quot;, 0'">
      <xdr:nvPicPr>
        <xdr:cNvPr id="35" name="Picture 34">
          <a:extLst>
            <a:ext uri="{FF2B5EF4-FFF2-40B4-BE49-F238E27FC236}">
              <a16:creationId xmlns:a16="http://schemas.microsoft.com/office/drawing/2014/main" id="{F72167DB-2FD3-4027-9F90-CBFAE81E8F4C}"/>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625850" y="10331450"/>
          <a:ext cx="1860804" cy="516840"/>
        </a:xfrm>
        <a:prstGeom prst="rect">
          <a:avLst/>
        </a:prstGeom>
      </xdr:spPr>
    </xdr:pic>
    <xdr:clientData/>
  </xdr:twoCellAnchor>
  <xdr:twoCellAnchor>
    <xdr:from>
      <xdr:col>3</xdr:col>
      <xdr:colOff>25400</xdr:colOff>
      <xdr:row>50</xdr:row>
      <xdr:rowOff>25400</xdr:rowOff>
    </xdr:from>
    <xdr:to>
      <xdr:col>3</xdr:col>
      <xdr:colOff>2485327</xdr:colOff>
      <xdr:row>50</xdr:row>
      <xdr:rowOff>569777</xdr:rowOff>
    </xdr:to>
    <xdr:pic macro="[1]!'Execute &quot;1003&quot;, 0'">
      <xdr:nvPicPr>
        <xdr:cNvPr id="39" name="Picture 38">
          <a:extLst>
            <a:ext uri="{FF2B5EF4-FFF2-40B4-BE49-F238E27FC236}">
              <a16:creationId xmlns:a16="http://schemas.microsoft.com/office/drawing/2014/main" id="{3B32CB2A-CEBC-4D7A-8E22-CE8DD35C94F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625850" y="14246225"/>
          <a:ext cx="2459927" cy="544377"/>
        </a:xfrm>
        <a:prstGeom prst="rect">
          <a:avLst/>
        </a:prstGeom>
      </xdr:spPr>
    </xdr:pic>
    <xdr:clientData/>
  </xdr:twoCellAnchor>
  <xdr:twoCellAnchor>
    <xdr:from>
      <xdr:col>3</xdr:col>
      <xdr:colOff>25400</xdr:colOff>
      <xdr:row>63</xdr:row>
      <xdr:rowOff>25400</xdr:rowOff>
    </xdr:from>
    <xdr:to>
      <xdr:col>3</xdr:col>
      <xdr:colOff>2034223</xdr:colOff>
      <xdr:row>63</xdr:row>
      <xdr:rowOff>539941</xdr:rowOff>
    </xdr:to>
    <xdr:pic macro="[1]!'Execute &quot;1003&quot;, 0'">
      <xdr:nvPicPr>
        <xdr:cNvPr id="43" name="Picture 42">
          <a:extLst>
            <a:ext uri="{FF2B5EF4-FFF2-40B4-BE49-F238E27FC236}">
              <a16:creationId xmlns:a16="http://schemas.microsoft.com/office/drawing/2014/main" id="{E13B31E9-C71F-4A0D-92C0-B7AA7DBEF36E}"/>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854450" y="15036800"/>
          <a:ext cx="2008823" cy="514541"/>
        </a:xfrm>
        <a:prstGeom prst="rect">
          <a:avLst/>
        </a:prstGeom>
      </xdr:spPr>
    </xdr:pic>
    <xdr:clientData/>
  </xdr:twoCellAnchor>
  <xdr:twoCellAnchor>
    <xdr:from>
      <xdr:col>3</xdr:col>
      <xdr:colOff>25400</xdr:colOff>
      <xdr:row>64</xdr:row>
      <xdr:rowOff>25400</xdr:rowOff>
    </xdr:from>
    <xdr:to>
      <xdr:col>3</xdr:col>
      <xdr:colOff>2034223</xdr:colOff>
      <xdr:row>64</xdr:row>
      <xdr:rowOff>539284</xdr:rowOff>
    </xdr:to>
    <xdr:pic macro="[1]!'Execute &quot;1003&quot;, 0'">
      <xdr:nvPicPr>
        <xdr:cNvPr id="45" name="Picture 44">
          <a:extLst>
            <a:ext uri="{FF2B5EF4-FFF2-40B4-BE49-F238E27FC236}">
              <a16:creationId xmlns:a16="http://schemas.microsoft.com/office/drawing/2014/main" id="{9AE8355E-0B50-451B-A5BB-5CD06A844281}"/>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892550" y="15827375"/>
          <a:ext cx="2008823" cy="513884"/>
        </a:xfrm>
        <a:prstGeom prst="rect">
          <a:avLst/>
        </a:prstGeom>
      </xdr:spPr>
    </xdr:pic>
    <xdr:clientData/>
  </xdr:twoCellAnchor>
  <xdr:twoCellAnchor>
    <xdr:from>
      <xdr:col>3</xdr:col>
      <xdr:colOff>25400</xdr:colOff>
      <xdr:row>65</xdr:row>
      <xdr:rowOff>25400</xdr:rowOff>
    </xdr:from>
    <xdr:to>
      <xdr:col>3</xdr:col>
      <xdr:colOff>2034223</xdr:colOff>
      <xdr:row>65</xdr:row>
      <xdr:rowOff>539284</xdr:rowOff>
    </xdr:to>
    <xdr:pic macro="[1]!'Execute &quot;1003&quot;, 0'">
      <xdr:nvPicPr>
        <xdr:cNvPr id="47" name="Picture 46">
          <a:extLst>
            <a:ext uri="{FF2B5EF4-FFF2-40B4-BE49-F238E27FC236}">
              <a16:creationId xmlns:a16="http://schemas.microsoft.com/office/drawing/2014/main" id="{6B1713B9-D00C-49CC-85C8-FB08C0E12D05}"/>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3892550" y="16589375"/>
          <a:ext cx="2008823" cy="513884"/>
        </a:xfrm>
        <a:prstGeom prst="rect">
          <a:avLst/>
        </a:prstGeom>
      </xdr:spPr>
    </xdr:pic>
    <xdr:clientData/>
  </xdr:twoCellAnchor>
  <xdr:twoCellAnchor>
    <xdr:from>
      <xdr:col>3</xdr:col>
      <xdr:colOff>25400</xdr:colOff>
      <xdr:row>36</xdr:row>
      <xdr:rowOff>25400</xdr:rowOff>
    </xdr:from>
    <xdr:to>
      <xdr:col>3</xdr:col>
      <xdr:colOff>1554925</xdr:colOff>
      <xdr:row>36</xdr:row>
      <xdr:rowOff>532235</xdr:rowOff>
    </xdr:to>
    <xdr:pic macro="[1]!'Execute &quot;1003&quot;, 0'">
      <xdr:nvPicPr>
        <xdr:cNvPr id="4" name="Picture 3">
          <a:extLst>
            <a:ext uri="{FF2B5EF4-FFF2-40B4-BE49-F238E27FC236}">
              <a16:creationId xmlns:a16="http://schemas.microsoft.com/office/drawing/2014/main" id="{49365E18-AD7F-4117-88ED-CDB30CCDF83A}"/>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892550" y="8588375"/>
          <a:ext cx="1529525" cy="506835"/>
        </a:xfrm>
        <a:prstGeom prst="rect">
          <a:avLst/>
        </a:prstGeom>
      </xdr:spPr>
    </xdr:pic>
    <xdr:clientData/>
  </xdr:twoCellAnchor>
  <xdr:twoCellAnchor>
    <xdr:from>
      <xdr:col>3</xdr:col>
      <xdr:colOff>25400</xdr:colOff>
      <xdr:row>4</xdr:row>
      <xdr:rowOff>25400</xdr:rowOff>
    </xdr:from>
    <xdr:to>
      <xdr:col>3</xdr:col>
      <xdr:colOff>1554925</xdr:colOff>
      <xdr:row>4</xdr:row>
      <xdr:rowOff>532235</xdr:rowOff>
    </xdr:to>
    <xdr:pic macro="[1]!'Execute &quot;1003&quot;, 0'">
      <xdr:nvPicPr>
        <xdr:cNvPr id="6" name="Picture 5">
          <a:extLst>
            <a:ext uri="{FF2B5EF4-FFF2-40B4-BE49-F238E27FC236}">
              <a16:creationId xmlns:a16="http://schemas.microsoft.com/office/drawing/2014/main" id="{362E6980-8FD7-4DC6-B381-969565D96536}"/>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3892550" y="996950"/>
          <a:ext cx="1529525" cy="506835"/>
        </a:xfrm>
        <a:prstGeom prst="rect">
          <a:avLst/>
        </a:prstGeom>
      </xdr:spPr>
    </xdr:pic>
    <xdr:clientData/>
  </xdr:twoCellAnchor>
  <xdr:twoCellAnchor>
    <xdr:from>
      <xdr:col>3</xdr:col>
      <xdr:colOff>25400</xdr:colOff>
      <xdr:row>3</xdr:row>
      <xdr:rowOff>25400</xdr:rowOff>
    </xdr:from>
    <xdr:to>
      <xdr:col>3</xdr:col>
      <xdr:colOff>1413955</xdr:colOff>
      <xdr:row>3</xdr:row>
      <xdr:rowOff>558130</xdr:rowOff>
    </xdr:to>
    <xdr:pic macro="[1]!'Execute &quot;1003&quot;, 0'">
      <xdr:nvPicPr>
        <xdr:cNvPr id="8" name="Picture 7">
          <a:extLst>
            <a:ext uri="{FF2B5EF4-FFF2-40B4-BE49-F238E27FC236}">
              <a16:creationId xmlns:a16="http://schemas.microsoft.com/office/drawing/2014/main" id="{36368CC2-4BDF-4D32-9293-C77F60E3392F}"/>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892550" y="835025"/>
          <a:ext cx="1388555" cy="532730"/>
        </a:xfrm>
        <a:prstGeom prst="rect">
          <a:avLst/>
        </a:prstGeom>
      </xdr:spPr>
    </xdr:pic>
    <xdr:clientData/>
  </xdr:twoCellAnchor>
  <xdr:twoCellAnchor>
    <xdr:from>
      <xdr:col>3</xdr:col>
      <xdr:colOff>25400</xdr:colOff>
      <xdr:row>19</xdr:row>
      <xdr:rowOff>25400</xdr:rowOff>
    </xdr:from>
    <xdr:to>
      <xdr:col>3</xdr:col>
      <xdr:colOff>1357567</xdr:colOff>
      <xdr:row>19</xdr:row>
      <xdr:rowOff>530921</xdr:rowOff>
    </xdr:to>
    <xdr:pic macro="[1]!'Execute &quot;1003&quot;, 0'">
      <xdr:nvPicPr>
        <xdr:cNvPr id="10" name="Picture 9">
          <a:extLst>
            <a:ext uri="{FF2B5EF4-FFF2-40B4-BE49-F238E27FC236}">
              <a16:creationId xmlns:a16="http://schemas.microsoft.com/office/drawing/2014/main" id="{0CAD9235-61CD-4524-80AF-2407DFBBD02F}"/>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3892550" y="2873375"/>
          <a:ext cx="1332167" cy="505521"/>
        </a:xfrm>
        <a:prstGeom prst="rect">
          <a:avLst/>
        </a:prstGeom>
      </xdr:spPr>
    </xdr:pic>
    <xdr:clientData/>
  </xdr:twoCellAnchor>
  <xdr:twoCellAnchor>
    <xdr:from>
      <xdr:col>3</xdr:col>
      <xdr:colOff>25400</xdr:colOff>
      <xdr:row>56</xdr:row>
      <xdr:rowOff>25400</xdr:rowOff>
    </xdr:from>
    <xdr:to>
      <xdr:col>3</xdr:col>
      <xdr:colOff>2520569</xdr:colOff>
      <xdr:row>56</xdr:row>
      <xdr:rowOff>614847</xdr:rowOff>
    </xdr:to>
    <xdr:pic macro="[1]!'Execute &quot;1003&quot;, 0'">
      <xdr:nvPicPr>
        <xdr:cNvPr id="16" name="Picture 15">
          <a:extLst>
            <a:ext uri="{FF2B5EF4-FFF2-40B4-BE49-F238E27FC236}">
              <a16:creationId xmlns:a16="http://schemas.microsoft.com/office/drawing/2014/main" id="{FA6DD041-E923-4C30-8145-52C9D816F882}"/>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3892550" y="17427575"/>
          <a:ext cx="2495169" cy="589447"/>
        </a:xfrm>
        <a:prstGeom prst="rect">
          <a:avLst/>
        </a:prstGeom>
      </xdr:spPr>
    </xdr:pic>
    <xdr:clientData/>
  </xdr:twoCellAnchor>
  <xdr:twoCellAnchor>
    <xdr:from>
      <xdr:col>3</xdr:col>
      <xdr:colOff>25400</xdr:colOff>
      <xdr:row>54</xdr:row>
      <xdr:rowOff>25400</xdr:rowOff>
    </xdr:from>
    <xdr:to>
      <xdr:col>3</xdr:col>
      <xdr:colOff>2245678</xdr:colOff>
      <xdr:row>54</xdr:row>
      <xdr:rowOff>546989</xdr:rowOff>
    </xdr:to>
    <xdr:pic macro="[1]!'Execute &quot;1003&quot;, 0'">
      <xdr:nvPicPr>
        <xdr:cNvPr id="20" name="Picture 19">
          <a:extLst>
            <a:ext uri="{FF2B5EF4-FFF2-40B4-BE49-F238E27FC236}">
              <a16:creationId xmlns:a16="http://schemas.microsoft.com/office/drawing/2014/main" id="{1650772D-0C24-4E6C-8C13-8F894A05597E}"/>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3892550" y="19056350"/>
          <a:ext cx="2220278" cy="521589"/>
        </a:xfrm>
        <a:prstGeom prst="rect">
          <a:avLst/>
        </a:prstGeom>
      </xdr:spPr>
    </xdr:pic>
    <xdr:clientData/>
  </xdr:twoCellAnchor>
  <xdr:twoCellAnchor>
    <xdr:from>
      <xdr:col>3</xdr:col>
      <xdr:colOff>25400</xdr:colOff>
      <xdr:row>9</xdr:row>
      <xdr:rowOff>25400</xdr:rowOff>
    </xdr:from>
    <xdr:to>
      <xdr:col>3</xdr:col>
      <xdr:colOff>1688846</xdr:colOff>
      <xdr:row>9</xdr:row>
      <xdr:rowOff>540270</xdr:rowOff>
    </xdr:to>
    <xdr:pic macro="[1]!'Execute &quot;1003&quot;, 0'">
      <xdr:nvPicPr>
        <xdr:cNvPr id="24" name="Picture 23">
          <a:extLst>
            <a:ext uri="{FF2B5EF4-FFF2-40B4-BE49-F238E27FC236}">
              <a16:creationId xmlns:a16="http://schemas.microsoft.com/office/drawing/2014/main" id="{D43A8C47-1D40-4182-8406-190E6C9114F4}"/>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3892550" y="7988300"/>
          <a:ext cx="1663446" cy="514870"/>
        </a:xfrm>
        <a:prstGeom prst="rect">
          <a:avLst/>
        </a:prstGeom>
      </xdr:spPr>
    </xdr:pic>
    <xdr:clientData/>
  </xdr:twoCellAnchor>
  <xdr:twoCellAnchor>
    <xdr:from>
      <xdr:col>3</xdr:col>
      <xdr:colOff>25400</xdr:colOff>
      <xdr:row>11</xdr:row>
      <xdr:rowOff>25400</xdr:rowOff>
    </xdr:from>
    <xdr:to>
      <xdr:col>3</xdr:col>
      <xdr:colOff>1554925</xdr:colOff>
      <xdr:row>11</xdr:row>
      <xdr:rowOff>539284</xdr:rowOff>
    </xdr:to>
    <xdr:pic macro="[1]!'Execute &quot;1003&quot;, 0'">
      <xdr:nvPicPr>
        <xdr:cNvPr id="28" name="Picture 27">
          <a:extLst>
            <a:ext uri="{FF2B5EF4-FFF2-40B4-BE49-F238E27FC236}">
              <a16:creationId xmlns:a16="http://schemas.microsoft.com/office/drawing/2014/main" id="{9894AF5F-FB60-4EE4-847B-F941C5B16613}"/>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3892550" y="8750300"/>
          <a:ext cx="1529525" cy="513884"/>
        </a:xfrm>
        <a:prstGeom prst="rect">
          <a:avLst/>
        </a:prstGeom>
      </xdr:spPr>
    </xdr:pic>
    <xdr:clientData/>
  </xdr:twoCellAnchor>
  <xdr:twoCellAnchor>
    <xdr:from>
      <xdr:col>3</xdr:col>
      <xdr:colOff>25400</xdr:colOff>
      <xdr:row>43</xdr:row>
      <xdr:rowOff>25400</xdr:rowOff>
    </xdr:from>
    <xdr:to>
      <xdr:col>3</xdr:col>
      <xdr:colOff>1632458</xdr:colOff>
      <xdr:row>43</xdr:row>
      <xdr:rowOff>532892</xdr:rowOff>
    </xdr:to>
    <xdr:pic macro="[1]!'Execute &quot;1003&quot;, 0'">
      <xdr:nvPicPr>
        <xdr:cNvPr id="30" name="Picture 29">
          <a:extLst>
            <a:ext uri="{FF2B5EF4-FFF2-40B4-BE49-F238E27FC236}">
              <a16:creationId xmlns:a16="http://schemas.microsoft.com/office/drawing/2014/main" id="{5DA503B8-71D5-4EB6-ADDC-6F59C0132B15}"/>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3892550" y="18389600"/>
          <a:ext cx="1607058" cy="507492"/>
        </a:xfrm>
        <a:prstGeom prst="rect">
          <a:avLst/>
        </a:prstGeom>
      </xdr:spPr>
    </xdr:pic>
    <xdr:clientData/>
  </xdr:twoCellAnchor>
  <xdr:twoCellAnchor>
    <xdr:from>
      <xdr:col>3</xdr:col>
      <xdr:colOff>25400</xdr:colOff>
      <xdr:row>67</xdr:row>
      <xdr:rowOff>25400</xdr:rowOff>
    </xdr:from>
    <xdr:to>
      <xdr:col>3</xdr:col>
      <xdr:colOff>2520569</xdr:colOff>
      <xdr:row>67</xdr:row>
      <xdr:rowOff>617474</xdr:rowOff>
    </xdr:to>
    <xdr:pic macro="[1]!'Execute &quot;1003&quot;, 0'">
      <xdr:nvPicPr>
        <xdr:cNvPr id="46" name="Picture 45">
          <a:extLst>
            <a:ext uri="{FF2B5EF4-FFF2-40B4-BE49-F238E27FC236}">
              <a16:creationId xmlns:a16="http://schemas.microsoft.com/office/drawing/2014/main" id="{03AB8477-CBAB-4544-89B3-4D5E0BC8A8F2}"/>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3892550" y="26352500"/>
          <a:ext cx="2495169" cy="592074"/>
        </a:xfrm>
        <a:prstGeom prst="rect">
          <a:avLst/>
        </a:prstGeom>
      </xdr:spPr>
    </xdr:pic>
    <xdr:clientData/>
  </xdr:twoCellAnchor>
  <xdr:twoCellAnchor>
    <xdr:from>
      <xdr:col>3</xdr:col>
      <xdr:colOff>25400</xdr:colOff>
      <xdr:row>44</xdr:row>
      <xdr:rowOff>25400</xdr:rowOff>
    </xdr:from>
    <xdr:to>
      <xdr:col>3</xdr:col>
      <xdr:colOff>2902830</xdr:colOff>
      <xdr:row>44</xdr:row>
      <xdr:rowOff>532892</xdr:rowOff>
    </xdr:to>
    <xdr:pic macro="[1]!'Execute &quot;1003&quot;, 0'">
      <xdr:nvPicPr>
        <xdr:cNvPr id="53" name="Picture 52">
          <a:extLst>
            <a:ext uri="{FF2B5EF4-FFF2-40B4-BE49-F238E27FC236}">
              <a16:creationId xmlns:a16="http://schemas.microsoft.com/office/drawing/2014/main" id="{B3CAA705-D3D8-44CA-B481-7C9E74677D08}"/>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3892550" y="19151600"/>
          <a:ext cx="2877430" cy="507492"/>
        </a:xfrm>
        <a:prstGeom prst="rect">
          <a:avLst/>
        </a:prstGeom>
      </xdr:spPr>
    </xdr:pic>
    <xdr:clientData/>
  </xdr:twoCellAnchor>
  <xdr:twoCellAnchor>
    <xdr:from>
      <xdr:col>3</xdr:col>
      <xdr:colOff>25400</xdr:colOff>
      <xdr:row>55</xdr:row>
      <xdr:rowOff>25400</xdr:rowOff>
    </xdr:from>
    <xdr:to>
      <xdr:col>3</xdr:col>
      <xdr:colOff>2576957</xdr:colOff>
      <xdr:row>55</xdr:row>
      <xdr:rowOff>617474</xdr:rowOff>
    </xdr:to>
    <xdr:pic macro="[1]!'Execute &quot;1003&quot;, 0'">
      <xdr:nvPicPr>
        <xdr:cNvPr id="55" name="Picture 54">
          <a:extLst>
            <a:ext uri="{FF2B5EF4-FFF2-40B4-BE49-F238E27FC236}">
              <a16:creationId xmlns:a16="http://schemas.microsoft.com/office/drawing/2014/main" id="{35CB94F8-3A49-45B0-ADDD-CA76FAEC7AFE}"/>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3892550" y="20675600"/>
          <a:ext cx="2551557" cy="592074"/>
        </a:xfrm>
        <a:prstGeom prst="rect">
          <a:avLst/>
        </a:prstGeom>
      </xdr:spPr>
    </xdr:pic>
    <xdr:clientData/>
  </xdr:twoCellAnchor>
  <xdr:twoCellAnchor>
    <xdr:from>
      <xdr:col>3</xdr:col>
      <xdr:colOff>25400</xdr:colOff>
      <xdr:row>31</xdr:row>
      <xdr:rowOff>25400</xdr:rowOff>
    </xdr:from>
    <xdr:to>
      <xdr:col>3</xdr:col>
      <xdr:colOff>1970786</xdr:colOff>
      <xdr:row>31</xdr:row>
      <xdr:rowOff>596329</xdr:rowOff>
    </xdr:to>
    <xdr:pic macro="[1]!'Execute &quot;1003&quot;, 0'">
      <xdr:nvPicPr>
        <xdr:cNvPr id="59" name="Picture 58">
          <a:extLst>
            <a:ext uri="{FF2B5EF4-FFF2-40B4-BE49-F238E27FC236}">
              <a16:creationId xmlns:a16="http://schemas.microsoft.com/office/drawing/2014/main" id="{971AE475-2C7C-4339-A854-97A61F414F54}"/>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3892550" y="7664450"/>
          <a:ext cx="1945386" cy="570929"/>
        </a:xfrm>
        <a:prstGeom prst="rect">
          <a:avLst/>
        </a:prstGeom>
      </xdr:spPr>
    </xdr:pic>
    <xdr:clientData/>
  </xdr:twoCellAnchor>
  <xdr:twoCellAnchor>
    <xdr:from>
      <xdr:col>3</xdr:col>
      <xdr:colOff>25400</xdr:colOff>
      <xdr:row>22</xdr:row>
      <xdr:rowOff>25400</xdr:rowOff>
    </xdr:from>
    <xdr:to>
      <xdr:col>3</xdr:col>
      <xdr:colOff>1970786</xdr:colOff>
      <xdr:row>22</xdr:row>
      <xdr:rowOff>617474</xdr:rowOff>
    </xdr:to>
    <xdr:pic macro="[1]!'Execute &quot;1003&quot;, 0'">
      <xdr:nvPicPr>
        <xdr:cNvPr id="61" name="Picture 60">
          <a:extLst>
            <a:ext uri="{FF2B5EF4-FFF2-40B4-BE49-F238E27FC236}">
              <a16:creationId xmlns:a16="http://schemas.microsoft.com/office/drawing/2014/main" id="{CCA342FD-4122-4110-8E78-986FBA343968}"/>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3892550" y="3635375"/>
          <a:ext cx="1945386" cy="592074"/>
        </a:xfrm>
        <a:prstGeom prst="rect">
          <a:avLst/>
        </a:prstGeom>
      </xdr:spPr>
    </xdr:pic>
    <xdr:clientData/>
  </xdr:twoCellAnchor>
  <xdr:twoCellAnchor>
    <xdr:from>
      <xdr:col>3</xdr:col>
      <xdr:colOff>25400</xdr:colOff>
      <xdr:row>51</xdr:row>
      <xdr:rowOff>25400</xdr:rowOff>
    </xdr:from>
    <xdr:to>
      <xdr:col>3</xdr:col>
      <xdr:colOff>2450084</xdr:colOff>
      <xdr:row>51</xdr:row>
      <xdr:rowOff>568135</xdr:rowOff>
    </xdr:to>
    <xdr:pic macro="[1]!'Execute &quot;1003&quot;, 0'">
      <xdr:nvPicPr>
        <xdr:cNvPr id="63" name="Picture 62">
          <a:extLst>
            <a:ext uri="{FF2B5EF4-FFF2-40B4-BE49-F238E27FC236}">
              <a16:creationId xmlns:a16="http://schemas.microsoft.com/office/drawing/2014/main" id="{D0296CDB-648B-461B-BD98-4E2FB0AFC226}"/>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3892550" y="25619075"/>
          <a:ext cx="2424684" cy="542735"/>
        </a:xfrm>
        <a:prstGeom prst="rect">
          <a:avLst/>
        </a:prstGeom>
      </xdr:spPr>
    </xdr:pic>
    <xdr:clientData/>
  </xdr:twoCellAnchor>
  <xdr:twoCellAnchor>
    <xdr:from>
      <xdr:col>3</xdr:col>
      <xdr:colOff>25400</xdr:colOff>
      <xdr:row>49</xdr:row>
      <xdr:rowOff>25400</xdr:rowOff>
    </xdr:from>
    <xdr:to>
      <xdr:col>3</xdr:col>
      <xdr:colOff>2175193</xdr:colOff>
      <xdr:row>49</xdr:row>
      <xdr:rowOff>546989</xdr:rowOff>
    </xdr:to>
    <xdr:pic macro="[1]!'Execute &quot;1003&quot;, 0'">
      <xdr:nvPicPr>
        <xdr:cNvPr id="65" name="Picture 64">
          <a:extLst>
            <a:ext uri="{FF2B5EF4-FFF2-40B4-BE49-F238E27FC236}">
              <a16:creationId xmlns:a16="http://schemas.microsoft.com/office/drawing/2014/main" id="{2914F1DE-21F4-4E88-BF2E-FD5F16B44B5A}"/>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3892550" y="24828500"/>
          <a:ext cx="2149793" cy="521589"/>
        </a:xfrm>
        <a:prstGeom prst="rect">
          <a:avLst/>
        </a:prstGeom>
      </xdr:spPr>
    </xdr:pic>
    <xdr:clientData/>
  </xdr:twoCellAnchor>
  <xdr:twoCellAnchor>
    <xdr:from>
      <xdr:col>3</xdr:col>
      <xdr:colOff>25400</xdr:colOff>
      <xdr:row>62</xdr:row>
      <xdr:rowOff>25400</xdr:rowOff>
    </xdr:from>
    <xdr:to>
      <xdr:col>3</xdr:col>
      <xdr:colOff>1970786</xdr:colOff>
      <xdr:row>62</xdr:row>
      <xdr:rowOff>617474</xdr:rowOff>
    </xdr:to>
    <xdr:pic macro="[1]!'Execute &quot;1003&quot;, 0'">
      <xdr:nvPicPr>
        <xdr:cNvPr id="67" name="Picture 66">
          <a:extLst>
            <a:ext uri="{FF2B5EF4-FFF2-40B4-BE49-F238E27FC236}">
              <a16:creationId xmlns:a16="http://schemas.microsoft.com/office/drawing/2014/main" id="{CDD43590-F343-44BA-B5A4-570807D70811}"/>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3892550" y="27200225"/>
          <a:ext cx="1945386" cy="592074"/>
        </a:xfrm>
        <a:prstGeom prst="rect">
          <a:avLst/>
        </a:prstGeom>
      </xdr:spPr>
    </xdr:pic>
    <xdr:clientData/>
  </xdr:twoCellAnchor>
  <xdr:twoCellAnchor>
    <xdr:from>
      <xdr:col>3</xdr:col>
      <xdr:colOff>25400</xdr:colOff>
      <xdr:row>10</xdr:row>
      <xdr:rowOff>25400</xdr:rowOff>
    </xdr:from>
    <xdr:to>
      <xdr:col>3</xdr:col>
      <xdr:colOff>1688846</xdr:colOff>
      <xdr:row>10</xdr:row>
      <xdr:rowOff>554038</xdr:rowOff>
    </xdr:to>
    <xdr:pic macro="[1]!'Execute &quot;1003&quot;, 0'">
      <xdr:nvPicPr>
        <xdr:cNvPr id="71" name="Picture 70">
          <a:extLst>
            <a:ext uri="{FF2B5EF4-FFF2-40B4-BE49-F238E27FC236}">
              <a16:creationId xmlns:a16="http://schemas.microsoft.com/office/drawing/2014/main" id="{B4E59744-9080-406D-90C1-794627659512}"/>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3892550" y="10245725"/>
          <a:ext cx="1663446" cy="528638"/>
        </a:xfrm>
        <a:prstGeom prst="rect">
          <a:avLst/>
        </a:prstGeom>
      </xdr:spPr>
    </xdr:pic>
    <xdr:clientData/>
  </xdr:twoCellAnchor>
  <xdr:twoCellAnchor>
    <xdr:from>
      <xdr:col>3</xdr:col>
      <xdr:colOff>25400</xdr:colOff>
      <xdr:row>8</xdr:row>
      <xdr:rowOff>25400</xdr:rowOff>
    </xdr:from>
    <xdr:to>
      <xdr:col>3</xdr:col>
      <xdr:colOff>1554925</xdr:colOff>
      <xdr:row>8</xdr:row>
      <xdr:rowOff>536985</xdr:rowOff>
    </xdr:to>
    <xdr:pic macro="[1]!'Execute &quot;1003&quot;, 0'">
      <xdr:nvPicPr>
        <xdr:cNvPr id="73" name="Picture 72">
          <a:extLst>
            <a:ext uri="{FF2B5EF4-FFF2-40B4-BE49-F238E27FC236}">
              <a16:creationId xmlns:a16="http://schemas.microsoft.com/office/drawing/2014/main" id="{133BABAE-4166-4510-ABA9-74BFA17315B9}"/>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3892550" y="9483725"/>
          <a:ext cx="1529525" cy="511585"/>
        </a:xfrm>
        <a:prstGeom prst="rect">
          <a:avLst/>
        </a:prstGeom>
      </xdr:spPr>
    </xdr:pic>
    <xdr:clientData/>
  </xdr:twoCellAnchor>
  <xdr:twoCellAnchor>
    <xdr:from>
      <xdr:col>3</xdr:col>
      <xdr:colOff>25400</xdr:colOff>
      <xdr:row>21</xdr:row>
      <xdr:rowOff>25400</xdr:rowOff>
    </xdr:from>
    <xdr:to>
      <xdr:col>3</xdr:col>
      <xdr:colOff>1625410</xdr:colOff>
      <xdr:row>21</xdr:row>
      <xdr:rowOff>532892</xdr:rowOff>
    </xdr:to>
    <xdr:pic macro="[1]!'Execute &quot;1003&quot;, 0'">
      <xdr:nvPicPr>
        <xdr:cNvPr id="75" name="Picture 74">
          <a:extLst>
            <a:ext uri="{FF2B5EF4-FFF2-40B4-BE49-F238E27FC236}">
              <a16:creationId xmlns:a16="http://schemas.microsoft.com/office/drawing/2014/main" id="{B6462A2C-D4F8-4D62-A701-F598504A3EA7}"/>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3892550" y="3797300"/>
          <a:ext cx="1600010" cy="507492"/>
        </a:xfrm>
        <a:prstGeom prst="rect">
          <a:avLst/>
        </a:prstGeom>
      </xdr:spPr>
    </xdr:pic>
    <xdr:clientData/>
  </xdr:twoCellAnchor>
  <xdr:twoCellAnchor>
    <xdr:from>
      <xdr:col>3</xdr:col>
      <xdr:colOff>25400</xdr:colOff>
      <xdr:row>23</xdr:row>
      <xdr:rowOff>25400</xdr:rowOff>
    </xdr:from>
    <xdr:to>
      <xdr:col>3</xdr:col>
      <xdr:colOff>1970786</xdr:colOff>
      <xdr:row>23</xdr:row>
      <xdr:rowOff>617474</xdr:rowOff>
    </xdr:to>
    <xdr:pic macro="[1]!'Execute &quot;1003&quot;, 0'">
      <xdr:nvPicPr>
        <xdr:cNvPr id="77" name="Picture 76">
          <a:extLst>
            <a:ext uri="{FF2B5EF4-FFF2-40B4-BE49-F238E27FC236}">
              <a16:creationId xmlns:a16="http://schemas.microsoft.com/office/drawing/2014/main" id="{6FBD77E9-E81E-49DE-8196-691C4BEC6511}"/>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3892550" y="5397500"/>
          <a:ext cx="1945386" cy="592074"/>
        </a:xfrm>
        <a:prstGeom prst="rect">
          <a:avLst/>
        </a:prstGeom>
      </xdr:spPr>
    </xdr:pic>
    <xdr:clientData/>
  </xdr:twoCellAnchor>
  <xdr:twoCellAnchor>
    <xdr:from>
      <xdr:col>3</xdr:col>
      <xdr:colOff>25400</xdr:colOff>
      <xdr:row>24</xdr:row>
      <xdr:rowOff>25400</xdr:rowOff>
    </xdr:from>
    <xdr:to>
      <xdr:col>3</xdr:col>
      <xdr:colOff>1970786</xdr:colOff>
      <xdr:row>24</xdr:row>
      <xdr:rowOff>645668</xdr:rowOff>
    </xdr:to>
    <xdr:pic macro="[1]!'Execute &quot;1003&quot;, 0'">
      <xdr:nvPicPr>
        <xdr:cNvPr id="79" name="Picture 78">
          <a:extLst>
            <a:ext uri="{FF2B5EF4-FFF2-40B4-BE49-F238E27FC236}">
              <a16:creationId xmlns:a16="http://schemas.microsoft.com/office/drawing/2014/main" id="{7982F665-17A3-4F1C-B888-9BBB03D75E6B}"/>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3892550" y="6235700"/>
          <a:ext cx="1945386" cy="620268"/>
        </a:xfrm>
        <a:prstGeom prst="rect">
          <a:avLst/>
        </a:prstGeom>
      </xdr:spPr>
    </xdr:pic>
    <xdr:clientData/>
  </xdr:twoCellAnchor>
  <xdr:twoCellAnchor>
    <xdr:from>
      <xdr:col>3</xdr:col>
      <xdr:colOff>25400</xdr:colOff>
      <xdr:row>14</xdr:row>
      <xdr:rowOff>25400</xdr:rowOff>
    </xdr:from>
    <xdr:to>
      <xdr:col>3</xdr:col>
      <xdr:colOff>1667701</xdr:colOff>
      <xdr:row>14</xdr:row>
      <xdr:rowOff>555680</xdr:rowOff>
    </xdr:to>
    <xdr:pic macro="[1]!'Execute &quot;1003&quot;, 0'">
      <xdr:nvPicPr>
        <xdr:cNvPr id="81" name="Picture 80">
          <a:extLst>
            <a:ext uri="{FF2B5EF4-FFF2-40B4-BE49-F238E27FC236}">
              <a16:creationId xmlns:a16="http://schemas.microsoft.com/office/drawing/2014/main" id="{0C4A6917-5034-4CD3-B9D9-7575F895B1D5}"/>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3892550" y="37363400"/>
          <a:ext cx="1642301" cy="530280"/>
        </a:xfrm>
        <a:prstGeom prst="rect">
          <a:avLst/>
        </a:prstGeom>
      </xdr:spPr>
    </xdr:pic>
    <xdr:clientData/>
  </xdr:twoCellAnchor>
  <xdr:twoCellAnchor>
    <xdr:from>
      <xdr:col>3</xdr:col>
      <xdr:colOff>25400</xdr:colOff>
      <xdr:row>17</xdr:row>
      <xdr:rowOff>25400</xdr:rowOff>
    </xdr:from>
    <xdr:to>
      <xdr:col>3</xdr:col>
      <xdr:colOff>1526731</xdr:colOff>
      <xdr:row>17</xdr:row>
      <xdr:rowOff>561086</xdr:rowOff>
    </xdr:to>
    <xdr:pic macro="[1]!'Execute &quot;1003&quot;, 0'">
      <xdr:nvPicPr>
        <xdr:cNvPr id="83" name="Picture 82">
          <a:extLst>
            <a:ext uri="{FF2B5EF4-FFF2-40B4-BE49-F238E27FC236}">
              <a16:creationId xmlns:a16="http://schemas.microsoft.com/office/drawing/2014/main" id="{13713ABB-4310-4560-8586-C03271838A31}"/>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3892550" y="6559550"/>
          <a:ext cx="1501331" cy="535686"/>
        </a:xfrm>
        <a:prstGeom prst="rect">
          <a:avLst/>
        </a:prstGeom>
      </xdr:spPr>
    </xdr:pic>
    <xdr:clientData/>
  </xdr:twoCellAnchor>
  <xdr:twoCellAnchor>
    <xdr:from>
      <xdr:col>3</xdr:col>
      <xdr:colOff>25400</xdr:colOff>
      <xdr:row>6</xdr:row>
      <xdr:rowOff>25400</xdr:rowOff>
    </xdr:from>
    <xdr:to>
      <xdr:col>3</xdr:col>
      <xdr:colOff>1554925</xdr:colOff>
      <xdr:row>6</xdr:row>
      <xdr:rowOff>554038</xdr:rowOff>
    </xdr:to>
    <xdr:pic macro="[1]!'Execute &quot;1003&quot;, 0'">
      <xdr:nvPicPr>
        <xdr:cNvPr id="87" name="Picture 86">
          <a:extLst>
            <a:ext uri="{FF2B5EF4-FFF2-40B4-BE49-F238E27FC236}">
              <a16:creationId xmlns:a16="http://schemas.microsoft.com/office/drawing/2014/main" id="{820C12DE-3654-49B3-B00B-9D3F386DA339}"/>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3892550" y="2225675"/>
          <a:ext cx="1529525" cy="528638"/>
        </a:xfrm>
        <a:prstGeom prst="rect">
          <a:avLst/>
        </a:prstGeom>
      </xdr:spPr>
    </xdr:pic>
    <xdr:clientData/>
  </xdr:twoCellAnchor>
  <xdr:twoCellAnchor>
    <xdr:from>
      <xdr:col>3</xdr:col>
      <xdr:colOff>25400</xdr:colOff>
      <xdr:row>20</xdr:row>
      <xdr:rowOff>25400</xdr:rowOff>
    </xdr:from>
    <xdr:to>
      <xdr:col>3</xdr:col>
      <xdr:colOff>2344357</xdr:colOff>
      <xdr:row>20</xdr:row>
      <xdr:rowOff>532892</xdr:rowOff>
    </xdr:to>
    <xdr:pic macro="[1]!'Execute &quot;1003&quot;, 0'">
      <xdr:nvPicPr>
        <xdr:cNvPr id="89" name="Picture 88">
          <a:extLst>
            <a:ext uri="{FF2B5EF4-FFF2-40B4-BE49-F238E27FC236}">
              <a16:creationId xmlns:a16="http://schemas.microsoft.com/office/drawing/2014/main" id="{994F3109-2259-43A3-8A27-6E1919482F0C}"/>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3892550" y="8893175"/>
          <a:ext cx="2318957" cy="507492"/>
        </a:xfrm>
        <a:prstGeom prst="rect">
          <a:avLst/>
        </a:prstGeom>
      </xdr:spPr>
    </xdr:pic>
    <xdr:clientData/>
  </xdr:twoCellAnchor>
  <xdr:twoCellAnchor>
    <xdr:from>
      <xdr:col>3</xdr:col>
      <xdr:colOff>25400</xdr:colOff>
      <xdr:row>13</xdr:row>
      <xdr:rowOff>25400</xdr:rowOff>
    </xdr:from>
    <xdr:to>
      <xdr:col>3</xdr:col>
      <xdr:colOff>1829816</xdr:colOff>
      <xdr:row>13</xdr:row>
      <xdr:rowOff>530694</xdr:rowOff>
    </xdr:to>
    <xdr:pic macro="[1]!'Execute &quot;1003&quot;, 0'">
      <xdr:nvPicPr>
        <xdr:cNvPr id="91" name="Picture 90">
          <a:extLst>
            <a:ext uri="{FF2B5EF4-FFF2-40B4-BE49-F238E27FC236}">
              <a16:creationId xmlns:a16="http://schemas.microsoft.com/office/drawing/2014/main" id="{0B7B8FE5-6253-4081-9D10-C778096921A6}"/>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3892550" y="6397625"/>
          <a:ext cx="1804416" cy="505294"/>
        </a:xfrm>
        <a:prstGeom prst="rect">
          <a:avLst/>
        </a:prstGeom>
      </xdr:spPr>
    </xdr:pic>
    <xdr:clientData/>
  </xdr:twoCellAnchor>
  <xdr:twoCellAnchor>
    <xdr:from>
      <xdr:col>3</xdr:col>
      <xdr:colOff>25400</xdr:colOff>
      <xdr:row>66</xdr:row>
      <xdr:rowOff>25400</xdr:rowOff>
    </xdr:from>
    <xdr:to>
      <xdr:col>3</xdr:col>
      <xdr:colOff>2520569</xdr:colOff>
      <xdr:row>66</xdr:row>
      <xdr:rowOff>617474</xdr:rowOff>
    </xdr:to>
    <xdr:pic macro="[1]!'Execute &quot;1003&quot;, 0'">
      <xdr:nvPicPr>
        <xdr:cNvPr id="99" name="Picture 98">
          <a:extLst>
            <a:ext uri="{FF2B5EF4-FFF2-40B4-BE49-F238E27FC236}">
              <a16:creationId xmlns:a16="http://schemas.microsoft.com/office/drawing/2014/main" id="{E85673FB-54AB-4701-97F4-1EAF470EE413}"/>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3892550" y="35429825"/>
          <a:ext cx="2495169" cy="592074"/>
        </a:xfrm>
        <a:prstGeom prst="rect">
          <a:avLst/>
        </a:prstGeom>
      </xdr:spPr>
    </xdr:pic>
    <xdr:clientData/>
  </xdr:twoCellAnchor>
  <xdr:twoCellAnchor>
    <xdr:from>
      <xdr:col>3</xdr:col>
      <xdr:colOff>25400</xdr:colOff>
      <xdr:row>53</xdr:row>
      <xdr:rowOff>25400</xdr:rowOff>
    </xdr:from>
    <xdr:to>
      <xdr:col>3</xdr:col>
      <xdr:colOff>2302066</xdr:colOff>
      <xdr:row>53</xdr:row>
      <xdr:rowOff>546989</xdr:rowOff>
    </xdr:to>
    <xdr:pic macro="[1]!'Execute &quot;1003&quot;, 0'">
      <xdr:nvPicPr>
        <xdr:cNvPr id="5" name="Picture 4">
          <a:extLst>
            <a:ext uri="{FF2B5EF4-FFF2-40B4-BE49-F238E27FC236}">
              <a16:creationId xmlns:a16="http://schemas.microsoft.com/office/drawing/2014/main" id="{AF06086F-9356-41BC-927E-7394305E8854}"/>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3997325" y="29019500"/>
          <a:ext cx="2276666" cy="521589"/>
        </a:xfrm>
        <a:prstGeom prst="rect">
          <a:avLst/>
        </a:prstGeom>
      </xdr:spPr>
    </xdr:pic>
    <xdr:clientData/>
  </xdr:twoCellAnchor>
  <xdr:twoCellAnchor>
    <xdr:from>
      <xdr:col>3</xdr:col>
      <xdr:colOff>25400</xdr:colOff>
      <xdr:row>69</xdr:row>
      <xdr:rowOff>25400</xdr:rowOff>
    </xdr:from>
    <xdr:to>
      <xdr:col>3</xdr:col>
      <xdr:colOff>1554925</xdr:colOff>
      <xdr:row>69</xdr:row>
      <xdr:rowOff>561086</xdr:rowOff>
    </xdr:to>
    <xdr:pic macro="[1]!'Execute &quot;1003&quot;, 0'">
      <xdr:nvPicPr>
        <xdr:cNvPr id="51" name="Picture 50">
          <a:extLst>
            <a:ext uri="{FF2B5EF4-FFF2-40B4-BE49-F238E27FC236}">
              <a16:creationId xmlns:a16="http://schemas.microsoft.com/office/drawing/2014/main" id="{58960593-85BE-4DAA-A7D1-512F8C23BF2C}"/>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3892550" y="38706425"/>
          <a:ext cx="1529525" cy="535686"/>
        </a:xfrm>
        <a:prstGeom prst="rect">
          <a:avLst/>
        </a:prstGeom>
      </xdr:spPr>
    </xdr:pic>
    <xdr:clientData/>
  </xdr:twoCellAnchor>
  <xdr:twoCellAnchor>
    <xdr:from>
      <xdr:col>3</xdr:col>
      <xdr:colOff>25400</xdr:colOff>
      <xdr:row>39</xdr:row>
      <xdr:rowOff>25400</xdr:rowOff>
    </xdr:from>
    <xdr:to>
      <xdr:col>3</xdr:col>
      <xdr:colOff>2302066</xdr:colOff>
      <xdr:row>39</xdr:row>
      <xdr:rowOff>561086</xdr:rowOff>
    </xdr:to>
    <xdr:pic macro="[1]!'Execute &quot;1003&quot;, 0'">
      <xdr:nvPicPr>
        <xdr:cNvPr id="18" name="Picture 17">
          <a:extLst>
            <a:ext uri="{FF2B5EF4-FFF2-40B4-BE49-F238E27FC236}">
              <a16:creationId xmlns:a16="http://schemas.microsoft.com/office/drawing/2014/main" id="{D6745A1E-AC66-425A-86ED-1647BD7CD2F1}"/>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3997325" y="22047200"/>
          <a:ext cx="2276666" cy="535686"/>
        </a:xfrm>
        <a:prstGeom prst="rect">
          <a:avLst/>
        </a:prstGeom>
      </xdr:spPr>
    </xdr:pic>
    <xdr:clientData/>
  </xdr:twoCellAnchor>
  <xdr:twoCellAnchor>
    <xdr:from>
      <xdr:col>3</xdr:col>
      <xdr:colOff>25400</xdr:colOff>
      <xdr:row>38</xdr:row>
      <xdr:rowOff>25400</xdr:rowOff>
    </xdr:from>
    <xdr:to>
      <xdr:col>3</xdr:col>
      <xdr:colOff>2161096</xdr:colOff>
      <xdr:row>38</xdr:row>
      <xdr:rowOff>561086</xdr:rowOff>
    </xdr:to>
    <xdr:pic macro="[1]!'Execute &quot;1003&quot;, 0'">
      <xdr:nvPicPr>
        <xdr:cNvPr id="31" name="Picture 30">
          <a:extLst>
            <a:ext uri="{FF2B5EF4-FFF2-40B4-BE49-F238E27FC236}">
              <a16:creationId xmlns:a16="http://schemas.microsoft.com/office/drawing/2014/main" id="{FD909030-867E-4676-BDBC-757FF973D88A}"/>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3997325" y="21256625"/>
          <a:ext cx="2135696" cy="535686"/>
        </a:xfrm>
        <a:prstGeom prst="rect">
          <a:avLst/>
        </a:prstGeom>
      </xdr:spPr>
    </xdr:pic>
    <xdr:clientData/>
  </xdr:twoCellAnchor>
  <xdr:twoCellAnchor>
    <xdr:from>
      <xdr:col>3</xdr:col>
      <xdr:colOff>25400</xdr:colOff>
      <xdr:row>41</xdr:row>
      <xdr:rowOff>25400</xdr:rowOff>
    </xdr:from>
    <xdr:to>
      <xdr:col>3</xdr:col>
      <xdr:colOff>2162287</xdr:colOff>
      <xdr:row>41</xdr:row>
      <xdr:rowOff>539941</xdr:rowOff>
    </xdr:to>
    <xdr:pic macro="[1]!'Execute &quot;1003&quot;, 0'">
      <xdr:nvPicPr>
        <xdr:cNvPr id="33" name="Picture 32">
          <a:extLst>
            <a:ext uri="{FF2B5EF4-FFF2-40B4-BE49-F238E27FC236}">
              <a16:creationId xmlns:a16="http://schemas.microsoft.com/office/drawing/2014/main" id="{A1242C99-002D-4AD0-8E38-7A975BE19621}"/>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3997325" y="23599775"/>
          <a:ext cx="2136887" cy="514541"/>
        </a:xfrm>
        <a:prstGeom prst="rect">
          <a:avLst/>
        </a:prstGeom>
      </xdr:spPr>
    </xdr:pic>
    <xdr:clientData/>
  </xdr:twoCellAnchor>
  <xdr:twoCellAnchor>
    <xdr:from>
      <xdr:col>3</xdr:col>
      <xdr:colOff>25400</xdr:colOff>
      <xdr:row>35</xdr:row>
      <xdr:rowOff>25400</xdr:rowOff>
    </xdr:from>
    <xdr:to>
      <xdr:col>3</xdr:col>
      <xdr:colOff>1413955</xdr:colOff>
      <xdr:row>35</xdr:row>
      <xdr:rowOff>562728</xdr:rowOff>
    </xdr:to>
    <xdr:pic macro="[1]!'Execute &quot;1003&quot;, 0'">
      <xdr:nvPicPr>
        <xdr:cNvPr id="50" name="Picture 49">
          <a:extLst>
            <a:ext uri="{FF2B5EF4-FFF2-40B4-BE49-F238E27FC236}">
              <a16:creationId xmlns:a16="http://schemas.microsoft.com/office/drawing/2014/main" id="{64140161-61C7-4EB5-BFA9-DB931C6466EB}"/>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3892550" y="20304125"/>
          <a:ext cx="1388555" cy="537328"/>
        </a:xfrm>
        <a:prstGeom prst="rect">
          <a:avLst/>
        </a:prstGeom>
      </xdr:spPr>
    </xdr:pic>
    <xdr:clientData/>
  </xdr:twoCellAnchor>
  <xdr:twoCellAnchor>
    <xdr:from>
      <xdr:col>3</xdr:col>
      <xdr:colOff>25400</xdr:colOff>
      <xdr:row>48</xdr:row>
      <xdr:rowOff>25400</xdr:rowOff>
    </xdr:from>
    <xdr:to>
      <xdr:col>3</xdr:col>
      <xdr:colOff>2175193</xdr:colOff>
      <xdr:row>48</xdr:row>
      <xdr:rowOff>589280</xdr:rowOff>
    </xdr:to>
    <xdr:pic macro="[1]!'Execute &quot;1003&quot;, 0'">
      <xdr:nvPicPr>
        <xdr:cNvPr id="7" name="Picture 6">
          <a:extLst>
            <a:ext uri="{FF2B5EF4-FFF2-40B4-BE49-F238E27FC236}">
              <a16:creationId xmlns:a16="http://schemas.microsoft.com/office/drawing/2014/main" id="{7437E452-3E91-4594-B30B-EFC0440D9903}"/>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4149725" y="26647775"/>
          <a:ext cx="2149793" cy="563880"/>
        </a:xfrm>
        <a:prstGeom prst="rect">
          <a:avLst/>
        </a:prstGeom>
      </xdr:spPr>
    </xdr:pic>
    <xdr:clientData/>
  </xdr:twoCellAnchor>
  <xdr:twoCellAnchor>
    <xdr:from>
      <xdr:col>3</xdr:col>
      <xdr:colOff>25400</xdr:colOff>
      <xdr:row>16</xdr:row>
      <xdr:rowOff>25400</xdr:rowOff>
    </xdr:from>
    <xdr:to>
      <xdr:col>3</xdr:col>
      <xdr:colOff>1970786</xdr:colOff>
      <xdr:row>16</xdr:row>
      <xdr:rowOff>539941</xdr:rowOff>
    </xdr:to>
    <xdr:pic macro="[1]!'Execute &quot;1003&quot;, 0'">
      <xdr:nvPicPr>
        <xdr:cNvPr id="25" name="Picture 24">
          <a:extLst>
            <a:ext uri="{FF2B5EF4-FFF2-40B4-BE49-F238E27FC236}">
              <a16:creationId xmlns:a16="http://schemas.microsoft.com/office/drawing/2014/main" id="{3EF5407A-CAEF-4F3A-A602-1391E73A936F}"/>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4149725" y="7940675"/>
          <a:ext cx="1945386" cy="514541"/>
        </a:xfrm>
        <a:prstGeom prst="rect">
          <a:avLst/>
        </a:prstGeom>
      </xdr:spPr>
    </xdr:pic>
    <xdr:clientData/>
  </xdr:twoCellAnchor>
  <xdr:twoCellAnchor>
    <xdr:from>
      <xdr:col>3</xdr:col>
      <xdr:colOff>25400</xdr:colOff>
      <xdr:row>32</xdr:row>
      <xdr:rowOff>25400</xdr:rowOff>
    </xdr:from>
    <xdr:to>
      <xdr:col>3</xdr:col>
      <xdr:colOff>2020126</xdr:colOff>
      <xdr:row>32</xdr:row>
      <xdr:rowOff>1047433</xdr:rowOff>
    </xdr:to>
    <xdr:pic macro="[1]!'Execute &quot;1003&quot;, 0'">
      <xdr:nvPicPr>
        <xdr:cNvPr id="32" name="Picture 31">
          <a:extLst>
            <a:ext uri="{FF2B5EF4-FFF2-40B4-BE49-F238E27FC236}">
              <a16:creationId xmlns:a16="http://schemas.microsoft.com/office/drawing/2014/main" id="{ED127D05-7937-4754-AEDA-CC473A9CDE7D}"/>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3683000" y="19380200"/>
          <a:ext cx="1994726" cy="1022033"/>
        </a:xfrm>
        <a:prstGeom prst="rect">
          <a:avLst/>
        </a:prstGeom>
      </xdr:spPr>
    </xdr:pic>
    <xdr:clientData/>
  </xdr:twoCellAnchor>
  <xdr:twoCellAnchor>
    <xdr:from>
      <xdr:col>3</xdr:col>
      <xdr:colOff>25400</xdr:colOff>
      <xdr:row>33</xdr:row>
      <xdr:rowOff>25400</xdr:rowOff>
    </xdr:from>
    <xdr:to>
      <xdr:col>3</xdr:col>
      <xdr:colOff>1970786</xdr:colOff>
      <xdr:row>33</xdr:row>
      <xdr:rowOff>1047433</xdr:rowOff>
    </xdr:to>
    <xdr:pic macro="[1]!'Execute &quot;1003&quot;, 0'">
      <xdr:nvPicPr>
        <xdr:cNvPr id="27" name="Picture 26">
          <a:extLst>
            <a:ext uri="{FF2B5EF4-FFF2-40B4-BE49-F238E27FC236}">
              <a16:creationId xmlns:a16="http://schemas.microsoft.com/office/drawing/2014/main" id="{D3C6D838-FD59-4C5F-A586-AA5118DF2FBE}"/>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3073400" y="20818475"/>
          <a:ext cx="1945386" cy="1022033"/>
        </a:xfrm>
        <a:prstGeom prst="rect">
          <a:avLst/>
        </a:prstGeom>
      </xdr:spPr>
    </xdr:pic>
    <xdr:clientData/>
  </xdr:twoCellAnchor>
  <xdr:twoCellAnchor>
    <xdr:from>
      <xdr:col>3</xdr:col>
      <xdr:colOff>25400</xdr:colOff>
      <xdr:row>68</xdr:row>
      <xdr:rowOff>25400</xdr:rowOff>
    </xdr:from>
    <xdr:to>
      <xdr:col>3</xdr:col>
      <xdr:colOff>2520569</xdr:colOff>
      <xdr:row>68</xdr:row>
      <xdr:rowOff>617474</xdr:rowOff>
    </xdr:to>
    <xdr:pic macro="[1]!'Execute &quot;1003&quot;, 0'">
      <xdr:nvPicPr>
        <xdr:cNvPr id="23" name="Picture 22">
          <a:extLst>
            <a:ext uri="{FF2B5EF4-FFF2-40B4-BE49-F238E27FC236}">
              <a16:creationId xmlns:a16="http://schemas.microsoft.com/office/drawing/2014/main" id="{80BC6FAA-5968-4734-8EA9-4DC018C5F255}"/>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3073400" y="43126025"/>
          <a:ext cx="2495169" cy="592074"/>
        </a:xfrm>
        <a:prstGeom prst="rect">
          <a:avLst/>
        </a:prstGeom>
      </xdr:spPr>
    </xdr:pic>
    <xdr:clientData/>
  </xdr:twoCellAnchor>
  <xdr:twoCellAnchor>
    <xdr:from>
      <xdr:col>3</xdr:col>
      <xdr:colOff>25400</xdr:colOff>
      <xdr:row>30</xdr:row>
      <xdr:rowOff>25400</xdr:rowOff>
    </xdr:from>
    <xdr:to>
      <xdr:col>3</xdr:col>
      <xdr:colOff>2520569</xdr:colOff>
      <xdr:row>30</xdr:row>
      <xdr:rowOff>617474</xdr:rowOff>
    </xdr:to>
    <xdr:pic macro="[1]!'Execute &quot;1003&quot;, 0'">
      <xdr:nvPicPr>
        <xdr:cNvPr id="29" name="Picture 28">
          <a:extLst>
            <a:ext uri="{FF2B5EF4-FFF2-40B4-BE49-F238E27FC236}">
              <a16:creationId xmlns:a16="http://schemas.microsoft.com/office/drawing/2014/main" id="{AE52743A-F395-4B25-B40B-0B115A158CA3}"/>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3073400" y="17903825"/>
          <a:ext cx="2495169" cy="592074"/>
        </a:xfrm>
        <a:prstGeom prst="rect">
          <a:avLst/>
        </a:prstGeom>
      </xdr:spPr>
    </xdr:pic>
    <xdr:clientData/>
  </xdr:twoCellAnchor>
  <xdr:twoCellAnchor>
    <xdr:from>
      <xdr:col>3</xdr:col>
      <xdr:colOff>25400</xdr:colOff>
      <xdr:row>70</xdr:row>
      <xdr:rowOff>25400</xdr:rowOff>
    </xdr:from>
    <xdr:to>
      <xdr:col>3</xdr:col>
      <xdr:colOff>1554925</xdr:colOff>
      <xdr:row>70</xdr:row>
      <xdr:rowOff>539941</xdr:rowOff>
    </xdr:to>
    <xdr:pic macro="[1]!'Execute &quot;1003&quot;, 0'">
      <xdr:nvPicPr>
        <xdr:cNvPr id="9" name="Picture 8">
          <a:extLst>
            <a:ext uri="{FF2B5EF4-FFF2-40B4-BE49-F238E27FC236}">
              <a16:creationId xmlns:a16="http://schemas.microsoft.com/office/drawing/2014/main" id="{3A7E4451-8A4D-414A-A555-6E198A68DA48}"/>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4549775" y="46355000"/>
          <a:ext cx="1529525" cy="514541"/>
        </a:xfrm>
        <a:prstGeom prst="rect">
          <a:avLst/>
        </a:prstGeom>
      </xdr:spPr>
    </xdr:pic>
    <xdr:clientData/>
  </xdr:twoCellAnchor>
  <xdr:twoCellAnchor>
    <xdr:from>
      <xdr:col>3</xdr:col>
      <xdr:colOff>25400</xdr:colOff>
      <xdr:row>57</xdr:row>
      <xdr:rowOff>25400</xdr:rowOff>
    </xdr:from>
    <xdr:to>
      <xdr:col>3</xdr:col>
      <xdr:colOff>2076514</xdr:colOff>
      <xdr:row>57</xdr:row>
      <xdr:rowOff>546989</xdr:rowOff>
    </xdr:to>
    <xdr:pic macro="[1]!'Execute &quot;1003&quot;, 0'">
      <xdr:nvPicPr>
        <xdr:cNvPr id="40" name="Picture 39">
          <a:extLst>
            <a:ext uri="{FF2B5EF4-FFF2-40B4-BE49-F238E27FC236}">
              <a16:creationId xmlns:a16="http://schemas.microsoft.com/office/drawing/2014/main" id="{5F30339E-B997-4D36-8F83-3BD95D32F3ED}"/>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4549775" y="37458650"/>
          <a:ext cx="2051114" cy="521589"/>
        </a:xfrm>
        <a:prstGeom prst="rect">
          <a:avLst/>
        </a:prstGeom>
      </xdr:spPr>
    </xdr:pic>
    <xdr:clientData/>
  </xdr:twoCellAnchor>
  <xdr:twoCellAnchor>
    <xdr:from>
      <xdr:col>3</xdr:col>
      <xdr:colOff>25400</xdr:colOff>
      <xdr:row>71</xdr:row>
      <xdr:rowOff>25400</xdr:rowOff>
    </xdr:from>
    <xdr:to>
      <xdr:col>3</xdr:col>
      <xdr:colOff>1554925</xdr:colOff>
      <xdr:row>71</xdr:row>
      <xdr:rowOff>532892</xdr:rowOff>
    </xdr:to>
    <xdr:pic macro="[1]!'Execute &quot;1003&quot;, 0'">
      <xdr:nvPicPr>
        <xdr:cNvPr id="48" name="Picture 47">
          <a:extLst>
            <a:ext uri="{FF2B5EF4-FFF2-40B4-BE49-F238E27FC236}">
              <a16:creationId xmlns:a16="http://schemas.microsoft.com/office/drawing/2014/main" id="{47AC5812-E413-4170-9C4D-D5B27C53C5F3}"/>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4549775" y="47983775"/>
          <a:ext cx="1529525" cy="507492"/>
        </a:xfrm>
        <a:prstGeom prst="rect">
          <a:avLst/>
        </a:prstGeom>
      </xdr:spPr>
    </xdr:pic>
    <xdr:clientData/>
  </xdr:twoCellAnchor>
  <xdr:twoCellAnchor>
    <xdr:from>
      <xdr:col>3</xdr:col>
      <xdr:colOff>25400</xdr:colOff>
      <xdr:row>58</xdr:row>
      <xdr:rowOff>25400</xdr:rowOff>
    </xdr:from>
    <xdr:to>
      <xdr:col>3</xdr:col>
      <xdr:colOff>2076514</xdr:colOff>
      <xdr:row>58</xdr:row>
      <xdr:rowOff>568135</xdr:rowOff>
    </xdr:to>
    <xdr:pic macro="[1]!'Execute &quot;1003&quot;, 0'">
      <xdr:nvPicPr>
        <xdr:cNvPr id="26" name="Picture 25">
          <a:extLst>
            <a:ext uri="{FF2B5EF4-FFF2-40B4-BE49-F238E27FC236}">
              <a16:creationId xmlns:a16="http://schemas.microsoft.com/office/drawing/2014/main" id="{4F528EA3-73CE-442D-9062-38E60D416B9A}"/>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4549775" y="38296850"/>
          <a:ext cx="2051114" cy="542735"/>
        </a:xfrm>
        <a:prstGeom prst="rect">
          <a:avLst/>
        </a:prstGeom>
      </xdr:spPr>
    </xdr:pic>
    <xdr:clientData/>
  </xdr:twoCellAnchor>
  <xdr:twoCellAnchor>
    <xdr:from>
      <xdr:col>3</xdr:col>
      <xdr:colOff>25400</xdr:colOff>
      <xdr:row>59</xdr:row>
      <xdr:rowOff>25400</xdr:rowOff>
    </xdr:from>
    <xdr:to>
      <xdr:col>3</xdr:col>
      <xdr:colOff>2076514</xdr:colOff>
      <xdr:row>59</xdr:row>
      <xdr:rowOff>568135</xdr:rowOff>
    </xdr:to>
    <xdr:pic macro="[1]!'Execute &quot;1003&quot;, 0'">
      <xdr:nvPicPr>
        <xdr:cNvPr id="15" name="Picture 14">
          <a:extLst>
            <a:ext uri="{FF2B5EF4-FFF2-40B4-BE49-F238E27FC236}">
              <a16:creationId xmlns:a16="http://schemas.microsoft.com/office/drawing/2014/main" id="{5CCDA8D0-4D9B-4FD5-A1EE-7354C83010C2}"/>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4549775" y="39135050"/>
          <a:ext cx="2051114" cy="542735"/>
        </a:xfrm>
        <a:prstGeom prst="rect">
          <a:avLst/>
        </a:prstGeom>
      </xdr:spPr>
    </xdr:pic>
    <xdr:clientData/>
  </xdr:twoCellAnchor>
  <xdr:twoCellAnchor>
    <xdr:from>
      <xdr:col>3</xdr:col>
      <xdr:colOff>25400</xdr:colOff>
      <xdr:row>52</xdr:row>
      <xdr:rowOff>25400</xdr:rowOff>
    </xdr:from>
    <xdr:to>
      <xdr:col>3</xdr:col>
      <xdr:colOff>2175193</xdr:colOff>
      <xdr:row>52</xdr:row>
      <xdr:rowOff>568135</xdr:rowOff>
    </xdr:to>
    <xdr:pic macro="[1]!'Execute &quot;1003&quot;, 0'">
      <xdr:nvPicPr>
        <xdr:cNvPr id="54" name="Picture 53">
          <a:extLst>
            <a:ext uri="{FF2B5EF4-FFF2-40B4-BE49-F238E27FC236}">
              <a16:creationId xmlns:a16="http://schemas.microsoft.com/office/drawing/2014/main" id="{D96DE751-F06F-4399-B2BD-B259E24258DC}"/>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4549775" y="34201100"/>
          <a:ext cx="2149793" cy="542735"/>
        </a:xfrm>
        <a:prstGeom prst="rect">
          <a:avLst/>
        </a:prstGeom>
      </xdr:spPr>
    </xdr:pic>
    <xdr:clientData/>
  </xdr:twoCellAnchor>
  <xdr:twoCellAnchor>
    <xdr:from>
      <xdr:col>3</xdr:col>
      <xdr:colOff>25400</xdr:colOff>
      <xdr:row>25</xdr:row>
      <xdr:rowOff>25400</xdr:rowOff>
    </xdr:from>
    <xdr:to>
      <xdr:col>3</xdr:col>
      <xdr:colOff>2104708</xdr:colOff>
      <xdr:row>25</xdr:row>
      <xdr:rowOff>568135</xdr:rowOff>
    </xdr:to>
    <xdr:pic macro="[1]!'Execute &quot;1003&quot;, 0'">
      <xdr:nvPicPr>
        <xdr:cNvPr id="22" name="Picture 21">
          <a:extLst>
            <a:ext uri="{FF2B5EF4-FFF2-40B4-BE49-F238E27FC236}">
              <a16:creationId xmlns:a16="http://schemas.microsoft.com/office/drawing/2014/main" id="{0A27E74A-F624-4CF1-9290-F1D6B4B127F3}"/>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4549775" y="14693900"/>
          <a:ext cx="2079308" cy="542735"/>
        </a:xfrm>
        <a:prstGeom prst="rect">
          <a:avLst/>
        </a:prstGeom>
      </xdr:spPr>
    </xdr:pic>
    <xdr:clientData/>
  </xdr:twoCellAnchor>
  <xdr:twoCellAnchor>
    <xdr:from>
      <xdr:col>3</xdr:col>
      <xdr:colOff>25400</xdr:colOff>
      <xdr:row>72</xdr:row>
      <xdr:rowOff>25400</xdr:rowOff>
    </xdr:from>
    <xdr:to>
      <xdr:col>3</xdr:col>
      <xdr:colOff>1491488</xdr:colOff>
      <xdr:row>72</xdr:row>
      <xdr:rowOff>561086</xdr:rowOff>
    </xdr:to>
    <xdr:pic macro="[1]!'Execute &quot;1003&quot;, 0'">
      <xdr:nvPicPr>
        <xdr:cNvPr id="57" name="Picture 56">
          <a:extLst>
            <a:ext uri="{FF2B5EF4-FFF2-40B4-BE49-F238E27FC236}">
              <a16:creationId xmlns:a16="http://schemas.microsoft.com/office/drawing/2014/main" id="{1B881CEE-8EA7-417F-A9B0-3182067C42EC}"/>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4549775" y="49822100"/>
          <a:ext cx="1466088" cy="535686"/>
        </a:xfrm>
        <a:prstGeom prst="rect">
          <a:avLst/>
        </a:prstGeom>
      </xdr:spPr>
    </xdr:pic>
    <xdr:clientData/>
  </xdr:twoCellAnchor>
  <xdr:twoCellAnchor>
    <xdr:from>
      <xdr:col>3</xdr:col>
      <xdr:colOff>25400</xdr:colOff>
      <xdr:row>45</xdr:row>
      <xdr:rowOff>25400</xdr:rowOff>
    </xdr:from>
    <xdr:to>
      <xdr:col>3</xdr:col>
      <xdr:colOff>1759331</xdr:colOff>
      <xdr:row>45</xdr:row>
      <xdr:rowOff>532892</xdr:rowOff>
    </xdr:to>
    <xdr:pic macro="[1]!'Execute &quot;1003&quot;, 0'">
      <xdr:nvPicPr>
        <xdr:cNvPr id="60" name="Picture 59">
          <a:extLst>
            <a:ext uri="{FF2B5EF4-FFF2-40B4-BE49-F238E27FC236}">
              <a16:creationId xmlns:a16="http://schemas.microsoft.com/office/drawing/2014/main" id="{DB224D1F-7ED4-4BCE-828A-38242840EF9C}"/>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4549775" y="50898425"/>
          <a:ext cx="1733931" cy="507492"/>
        </a:xfrm>
        <a:prstGeom prst="rect">
          <a:avLst/>
        </a:prstGeom>
      </xdr:spPr>
    </xdr:pic>
    <xdr:clientData/>
  </xdr:twoCellAnchor>
  <xdr:twoCellAnchor>
    <xdr:from>
      <xdr:col>3</xdr:col>
      <xdr:colOff>25400</xdr:colOff>
      <xdr:row>46</xdr:row>
      <xdr:rowOff>25400</xdr:rowOff>
    </xdr:from>
    <xdr:to>
      <xdr:col>3</xdr:col>
      <xdr:colOff>1935544</xdr:colOff>
      <xdr:row>46</xdr:row>
      <xdr:rowOff>532892</xdr:rowOff>
    </xdr:to>
    <xdr:pic macro="[1]!'Execute &quot;1003&quot;, 0'">
      <xdr:nvPicPr>
        <xdr:cNvPr id="64" name="Picture 63">
          <a:extLst>
            <a:ext uri="{FF2B5EF4-FFF2-40B4-BE49-F238E27FC236}">
              <a16:creationId xmlns:a16="http://schemas.microsoft.com/office/drawing/2014/main" id="{37F7AB25-B3E2-4E1C-B5D0-560A4042D4AF}"/>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4549775" y="51927125"/>
          <a:ext cx="1910144" cy="507492"/>
        </a:xfrm>
        <a:prstGeom prst="rect">
          <a:avLst/>
        </a:prstGeom>
      </xdr:spPr>
    </xdr:pic>
    <xdr:clientData/>
  </xdr:twoCellAnchor>
  <xdr:twoCellAnchor>
    <xdr:from>
      <xdr:col>3</xdr:col>
      <xdr:colOff>25400</xdr:colOff>
      <xdr:row>47</xdr:row>
      <xdr:rowOff>25400</xdr:rowOff>
    </xdr:from>
    <xdr:to>
      <xdr:col>3</xdr:col>
      <xdr:colOff>2020126</xdr:colOff>
      <xdr:row>47</xdr:row>
      <xdr:rowOff>532892</xdr:rowOff>
    </xdr:to>
    <xdr:pic macro="[1]!'Execute &quot;1003&quot;, 0'">
      <xdr:nvPicPr>
        <xdr:cNvPr id="68" name="Picture 67">
          <a:extLst>
            <a:ext uri="{FF2B5EF4-FFF2-40B4-BE49-F238E27FC236}">
              <a16:creationId xmlns:a16="http://schemas.microsoft.com/office/drawing/2014/main" id="{637D197E-D713-4DDB-97A0-5984716A9B09}"/>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4549775" y="52955825"/>
          <a:ext cx="1994726" cy="507492"/>
        </a:xfrm>
        <a:prstGeom prst="rect">
          <a:avLst/>
        </a:prstGeom>
      </xdr:spPr>
    </xdr:pic>
    <xdr:clientData/>
  </xdr:twoCellAnchor>
  <xdr:twoCellAnchor>
    <xdr:from>
      <xdr:col>3</xdr:col>
      <xdr:colOff>25400</xdr:colOff>
      <xdr:row>60</xdr:row>
      <xdr:rowOff>25400</xdr:rowOff>
    </xdr:from>
    <xdr:to>
      <xdr:col>3</xdr:col>
      <xdr:colOff>2175193</xdr:colOff>
      <xdr:row>60</xdr:row>
      <xdr:rowOff>617474</xdr:rowOff>
    </xdr:to>
    <xdr:pic macro="[1]!'Execute &quot;1003&quot;, 0'">
      <xdr:nvPicPr>
        <xdr:cNvPr id="70" name="Picture 69">
          <a:extLst>
            <a:ext uri="{FF2B5EF4-FFF2-40B4-BE49-F238E27FC236}">
              <a16:creationId xmlns:a16="http://schemas.microsoft.com/office/drawing/2014/main" id="{878948CA-6AB2-4B95-9395-E96E022769AD}"/>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4549775" y="53984525"/>
          <a:ext cx="2149793" cy="592074"/>
        </a:xfrm>
        <a:prstGeom prst="rect">
          <a:avLst/>
        </a:prstGeom>
      </xdr:spPr>
    </xdr:pic>
    <xdr:clientData/>
  </xdr:twoCellAnchor>
  <xdr:twoCellAnchor>
    <xdr:from>
      <xdr:col>3</xdr:col>
      <xdr:colOff>25400</xdr:colOff>
      <xdr:row>61</xdr:row>
      <xdr:rowOff>25400</xdr:rowOff>
    </xdr:from>
    <xdr:to>
      <xdr:col>3</xdr:col>
      <xdr:colOff>2175193</xdr:colOff>
      <xdr:row>61</xdr:row>
      <xdr:rowOff>617474</xdr:rowOff>
    </xdr:to>
    <xdr:pic macro="[1]!'Execute &quot;1003&quot;, 0'">
      <xdr:nvPicPr>
        <xdr:cNvPr id="74" name="Picture 73">
          <a:extLst>
            <a:ext uri="{FF2B5EF4-FFF2-40B4-BE49-F238E27FC236}">
              <a16:creationId xmlns:a16="http://schemas.microsoft.com/office/drawing/2014/main" id="{FB9541F1-5916-47BC-B83E-83A0B3F971B4}"/>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4549775" y="55156100"/>
          <a:ext cx="2149793" cy="592074"/>
        </a:xfrm>
        <a:prstGeom prst="rect">
          <a:avLst/>
        </a:prstGeom>
      </xdr:spPr>
    </xdr:pic>
    <xdr:clientData/>
  </xdr:twoCellAnchor>
  <xdr:twoCellAnchor>
    <xdr:from>
      <xdr:col>3</xdr:col>
      <xdr:colOff>25400</xdr:colOff>
      <xdr:row>15</xdr:row>
      <xdr:rowOff>25400</xdr:rowOff>
    </xdr:from>
    <xdr:to>
      <xdr:col>3</xdr:col>
      <xdr:colOff>1829816</xdr:colOff>
      <xdr:row>15</xdr:row>
      <xdr:rowOff>532892</xdr:rowOff>
    </xdr:to>
    <xdr:pic macro="[1]!'Execute &quot;1003&quot;, 0'">
      <xdr:nvPicPr>
        <xdr:cNvPr id="78" name="Picture 77">
          <a:extLst>
            <a:ext uri="{FF2B5EF4-FFF2-40B4-BE49-F238E27FC236}">
              <a16:creationId xmlns:a16="http://schemas.microsoft.com/office/drawing/2014/main" id="{3C9F810D-B980-4932-9E6D-AFB6DE91EAB7}"/>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4549775" y="8064500"/>
          <a:ext cx="1804416" cy="50749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PerkinElmerInformatics\ChemOffice\ChemDraw%20for%20Excel\ChemDrawExcel.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Execute &quot;1003&quot;, 0"/>
    </defined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03537-7C4E-4365-86B0-E74E71BE8F1F}">
  <sheetPr>
    <pageSetUpPr fitToPage="1"/>
  </sheetPr>
  <dimension ref="A1:J102"/>
  <sheetViews>
    <sheetView tabSelected="1" zoomScale="130" zoomScaleNormal="130" workbookViewId="0">
      <pane xSplit="1" topLeftCell="B1" activePane="topRight" state="frozen"/>
      <selection pane="topRight" activeCell="B4" sqref="B4"/>
    </sheetView>
  </sheetViews>
  <sheetFormatPr defaultColWidth="9.140625" defaultRowHeight="12.75" x14ac:dyDescent="0.2"/>
  <cols>
    <col min="1" max="1" width="27.7109375" style="58" customWidth="1"/>
    <col min="2" max="2" width="22.140625" style="56" customWidth="1"/>
    <col min="3" max="3" width="23.5703125" style="62" bestFit="1" customWidth="1"/>
    <col min="4" max="4" width="64.28515625" style="54" customWidth="1"/>
    <col min="5" max="5" width="8" style="63" bestFit="1" customWidth="1"/>
    <col min="6" max="6" width="45.28515625" style="55" bestFit="1" customWidth="1"/>
    <col min="7" max="16384" width="9.140625" style="54"/>
  </cols>
  <sheetData>
    <row r="1" spans="1:6" s="53" customFormat="1" x14ac:dyDescent="0.2">
      <c r="A1" s="1" t="s">
        <v>1023</v>
      </c>
      <c r="B1" s="1" t="s">
        <v>399</v>
      </c>
      <c r="C1" s="2" t="s">
        <v>7</v>
      </c>
      <c r="D1" s="2" t="s">
        <v>9</v>
      </c>
      <c r="E1" s="1" t="s">
        <v>26</v>
      </c>
      <c r="F1" s="71" t="s">
        <v>516</v>
      </c>
    </row>
    <row r="2" spans="1:6" x14ac:dyDescent="0.2">
      <c r="A2" s="46"/>
      <c r="B2" s="3"/>
      <c r="C2" s="4"/>
      <c r="D2" s="5"/>
      <c r="E2" s="6"/>
      <c r="F2" s="15"/>
    </row>
    <row r="3" spans="1:6" x14ac:dyDescent="0.2">
      <c r="A3" s="7" t="s">
        <v>438</v>
      </c>
      <c r="B3" s="7"/>
      <c r="C3" s="8"/>
      <c r="D3" s="9"/>
      <c r="E3" s="10"/>
      <c r="F3" s="28"/>
    </row>
    <row r="4" spans="1:6" ht="57" customHeight="1" x14ac:dyDescent="0.2">
      <c r="A4" s="45" t="s">
        <v>690</v>
      </c>
      <c r="B4" s="45"/>
      <c r="C4" s="11" t="s">
        <v>16</v>
      </c>
      <c r="D4" s="12" t="s">
        <v>330</v>
      </c>
      <c r="E4" s="13" t="s">
        <v>27</v>
      </c>
      <c r="F4" s="15"/>
    </row>
    <row r="5" spans="1:6" ht="56.25" customHeight="1" x14ac:dyDescent="0.2">
      <c r="A5" s="45" t="s">
        <v>691</v>
      </c>
      <c r="B5" s="45"/>
      <c r="C5" s="11" t="s">
        <v>17</v>
      </c>
      <c r="D5" s="12" t="s">
        <v>331</v>
      </c>
      <c r="E5" s="13" t="s">
        <v>27</v>
      </c>
      <c r="F5" s="15"/>
    </row>
    <row r="6" spans="1:6" x14ac:dyDescent="0.2">
      <c r="A6" s="7" t="s">
        <v>439</v>
      </c>
      <c r="B6" s="7"/>
      <c r="C6" s="8"/>
      <c r="D6" s="9"/>
      <c r="E6" s="10"/>
      <c r="F6" s="28"/>
    </row>
    <row r="7" spans="1:6" ht="61.7" customHeight="1" x14ac:dyDescent="0.2">
      <c r="A7" s="45" t="s">
        <v>692</v>
      </c>
      <c r="B7" s="45"/>
      <c r="C7" s="48" t="s">
        <v>502</v>
      </c>
      <c r="D7" s="12" t="s">
        <v>332</v>
      </c>
      <c r="E7" s="13" t="s">
        <v>27</v>
      </c>
      <c r="F7" s="15"/>
    </row>
    <row r="8" spans="1:6" x14ac:dyDescent="0.2">
      <c r="A8" s="7" t="s">
        <v>19</v>
      </c>
      <c r="B8" s="7"/>
      <c r="C8" s="8"/>
      <c r="D8" s="9"/>
      <c r="E8" s="10"/>
      <c r="F8" s="28"/>
    </row>
    <row r="9" spans="1:6" ht="60.6" customHeight="1" x14ac:dyDescent="0.2">
      <c r="A9" s="33" t="s">
        <v>745</v>
      </c>
      <c r="B9" s="45"/>
      <c r="C9" s="11" t="s">
        <v>746</v>
      </c>
      <c r="D9" s="12" t="s">
        <v>333</v>
      </c>
      <c r="E9" s="13" t="s">
        <v>27</v>
      </c>
      <c r="F9" s="14" t="s">
        <v>528</v>
      </c>
    </row>
    <row r="10" spans="1:6" ht="60.6" customHeight="1" x14ac:dyDescent="0.2">
      <c r="A10" s="45" t="s">
        <v>693</v>
      </c>
      <c r="B10" s="45"/>
      <c r="C10" s="11" t="s">
        <v>10</v>
      </c>
      <c r="D10" s="12" t="s">
        <v>334</v>
      </c>
      <c r="E10" s="13" t="s">
        <v>27</v>
      </c>
      <c r="F10" s="15"/>
    </row>
    <row r="11" spans="1:6" ht="61.7" customHeight="1" x14ac:dyDescent="0.2">
      <c r="A11" s="33" t="s">
        <v>694</v>
      </c>
      <c r="B11" s="45"/>
      <c r="C11" s="48" t="s">
        <v>805</v>
      </c>
      <c r="D11" s="12" t="s">
        <v>335</v>
      </c>
      <c r="E11" s="13" t="s">
        <v>27</v>
      </c>
      <c r="F11" s="14" t="s">
        <v>529</v>
      </c>
    </row>
    <row r="12" spans="1:6" ht="60.6" customHeight="1" x14ac:dyDescent="0.2">
      <c r="A12" s="33" t="s">
        <v>695</v>
      </c>
      <c r="B12" s="45"/>
      <c r="C12" s="48" t="s">
        <v>503</v>
      </c>
      <c r="D12" s="12" t="s">
        <v>336</v>
      </c>
      <c r="E12" s="13" t="s">
        <v>27</v>
      </c>
      <c r="F12" s="15"/>
    </row>
    <row r="13" spans="1:6" x14ac:dyDescent="0.2">
      <c r="A13" s="7" t="s">
        <v>440</v>
      </c>
      <c r="B13" s="7"/>
      <c r="C13" s="8"/>
      <c r="D13" s="9"/>
      <c r="E13" s="10"/>
      <c r="F13" s="28"/>
    </row>
    <row r="14" spans="1:6" ht="60" customHeight="1" x14ac:dyDescent="0.2">
      <c r="A14" s="52" t="s">
        <v>753</v>
      </c>
      <c r="B14" s="70"/>
      <c r="C14" s="48" t="s">
        <v>804</v>
      </c>
      <c r="D14" s="12" t="s">
        <v>337</v>
      </c>
      <c r="E14" s="13" t="s">
        <v>27</v>
      </c>
      <c r="F14" s="15" t="s">
        <v>531</v>
      </c>
    </row>
    <row r="15" spans="1:6" ht="61.7" customHeight="1" x14ac:dyDescent="0.2">
      <c r="A15" s="52" t="s">
        <v>696</v>
      </c>
      <c r="B15" s="52" t="s">
        <v>441</v>
      </c>
      <c r="C15" s="48" t="s">
        <v>803</v>
      </c>
      <c r="D15" s="12" t="s">
        <v>338</v>
      </c>
      <c r="E15" s="13" t="s">
        <v>27</v>
      </c>
      <c r="F15" s="14" t="s">
        <v>530</v>
      </c>
    </row>
    <row r="16" spans="1:6" ht="63" customHeight="1" x14ac:dyDescent="0.2">
      <c r="A16" s="52" t="s">
        <v>697</v>
      </c>
      <c r="B16" s="52"/>
      <c r="C16" s="48" t="s">
        <v>501</v>
      </c>
      <c r="D16" s="12" t="s">
        <v>431</v>
      </c>
      <c r="E16" s="13" t="s">
        <v>27</v>
      </c>
      <c r="F16" s="14" t="s">
        <v>533</v>
      </c>
    </row>
    <row r="17" spans="1:7" ht="61.7" customHeight="1" x14ac:dyDescent="0.2">
      <c r="A17" s="52" t="s">
        <v>698</v>
      </c>
      <c r="B17" s="52"/>
      <c r="C17" s="48" t="s">
        <v>802</v>
      </c>
      <c r="D17" s="12" t="s">
        <v>339</v>
      </c>
      <c r="E17" s="13" t="s">
        <v>27</v>
      </c>
      <c r="F17" s="48" t="s">
        <v>535</v>
      </c>
    </row>
    <row r="18" spans="1:7" ht="62.25" customHeight="1" x14ac:dyDescent="0.2">
      <c r="A18" s="48" t="s">
        <v>699</v>
      </c>
      <c r="B18" s="52" t="s">
        <v>442</v>
      </c>
      <c r="C18" s="48" t="s">
        <v>747</v>
      </c>
      <c r="D18" s="12" t="s">
        <v>340</v>
      </c>
      <c r="E18" s="13" t="s">
        <v>27</v>
      </c>
      <c r="F18" s="15" t="s">
        <v>534</v>
      </c>
    </row>
    <row r="19" spans="1:7" x14ac:dyDescent="0.2">
      <c r="A19" s="7" t="s">
        <v>8</v>
      </c>
      <c r="B19" s="7"/>
      <c r="C19" s="8"/>
      <c r="D19" s="9"/>
      <c r="E19" s="10"/>
      <c r="F19" s="28"/>
    </row>
    <row r="20" spans="1:7" ht="60" customHeight="1" x14ac:dyDescent="0.2">
      <c r="A20" s="45" t="s">
        <v>749</v>
      </c>
      <c r="B20" s="45"/>
      <c r="C20" s="11" t="s">
        <v>436</v>
      </c>
      <c r="D20" s="12" t="s">
        <v>341</v>
      </c>
      <c r="E20" s="13" t="s">
        <v>27</v>
      </c>
      <c r="F20" s="30" t="s">
        <v>536</v>
      </c>
    </row>
    <row r="21" spans="1:7" ht="60" customHeight="1" x14ac:dyDescent="0.2">
      <c r="A21" s="45" t="s">
        <v>750</v>
      </c>
      <c r="B21" s="45"/>
      <c r="C21" s="11" t="s">
        <v>722</v>
      </c>
      <c r="D21" s="12" t="s">
        <v>342</v>
      </c>
      <c r="E21" s="13" t="s">
        <v>27</v>
      </c>
      <c r="F21" s="27" t="s">
        <v>532</v>
      </c>
    </row>
    <row r="22" spans="1:7" ht="60" customHeight="1" x14ac:dyDescent="0.2">
      <c r="A22" s="33" t="s">
        <v>734</v>
      </c>
      <c r="B22" s="45"/>
      <c r="C22" s="45" t="s">
        <v>735</v>
      </c>
      <c r="D22" s="12" t="s">
        <v>343</v>
      </c>
      <c r="E22" s="13" t="s">
        <v>27</v>
      </c>
      <c r="F22" s="30" t="s">
        <v>731</v>
      </c>
    </row>
    <row r="23" spans="1:7" ht="66.599999999999994" customHeight="1" x14ac:dyDescent="0.2">
      <c r="A23" s="33" t="s">
        <v>736</v>
      </c>
      <c r="B23" s="45"/>
      <c r="C23" s="11" t="s">
        <v>737</v>
      </c>
      <c r="D23" s="12" t="s">
        <v>344</v>
      </c>
      <c r="E23" s="13" t="s">
        <v>27</v>
      </c>
      <c r="F23" s="131" t="s">
        <v>742</v>
      </c>
    </row>
    <row r="24" spans="1:7" s="57" customFormat="1" ht="71.25" customHeight="1" x14ac:dyDescent="0.2">
      <c r="A24" s="33" t="s">
        <v>738</v>
      </c>
      <c r="B24" s="33"/>
      <c r="C24" s="34" t="s">
        <v>739</v>
      </c>
      <c r="D24" s="35" t="s">
        <v>345</v>
      </c>
      <c r="E24" s="36" t="s">
        <v>27</v>
      </c>
      <c r="F24" s="129" t="s">
        <v>743</v>
      </c>
    </row>
    <row r="25" spans="1:7" ht="68.849999999999994" customHeight="1" x14ac:dyDescent="0.2">
      <c r="A25" s="33" t="s">
        <v>740</v>
      </c>
      <c r="B25" s="45" t="s">
        <v>733</v>
      </c>
      <c r="C25" s="11" t="s">
        <v>741</v>
      </c>
      <c r="D25" s="12" t="s">
        <v>346</v>
      </c>
      <c r="E25" s="13" t="s">
        <v>27</v>
      </c>
      <c r="F25" s="131" t="s">
        <v>744</v>
      </c>
    </row>
    <row r="26" spans="1:7" s="57" customFormat="1" ht="69" customHeight="1" x14ac:dyDescent="0.2">
      <c r="A26" s="33" t="s">
        <v>751</v>
      </c>
      <c r="B26" s="33" t="s">
        <v>795</v>
      </c>
      <c r="C26" s="34" t="s">
        <v>732</v>
      </c>
      <c r="D26" s="35" t="s">
        <v>346</v>
      </c>
      <c r="E26" s="36" t="s">
        <v>27</v>
      </c>
      <c r="F26" s="37"/>
    </row>
    <row r="27" spans="1:7" ht="69.75" customHeight="1" x14ac:dyDescent="0.2">
      <c r="A27" s="45" t="s">
        <v>752</v>
      </c>
      <c r="B27" s="45"/>
      <c r="C27" s="11" t="s">
        <v>496</v>
      </c>
      <c r="D27" s="12" t="s">
        <v>347</v>
      </c>
      <c r="E27" s="13" t="s">
        <v>28</v>
      </c>
      <c r="F27" s="30" t="s">
        <v>537</v>
      </c>
    </row>
    <row r="28" spans="1:7" ht="62.85" customHeight="1" x14ac:dyDescent="0.2">
      <c r="A28" s="46"/>
      <c r="B28" s="46"/>
      <c r="C28" s="47"/>
      <c r="D28" s="12" t="s">
        <v>348</v>
      </c>
      <c r="E28" s="13" t="s">
        <v>27</v>
      </c>
      <c r="F28" s="31"/>
    </row>
    <row r="29" spans="1:7" s="59" customFormat="1" ht="62.85" customHeight="1" x14ac:dyDescent="0.2">
      <c r="A29" s="44" t="s">
        <v>799</v>
      </c>
      <c r="B29" s="44" t="s">
        <v>480</v>
      </c>
      <c r="C29" s="16" t="s">
        <v>497</v>
      </c>
      <c r="D29" s="17" t="s">
        <v>349</v>
      </c>
      <c r="E29" s="18" t="s">
        <v>28</v>
      </c>
      <c r="F29" s="32" t="s">
        <v>544</v>
      </c>
    </row>
    <row r="30" spans="1:7" s="59" customFormat="1" ht="66.599999999999994" customHeight="1" x14ac:dyDescent="0.2">
      <c r="A30" s="44" t="s">
        <v>798</v>
      </c>
      <c r="B30" s="44"/>
      <c r="C30" s="16" t="s">
        <v>437</v>
      </c>
      <c r="D30" s="17" t="s">
        <v>350</v>
      </c>
      <c r="E30" s="18" t="s">
        <v>28</v>
      </c>
      <c r="F30" s="32" t="s">
        <v>545</v>
      </c>
      <c r="G30" s="60"/>
    </row>
    <row r="31" spans="1:7" s="59" customFormat="1" ht="66.599999999999994" customHeight="1" x14ac:dyDescent="0.2">
      <c r="A31" s="44"/>
      <c r="B31" s="44"/>
      <c r="C31" s="16"/>
      <c r="D31" s="19" t="s">
        <v>396</v>
      </c>
      <c r="E31" s="18" t="s">
        <v>27</v>
      </c>
      <c r="F31" s="29"/>
      <c r="G31" s="60"/>
    </row>
    <row r="32" spans="1:7" ht="64.900000000000006" customHeight="1" x14ac:dyDescent="0.2">
      <c r="A32" s="11" t="s">
        <v>797</v>
      </c>
      <c r="B32" s="11"/>
      <c r="C32" s="11" t="s">
        <v>498</v>
      </c>
      <c r="D32" s="12" t="s">
        <v>351</v>
      </c>
      <c r="E32" s="13" t="s">
        <v>27</v>
      </c>
      <c r="F32" s="27" t="s">
        <v>546</v>
      </c>
    </row>
    <row r="33" spans="1:10" ht="100.5" customHeight="1" x14ac:dyDescent="0.25">
      <c r="A33" s="20" t="s">
        <v>796</v>
      </c>
      <c r="B33" s="136"/>
      <c r="C33" s="20" t="s">
        <v>729</v>
      </c>
      <c r="D33" s="21" t="s">
        <v>392</v>
      </c>
      <c r="E33" s="22" t="s">
        <v>28</v>
      </c>
      <c r="F33" s="23"/>
      <c r="G33" s="61"/>
      <c r="H33" s="61"/>
      <c r="I33" s="61"/>
      <c r="J33" s="61"/>
    </row>
    <row r="34" spans="1:10" ht="100.5" customHeight="1" x14ac:dyDescent="0.25">
      <c r="A34" s="23"/>
      <c r="B34" s="136"/>
      <c r="C34" s="20"/>
      <c r="D34" s="21" t="s">
        <v>393</v>
      </c>
      <c r="E34" s="22" t="s">
        <v>27</v>
      </c>
      <c r="F34" s="23"/>
      <c r="G34" s="61"/>
      <c r="H34" s="61"/>
      <c r="I34" s="61"/>
      <c r="J34" s="61"/>
    </row>
    <row r="35" spans="1:10" x14ac:dyDescent="0.2">
      <c r="A35" s="7" t="s">
        <v>443</v>
      </c>
      <c r="B35" s="7"/>
      <c r="C35" s="8"/>
      <c r="D35" s="9"/>
      <c r="E35" s="10"/>
      <c r="F35" s="28"/>
    </row>
    <row r="36" spans="1:10" ht="61.5" customHeight="1" x14ac:dyDescent="0.2">
      <c r="A36" s="45" t="s">
        <v>700</v>
      </c>
      <c r="B36" s="45"/>
      <c r="C36" s="47" t="s">
        <v>25</v>
      </c>
      <c r="D36" s="12" t="s">
        <v>352</v>
      </c>
      <c r="E36" s="13" t="s">
        <v>27</v>
      </c>
      <c r="F36" s="15"/>
    </row>
    <row r="37" spans="1:10" ht="60.75" customHeight="1" x14ac:dyDescent="0.2">
      <c r="A37" s="39" t="s">
        <v>701</v>
      </c>
      <c r="B37" s="45"/>
      <c r="C37" s="47" t="s">
        <v>18</v>
      </c>
      <c r="D37" s="12" t="s">
        <v>353</v>
      </c>
      <c r="E37" s="13" t="s">
        <v>27</v>
      </c>
      <c r="F37" s="47" t="s">
        <v>547</v>
      </c>
    </row>
    <row r="38" spans="1:10" x14ac:dyDescent="0.2">
      <c r="A38" s="7" t="s">
        <v>444</v>
      </c>
      <c r="B38" s="7"/>
      <c r="C38" s="8"/>
      <c r="D38" s="9"/>
      <c r="E38" s="10"/>
      <c r="F38" s="28"/>
    </row>
    <row r="39" spans="1:10" ht="62.25" customHeight="1" x14ac:dyDescent="0.2">
      <c r="A39" s="42" t="s">
        <v>702</v>
      </c>
      <c r="B39" s="24"/>
      <c r="C39" s="47" t="s">
        <v>11</v>
      </c>
      <c r="D39" s="12" t="s">
        <v>354</v>
      </c>
      <c r="E39" s="13" t="s">
        <v>28</v>
      </c>
      <c r="F39" s="15"/>
    </row>
    <row r="40" spans="1:10" ht="62.25" customHeight="1" x14ac:dyDescent="0.2">
      <c r="A40" s="40" t="s">
        <v>703</v>
      </c>
      <c r="B40" s="11"/>
      <c r="C40" s="47" t="s">
        <v>12</v>
      </c>
      <c r="D40" s="12" t="s">
        <v>355</v>
      </c>
      <c r="E40" s="13" t="s">
        <v>28</v>
      </c>
      <c r="F40" s="15"/>
    </row>
    <row r="41" spans="1:10" s="57" customFormat="1" ht="62.25" customHeight="1" x14ac:dyDescent="0.2">
      <c r="A41" s="43" t="s">
        <v>704</v>
      </c>
      <c r="B41" s="34"/>
      <c r="C41" s="38" t="s">
        <v>13</v>
      </c>
      <c r="D41" s="35" t="s">
        <v>356</v>
      </c>
      <c r="E41" s="36" t="s">
        <v>28</v>
      </c>
      <c r="F41" s="65" t="s">
        <v>548</v>
      </c>
    </row>
    <row r="42" spans="1:10" s="57" customFormat="1" ht="62.25" customHeight="1" x14ac:dyDescent="0.2">
      <c r="A42" s="67" t="s">
        <v>705</v>
      </c>
      <c r="B42" s="68"/>
      <c r="C42" s="38" t="s">
        <v>15</v>
      </c>
      <c r="D42" s="35" t="s">
        <v>357</v>
      </c>
      <c r="E42" s="36" t="s">
        <v>28</v>
      </c>
      <c r="F42" s="65"/>
    </row>
    <row r="43" spans="1:10" s="57" customFormat="1" ht="62.25" customHeight="1" x14ac:dyDescent="0.2">
      <c r="A43" s="43" t="s">
        <v>706</v>
      </c>
      <c r="B43" s="34"/>
      <c r="C43" s="38" t="s">
        <v>14</v>
      </c>
      <c r="D43" s="35" t="s">
        <v>358</v>
      </c>
      <c r="E43" s="36" t="s">
        <v>28</v>
      </c>
      <c r="F43" s="65" t="s">
        <v>549</v>
      </c>
    </row>
    <row r="44" spans="1:10" s="57" customFormat="1" ht="63" customHeight="1" x14ac:dyDescent="0.2">
      <c r="A44" s="43" t="s">
        <v>707</v>
      </c>
      <c r="B44" s="34"/>
      <c r="C44" s="38" t="s">
        <v>21</v>
      </c>
      <c r="D44" s="35" t="s">
        <v>359</v>
      </c>
      <c r="E44" s="36" t="s">
        <v>27</v>
      </c>
      <c r="F44" s="37" t="s">
        <v>550</v>
      </c>
    </row>
    <row r="45" spans="1:10" s="57" customFormat="1" ht="60.6" customHeight="1" x14ac:dyDescent="0.2">
      <c r="A45" s="43" t="s">
        <v>708</v>
      </c>
      <c r="B45" s="34"/>
      <c r="C45" s="38" t="s">
        <v>721</v>
      </c>
      <c r="D45" s="35" t="s">
        <v>360</v>
      </c>
      <c r="E45" s="36" t="s">
        <v>27</v>
      </c>
      <c r="F45" s="65"/>
    </row>
    <row r="46" spans="1:10" s="66" customFormat="1" ht="59.25" customHeight="1" x14ac:dyDescent="0.2">
      <c r="A46" s="33" t="s">
        <v>709</v>
      </c>
      <c r="B46" s="51"/>
      <c r="C46" s="38" t="s">
        <v>422</v>
      </c>
      <c r="D46" s="35" t="s">
        <v>424</v>
      </c>
      <c r="E46" s="64" t="s">
        <v>27</v>
      </c>
      <c r="F46" s="65" t="s">
        <v>551</v>
      </c>
    </row>
    <row r="47" spans="1:10" s="66" customFormat="1" ht="59.25" customHeight="1" x14ac:dyDescent="0.2">
      <c r="A47" s="33" t="s">
        <v>710</v>
      </c>
      <c r="B47" s="51"/>
      <c r="C47" s="38" t="s">
        <v>445</v>
      </c>
      <c r="D47" s="35" t="s">
        <v>425</v>
      </c>
      <c r="E47" s="64" t="s">
        <v>27</v>
      </c>
      <c r="F47" s="65" t="s">
        <v>552</v>
      </c>
    </row>
    <row r="48" spans="1:10" s="66" customFormat="1" ht="59.25" customHeight="1" x14ac:dyDescent="0.2">
      <c r="A48" s="33" t="s">
        <v>711</v>
      </c>
      <c r="B48" s="51"/>
      <c r="C48" s="38" t="s">
        <v>415</v>
      </c>
      <c r="D48" s="35" t="s">
        <v>426</v>
      </c>
      <c r="E48" s="64" t="s">
        <v>27</v>
      </c>
      <c r="F48" s="65" t="s">
        <v>553</v>
      </c>
    </row>
    <row r="49" spans="1:10" s="57" customFormat="1" ht="65.099999999999994" customHeight="1" x14ac:dyDescent="0.2">
      <c r="A49" s="41" t="s">
        <v>712</v>
      </c>
      <c r="B49" s="16" t="s">
        <v>476</v>
      </c>
      <c r="C49" s="25" t="s">
        <v>20</v>
      </c>
      <c r="D49" s="17" t="s">
        <v>361</v>
      </c>
      <c r="E49" s="26" t="s">
        <v>28</v>
      </c>
      <c r="F49" s="29" t="s">
        <v>561</v>
      </c>
      <c r="G49" s="59"/>
      <c r="H49" s="59"/>
      <c r="I49" s="59"/>
      <c r="J49" s="59"/>
    </row>
    <row r="50" spans="1:10" s="57" customFormat="1" ht="62.85" customHeight="1" x14ac:dyDescent="0.2">
      <c r="A50" s="16"/>
      <c r="B50" s="16"/>
      <c r="C50" s="25"/>
      <c r="D50" s="17" t="s">
        <v>362</v>
      </c>
      <c r="E50" s="18" t="s">
        <v>27</v>
      </c>
      <c r="F50" s="29"/>
      <c r="G50" s="59"/>
      <c r="H50" s="59"/>
      <c r="I50" s="59"/>
      <c r="J50" s="59"/>
    </row>
    <row r="51" spans="1:10" s="57" customFormat="1" ht="73.5" customHeight="1" x14ac:dyDescent="0.2">
      <c r="A51" s="43" t="s">
        <v>713</v>
      </c>
      <c r="B51" s="34"/>
      <c r="C51" s="38" t="s">
        <v>22</v>
      </c>
      <c r="D51" s="35" t="s">
        <v>363</v>
      </c>
      <c r="E51" s="36" t="s">
        <v>28</v>
      </c>
      <c r="F51" s="37" t="s">
        <v>562</v>
      </c>
    </row>
    <row r="52" spans="1:10" s="57" customFormat="1" ht="62.85" customHeight="1" x14ac:dyDescent="0.2">
      <c r="A52" s="38"/>
      <c r="B52" s="38"/>
      <c r="C52" s="38"/>
      <c r="D52" s="35" t="s">
        <v>364</v>
      </c>
      <c r="E52" s="36" t="s">
        <v>27</v>
      </c>
      <c r="F52" s="37"/>
    </row>
    <row r="53" spans="1:10" s="57" customFormat="1" ht="63.75" customHeight="1" x14ac:dyDescent="0.2">
      <c r="A53" s="69" t="s">
        <v>714</v>
      </c>
      <c r="B53" s="37"/>
      <c r="C53" s="65" t="s">
        <v>728</v>
      </c>
      <c r="D53" s="35" t="s">
        <v>412</v>
      </c>
      <c r="E53" s="36" t="s">
        <v>28</v>
      </c>
      <c r="F53" s="37" t="s">
        <v>554</v>
      </c>
    </row>
    <row r="54" spans="1:10" s="57" customFormat="1" ht="62.85" customHeight="1" x14ac:dyDescent="0.2">
      <c r="A54" s="43" t="s">
        <v>1022</v>
      </c>
      <c r="B54" s="34"/>
      <c r="C54" s="38" t="s">
        <v>23</v>
      </c>
      <c r="D54" s="35" t="s">
        <v>365</v>
      </c>
      <c r="E54" s="36" t="s">
        <v>28</v>
      </c>
      <c r="F54" s="37" t="s">
        <v>563</v>
      </c>
    </row>
    <row r="55" spans="1:10" s="57" customFormat="1" ht="62.85" customHeight="1" x14ac:dyDescent="0.2">
      <c r="A55" s="38"/>
      <c r="B55" s="38"/>
      <c r="C55" s="38"/>
      <c r="D55" s="35" t="s">
        <v>366</v>
      </c>
      <c r="E55" s="36" t="s">
        <v>27</v>
      </c>
      <c r="F55" s="37"/>
    </row>
    <row r="56" spans="1:10" s="57" customFormat="1" ht="72.75" customHeight="1" x14ac:dyDescent="0.2">
      <c r="A56" s="50" t="s">
        <v>715</v>
      </c>
      <c r="B56" s="33"/>
      <c r="C56" s="51" t="s">
        <v>24</v>
      </c>
      <c r="D56" s="35" t="s">
        <v>367</v>
      </c>
      <c r="E56" s="36" t="s">
        <v>28</v>
      </c>
      <c r="F56" s="37" t="s">
        <v>564</v>
      </c>
    </row>
    <row r="57" spans="1:10" s="57" customFormat="1" ht="66.599999999999994" customHeight="1" x14ac:dyDescent="0.2">
      <c r="A57" s="51"/>
      <c r="B57" s="51"/>
      <c r="C57" s="51"/>
      <c r="D57" s="35" t="s">
        <v>368</v>
      </c>
      <c r="E57" s="36" t="s">
        <v>27</v>
      </c>
      <c r="F57" s="37"/>
    </row>
    <row r="58" spans="1:10" s="57" customFormat="1" ht="66.599999999999994" customHeight="1" x14ac:dyDescent="0.2">
      <c r="A58" s="50" t="s">
        <v>716</v>
      </c>
      <c r="B58" s="33"/>
      <c r="C58" s="38" t="s">
        <v>401</v>
      </c>
      <c r="D58" s="35" t="s">
        <v>407</v>
      </c>
      <c r="E58" s="36" t="s">
        <v>27</v>
      </c>
      <c r="F58" s="37"/>
    </row>
    <row r="59" spans="1:10" s="57" customFormat="1" ht="66" customHeight="1" x14ac:dyDescent="0.2">
      <c r="A59" s="50" t="s">
        <v>730</v>
      </c>
      <c r="B59" s="33"/>
      <c r="C59" s="38" t="s">
        <v>748</v>
      </c>
      <c r="D59" s="35" t="s">
        <v>394</v>
      </c>
      <c r="E59" s="36" t="s">
        <v>28</v>
      </c>
      <c r="F59" s="37" t="s">
        <v>727</v>
      </c>
    </row>
    <row r="60" spans="1:10" s="57" customFormat="1" ht="60.75" customHeight="1" x14ac:dyDescent="0.2">
      <c r="A60" s="130"/>
      <c r="B60" s="70"/>
      <c r="C60" s="49"/>
      <c r="D60" s="35" t="s">
        <v>369</v>
      </c>
      <c r="E60" s="64" t="s">
        <v>27</v>
      </c>
      <c r="F60" s="37"/>
    </row>
    <row r="61" spans="1:10" s="66" customFormat="1" ht="63" customHeight="1" x14ac:dyDescent="0.2">
      <c r="A61" s="33" t="s">
        <v>717</v>
      </c>
      <c r="B61" s="51"/>
      <c r="C61" s="38" t="s">
        <v>861</v>
      </c>
      <c r="D61" s="35" t="s">
        <v>428</v>
      </c>
      <c r="E61" s="64" t="s">
        <v>27</v>
      </c>
      <c r="F61" s="65" t="s">
        <v>555</v>
      </c>
    </row>
    <row r="62" spans="1:10" s="66" customFormat="1" ht="63" customHeight="1" x14ac:dyDescent="0.2">
      <c r="A62" s="33" t="s">
        <v>718</v>
      </c>
      <c r="B62" s="51"/>
      <c r="C62" s="34" t="s">
        <v>862</v>
      </c>
      <c r="D62" s="35" t="s">
        <v>427</v>
      </c>
      <c r="E62" s="64" t="s">
        <v>27</v>
      </c>
      <c r="F62" s="65" t="s">
        <v>556</v>
      </c>
    </row>
    <row r="63" spans="1:10" s="57" customFormat="1" ht="66.599999999999994" customHeight="1" x14ac:dyDescent="0.2">
      <c r="A63" s="43" t="s">
        <v>726</v>
      </c>
      <c r="B63" s="34"/>
      <c r="C63" s="38" t="s">
        <v>725</v>
      </c>
      <c r="D63" s="35" t="s">
        <v>370</v>
      </c>
      <c r="E63" s="36" t="s">
        <v>27</v>
      </c>
      <c r="F63" s="37" t="s">
        <v>559</v>
      </c>
    </row>
    <row r="64" spans="1:10" s="57" customFormat="1" ht="62.85" customHeight="1" x14ac:dyDescent="0.2">
      <c r="A64" s="43" t="s">
        <v>1014</v>
      </c>
      <c r="B64" s="34"/>
      <c r="C64" s="38" t="s">
        <v>863</v>
      </c>
      <c r="D64" s="35" t="s">
        <v>371</v>
      </c>
      <c r="E64" s="36" t="s">
        <v>28</v>
      </c>
      <c r="F64" s="37" t="s">
        <v>565</v>
      </c>
    </row>
    <row r="65" spans="1:6" s="57" customFormat="1" ht="60.6" customHeight="1" x14ac:dyDescent="0.2">
      <c r="A65" s="43" t="s">
        <v>1015</v>
      </c>
      <c r="B65" s="34"/>
      <c r="C65" s="38" t="s">
        <v>864</v>
      </c>
      <c r="D65" s="35" t="s">
        <v>372</v>
      </c>
      <c r="E65" s="36" t="s">
        <v>28</v>
      </c>
      <c r="F65" s="37" t="s">
        <v>566</v>
      </c>
    </row>
    <row r="66" spans="1:6" s="57" customFormat="1" ht="60.6" customHeight="1" x14ac:dyDescent="0.2">
      <c r="A66" s="43" t="s">
        <v>1016</v>
      </c>
      <c r="B66" s="34"/>
      <c r="C66" s="38" t="s">
        <v>865</v>
      </c>
      <c r="D66" s="35" t="s">
        <v>373</v>
      </c>
      <c r="E66" s="36" t="s">
        <v>28</v>
      </c>
      <c r="F66" s="37" t="s">
        <v>560</v>
      </c>
    </row>
    <row r="67" spans="1:6" ht="66" customHeight="1" x14ac:dyDescent="0.2">
      <c r="A67" s="40" t="s">
        <v>1017</v>
      </c>
      <c r="B67" s="11"/>
      <c r="C67" s="47" t="s">
        <v>868</v>
      </c>
      <c r="D67" s="12" t="s">
        <v>374</v>
      </c>
      <c r="E67" s="13" t="s">
        <v>27</v>
      </c>
      <c r="F67" s="27" t="s">
        <v>567</v>
      </c>
    </row>
    <row r="68" spans="1:6" ht="65.25" customHeight="1" x14ac:dyDescent="0.2">
      <c r="A68" s="40" t="s">
        <v>1018</v>
      </c>
      <c r="B68" s="11"/>
      <c r="C68" s="47" t="s">
        <v>866</v>
      </c>
      <c r="D68" s="12" t="s">
        <v>375</v>
      </c>
      <c r="E68" s="13" t="s">
        <v>27</v>
      </c>
      <c r="F68" s="27" t="s">
        <v>568</v>
      </c>
    </row>
    <row r="69" spans="1:6" ht="66.599999999999994" customHeight="1" x14ac:dyDescent="0.2">
      <c r="A69" s="50" t="s">
        <v>1019</v>
      </c>
      <c r="B69" s="45"/>
      <c r="C69" s="46" t="s">
        <v>867</v>
      </c>
      <c r="D69" s="12" t="s">
        <v>395</v>
      </c>
      <c r="E69" s="13" t="s">
        <v>27</v>
      </c>
      <c r="F69" s="27" t="s">
        <v>569</v>
      </c>
    </row>
    <row r="70" spans="1:6" s="57" customFormat="1" ht="62.25" customHeight="1" x14ac:dyDescent="0.2">
      <c r="A70" s="50" t="s">
        <v>1021</v>
      </c>
      <c r="B70" s="33"/>
      <c r="C70" s="51" t="s">
        <v>499</v>
      </c>
      <c r="D70" s="35" t="s">
        <v>376</v>
      </c>
      <c r="E70" s="36" t="s">
        <v>27</v>
      </c>
      <c r="F70" s="52" t="s">
        <v>570</v>
      </c>
    </row>
    <row r="71" spans="1:6" s="57" customFormat="1" ht="62.25" customHeight="1" x14ac:dyDescent="0.2">
      <c r="A71" s="50" t="s">
        <v>1020</v>
      </c>
      <c r="B71" s="33"/>
      <c r="C71" s="51" t="s">
        <v>500</v>
      </c>
      <c r="D71" s="35" t="s">
        <v>406</v>
      </c>
      <c r="E71" s="36" t="s">
        <v>27</v>
      </c>
      <c r="F71" s="52" t="s">
        <v>557</v>
      </c>
    </row>
    <row r="72" spans="1:6" s="66" customFormat="1" ht="62.25" customHeight="1" x14ac:dyDescent="0.2">
      <c r="A72" s="50" t="s">
        <v>719</v>
      </c>
      <c r="B72" s="51"/>
      <c r="C72" s="38" t="s">
        <v>724</v>
      </c>
      <c r="D72" s="35" t="s">
        <v>410</v>
      </c>
      <c r="E72" s="64" t="s">
        <v>27</v>
      </c>
      <c r="F72" s="65" t="s">
        <v>587</v>
      </c>
    </row>
    <row r="73" spans="1:6" s="66" customFormat="1" ht="59.25" customHeight="1" x14ac:dyDescent="0.2">
      <c r="A73" s="50" t="s">
        <v>720</v>
      </c>
      <c r="B73" s="51"/>
      <c r="C73" s="38" t="s">
        <v>723</v>
      </c>
      <c r="D73" s="35" t="s">
        <v>423</v>
      </c>
      <c r="E73" s="64" t="s">
        <v>27</v>
      </c>
      <c r="F73" s="65" t="s">
        <v>558</v>
      </c>
    </row>
    <row r="75" spans="1:6" x14ac:dyDescent="0.2">
      <c r="A75" s="72" t="s">
        <v>519</v>
      </c>
    </row>
    <row r="76" spans="1:6" x14ac:dyDescent="0.2">
      <c r="A76" s="58" t="s">
        <v>520</v>
      </c>
    </row>
    <row r="77" spans="1:6" x14ac:dyDescent="0.2">
      <c r="A77" s="58" t="s">
        <v>521</v>
      </c>
    </row>
    <row r="78" spans="1:6" x14ac:dyDescent="0.2">
      <c r="A78" s="58" t="s">
        <v>522</v>
      </c>
    </row>
    <row r="79" spans="1:6" x14ac:dyDescent="0.2">
      <c r="A79" s="58" t="s">
        <v>523</v>
      </c>
    </row>
    <row r="80" spans="1:6" x14ac:dyDescent="0.2">
      <c r="A80" s="58" t="s">
        <v>524</v>
      </c>
    </row>
    <row r="81" spans="1:1" x14ac:dyDescent="0.2">
      <c r="A81" s="58" t="s">
        <v>525</v>
      </c>
    </row>
    <row r="82" spans="1:1" x14ac:dyDescent="0.2">
      <c r="A82" s="58" t="s">
        <v>526</v>
      </c>
    </row>
    <row r="83" spans="1:1" x14ac:dyDescent="0.2">
      <c r="A83" s="58" t="s">
        <v>527</v>
      </c>
    </row>
    <row r="84" spans="1:1" x14ac:dyDescent="0.2">
      <c r="A84" s="58" t="s">
        <v>538</v>
      </c>
    </row>
    <row r="85" spans="1:1" x14ac:dyDescent="0.2">
      <c r="A85" s="58" t="s">
        <v>539</v>
      </c>
    </row>
    <row r="86" spans="1:1" x14ac:dyDescent="0.2">
      <c r="A86" s="58" t="s">
        <v>540</v>
      </c>
    </row>
    <row r="87" spans="1:1" x14ac:dyDescent="0.2">
      <c r="A87" s="58" t="s">
        <v>541</v>
      </c>
    </row>
    <row r="88" spans="1:1" x14ac:dyDescent="0.2">
      <c r="A88" s="58" t="s">
        <v>542</v>
      </c>
    </row>
    <row r="89" spans="1:1" x14ac:dyDescent="0.2">
      <c r="A89" s="58" t="s">
        <v>543</v>
      </c>
    </row>
    <row r="90" spans="1:1" x14ac:dyDescent="0.2">
      <c r="A90" s="58" t="s">
        <v>571</v>
      </c>
    </row>
    <row r="91" spans="1:1" x14ac:dyDescent="0.2">
      <c r="A91" s="58" t="s">
        <v>572</v>
      </c>
    </row>
    <row r="92" spans="1:1" x14ac:dyDescent="0.2">
      <c r="A92" s="58" t="s">
        <v>573</v>
      </c>
    </row>
    <row r="93" spans="1:1" x14ac:dyDescent="0.2">
      <c r="A93" s="58" t="s">
        <v>574</v>
      </c>
    </row>
    <row r="94" spans="1:1" x14ac:dyDescent="0.2">
      <c r="A94" s="58" t="s">
        <v>575</v>
      </c>
    </row>
    <row r="95" spans="1:1" x14ac:dyDescent="0.2">
      <c r="A95" s="58" t="s">
        <v>576</v>
      </c>
    </row>
    <row r="96" spans="1:1" x14ac:dyDescent="0.2">
      <c r="A96" s="58" t="s">
        <v>577</v>
      </c>
    </row>
    <row r="97" spans="1:1" x14ac:dyDescent="0.2">
      <c r="A97" s="58" t="s">
        <v>578</v>
      </c>
    </row>
    <row r="98" spans="1:1" x14ac:dyDescent="0.2">
      <c r="A98" s="58" t="s">
        <v>579</v>
      </c>
    </row>
    <row r="99" spans="1:1" x14ac:dyDescent="0.2">
      <c r="A99" s="58" t="s">
        <v>580</v>
      </c>
    </row>
    <row r="100" spans="1:1" x14ac:dyDescent="0.2">
      <c r="A100" s="58" t="s">
        <v>581</v>
      </c>
    </row>
    <row r="101" spans="1:1" x14ac:dyDescent="0.2">
      <c r="A101" s="58" t="s">
        <v>582</v>
      </c>
    </row>
    <row r="102" spans="1:1" x14ac:dyDescent="0.2">
      <c r="A102" s="58" t="s">
        <v>583</v>
      </c>
    </row>
  </sheetData>
  <pageMargins left="0.7" right="0.7" top="0.75" bottom="0.75" header="0.3" footer="0.3"/>
  <pageSetup scale="44" fitToHeight="0" orientation="landscape" r:id="rId1"/>
  <customProperties>
    <customPr name="cdxldocument" r:id="rId2"/>
  </customProperties>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68A05-D927-44A5-848E-893576B4D1DE}">
  <dimension ref="A1:T294"/>
  <sheetViews>
    <sheetView zoomScale="160" zoomScaleNormal="160" workbookViewId="0">
      <pane xSplit="2" ySplit="1" topLeftCell="C2" activePane="bottomRight" state="frozen"/>
      <selection pane="topRight" activeCell="C1" sqref="C1"/>
      <selection pane="bottomLeft" activeCell="A2" sqref="A2"/>
      <selection pane="bottomRight" activeCell="A128" sqref="A1:A1048576"/>
    </sheetView>
  </sheetViews>
  <sheetFormatPr defaultColWidth="9.140625" defaultRowHeight="11.25" x14ac:dyDescent="0.2"/>
  <cols>
    <col min="1" max="1" width="23" style="81" customWidth="1"/>
    <col min="2" max="2" width="23.42578125" style="86" bestFit="1" customWidth="1"/>
    <col min="3" max="3" width="16.28515625" style="76" bestFit="1" customWidth="1"/>
    <col min="4" max="4" width="21" style="76" customWidth="1"/>
    <col min="5" max="5" width="14.85546875" style="75" bestFit="1" customWidth="1"/>
    <col min="6" max="6" width="16.7109375" style="77" bestFit="1" customWidth="1"/>
    <col min="7" max="7" width="6" style="87" bestFit="1" customWidth="1"/>
    <col min="8" max="8" width="47.7109375" style="88" bestFit="1" customWidth="1"/>
    <col min="9" max="9" width="13.28515625" style="89" bestFit="1" customWidth="1"/>
    <col min="10" max="10" width="12.28515625" style="89" bestFit="1" customWidth="1"/>
    <col min="11" max="11" width="5.7109375" style="90" bestFit="1" customWidth="1"/>
    <col min="12" max="12" width="12.7109375" style="74" bestFit="1" customWidth="1"/>
    <col min="13" max="13" width="13.5703125" style="91" bestFit="1" customWidth="1"/>
    <col min="14" max="14" width="13.5703125" style="74" bestFit="1" customWidth="1"/>
    <col min="15" max="15" width="5.140625" style="92" bestFit="1" customWidth="1"/>
    <col min="16" max="16" width="20.28515625" style="93" bestFit="1" customWidth="1"/>
    <col min="17" max="17" width="13.42578125" style="74" bestFit="1" customWidth="1"/>
    <col min="18" max="18" width="45.140625" style="94" customWidth="1"/>
    <col min="19" max="19" width="79" style="94" customWidth="1"/>
    <col min="20" max="20" width="33.28515625" style="78" customWidth="1"/>
    <col min="21" max="16384" width="9.140625" style="78"/>
  </cols>
  <sheetData>
    <row r="1" spans="1:19" s="73" customFormat="1" ht="22.5" x14ac:dyDescent="0.2">
      <c r="A1" s="105" t="s">
        <v>1024</v>
      </c>
      <c r="B1" s="105" t="s">
        <v>3</v>
      </c>
      <c r="C1" s="114" t="s">
        <v>897</v>
      </c>
      <c r="D1" s="114" t="s">
        <v>964</v>
      </c>
      <c r="E1" s="106" t="s">
        <v>4</v>
      </c>
      <c r="F1" s="106" t="s">
        <v>0</v>
      </c>
      <c r="G1" s="106" t="s">
        <v>29</v>
      </c>
      <c r="H1" s="107" t="s">
        <v>305</v>
      </c>
      <c r="I1" s="108" t="s">
        <v>5</v>
      </c>
      <c r="J1" s="108" t="s">
        <v>6</v>
      </c>
      <c r="K1" s="109" t="s">
        <v>316</v>
      </c>
      <c r="L1" s="110" t="s">
        <v>315</v>
      </c>
      <c r="M1" s="111" t="s">
        <v>317</v>
      </c>
      <c r="N1" s="110" t="s">
        <v>318</v>
      </c>
      <c r="O1" s="110" t="s">
        <v>505</v>
      </c>
      <c r="P1" s="110" t="s">
        <v>323</v>
      </c>
      <c r="Q1" s="110" t="s">
        <v>319</v>
      </c>
      <c r="R1" s="112" t="s">
        <v>518</v>
      </c>
      <c r="S1" s="113" t="s">
        <v>517</v>
      </c>
    </row>
    <row r="2" spans="1:19" ht="12.75" customHeight="1" x14ac:dyDescent="0.2">
      <c r="A2" s="164" t="s">
        <v>446</v>
      </c>
      <c r="B2" s="167" t="s">
        <v>447</v>
      </c>
      <c r="C2" s="145" t="s">
        <v>30</v>
      </c>
      <c r="D2" s="145" t="s">
        <v>806</v>
      </c>
      <c r="E2" s="157">
        <v>1</v>
      </c>
      <c r="F2" s="154" t="s">
        <v>2</v>
      </c>
      <c r="G2" s="120" t="s">
        <v>284</v>
      </c>
      <c r="H2" s="123"/>
      <c r="I2" s="95">
        <f>484.049014+1.007276466583</f>
        <v>485.05629046658299</v>
      </c>
      <c r="J2" s="95">
        <v>485.05666627904901</v>
      </c>
      <c r="K2" s="96">
        <f>ABS(I2-J2)/I2*10^6</f>
        <v>0.77478114067242199</v>
      </c>
      <c r="L2" s="117" t="s">
        <v>2</v>
      </c>
      <c r="M2" s="122">
        <v>0.98514523754801009</v>
      </c>
      <c r="N2" s="117" t="s">
        <v>2</v>
      </c>
      <c r="O2" s="132" t="s">
        <v>2</v>
      </c>
      <c r="P2" s="154" t="s">
        <v>32</v>
      </c>
      <c r="Q2" s="117" t="s">
        <v>33</v>
      </c>
      <c r="R2" s="149" t="s">
        <v>594</v>
      </c>
      <c r="S2" s="149" t="s">
        <v>597</v>
      </c>
    </row>
    <row r="3" spans="1:19" x14ac:dyDescent="0.2">
      <c r="A3" s="164"/>
      <c r="B3" s="168"/>
      <c r="C3" s="145"/>
      <c r="D3" s="145"/>
      <c r="E3" s="157"/>
      <c r="F3" s="154"/>
      <c r="G3" s="120" t="s">
        <v>285</v>
      </c>
      <c r="H3" s="123"/>
      <c r="I3" s="95">
        <f>484.049014-1.007276466583</f>
        <v>483.04173753341701</v>
      </c>
      <c r="J3" s="95">
        <v>483.04241475871629</v>
      </c>
      <c r="K3" s="96">
        <f>ABS(I3-J3)/I3*10^6</f>
        <v>1.4020016215218873</v>
      </c>
      <c r="L3" s="117" t="s">
        <v>2</v>
      </c>
      <c r="M3" s="122">
        <v>0.97481432823256742</v>
      </c>
      <c r="N3" s="117" t="s">
        <v>2</v>
      </c>
      <c r="O3" s="132" t="s">
        <v>2</v>
      </c>
      <c r="P3" s="154"/>
      <c r="Q3" s="117" t="s">
        <v>298</v>
      </c>
      <c r="R3" s="149"/>
      <c r="S3" s="148"/>
    </row>
    <row r="4" spans="1:19" x14ac:dyDescent="0.2">
      <c r="A4" s="164"/>
      <c r="B4" s="145" t="s">
        <v>448</v>
      </c>
      <c r="C4" s="145" t="s">
        <v>31</v>
      </c>
      <c r="D4" s="145" t="s">
        <v>807</v>
      </c>
      <c r="E4" s="157">
        <v>2</v>
      </c>
      <c r="F4" s="154" t="s">
        <v>1</v>
      </c>
      <c r="G4" s="120" t="s">
        <v>284</v>
      </c>
      <c r="H4" s="123"/>
      <c r="I4" s="95">
        <f>584.042625+1.007276466583</f>
        <v>585.04990146658304</v>
      </c>
      <c r="J4" s="95">
        <v>585.04978910714692</v>
      </c>
      <c r="K4" s="96">
        <f>ABS(I4-J4)/I4*10^6</f>
        <v>0.19205102989409145</v>
      </c>
      <c r="L4" s="117" t="s">
        <v>2</v>
      </c>
      <c r="M4" s="122">
        <v>0.98121067228305447</v>
      </c>
      <c r="N4" s="117" t="s">
        <v>2</v>
      </c>
      <c r="O4" s="132" t="s">
        <v>2</v>
      </c>
      <c r="P4" s="154"/>
      <c r="Q4" s="117" t="s">
        <v>33</v>
      </c>
      <c r="R4" s="149"/>
      <c r="S4" s="148"/>
    </row>
    <row r="5" spans="1:19" x14ac:dyDescent="0.2">
      <c r="A5" s="164"/>
      <c r="B5" s="145"/>
      <c r="C5" s="145"/>
      <c r="D5" s="145"/>
      <c r="E5" s="157"/>
      <c r="F5" s="154"/>
      <c r="G5" s="120" t="s">
        <v>285</v>
      </c>
      <c r="H5" s="123"/>
      <c r="I5" s="95">
        <f>584.042625-1.007276466583</f>
        <v>583.03534853341705</v>
      </c>
      <c r="J5" s="95">
        <v>583.03610035135137</v>
      </c>
      <c r="K5" s="96">
        <f>ABS(I5-J5)/I5*10^6</f>
        <v>1.2894894558387522</v>
      </c>
      <c r="L5" s="117" t="s">
        <v>2</v>
      </c>
      <c r="M5" s="122">
        <v>0.98879767263260965</v>
      </c>
      <c r="N5" s="117" t="s">
        <v>2</v>
      </c>
      <c r="O5" s="132" t="s">
        <v>2</v>
      </c>
      <c r="P5" s="154"/>
      <c r="Q5" s="117" t="s">
        <v>306</v>
      </c>
      <c r="R5" s="149"/>
      <c r="S5" s="148"/>
    </row>
    <row r="6" spans="1:19" x14ac:dyDescent="0.2">
      <c r="A6" s="164" t="s">
        <v>449</v>
      </c>
      <c r="B6" s="123" t="s">
        <v>34</v>
      </c>
      <c r="C6" s="133" t="s">
        <v>57</v>
      </c>
      <c r="D6" s="133" t="s">
        <v>813</v>
      </c>
      <c r="E6" s="120">
        <v>1</v>
      </c>
      <c r="F6" s="117" t="s">
        <v>2</v>
      </c>
      <c r="G6" s="120" t="s">
        <v>286</v>
      </c>
      <c r="H6" s="123" t="s">
        <v>288</v>
      </c>
      <c r="I6" s="95">
        <f>432.08329-1.007825+1.007276466583</f>
        <v>432.08274146658295</v>
      </c>
      <c r="J6" s="95">
        <v>432.08344322465251</v>
      </c>
      <c r="K6" s="96">
        <f>ABS(I6-J6)/I6*10^6</f>
        <v>1.6241289045368588</v>
      </c>
      <c r="L6" s="117" t="s">
        <v>2</v>
      </c>
      <c r="M6" s="122">
        <v>0.99620821755644495</v>
      </c>
      <c r="N6" s="117" t="s">
        <v>2</v>
      </c>
      <c r="O6" s="132" t="s">
        <v>2</v>
      </c>
      <c r="P6" s="154" t="s">
        <v>292</v>
      </c>
      <c r="Q6" s="117" t="s">
        <v>296</v>
      </c>
      <c r="R6" s="149" t="s">
        <v>593</v>
      </c>
      <c r="S6" s="149" t="s">
        <v>598</v>
      </c>
    </row>
    <row r="7" spans="1:19" x14ac:dyDescent="0.2">
      <c r="A7" s="164"/>
      <c r="B7" s="123" t="s">
        <v>11</v>
      </c>
      <c r="C7" s="133" t="s">
        <v>58</v>
      </c>
      <c r="D7" s="123" t="s">
        <v>808</v>
      </c>
      <c r="E7" s="120">
        <v>2</v>
      </c>
      <c r="F7" s="117" t="s">
        <v>1</v>
      </c>
      <c r="G7" s="120" t="s">
        <v>286</v>
      </c>
      <c r="H7" s="123" t="s">
        <v>287</v>
      </c>
      <c r="I7" s="95">
        <f>532.076902-1.007825+1.007276466583</f>
        <v>532.07635346658299</v>
      </c>
      <c r="J7" s="95">
        <v>532.07709676798459</v>
      </c>
      <c r="K7" s="96">
        <f t="shared" ref="K7:K10" si="0">ABS(I7-J7)/I7*10^6</f>
        <v>1.3969825886002492</v>
      </c>
      <c r="L7" s="117" t="s">
        <v>2</v>
      </c>
      <c r="M7" s="122">
        <v>0.99254305253154185</v>
      </c>
      <c r="N7" s="117" t="s">
        <v>2</v>
      </c>
      <c r="O7" s="132" t="s">
        <v>2</v>
      </c>
      <c r="P7" s="154"/>
      <c r="Q7" s="117" t="s">
        <v>297</v>
      </c>
      <c r="R7" s="148"/>
      <c r="S7" s="148"/>
    </row>
    <row r="8" spans="1:19" x14ac:dyDescent="0.2">
      <c r="A8" s="164"/>
      <c r="B8" s="123" t="s">
        <v>35</v>
      </c>
      <c r="C8" s="133" t="s">
        <v>59</v>
      </c>
      <c r="D8" s="123" t="s">
        <v>809</v>
      </c>
      <c r="E8" s="120">
        <v>2</v>
      </c>
      <c r="F8" s="117" t="s">
        <v>1</v>
      </c>
      <c r="G8" s="120" t="s">
        <v>286</v>
      </c>
      <c r="H8" s="123" t="s">
        <v>288</v>
      </c>
      <c r="I8" s="95">
        <f>632.070514-1.007825+1.007276466583</f>
        <v>632.06996546658297</v>
      </c>
      <c r="J8" s="95">
        <v>632.07046696022894</v>
      </c>
      <c r="K8" s="96">
        <f t="shared" si="0"/>
        <v>0.79341476951842171</v>
      </c>
      <c r="L8" s="117" t="s">
        <v>2</v>
      </c>
      <c r="M8" s="122">
        <v>0.9936352800882714</v>
      </c>
      <c r="N8" s="117" t="s">
        <v>2</v>
      </c>
      <c r="O8" s="132" t="s">
        <v>2</v>
      </c>
      <c r="P8" s="154"/>
      <c r="Q8" s="117" t="s">
        <v>297</v>
      </c>
      <c r="R8" s="148"/>
      <c r="S8" s="148"/>
    </row>
    <row r="9" spans="1:19" x14ac:dyDescent="0.2">
      <c r="A9" s="164"/>
      <c r="B9" s="123" t="s">
        <v>36</v>
      </c>
      <c r="C9" s="133" t="s">
        <v>60</v>
      </c>
      <c r="D9" s="133" t="s">
        <v>810</v>
      </c>
      <c r="E9" s="120">
        <v>2</v>
      </c>
      <c r="F9" s="117" t="s">
        <v>1</v>
      </c>
      <c r="G9" s="120" t="s">
        <v>286</v>
      </c>
      <c r="H9" s="123" t="s">
        <v>288</v>
      </c>
      <c r="I9" s="95">
        <f>732.064126-1.007825+1.007276466583</f>
        <v>732.06357746658296</v>
      </c>
      <c r="J9" s="95">
        <v>732.06394923881896</v>
      </c>
      <c r="K9" s="96">
        <f t="shared" si="0"/>
        <v>0.50784146001977326</v>
      </c>
      <c r="L9" s="117" t="s">
        <v>2</v>
      </c>
      <c r="M9" s="122">
        <v>0.99385334228496858</v>
      </c>
      <c r="N9" s="117" t="s">
        <v>2</v>
      </c>
      <c r="O9" s="132" t="s">
        <v>2</v>
      </c>
      <c r="P9" s="154"/>
      <c r="Q9" s="117" t="s">
        <v>1</v>
      </c>
      <c r="R9" s="148"/>
      <c r="S9" s="148"/>
    </row>
    <row r="10" spans="1:19" x14ac:dyDescent="0.2">
      <c r="A10" s="164"/>
      <c r="B10" s="123" t="s">
        <v>37</v>
      </c>
      <c r="C10" s="133" t="s">
        <v>61</v>
      </c>
      <c r="D10" s="133" t="s">
        <v>811</v>
      </c>
      <c r="E10" s="120">
        <v>2</v>
      </c>
      <c r="F10" s="117" t="s">
        <v>1</v>
      </c>
      <c r="G10" s="120" t="s">
        <v>286</v>
      </c>
      <c r="H10" s="123" t="s">
        <v>289</v>
      </c>
      <c r="I10" s="95">
        <f>832.057738-1.007825+1.007276466583</f>
        <v>832.05718946658294</v>
      </c>
      <c r="J10" s="95">
        <v>832.05663909478335</v>
      </c>
      <c r="K10" s="96">
        <f t="shared" si="0"/>
        <v>0.66145909987696216</v>
      </c>
      <c r="L10" s="117" t="s">
        <v>2</v>
      </c>
      <c r="M10" s="122">
        <v>0.98155352141015473</v>
      </c>
      <c r="N10" s="117" t="s">
        <v>2</v>
      </c>
      <c r="O10" s="132" t="s">
        <v>2</v>
      </c>
      <c r="P10" s="154"/>
      <c r="Q10" s="117" t="s">
        <v>1</v>
      </c>
      <c r="R10" s="148"/>
      <c r="S10" s="148"/>
    </row>
    <row r="11" spans="1:19" x14ac:dyDescent="0.2">
      <c r="A11" s="164"/>
      <c r="B11" s="123" t="s">
        <v>38</v>
      </c>
      <c r="C11" s="133" t="s">
        <v>62</v>
      </c>
      <c r="D11" s="133" t="s">
        <v>812</v>
      </c>
      <c r="E11" s="120">
        <v>5</v>
      </c>
      <c r="F11" s="117" t="s">
        <v>1</v>
      </c>
      <c r="G11" s="120" t="s">
        <v>286</v>
      </c>
      <c r="H11" s="123"/>
      <c r="I11" s="95">
        <f>932.05135-1.007825+1.007276466583</f>
        <v>932.05080146658293</v>
      </c>
      <c r="J11" s="95" t="s">
        <v>322</v>
      </c>
      <c r="K11" s="96" t="s">
        <v>1</v>
      </c>
      <c r="L11" s="117" t="s">
        <v>1</v>
      </c>
      <c r="M11" s="122" t="s">
        <v>1</v>
      </c>
      <c r="N11" s="117" t="s">
        <v>1</v>
      </c>
      <c r="O11" s="132" t="s">
        <v>800</v>
      </c>
      <c r="P11" s="154"/>
      <c r="Q11" s="117" t="s">
        <v>1</v>
      </c>
      <c r="R11" s="148"/>
      <c r="S11" s="148"/>
    </row>
    <row r="12" spans="1:19" x14ac:dyDescent="0.2">
      <c r="A12" s="145" t="s">
        <v>450</v>
      </c>
      <c r="B12" s="123" t="s">
        <v>39</v>
      </c>
      <c r="C12" s="133" t="s">
        <v>63</v>
      </c>
      <c r="D12" s="133" t="s">
        <v>818</v>
      </c>
      <c r="E12" s="120">
        <v>1</v>
      </c>
      <c r="F12" s="117" t="s">
        <v>2</v>
      </c>
      <c r="G12" s="120" t="s">
        <v>286</v>
      </c>
      <c r="H12" s="123" t="s">
        <v>288</v>
      </c>
      <c r="I12" s="95">
        <f>413.084887+1.007276466583</f>
        <v>414.09216346658297</v>
      </c>
      <c r="J12" s="95">
        <v>414.09242722742653</v>
      </c>
      <c r="K12" s="96">
        <f>ABS(I12-J12)/I12*10^6</f>
        <v>0.63696168829659261</v>
      </c>
      <c r="L12" s="117" t="s">
        <v>2</v>
      </c>
      <c r="M12" s="122">
        <v>0.99288611587842612</v>
      </c>
      <c r="N12" s="117" t="s">
        <v>2</v>
      </c>
      <c r="O12" s="132" t="s">
        <v>2</v>
      </c>
      <c r="P12" s="154" t="s">
        <v>293</v>
      </c>
      <c r="Q12" s="117" t="s">
        <v>297</v>
      </c>
      <c r="R12" s="149" t="s">
        <v>593</v>
      </c>
      <c r="S12" s="149" t="s">
        <v>599</v>
      </c>
    </row>
    <row r="13" spans="1:19" x14ac:dyDescent="0.2">
      <c r="A13" s="145"/>
      <c r="B13" s="123" t="s">
        <v>15</v>
      </c>
      <c r="C13" s="133" t="s">
        <v>64</v>
      </c>
      <c r="D13" s="133" t="s">
        <v>814</v>
      </c>
      <c r="E13" s="120">
        <v>2</v>
      </c>
      <c r="F13" s="117" t="s">
        <v>1</v>
      </c>
      <c r="G13" s="120" t="s">
        <v>286</v>
      </c>
      <c r="H13" s="123" t="s">
        <v>288</v>
      </c>
      <c r="I13" s="95">
        <f>513.078499+1.007276466583</f>
        <v>514.08577546658296</v>
      </c>
      <c r="J13" s="95">
        <v>514.08663869772136</v>
      </c>
      <c r="K13" s="96">
        <f>ABS(I13-J13)/I13*10^6</f>
        <v>1.6791577973788367</v>
      </c>
      <c r="L13" s="117" t="s">
        <v>2</v>
      </c>
      <c r="M13" s="122">
        <v>0.9980049471927992</v>
      </c>
      <c r="N13" s="117" t="s">
        <v>2</v>
      </c>
      <c r="O13" s="132" t="s">
        <v>2</v>
      </c>
      <c r="P13" s="154"/>
      <c r="Q13" s="117" t="s">
        <v>297</v>
      </c>
      <c r="R13" s="148"/>
      <c r="S13" s="148"/>
    </row>
    <row r="14" spans="1:19" x14ac:dyDescent="0.2">
      <c r="A14" s="145"/>
      <c r="B14" s="123" t="s">
        <v>40</v>
      </c>
      <c r="C14" s="133" t="s">
        <v>65</v>
      </c>
      <c r="D14" s="133" t="s">
        <v>815</v>
      </c>
      <c r="E14" s="120">
        <v>2</v>
      </c>
      <c r="F14" s="117" t="s">
        <v>1</v>
      </c>
      <c r="G14" s="120" t="s">
        <v>286</v>
      </c>
      <c r="H14" s="123" t="s">
        <v>288</v>
      </c>
      <c r="I14" s="95">
        <f>613.072111+1.007276466583</f>
        <v>614.07938746658294</v>
      </c>
      <c r="J14" s="95">
        <v>614.08040625783826</v>
      </c>
      <c r="K14" s="96">
        <f>ABS(I14-J14)/I14*10^6</f>
        <v>1.6590546370922925</v>
      </c>
      <c r="L14" s="117" t="s">
        <v>2</v>
      </c>
      <c r="M14" s="122">
        <v>0.98873921675769028</v>
      </c>
      <c r="N14" s="117" t="s">
        <v>2</v>
      </c>
      <c r="O14" s="132" t="s">
        <v>2</v>
      </c>
      <c r="P14" s="154"/>
      <c r="Q14" s="117" t="s">
        <v>297</v>
      </c>
      <c r="R14" s="148"/>
      <c r="S14" s="148"/>
    </row>
    <row r="15" spans="1:19" x14ac:dyDescent="0.2">
      <c r="A15" s="145"/>
      <c r="B15" s="123" t="s">
        <v>41</v>
      </c>
      <c r="C15" s="133" t="s">
        <v>66</v>
      </c>
      <c r="D15" s="133" t="s">
        <v>816</v>
      </c>
      <c r="E15" s="120">
        <v>2</v>
      </c>
      <c r="F15" s="117" t="s">
        <v>1</v>
      </c>
      <c r="G15" s="120" t="s">
        <v>286</v>
      </c>
      <c r="H15" s="123" t="s">
        <v>288</v>
      </c>
      <c r="I15" s="95">
        <f>713.065722+1.007276466583</f>
        <v>714.07299846658304</v>
      </c>
      <c r="J15" s="95">
        <v>714.07302275735128</v>
      </c>
      <c r="K15" s="96">
        <f>ABS(I15-J15)/I15*10^6</f>
        <v>3.4017205929780477E-2</v>
      </c>
      <c r="L15" s="117" t="s">
        <v>2</v>
      </c>
      <c r="M15" s="122">
        <v>0.98166563176848887</v>
      </c>
      <c r="N15" s="117" t="s">
        <v>2</v>
      </c>
      <c r="O15" s="132" t="s">
        <v>2</v>
      </c>
      <c r="P15" s="154"/>
      <c r="Q15" s="117" t="s">
        <v>297</v>
      </c>
      <c r="R15" s="148"/>
      <c r="S15" s="148"/>
    </row>
    <row r="16" spans="1:19" x14ac:dyDescent="0.2">
      <c r="A16" s="145"/>
      <c r="B16" s="123" t="s">
        <v>42</v>
      </c>
      <c r="C16" s="133" t="s">
        <v>67</v>
      </c>
      <c r="D16" s="133" t="s">
        <v>817</v>
      </c>
      <c r="E16" s="120">
        <v>2</v>
      </c>
      <c r="F16" s="117" t="s">
        <v>1</v>
      </c>
      <c r="G16" s="120" t="s">
        <v>286</v>
      </c>
      <c r="H16" s="123" t="s">
        <v>288</v>
      </c>
      <c r="I16" s="95">
        <f>814.06716-1.007825+1.007276466583</f>
        <v>814.06661146658291</v>
      </c>
      <c r="J16" s="95">
        <v>814.06569348323615</v>
      </c>
      <c r="K16" s="96">
        <f>ABS(I16-J16)/I16*10^6</f>
        <v>1.1276513909754453</v>
      </c>
      <c r="L16" s="117" t="s">
        <v>2</v>
      </c>
      <c r="M16" s="122">
        <v>0.98601362556617267</v>
      </c>
      <c r="N16" s="117" t="s">
        <v>2</v>
      </c>
      <c r="O16" s="132" t="s">
        <v>2</v>
      </c>
      <c r="P16" s="154"/>
      <c r="Q16" s="117" t="s">
        <v>1</v>
      </c>
      <c r="R16" s="148"/>
      <c r="S16" s="148"/>
    </row>
    <row r="17" spans="1:19" ht="17.25" customHeight="1" x14ac:dyDescent="0.2">
      <c r="A17" s="164" t="s">
        <v>451</v>
      </c>
      <c r="B17" s="123" t="s">
        <v>43</v>
      </c>
      <c r="C17" s="133" t="s">
        <v>69</v>
      </c>
      <c r="D17" s="137" t="s">
        <v>899</v>
      </c>
      <c r="E17" s="120">
        <v>5</v>
      </c>
      <c r="F17" s="117" t="s">
        <v>1</v>
      </c>
      <c r="G17" s="120" t="s">
        <v>286</v>
      </c>
      <c r="H17" s="123" t="s">
        <v>290</v>
      </c>
      <c r="I17" s="95">
        <f>470.092182+1.007276466583</f>
        <v>471.09945846658297</v>
      </c>
      <c r="J17" s="95" t="s">
        <v>322</v>
      </c>
      <c r="K17" s="96" t="s">
        <v>1</v>
      </c>
      <c r="L17" s="117" t="s">
        <v>1</v>
      </c>
      <c r="M17" s="122" t="s">
        <v>1</v>
      </c>
      <c r="N17" s="117" t="s">
        <v>1</v>
      </c>
      <c r="O17" s="132" t="s">
        <v>800</v>
      </c>
      <c r="P17" s="158" t="s">
        <v>295</v>
      </c>
      <c r="Q17" s="117" t="s">
        <v>1</v>
      </c>
      <c r="R17" s="149" t="s">
        <v>595</v>
      </c>
      <c r="S17" s="149" t="s">
        <v>602</v>
      </c>
    </row>
    <row r="18" spans="1:19" ht="17.25" customHeight="1" x14ac:dyDescent="0.2">
      <c r="A18" s="164"/>
      <c r="B18" s="145" t="s">
        <v>24</v>
      </c>
      <c r="C18" s="145" t="s">
        <v>68</v>
      </c>
      <c r="D18" s="146" t="s">
        <v>898</v>
      </c>
      <c r="E18" s="157">
        <v>1</v>
      </c>
      <c r="F18" s="154" t="s">
        <v>2</v>
      </c>
      <c r="G18" s="120" t="s">
        <v>286</v>
      </c>
      <c r="H18" s="123" t="s">
        <v>288</v>
      </c>
      <c r="I18" s="95">
        <f>570.085794+1.007276466583</f>
        <v>571.09307046658296</v>
      </c>
      <c r="J18" s="95">
        <v>571.09366131974525</v>
      </c>
      <c r="K18" s="96">
        <f>ABS(I18-J18)/I18*10^6</f>
        <v>1.0346004755596889</v>
      </c>
      <c r="L18" s="117" t="s">
        <v>2</v>
      </c>
      <c r="M18" s="122">
        <v>0.98721688091081172</v>
      </c>
      <c r="N18" s="117" t="s">
        <v>2</v>
      </c>
      <c r="O18" s="132" t="s">
        <v>2</v>
      </c>
      <c r="P18" s="154"/>
      <c r="Q18" s="117" t="s">
        <v>298</v>
      </c>
      <c r="R18" s="149"/>
      <c r="S18" s="148"/>
    </row>
    <row r="19" spans="1:19" ht="17.25" customHeight="1" x14ac:dyDescent="0.2">
      <c r="A19" s="164"/>
      <c r="B19" s="145"/>
      <c r="C19" s="145"/>
      <c r="D19" s="146"/>
      <c r="E19" s="157"/>
      <c r="F19" s="154"/>
      <c r="G19" s="120" t="s">
        <v>309</v>
      </c>
      <c r="H19" s="123" t="s">
        <v>310</v>
      </c>
      <c r="I19" s="95">
        <f>570.085794-1.007276466583</f>
        <v>569.07851753341697</v>
      </c>
      <c r="J19" s="95">
        <v>569.07976394665354</v>
      </c>
      <c r="K19" s="96">
        <f>ABS(I19-J19)/I19*10^6</f>
        <v>2.1902306943065404</v>
      </c>
      <c r="L19" s="117" t="s">
        <v>2</v>
      </c>
      <c r="M19" s="122">
        <v>0.97464768841027338</v>
      </c>
      <c r="N19" s="117" t="s">
        <v>2</v>
      </c>
      <c r="O19" s="132" t="s">
        <v>2</v>
      </c>
      <c r="P19" s="154"/>
      <c r="Q19" s="117" t="s">
        <v>298</v>
      </c>
      <c r="R19" s="149"/>
      <c r="S19" s="148"/>
    </row>
    <row r="20" spans="1:19" ht="17.25" customHeight="1" x14ac:dyDescent="0.2">
      <c r="A20" s="164"/>
      <c r="B20" s="145" t="s">
        <v>44</v>
      </c>
      <c r="C20" s="145" t="s">
        <v>70</v>
      </c>
      <c r="D20" s="146" t="s">
        <v>900</v>
      </c>
      <c r="E20" s="157">
        <v>2</v>
      </c>
      <c r="F20" s="154" t="s">
        <v>1</v>
      </c>
      <c r="G20" s="120" t="s">
        <v>286</v>
      </c>
      <c r="H20" s="123" t="s">
        <v>290</v>
      </c>
      <c r="I20" s="95">
        <f>670.079406+1.007276466583</f>
        <v>671.08668246658294</v>
      </c>
      <c r="J20" s="95">
        <v>671.0862025741917</v>
      </c>
      <c r="K20" s="96">
        <f>ABS(I20-J20)/I20*10^6</f>
        <v>0.71509747366243059</v>
      </c>
      <c r="L20" s="117" t="s">
        <v>2</v>
      </c>
      <c r="M20" s="122">
        <v>0.98876248343230166</v>
      </c>
      <c r="N20" s="117" t="s">
        <v>2</v>
      </c>
      <c r="O20" s="132" t="s">
        <v>2</v>
      </c>
      <c r="P20" s="154"/>
      <c r="Q20" s="117" t="s">
        <v>298</v>
      </c>
      <c r="R20" s="149"/>
      <c r="S20" s="148"/>
    </row>
    <row r="21" spans="1:19" ht="17.25" customHeight="1" x14ac:dyDescent="0.2">
      <c r="A21" s="164"/>
      <c r="B21" s="145"/>
      <c r="C21" s="145"/>
      <c r="D21" s="146"/>
      <c r="E21" s="157"/>
      <c r="F21" s="154"/>
      <c r="G21" s="120" t="s">
        <v>309</v>
      </c>
      <c r="H21" s="123"/>
      <c r="I21" s="95">
        <f>670.079406-1.007276466583</f>
        <v>669.07212953341696</v>
      </c>
      <c r="J21" s="95">
        <v>669.07294032407822</v>
      </c>
      <c r="K21" s="96">
        <f>ABS(I21-J21)/I21*10^6</f>
        <v>1.2118135332099829</v>
      </c>
      <c r="L21" s="117" t="s">
        <v>2</v>
      </c>
      <c r="M21" s="122">
        <v>0.9849874936612466</v>
      </c>
      <c r="N21" s="117" t="s">
        <v>2</v>
      </c>
      <c r="O21" s="132" t="s">
        <v>2</v>
      </c>
      <c r="P21" s="154"/>
      <c r="Q21" s="117" t="s">
        <v>1</v>
      </c>
      <c r="R21" s="149"/>
      <c r="S21" s="148"/>
    </row>
    <row r="22" spans="1:19" ht="17.25" customHeight="1" x14ac:dyDescent="0.2">
      <c r="A22" s="164"/>
      <c r="B22" s="145" t="s">
        <v>45</v>
      </c>
      <c r="C22" s="145" t="s">
        <v>71</v>
      </c>
      <c r="D22" s="163" t="s">
        <v>901</v>
      </c>
      <c r="E22" s="157">
        <v>5</v>
      </c>
      <c r="F22" s="154" t="s">
        <v>1</v>
      </c>
      <c r="G22" s="120" t="s">
        <v>286</v>
      </c>
      <c r="H22" s="123" t="s">
        <v>290</v>
      </c>
      <c r="I22" s="95">
        <f>770.073018+1.007276466583</f>
        <v>771.08029446658304</v>
      </c>
      <c r="J22" s="95">
        <v>771.07950000000005</v>
      </c>
      <c r="K22" s="96">
        <f>ABS(I22-J22)/I22*10^6</f>
        <v>1.030329251946196</v>
      </c>
      <c r="L22" s="117" t="s">
        <v>2</v>
      </c>
      <c r="M22" s="122">
        <v>0.98271268385770916</v>
      </c>
      <c r="N22" s="117" t="s">
        <v>2</v>
      </c>
      <c r="O22" s="132" t="s">
        <v>2</v>
      </c>
      <c r="P22" s="154"/>
      <c r="Q22" s="117" t="s">
        <v>1</v>
      </c>
      <c r="R22" s="149"/>
      <c r="S22" s="148"/>
    </row>
    <row r="23" spans="1:19" ht="17.25" customHeight="1" x14ac:dyDescent="0.2">
      <c r="A23" s="164"/>
      <c r="B23" s="145"/>
      <c r="C23" s="145"/>
      <c r="D23" s="163"/>
      <c r="E23" s="157"/>
      <c r="F23" s="154"/>
      <c r="G23" s="120" t="s">
        <v>309</v>
      </c>
      <c r="H23" s="123"/>
      <c r="I23" s="95">
        <f>770.073018-1.007276466583</f>
        <v>769.06574153341705</v>
      </c>
      <c r="J23" s="95" t="s">
        <v>322</v>
      </c>
      <c r="K23" s="96" t="s">
        <v>1</v>
      </c>
      <c r="L23" s="117" t="s">
        <v>1</v>
      </c>
      <c r="M23" s="122" t="s">
        <v>1</v>
      </c>
      <c r="N23" s="117" t="s">
        <v>1</v>
      </c>
      <c r="O23" s="132" t="s">
        <v>800</v>
      </c>
      <c r="P23" s="154"/>
      <c r="Q23" s="117" t="s">
        <v>1</v>
      </c>
      <c r="R23" s="149"/>
      <c r="S23" s="148"/>
    </row>
    <row r="24" spans="1:19" ht="17.25" customHeight="1" x14ac:dyDescent="0.2">
      <c r="A24" s="164"/>
      <c r="B24" s="123" t="s">
        <v>46</v>
      </c>
      <c r="C24" s="133" t="s">
        <v>72</v>
      </c>
      <c r="D24" s="138" t="s">
        <v>902</v>
      </c>
      <c r="E24" s="120">
        <v>5</v>
      </c>
      <c r="F24" s="117" t="s">
        <v>1</v>
      </c>
      <c r="G24" s="120" t="s">
        <v>286</v>
      </c>
      <c r="H24" s="123" t="s">
        <v>290</v>
      </c>
      <c r="I24" s="95">
        <f>870.06663+1.007276466583</f>
        <v>871.07390646658303</v>
      </c>
      <c r="J24" s="95" t="s">
        <v>322</v>
      </c>
      <c r="K24" s="96" t="s">
        <v>1</v>
      </c>
      <c r="L24" s="117" t="s">
        <v>1</v>
      </c>
      <c r="M24" s="122" t="s">
        <v>1</v>
      </c>
      <c r="N24" s="117" t="s">
        <v>1</v>
      </c>
      <c r="O24" s="132" t="s">
        <v>800</v>
      </c>
      <c r="P24" s="154"/>
      <c r="Q24" s="117" t="s">
        <v>1</v>
      </c>
      <c r="R24" s="149"/>
      <c r="S24" s="148"/>
    </row>
    <row r="25" spans="1:19" x14ac:dyDescent="0.2">
      <c r="A25" s="169" t="s">
        <v>452</v>
      </c>
      <c r="B25" s="145" t="s">
        <v>23</v>
      </c>
      <c r="C25" s="145" t="s">
        <v>73</v>
      </c>
      <c r="D25" s="146" t="s">
        <v>903</v>
      </c>
      <c r="E25" s="157">
        <v>1</v>
      </c>
      <c r="F25" s="154" t="s">
        <v>2</v>
      </c>
      <c r="G25" s="120" t="s">
        <v>286</v>
      </c>
      <c r="H25" s="123"/>
      <c r="I25" s="95">
        <f>528.075229+1.007276466583</f>
        <v>529.08250546658303</v>
      </c>
      <c r="J25" s="95">
        <v>529.08228974722317</v>
      </c>
      <c r="K25" s="96">
        <f t="shared" ref="K25:K27" si="1">ABS(I25-J25)/I25*10^6</f>
        <v>0.4077234790961779</v>
      </c>
      <c r="L25" s="117" t="s">
        <v>2</v>
      </c>
      <c r="M25" s="122">
        <v>0.99390705351282793</v>
      </c>
      <c r="N25" s="117" t="s">
        <v>2</v>
      </c>
      <c r="O25" s="132" t="s">
        <v>2</v>
      </c>
      <c r="P25" s="158" t="s">
        <v>397</v>
      </c>
      <c r="Q25" s="117" t="s">
        <v>1</v>
      </c>
      <c r="R25" s="149" t="s">
        <v>595</v>
      </c>
      <c r="S25" s="149" t="s">
        <v>688</v>
      </c>
    </row>
    <row r="26" spans="1:19" x14ac:dyDescent="0.2">
      <c r="A26" s="169"/>
      <c r="B26" s="145"/>
      <c r="C26" s="145"/>
      <c r="D26" s="146"/>
      <c r="E26" s="157"/>
      <c r="F26" s="154"/>
      <c r="G26" s="120" t="s">
        <v>309</v>
      </c>
      <c r="H26" s="123"/>
      <c r="I26" s="95">
        <f>528.075229-1.007276466583</f>
        <v>527.06795253341704</v>
      </c>
      <c r="J26" s="95">
        <v>527.06685885687364</v>
      </c>
      <c r="K26" s="96">
        <f t="shared" si="1"/>
        <v>2.0750200010234305</v>
      </c>
      <c r="L26" s="117" t="s">
        <v>2</v>
      </c>
      <c r="M26" s="122">
        <v>0.99883822258439536</v>
      </c>
      <c r="N26" s="117" t="s">
        <v>2</v>
      </c>
      <c r="O26" s="132" t="s">
        <v>2</v>
      </c>
      <c r="P26" s="154"/>
      <c r="Q26" s="117" t="s">
        <v>1</v>
      </c>
      <c r="R26" s="148"/>
      <c r="S26" s="148"/>
    </row>
    <row r="27" spans="1:19" x14ac:dyDescent="0.2">
      <c r="A27" s="169"/>
      <c r="B27" s="123" t="s">
        <v>47</v>
      </c>
      <c r="C27" s="133" t="s">
        <v>74</v>
      </c>
      <c r="D27" s="137" t="s">
        <v>904</v>
      </c>
      <c r="E27" s="120">
        <v>3</v>
      </c>
      <c r="F27" s="117" t="s">
        <v>1</v>
      </c>
      <c r="G27" s="120" t="s">
        <v>391</v>
      </c>
      <c r="H27" s="123"/>
      <c r="I27" s="95">
        <f>628.068841+1.007276466583</f>
        <v>629.07611746658301</v>
      </c>
      <c r="J27" s="95">
        <v>629.07490872029393</v>
      </c>
      <c r="K27" s="96">
        <f t="shared" si="1"/>
        <v>1.9214626903152441</v>
      </c>
      <c r="L27" s="117" t="s">
        <v>2</v>
      </c>
      <c r="M27" s="122">
        <v>0.99572700894561983</v>
      </c>
      <c r="N27" s="117" t="s">
        <v>2</v>
      </c>
      <c r="O27" s="132" t="s">
        <v>2</v>
      </c>
      <c r="P27" s="154"/>
      <c r="Q27" s="117" t="s">
        <v>1</v>
      </c>
      <c r="R27" s="148"/>
      <c r="S27" s="148"/>
    </row>
    <row r="28" spans="1:19" x14ac:dyDescent="0.2">
      <c r="A28" s="145" t="s">
        <v>453</v>
      </c>
      <c r="B28" s="123" t="s">
        <v>118</v>
      </c>
      <c r="C28" s="133" t="s">
        <v>180</v>
      </c>
      <c r="D28" s="138" t="s">
        <v>823</v>
      </c>
      <c r="E28" s="120">
        <v>1</v>
      </c>
      <c r="F28" s="117" t="s">
        <v>2</v>
      </c>
      <c r="G28" s="120" t="s">
        <v>285</v>
      </c>
      <c r="H28" s="123" t="s">
        <v>313</v>
      </c>
      <c r="I28" s="95">
        <f>213.9864776-1.007276466583</f>
        <v>212.97920113341701</v>
      </c>
      <c r="J28" s="95">
        <v>212.97966775201729</v>
      </c>
      <c r="K28" s="96">
        <f>ABS(I28-J28)/I28*10^6</f>
        <v>2.1909115904363299</v>
      </c>
      <c r="L28" s="117" t="s">
        <v>2</v>
      </c>
      <c r="M28" s="122">
        <v>0.98506908924487646</v>
      </c>
      <c r="N28" s="117" t="s">
        <v>2</v>
      </c>
      <c r="O28" s="132" t="s">
        <v>2</v>
      </c>
      <c r="P28" s="154" t="s">
        <v>307</v>
      </c>
      <c r="Q28" s="117" t="s">
        <v>1</v>
      </c>
      <c r="R28" s="148" t="s">
        <v>596</v>
      </c>
      <c r="S28" s="149" t="s">
        <v>687</v>
      </c>
    </row>
    <row r="29" spans="1:19" x14ac:dyDescent="0.2">
      <c r="A29" s="145"/>
      <c r="B29" s="123" t="s">
        <v>119</v>
      </c>
      <c r="C29" s="133" t="s">
        <v>182</v>
      </c>
      <c r="D29" s="133" t="s">
        <v>822</v>
      </c>
      <c r="E29" s="120">
        <v>1</v>
      </c>
      <c r="F29" s="117" t="s">
        <v>2</v>
      </c>
      <c r="G29" s="120" t="s">
        <v>285</v>
      </c>
      <c r="H29" s="123" t="s">
        <v>314</v>
      </c>
      <c r="I29" s="95">
        <f>263.983282-1.007276466583</f>
        <v>262.97600553341698</v>
      </c>
      <c r="J29" s="95">
        <v>262.97706469488929</v>
      </c>
      <c r="K29" s="96">
        <f t="shared" ref="K29:K34" si="2">ABS(I29-J29)/I29*10^6</f>
        <v>4.0275973854122711</v>
      </c>
      <c r="L29" s="117" t="s">
        <v>2</v>
      </c>
      <c r="M29" s="122">
        <v>0.99931361609040181</v>
      </c>
      <c r="N29" s="117" t="s">
        <v>2</v>
      </c>
      <c r="O29" s="132" t="s">
        <v>2</v>
      </c>
      <c r="P29" s="154"/>
      <c r="Q29" s="117" t="s">
        <v>1</v>
      </c>
      <c r="R29" s="148"/>
      <c r="S29" s="148"/>
    </row>
    <row r="30" spans="1:19" x14ac:dyDescent="0.2">
      <c r="A30" s="145"/>
      <c r="B30" s="123" t="s">
        <v>120</v>
      </c>
      <c r="C30" s="133" t="s">
        <v>183</v>
      </c>
      <c r="D30" s="133" t="s">
        <v>821</v>
      </c>
      <c r="E30" s="120">
        <v>1</v>
      </c>
      <c r="F30" s="117" t="s">
        <v>2</v>
      </c>
      <c r="G30" s="120" t="s">
        <v>285</v>
      </c>
      <c r="H30" s="123" t="s">
        <v>314</v>
      </c>
      <c r="I30" s="95">
        <f>313.980088-1.007276466583</f>
        <v>312.97281153341703</v>
      </c>
      <c r="J30" s="95">
        <v>312.97387982591653</v>
      </c>
      <c r="K30" s="96">
        <f t="shared" si="2"/>
        <v>3.4133715777500622</v>
      </c>
      <c r="L30" s="117" t="s">
        <v>2</v>
      </c>
      <c r="M30" s="122">
        <v>0.99869303267334819</v>
      </c>
      <c r="N30" s="117" t="s">
        <v>2</v>
      </c>
      <c r="O30" s="132" t="s">
        <v>2</v>
      </c>
      <c r="P30" s="154"/>
      <c r="Q30" s="117" t="s">
        <v>1</v>
      </c>
      <c r="R30" s="148"/>
      <c r="S30" s="148"/>
    </row>
    <row r="31" spans="1:19" x14ac:dyDescent="0.2">
      <c r="A31" s="145"/>
      <c r="B31" s="123" t="s">
        <v>121</v>
      </c>
      <c r="C31" s="133" t="s">
        <v>184</v>
      </c>
      <c r="D31" s="133" t="s">
        <v>820</v>
      </c>
      <c r="E31" s="120">
        <v>1</v>
      </c>
      <c r="F31" s="117" t="s">
        <v>2</v>
      </c>
      <c r="G31" s="120" t="s">
        <v>285</v>
      </c>
      <c r="H31" s="123" t="s">
        <v>314</v>
      </c>
      <c r="I31" s="95">
        <f>363.976894-1.007276466583</f>
        <v>362.96961753341702</v>
      </c>
      <c r="J31" s="95">
        <v>362.97040943584301</v>
      </c>
      <c r="K31" s="96">
        <f t="shared" si="2"/>
        <v>2.1817319900467798</v>
      </c>
      <c r="L31" s="117" t="s">
        <v>2</v>
      </c>
      <c r="M31" s="122">
        <v>0.99881934651352777</v>
      </c>
      <c r="N31" s="117" t="s">
        <v>2</v>
      </c>
      <c r="O31" s="132" t="s">
        <v>2</v>
      </c>
      <c r="P31" s="154"/>
      <c r="Q31" s="117" t="s">
        <v>1</v>
      </c>
      <c r="R31" s="148"/>
      <c r="S31" s="148"/>
    </row>
    <row r="32" spans="1:19" x14ac:dyDescent="0.2">
      <c r="A32" s="145"/>
      <c r="B32" s="123" t="s">
        <v>122</v>
      </c>
      <c r="C32" s="133" t="s">
        <v>185</v>
      </c>
      <c r="D32" s="123" t="s">
        <v>819</v>
      </c>
      <c r="E32" s="120">
        <v>1</v>
      </c>
      <c r="F32" s="117" t="s">
        <v>2</v>
      </c>
      <c r="G32" s="120" t="s">
        <v>285</v>
      </c>
      <c r="H32" s="123" t="s">
        <v>314</v>
      </c>
      <c r="I32" s="95">
        <f>413.9737-1.007276466583</f>
        <v>412.96642353341701</v>
      </c>
      <c r="J32" s="95">
        <v>412.96717116382132</v>
      </c>
      <c r="K32" s="96">
        <f t="shared" si="2"/>
        <v>1.8103902925288482</v>
      </c>
      <c r="L32" s="117" t="s">
        <v>2</v>
      </c>
      <c r="M32" s="122">
        <v>0.99884307027325192</v>
      </c>
      <c r="N32" s="117" t="s">
        <v>2</v>
      </c>
      <c r="O32" s="132" t="s">
        <v>2</v>
      </c>
      <c r="P32" s="154"/>
      <c r="Q32" s="117" t="s">
        <v>1</v>
      </c>
      <c r="R32" s="148"/>
      <c r="S32" s="148"/>
    </row>
    <row r="33" spans="1:19" x14ac:dyDescent="0.2">
      <c r="A33" s="145"/>
      <c r="B33" s="123" t="s">
        <v>123</v>
      </c>
      <c r="C33" s="133" t="s">
        <v>186</v>
      </c>
      <c r="D33" s="133" t="s">
        <v>824</v>
      </c>
      <c r="E33" s="120">
        <v>1</v>
      </c>
      <c r="F33" s="117" t="s">
        <v>2</v>
      </c>
      <c r="G33" s="120" t="s">
        <v>285</v>
      </c>
      <c r="H33" s="123" t="s">
        <v>313</v>
      </c>
      <c r="I33" s="95">
        <f>463.970506-1.007276466583</f>
        <v>462.96322953341701</v>
      </c>
      <c r="J33" s="95">
        <v>462.96434092165941</v>
      </c>
      <c r="K33" s="96">
        <f t="shared" si="2"/>
        <v>2.4005972213539555</v>
      </c>
      <c r="L33" s="117" t="s">
        <v>2</v>
      </c>
      <c r="M33" s="122">
        <v>0.99529943136067356</v>
      </c>
      <c r="N33" s="117" t="s">
        <v>2</v>
      </c>
      <c r="O33" s="132" t="s">
        <v>2</v>
      </c>
      <c r="P33" s="154"/>
      <c r="Q33" s="117" t="s">
        <v>1</v>
      </c>
      <c r="R33" s="148"/>
      <c r="S33" s="148"/>
    </row>
    <row r="34" spans="1:19" x14ac:dyDescent="0.2">
      <c r="A34" s="145"/>
      <c r="B34" s="123" t="s">
        <v>124</v>
      </c>
      <c r="C34" s="133" t="s">
        <v>187</v>
      </c>
      <c r="D34" s="133" t="s">
        <v>825</v>
      </c>
      <c r="E34" s="120">
        <v>1</v>
      </c>
      <c r="F34" s="117" t="s">
        <v>2</v>
      </c>
      <c r="G34" s="120" t="s">
        <v>285</v>
      </c>
      <c r="H34" s="123" t="s">
        <v>313</v>
      </c>
      <c r="I34" s="95">
        <f>513.967312-1.007276466583</f>
        <v>512.960035533417</v>
      </c>
      <c r="J34" s="95">
        <v>512.96087418129196</v>
      </c>
      <c r="K34" s="96">
        <f t="shared" si="2"/>
        <v>1.634918545038385</v>
      </c>
      <c r="L34" s="117" t="s">
        <v>2</v>
      </c>
      <c r="M34" s="122">
        <v>0.98030197430644705</v>
      </c>
      <c r="N34" s="117" t="s">
        <v>2</v>
      </c>
      <c r="O34" s="132" t="s">
        <v>2</v>
      </c>
      <c r="P34" s="154"/>
      <c r="Q34" s="117" t="s">
        <v>1</v>
      </c>
      <c r="R34" s="148"/>
      <c r="S34" s="148"/>
    </row>
    <row r="35" spans="1:19" x14ac:dyDescent="0.2">
      <c r="A35" s="145"/>
      <c r="B35" s="123" t="s">
        <v>125</v>
      </c>
      <c r="C35" s="133" t="s">
        <v>188</v>
      </c>
      <c r="D35" s="133" t="s">
        <v>826</v>
      </c>
      <c r="E35" s="120">
        <v>1</v>
      </c>
      <c r="F35" s="117" t="s">
        <v>2</v>
      </c>
      <c r="G35" s="120" t="s">
        <v>285</v>
      </c>
      <c r="H35" s="123" t="s">
        <v>313</v>
      </c>
      <c r="I35" s="95">
        <f>563.9641227-1.007276466583</f>
        <v>562.95684623341697</v>
      </c>
      <c r="J35" s="95">
        <v>562.95858787450959</v>
      </c>
      <c r="K35" s="96">
        <f t="shared" ref="K35" si="3">ABS(I35-J35)/I35*10^6</f>
        <v>3.0937381866380531</v>
      </c>
      <c r="L35" s="117" t="s">
        <v>2</v>
      </c>
      <c r="M35" s="122">
        <v>0.99575895428843597</v>
      </c>
      <c r="N35" s="117" t="s">
        <v>2</v>
      </c>
      <c r="O35" s="132" t="s">
        <v>2</v>
      </c>
      <c r="P35" s="154"/>
      <c r="Q35" s="117" t="s">
        <v>1</v>
      </c>
      <c r="R35" s="148"/>
      <c r="S35" s="148"/>
    </row>
    <row r="36" spans="1:19" x14ac:dyDescent="0.2">
      <c r="A36" s="145"/>
      <c r="B36" s="123" t="s">
        <v>181</v>
      </c>
      <c r="C36" s="133" t="s">
        <v>189</v>
      </c>
      <c r="D36" s="133" t="s">
        <v>827</v>
      </c>
      <c r="E36" s="120">
        <v>1</v>
      </c>
      <c r="F36" s="117" t="s">
        <v>2</v>
      </c>
      <c r="G36" s="120" t="s">
        <v>285</v>
      </c>
      <c r="H36" s="123" t="s">
        <v>313</v>
      </c>
      <c r="I36" s="95">
        <f>613.9609291-1.007276466583</f>
        <v>612.95365263341705</v>
      </c>
      <c r="J36" s="95">
        <v>612.95555720707853</v>
      </c>
      <c r="K36" s="96">
        <f t="shared" ref="K36" si="4">ABS(I36-J36)/I36*10^6</f>
        <v>3.1072066432666561</v>
      </c>
      <c r="L36" s="117" t="s">
        <v>2</v>
      </c>
      <c r="M36" s="122">
        <v>0.98218120678282128</v>
      </c>
      <c r="N36" s="117" t="s">
        <v>2</v>
      </c>
      <c r="O36" s="132" t="s">
        <v>2</v>
      </c>
      <c r="P36" s="154"/>
      <c r="Q36" s="117" t="s">
        <v>1</v>
      </c>
      <c r="R36" s="148"/>
      <c r="S36" s="148"/>
    </row>
    <row r="37" spans="1:19" x14ac:dyDescent="0.2">
      <c r="A37" s="145" t="s">
        <v>454</v>
      </c>
      <c r="B37" s="123" t="s">
        <v>107</v>
      </c>
      <c r="C37" s="133" t="s">
        <v>169</v>
      </c>
      <c r="D37" s="133" t="s">
        <v>838</v>
      </c>
      <c r="E37" s="120">
        <v>2</v>
      </c>
      <c r="F37" s="117" t="s">
        <v>1</v>
      </c>
      <c r="G37" s="120" t="s">
        <v>285</v>
      </c>
      <c r="H37" s="123"/>
      <c r="I37" s="95">
        <f>249.953463-1.007276466583</f>
        <v>248.94618653341701</v>
      </c>
      <c r="J37" s="95">
        <v>248.94671091756899</v>
      </c>
      <c r="K37" s="96">
        <f t="shared" ref="K37" si="5">ABS(I37-J37)/I37*10^6</f>
        <v>2.1064156848078022</v>
      </c>
      <c r="L37" s="117" t="s">
        <v>2</v>
      </c>
      <c r="M37" s="122">
        <v>0.9877491299017177</v>
      </c>
      <c r="N37" s="117" t="s">
        <v>2</v>
      </c>
      <c r="O37" s="132" t="s">
        <v>2</v>
      </c>
      <c r="P37" s="154" t="s">
        <v>294</v>
      </c>
      <c r="Q37" s="117" t="s">
        <v>1</v>
      </c>
      <c r="R37" s="148" t="s">
        <v>596</v>
      </c>
      <c r="S37" s="149" t="s">
        <v>686</v>
      </c>
    </row>
    <row r="38" spans="1:19" x14ac:dyDescent="0.2">
      <c r="A38" s="145"/>
      <c r="B38" s="123" t="s">
        <v>108</v>
      </c>
      <c r="C38" s="133" t="s">
        <v>170</v>
      </c>
      <c r="D38" s="133" t="s">
        <v>837</v>
      </c>
      <c r="E38" s="120">
        <v>1</v>
      </c>
      <c r="F38" s="117" t="s">
        <v>2</v>
      </c>
      <c r="G38" s="120" t="s">
        <v>285</v>
      </c>
      <c r="H38" s="123"/>
      <c r="I38" s="95">
        <f>299.950269-1.007276466583</f>
        <v>298.942992533417</v>
      </c>
      <c r="J38" s="95">
        <v>298.9437520440087</v>
      </c>
      <c r="K38" s="96">
        <f t="shared" ref="K38:K47" si="6">ABS(I38-J38)/I38*10^6</f>
        <v>2.5406536051227286</v>
      </c>
      <c r="L38" s="117" t="s">
        <v>2</v>
      </c>
      <c r="M38" s="122">
        <v>0.99153791254575063</v>
      </c>
      <c r="N38" s="117" t="s">
        <v>2</v>
      </c>
      <c r="O38" s="132" t="s">
        <v>2</v>
      </c>
      <c r="P38" s="154"/>
      <c r="Q38" s="117" t="s">
        <v>1</v>
      </c>
      <c r="R38" s="148"/>
      <c r="S38" s="148"/>
    </row>
    <row r="39" spans="1:19" x14ac:dyDescent="0.2">
      <c r="A39" s="145"/>
      <c r="B39" s="123" t="s">
        <v>109</v>
      </c>
      <c r="C39" s="133" t="s">
        <v>171</v>
      </c>
      <c r="D39" s="133" t="s">
        <v>836</v>
      </c>
      <c r="E39" s="120">
        <v>1</v>
      </c>
      <c r="F39" s="117" t="s">
        <v>2</v>
      </c>
      <c r="G39" s="120" t="s">
        <v>285</v>
      </c>
      <c r="H39" s="123"/>
      <c r="I39" s="95">
        <f>349.947075-1.007276466583</f>
        <v>348.93979853341699</v>
      </c>
      <c r="J39" s="95">
        <v>348.94054785716799</v>
      </c>
      <c r="K39" s="96">
        <f t="shared" si="6"/>
        <v>2.1474298837340267</v>
      </c>
      <c r="L39" s="117" t="s">
        <v>2</v>
      </c>
      <c r="M39" s="122">
        <v>0.98552679211690331</v>
      </c>
      <c r="N39" s="117" t="s">
        <v>2</v>
      </c>
      <c r="O39" s="132" t="s">
        <v>2</v>
      </c>
      <c r="P39" s="154"/>
      <c r="Q39" s="117" t="s">
        <v>1</v>
      </c>
      <c r="R39" s="148"/>
      <c r="S39" s="148"/>
    </row>
    <row r="40" spans="1:19" x14ac:dyDescent="0.2">
      <c r="A40" s="145"/>
      <c r="B40" s="123" t="s">
        <v>110</v>
      </c>
      <c r="C40" s="133" t="s">
        <v>172</v>
      </c>
      <c r="D40" s="133" t="s">
        <v>835</v>
      </c>
      <c r="E40" s="120">
        <v>1</v>
      </c>
      <c r="F40" s="117" t="s">
        <v>2</v>
      </c>
      <c r="G40" s="120" t="s">
        <v>285</v>
      </c>
      <c r="H40" s="123"/>
      <c r="I40" s="95">
        <f>399.943881-1.007276466583</f>
        <v>398.93660453341698</v>
      </c>
      <c r="J40" s="95">
        <v>398.93849316168519</v>
      </c>
      <c r="K40" s="96">
        <f t="shared" si="6"/>
        <v>4.7341563715707684</v>
      </c>
      <c r="L40" s="117" t="s">
        <v>2</v>
      </c>
      <c r="M40" s="122">
        <v>0.98847389971831323</v>
      </c>
      <c r="N40" s="117" t="s">
        <v>2</v>
      </c>
      <c r="O40" s="132" t="s">
        <v>2</v>
      </c>
      <c r="P40" s="154"/>
      <c r="Q40" s="117" t="s">
        <v>33</v>
      </c>
      <c r="R40" s="148"/>
      <c r="S40" s="148"/>
    </row>
    <row r="41" spans="1:19" x14ac:dyDescent="0.2">
      <c r="A41" s="145"/>
      <c r="B41" s="123" t="s">
        <v>111</v>
      </c>
      <c r="C41" s="133" t="s">
        <v>173</v>
      </c>
      <c r="D41" s="133" t="s">
        <v>834</v>
      </c>
      <c r="E41" s="120">
        <v>1</v>
      </c>
      <c r="F41" s="117" t="s">
        <v>2</v>
      </c>
      <c r="G41" s="120" t="s">
        <v>285</v>
      </c>
      <c r="H41" s="123"/>
      <c r="I41" s="95">
        <f>449.940687-1.007276466583</f>
        <v>448.93341053341703</v>
      </c>
      <c r="J41" s="95">
        <v>448.93424471795339</v>
      </c>
      <c r="K41" s="96">
        <f t="shared" si="6"/>
        <v>1.8581475933539771</v>
      </c>
      <c r="L41" s="117" t="s">
        <v>2</v>
      </c>
      <c r="M41" s="122">
        <v>0.99065441898630224</v>
      </c>
      <c r="N41" s="117" t="s">
        <v>2</v>
      </c>
      <c r="O41" s="132" t="s">
        <v>2</v>
      </c>
      <c r="P41" s="154"/>
      <c r="Q41" s="117" t="s">
        <v>1</v>
      </c>
      <c r="R41" s="148"/>
      <c r="S41" s="148"/>
    </row>
    <row r="42" spans="1:19" x14ac:dyDescent="0.2">
      <c r="A42" s="145"/>
      <c r="B42" s="123" t="s">
        <v>112</v>
      </c>
      <c r="C42" s="133" t="s">
        <v>174</v>
      </c>
      <c r="D42" s="123" t="s">
        <v>828</v>
      </c>
      <c r="E42" s="120">
        <v>1</v>
      </c>
      <c r="F42" s="117" t="s">
        <v>2</v>
      </c>
      <c r="G42" s="120" t="s">
        <v>285</v>
      </c>
      <c r="H42" s="123"/>
      <c r="I42" s="95">
        <f>499.9374955-1.007276466583</f>
        <v>498.93021903341702</v>
      </c>
      <c r="J42" s="95">
        <v>498.93073631680312</v>
      </c>
      <c r="K42" s="96">
        <f t="shared" si="6"/>
        <v>1.0367850380051176</v>
      </c>
      <c r="L42" s="117" t="s">
        <v>2</v>
      </c>
      <c r="M42" s="122">
        <v>0.99499951564600286</v>
      </c>
      <c r="N42" s="117" t="s">
        <v>2</v>
      </c>
      <c r="O42" s="132" t="s">
        <v>2</v>
      </c>
      <c r="P42" s="154"/>
      <c r="Q42" s="117" t="s">
        <v>1</v>
      </c>
      <c r="R42" s="148"/>
      <c r="S42" s="148"/>
    </row>
    <row r="43" spans="1:19" x14ac:dyDescent="0.2">
      <c r="A43" s="145"/>
      <c r="B43" s="123" t="s">
        <v>113</v>
      </c>
      <c r="C43" s="133" t="s">
        <v>175</v>
      </c>
      <c r="D43" s="133" t="s">
        <v>829</v>
      </c>
      <c r="E43" s="120">
        <v>1</v>
      </c>
      <c r="F43" s="117" t="s">
        <v>2</v>
      </c>
      <c r="G43" s="120" t="s">
        <v>285</v>
      </c>
      <c r="H43" s="123"/>
      <c r="I43" s="95">
        <f>549.934299-1.007276466583</f>
        <v>548.92702253341702</v>
      </c>
      <c r="J43" s="95">
        <v>548.92824789792519</v>
      </c>
      <c r="K43" s="96">
        <f t="shared" si="6"/>
        <v>2.2322903735317414</v>
      </c>
      <c r="L43" s="117" t="s">
        <v>2</v>
      </c>
      <c r="M43" s="122">
        <v>0.96944870824790308</v>
      </c>
      <c r="N43" s="117" t="s">
        <v>2</v>
      </c>
      <c r="O43" s="132" t="s">
        <v>2</v>
      </c>
      <c r="P43" s="154"/>
      <c r="Q43" s="117" t="s">
        <v>1</v>
      </c>
      <c r="R43" s="148"/>
      <c r="S43" s="148"/>
    </row>
    <row r="44" spans="1:19" x14ac:dyDescent="0.2">
      <c r="A44" s="145"/>
      <c r="B44" s="123" t="s">
        <v>114</v>
      </c>
      <c r="C44" s="133" t="s">
        <v>176</v>
      </c>
      <c r="D44" s="133" t="s">
        <v>830</v>
      </c>
      <c r="E44" s="120">
        <v>1</v>
      </c>
      <c r="F44" s="117" t="s">
        <v>2</v>
      </c>
      <c r="G44" s="120" t="s">
        <v>285</v>
      </c>
      <c r="H44" s="123"/>
      <c r="I44" s="95">
        <f>599.931105-1.007276466583</f>
        <v>598.92382853341701</v>
      </c>
      <c r="J44" s="95">
        <v>598.92476889864088</v>
      </c>
      <c r="K44" s="96">
        <f t="shared" si="6"/>
        <v>1.5700915192697142</v>
      </c>
      <c r="L44" s="117" t="s">
        <v>2</v>
      </c>
      <c r="M44" s="122">
        <v>0.98167347095273971</v>
      </c>
      <c r="N44" s="117" t="s">
        <v>2</v>
      </c>
      <c r="O44" s="132" t="s">
        <v>2</v>
      </c>
      <c r="P44" s="154"/>
      <c r="Q44" s="117" t="s">
        <v>1</v>
      </c>
      <c r="R44" s="148"/>
      <c r="S44" s="148"/>
    </row>
    <row r="45" spans="1:19" x14ac:dyDescent="0.2">
      <c r="A45" s="145"/>
      <c r="B45" s="123" t="s">
        <v>115</v>
      </c>
      <c r="C45" s="133" t="s">
        <v>177</v>
      </c>
      <c r="D45" s="133" t="s">
        <v>831</v>
      </c>
      <c r="E45" s="120">
        <v>2</v>
      </c>
      <c r="F45" s="117" t="s">
        <v>2</v>
      </c>
      <c r="G45" s="120" t="s">
        <v>285</v>
      </c>
      <c r="H45" s="123"/>
      <c r="I45" s="95">
        <f>649.927911-1.007276466583</f>
        <v>648.920634533417</v>
      </c>
      <c r="J45" s="95">
        <v>648.92154258297603</v>
      </c>
      <c r="K45" s="96">
        <f t="shared" si="6"/>
        <v>1.3993229845165551</v>
      </c>
      <c r="L45" s="117" t="s">
        <v>2</v>
      </c>
      <c r="M45" s="122">
        <v>0.99495629126622764</v>
      </c>
      <c r="N45" s="117" t="s">
        <v>2</v>
      </c>
      <c r="O45" s="132" t="s">
        <v>2</v>
      </c>
      <c r="P45" s="154"/>
      <c r="Q45" s="117" t="s">
        <v>1</v>
      </c>
      <c r="R45" s="148"/>
      <c r="S45" s="148"/>
    </row>
    <row r="46" spans="1:19" x14ac:dyDescent="0.2">
      <c r="A46" s="145"/>
      <c r="B46" s="123" t="s">
        <v>116</v>
      </c>
      <c r="C46" s="133" t="s">
        <v>178</v>
      </c>
      <c r="D46" s="133" t="s">
        <v>832</v>
      </c>
      <c r="E46" s="120">
        <v>1</v>
      </c>
      <c r="F46" s="117" t="s">
        <v>2</v>
      </c>
      <c r="G46" s="120" t="s">
        <v>285</v>
      </c>
      <c r="H46" s="123"/>
      <c r="I46" s="95">
        <f>699.924717-1.007276466583</f>
        <v>698.91744053341699</v>
      </c>
      <c r="J46" s="95">
        <v>698.91793693809177</v>
      </c>
      <c r="K46" s="96">
        <f t="shared" si="6"/>
        <v>0.7102479434458483</v>
      </c>
      <c r="L46" s="117" t="s">
        <v>2</v>
      </c>
      <c r="M46" s="122">
        <v>0.98710914375171643</v>
      </c>
      <c r="N46" s="117" t="s">
        <v>2</v>
      </c>
      <c r="O46" s="132" t="s">
        <v>2</v>
      </c>
      <c r="P46" s="154"/>
      <c r="Q46" s="117" t="s">
        <v>1</v>
      </c>
      <c r="R46" s="148"/>
      <c r="S46" s="148"/>
    </row>
    <row r="47" spans="1:19" x14ac:dyDescent="0.2">
      <c r="A47" s="145"/>
      <c r="B47" s="123" t="s">
        <v>117</v>
      </c>
      <c r="C47" s="133" t="s">
        <v>179</v>
      </c>
      <c r="D47" s="133" t="s">
        <v>833</v>
      </c>
      <c r="E47" s="120">
        <v>2</v>
      </c>
      <c r="F47" s="117" t="s">
        <v>1</v>
      </c>
      <c r="G47" s="120" t="s">
        <v>285</v>
      </c>
      <c r="H47" s="123"/>
      <c r="I47" s="95">
        <f>749.9215277-1.007276466583</f>
        <v>748.91425123341696</v>
      </c>
      <c r="J47" s="95">
        <v>748.91340609366841</v>
      </c>
      <c r="K47" s="96">
        <f t="shared" si="6"/>
        <v>1.1284866687432149</v>
      </c>
      <c r="L47" s="117" t="s">
        <v>2</v>
      </c>
      <c r="M47" s="122">
        <v>0.98773622744225642</v>
      </c>
      <c r="N47" s="117" t="s">
        <v>2</v>
      </c>
      <c r="O47" s="132" t="s">
        <v>2</v>
      </c>
      <c r="P47" s="154"/>
      <c r="Q47" s="117" t="s">
        <v>1</v>
      </c>
      <c r="R47" s="148"/>
      <c r="S47" s="148"/>
    </row>
    <row r="48" spans="1:19" x14ac:dyDescent="0.2">
      <c r="A48" s="145" t="s">
        <v>455</v>
      </c>
      <c r="B48" s="123" t="s">
        <v>456</v>
      </c>
      <c r="C48" s="133" t="s">
        <v>200</v>
      </c>
      <c r="D48" s="133" t="s">
        <v>838</v>
      </c>
      <c r="E48" s="120">
        <v>5</v>
      </c>
      <c r="F48" s="117" t="s">
        <v>1</v>
      </c>
      <c r="G48" s="120" t="s">
        <v>285</v>
      </c>
      <c r="H48" s="123"/>
      <c r="I48" s="95">
        <f>248.9694473-1.007276466583</f>
        <v>247.96217083341702</v>
      </c>
      <c r="J48" s="95" t="s">
        <v>322</v>
      </c>
      <c r="K48" s="96" t="s">
        <v>1</v>
      </c>
      <c r="L48" s="117" t="s">
        <v>1</v>
      </c>
      <c r="M48" s="122" t="s">
        <v>1</v>
      </c>
      <c r="N48" s="117" t="s">
        <v>1</v>
      </c>
      <c r="O48" s="132" t="s">
        <v>800</v>
      </c>
      <c r="P48" s="154" t="s">
        <v>292</v>
      </c>
      <c r="Q48" s="117" t="s">
        <v>1</v>
      </c>
      <c r="R48" s="149" t="s">
        <v>603</v>
      </c>
      <c r="S48" s="149" t="s">
        <v>685</v>
      </c>
    </row>
    <row r="49" spans="1:19" x14ac:dyDescent="0.2">
      <c r="A49" s="145"/>
      <c r="B49" s="123" t="s">
        <v>457</v>
      </c>
      <c r="C49" s="133" t="s">
        <v>199</v>
      </c>
      <c r="D49" s="133" t="s">
        <v>837</v>
      </c>
      <c r="E49" s="120">
        <v>2</v>
      </c>
      <c r="F49" s="117" t="s">
        <v>1</v>
      </c>
      <c r="G49" s="120" t="s">
        <v>285</v>
      </c>
      <c r="H49" s="123"/>
      <c r="I49" s="95">
        <f>298.966253-1.007276466583</f>
        <v>297.958976533417</v>
      </c>
      <c r="J49" s="95">
        <v>297.95982129596263</v>
      </c>
      <c r="K49" s="96">
        <f>ABS(I49-J49)/I49*10^6</f>
        <v>2.8351639391903216</v>
      </c>
      <c r="L49" s="117" t="s">
        <v>2</v>
      </c>
      <c r="M49" s="122">
        <v>0.99144826137683895</v>
      </c>
      <c r="N49" s="117" t="s">
        <v>2</v>
      </c>
      <c r="O49" s="132" t="s">
        <v>2</v>
      </c>
      <c r="P49" s="154"/>
      <c r="Q49" s="117" t="s">
        <v>1</v>
      </c>
      <c r="R49" s="148"/>
      <c r="S49" s="148"/>
    </row>
    <row r="50" spans="1:19" x14ac:dyDescent="0.2">
      <c r="A50" s="145"/>
      <c r="B50" s="123" t="s">
        <v>458</v>
      </c>
      <c r="C50" s="133" t="s">
        <v>198</v>
      </c>
      <c r="D50" s="133" t="s">
        <v>836</v>
      </c>
      <c r="E50" s="120">
        <v>2</v>
      </c>
      <c r="F50" s="117" t="s">
        <v>1</v>
      </c>
      <c r="G50" s="120" t="s">
        <v>285</v>
      </c>
      <c r="H50" s="123"/>
      <c r="I50" s="95">
        <f>348.963059-1.007276466583</f>
        <v>347.95578253341699</v>
      </c>
      <c r="J50" s="95">
        <v>347.95658883167238</v>
      </c>
      <c r="K50" s="96">
        <f>ABS(I50-J50)/I50*10^6</f>
        <v>2.3172434425813084</v>
      </c>
      <c r="L50" s="117" t="s">
        <v>2</v>
      </c>
      <c r="M50" s="122">
        <v>0.99043162189992473</v>
      </c>
      <c r="N50" s="117" t="s">
        <v>2</v>
      </c>
      <c r="O50" s="132" t="s">
        <v>2</v>
      </c>
      <c r="P50" s="154"/>
      <c r="Q50" s="117" t="s">
        <v>1</v>
      </c>
      <c r="R50" s="148"/>
      <c r="S50" s="148"/>
    </row>
    <row r="51" spans="1:19" x14ac:dyDescent="0.2">
      <c r="A51" s="145"/>
      <c r="B51" s="123" t="s">
        <v>459</v>
      </c>
      <c r="C51" s="133" t="s">
        <v>197</v>
      </c>
      <c r="D51" s="133" t="s">
        <v>835</v>
      </c>
      <c r="E51" s="120">
        <v>1</v>
      </c>
      <c r="F51" s="117" t="s">
        <v>2</v>
      </c>
      <c r="G51" s="120" t="s">
        <v>285</v>
      </c>
      <c r="H51" s="123"/>
      <c r="I51" s="95">
        <f>398.959865-1.007276466583</f>
        <v>397.95258853341699</v>
      </c>
      <c r="J51" s="95">
        <v>397.95361829323713</v>
      </c>
      <c r="K51" s="96">
        <f>ABS(I51-J51)/I51*10^6</f>
        <v>2.587644482818563</v>
      </c>
      <c r="L51" s="117" t="s">
        <v>2</v>
      </c>
      <c r="M51" s="122">
        <v>0.99005322853637678</v>
      </c>
      <c r="N51" s="117" t="s">
        <v>2</v>
      </c>
      <c r="O51" s="132" t="s">
        <v>2</v>
      </c>
      <c r="P51" s="154"/>
      <c r="Q51" s="117" t="s">
        <v>33</v>
      </c>
      <c r="R51" s="148"/>
      <c r="S51" s="148"/>
    </row>
    <row r="52" spans="1:19" x14ac:dyDescent="0.2">
      <c r="A52" s="145"/>
      <c r="B52" s="123" t="s">
        <v>460</v>
      </c>
      <c r="C52" s="133" t="s">
        <v>201</v>
      </c>
      <c r="D52" s="133" t="s">
        <v>834</v>
      </c>
      <c r="E52" s="120">
        <v>2</v>
      </c>
      <c r="F52" s="117" t="s">
        <v>1</v>
      </c>
      <c r="G52" s="120" t="s">
        <v>285</v>
      </c>
      <c r="H52" s="123"/>
      <c r="I52" s="95">
        <f>448.9566731-1.007276466583</f>
        <v>447.949396633417</v>
      </c>
      <c r="J52" s="95">
        <v>447.94996003006929</v>
      </c>
      <c r="K52" s="96">
        <f>ABS(I52-J52)/I52*10^6</f>
        <v>1.2577238780332438</v>
      </c>
      <c r="L52" s="117" t="s">
        <v>2</v>
      </c>
      <c r="M52" s="97">
        <v>0.97185924438576476</v>
      </c>
      <c r="N52" s="117" t="s">
        <v>2</v>
      </c>
      <c r="O52" s="132" t="s">
        <v>2</v>
      </c>
      <c r="P52" s="154"/>
      <c r="Q52" s="117" t="s">
        <v>1</v>
      </c>
      <c r="R52" s="148"/>
      <c r="S52" s="148"/>
    </row>
    <row r="53" spans="1:19" x14ac:dyDescent="0.2">
      <c r="A53" s="145"/>
      <c r="B53" s="123" t="s">
        <v>461</v>
      </c>
      <c r="C53" s="133" t="s">
        <v>202</v>
      </c>
      <c r="D53" s="123" t="s">
        <v>828</v>
      </c>
      <c r="E53" s="120">
        <v>1</v>
      </c>
      <c r="F53" s="117" t="s">
        <v>2</v>
      </c>
      <c r="G53" s="120" t="s">
        <v>285</v>
      </c>
      <c r="H53" s="123"/>
      <c r="I53" s="95">
        <f>498.953476-1.007276466583</f>
        <v>497.94619953341703</v>
      </c>
      <c r="J53" s="95">
        <v>497.9474154464308</v>
      </c>
      <c r="K53" s="96">
        <f t="shared" ref="K53" si="7">ABS(I53-J53)/I53*10^6</f>
        <v>2.4418561983311466</v>
      </c>
      <c r="L53" s="117" t="s">
        <v>2</v>
      </c>
      <c r="M53" s="122">
        <v>0.98891178493596221</v>
      </c>
      <c r="N53" s="117" t="s">
        <v>2</v>
      </c>
      <c r="O53" s="132" t="s">
        <v>2</v>
      </c>
      <c r="P53" s="154"/>
      <c r="Q53" s="117" t="s">
        <v>299</v>
      </c>
      <c r="R53" s="148"/>
      <c r="S53" s="148"/>
    </row>
    <row r="54" spans="1:19" x14ac:dyDescent="0.2">
      <c r="A54" s="145" t="s">
        <v>462</v>
      </c>
      <c r="B54" s="123" t="s">
        <v>126</v>
      </c>
      <c r="C54" s="133" t="s">
        <v>191</v>
      </c>
      <c r="D54" s="133" t="s">
        <v>845</v>
      </c>
      <c r="E54" s="120">
        <v>5</v>
      </c>
      <c r="F54" s="117" t="s">
        <v>1</v>
      </c>
      <c r="G54" s="120" t="s">
        <v>285</v>
      </c>
      <c r="H54" s="123"/>
      <c r="I54" s="95">
        <f>242.0177777-1.007276466583</f>
        <v>241.01050123341702</v>
      </c>
      <c r="J54" s="95" t="s">
        <v>322</v>
      </c>
      <c r="K54" s="96" t="s">
        <v>1</v>
      </c>
      <c r="L54" s="117" t="s">
        <v>1</v>
      </c>
      <c r="M54" s="122" t="s">
        <v>1</v>
      </c>
      <c r="N54" s="117" t="s">
        <v>1</v>
      </c>
      <c r="O54" s="132" t="s">
        <v>800</v>
      </c>
      <c r="P54" s="154" t="s">
        <v>308</v>
      </c>
      <c r="Q54" s="117" t="s">
        <v>1</v>
      </c>
      <c r="R54" s="149" t="s">
        <v>604</v>
      </c>
      <c r="S54" s="149" t="s">
        <v>684</v>
      </c>
    </row>
    <row r="55" spans="1:19" x14ac:dyDescent="0.2">
      <c r="A55" s="145"/>
      <c r="B55" s="123" t="s">
        <v>127</v>
      </c>
      <c r="C55" s="133" t="s">
        <v>192</v>
      </c>
      <c r="D55" s="133" t="s">
        <v>844</v>
      </c>
      <c r="E55" s="120">
        <v>5</v>
      </c>
      <c r="F55" s="117" t="s">
        <v>1</v>
      </c>
      <c r="G55" s="120" t="s">
        <v>285</v>
      </c>
      <c r="H55" s="123"/>
      <c r="I55" s="95">
        <f>292.0145841-1.007276466583</f>
        <v>291.00730763341699</v>
      </c>
      <c r="J55" s="95">
        <v>291.00032729846589</v>
      </c>
      <c r="K55" s="96">
        <f t="shared" ref="K55" si="8">ABS(I55-J55)/I55*10^6</f>
        <v>23.986802970212697</v>
      </c>
      <c r="L55" s="117" t="s">
        <v>1</v>
      </c>
      <c r="M55" s="95" t="s">
        <v>322</v>
      </c>
      <c r="N55" s="117" t="s">
        <v>1</v>
      </c>
      <c r="O55" s="132" t="s">
        <v>2</v>
      </c>
      <c r="P55" s="154"/>
      <c r="Q55" s="117" t="s">
        <v>1</v>
      </c>
      <c r="R55" s="148"/>
      <c r="S55" s="148"/>
    </row>
    <row r="56" spans="1:19" x14ac:dyDescent="0.2">
      <c r="A56" s="145"/>
      <c r="B56" s="123" t="s">
        <v>25</v>
      </c>
      <c r="C56" s="133" t="s">
        <v>190</v>
      </c>
      <c r="D56" s="123" t="s">
        <v>839</v>
      </c>
      <c r="E56" s="120">
        <v>1</v>
      </c>
      <c r="F56" s="117" t="s">
        <v>2</v>
      </c>
      <c r="G56" s="120" t="s">
        <v>285</v>
      </c>
      <c r="H56" s="123"/>
      <c r="I56" s="95">
        <f>342.011388-1.007276466583</f>
        <v>341.00411153341702</v>
      </c>
      <c r="J56" s="95">
        <v>341.00464373844801</v>
      </c>
      <c r="K56" s="96">
        <f>ABS(I56-J56)/I56*10^6</f>
        <v>1.5606997481632221</v>
      </c>
      <c r="L56" s="117" t="s">
        <v>2</v>
      </c>
      <c r="M56" s="122">
        <v>0.99940899252930004</v>
      </c>
      <c r="N56" s="117" t="s">
        <v>2</v>
      </c>
      <c r="O56" s="132" t="s">
        <v>2</v>
      </c>
      <c r="P56" s="154"/>
      <c r="Q56" s="117" t="s">
        <v>297</v>
      </c>
      <c r="R56" s="148"/>
      <c r="S56" s="148"/>
    </row>
    <row r="57" spans="1:19" x14ac:dyDescent="0.2">
      <c r="A57" s="145"/>
      <c r="B57" s="123" t="s">
        <v>128</v>
      </c>
      <c r="C57" s="133" t="s">
        <v>193</v>
      </c>
      <c r="D57" s="133" t="s">
        <v>840</v>
      </c>
      <c r="E57" s="120">
        <v>5</v>
      </c>
      <c r="F57" s="117" t="s">
        <v>1</v>
      </c>
      <c r="G57" s="120" t="s">
        <v>285</v>
      </c>
      <c r="H57" s="123"/>
      <c r="I57" s="95">
        <f>392.008197-1.007276466583</f>
        <v>391.000920533417</v>
      </c>
      <c r="J57" s="95" t="s">
        <v>322</v>
      </c>
      <c r="K57" s="96" t="s">
        <v>1</v>
      </c>
      <c r="L57" s="117" t="s">
        <v>1</v>
      </c>
      <c r="M57" s="122" t="s">
        <v>1</v>
      </c>
      <c r="N57" s="117" t="s">
        <v>1</v>
      </c>
      <c r="O57" s="132" t="s">
        <v>800</v>
      </c>
      <c r="P57" s="154"/>
      <c r="Q57" s="117" t="s">
        <v>1</v>
      </c>
      <c r="R57" s="148"/>
      <c r="S57" s="148"/>
    </row>
    <row r="58" spans="1:19" x14ac:dyDescent="0.2">
      <c r="A58" s="145"/>
      <c r="B58" s="123" t="s">
        <v>129</v>
      </c>
      <c r="C58" s="133" t="s">
        <v>194</v>
      </c>
      <c r="D58" s="133" t="s">
        <v>841</v>
      </c>
      <c r="E58" s="120">
        <v>1</v>
      </c>
      <c r="F58" s="117" t="s">
        <v>2</v>
      </c>
      <c r="G58" s="120" t="s">
        <v>285</v>
      </c>
      <c r="H58" s="123"/>
      <c r="I58" s="95">
        <f>442.005-1.007276466583</f>
        <v>440.997723533417</v>
      </c>
      <c r="J58" s="95">
        <v>440.99771368279568</v>
      </c>
      <c r="K58" s="96">
        <f>ABS(I58-J58)/I58*10^6</f>
        <v>2.2337125112420055E-2</v>
      </c>
      <c r="L58" s="117" t="s">
        <v>2</v>
      </c>
      <c r="M58" s="122">
        <v>0.9941493275524258</v>
      </c>
      <c r="N58" s="117" t="s">
        <v>2</v>
      </c>
      <c r="O58" s="132" t="s">
        <v>2</v>
      </c>
      <c r="P58" s="154"/>
      <c r="Q58" s="117" t="s">
        <v>1</v>
      </c>
      <c r="R58" s="148"/>
      <c r="S58" s="148"/>
    </row>
    <row r="59" spans="1:19" x14ac:dyDescent="0.2">
      <c r="A59" s="145"/>
      <c r="B59" s="123" t="s">
        <v>130</v>
      </c>
      <c r="C59" s="133" t="s">
        <v>195</v>
      </c>
      <c r="D59" s="133" t="s">
        <v>842</v>
      </c>
      <c r="E59" s="120">
        <v>5</v>
      </c>
      <c r="F59" s="117" t="s">
        <v>1</v>
      </c>
      <c r="G59" s="120" t="s">
        <v>285</v>
      </c>
      <c r="H59" s="123"/>
      <c r="I59" s="95">
        <f>492.0018099-1.007276466583</f>
        <v>490.99453343341702</v>
      </c>
      <c r="J59" s="95" t="s">
        <v>322</v>
      </c>
      <c r="K59" s="96" t="s">
        <v>1</v>
      </c>
      <c r="L59" s="117" t="s">
        <v>1</v>
      </c>
      <c r="M59" s="122" t="s">
        <v>1</v>
      </c>
      <c r="N59" s="117" t="s">
        <v>1</v>
      </c>
      <c r="O59" s="132" t="s">
        <v>800</v>
      </c>
      <c r="P59" s="154"/>
      <c r="Q59" s="117" t="s">
        <v>1</v>
      </c>
      <c r="R59" s="148"/>
      <c r="S59" s="148"/>
    </row>
    <row r="60" spans="1:19" x14ac:dyDescent="0.2">
      <c r="A60" s="145"/>
      <c r="B60" s="123" t="s">
        <v>131</v>
      </c>
      <c r="C60" s="133" t="s">
        <v>196</v>
      </c>
      <c r="D60" s="133" t="s">
        <v>843</v>
      </c>
      <c r="E60" s="120">
        <v>5</v>
      </c>
      <c r="F60" s="117" t="s">
        <v>1</v>
      </c>
      <c r="G60" s="120" t="s">
        <v>285</v>
      </c>
      <c r="H60" s="123"/>
      <c r="I60" s="95">
        <f>541.9986163-1.007276466583</f>
        <v>540.99133983341699</v>
      </c>
      <c r="J60" s="95">
        <v>540.94181385451668</v>
      </c>
      <c r="K60" s="96">
        <f t="shared" ref="K60:K67" si="9">ABS(I60-J60)/I60*10^6</f>
        <v>91.546712957652659</v>
      </c>
      <c r="L60" s="117" t="s">
        <v>1</v>
      </c>
      <c r="M60" s="95" t="s">
        <v>322</v>
      </c>
      <c r="N60" s="117" t="s">
        <v>1</v>
      </c>
      <c r="O60" s="132" t="s">
        <v>2</v>
      </c>
      <c r="P60" s="154"/>
      <c r="Q60" s="117" t="s">
        <v>1</v>
      </c>
      <c r="R60" s="148"/>
      <c r="S60" s="148"/>
    </row>
    <row r="61" spans="1:19" x14ac:dyDescent="0.2">
      <c r="A61" s="145" t="s">
        <v>463</v>
      </c>
      <c r="B61" s="123" t="s">
        <v>18</v>
      </c>
      <c r="C61" s="133" t="s">
        <v>203</v>
      </c>
      <c r="D61" s="123" t="s">
        <v>846</v>
      </c>
      <c r="E61" s="120">
        <v>1</v>
      </c>
      <c r="F61" s="117" t="s">
        <v>2</v>
      </c>
      <c r="G61" s="120" t="s">
        <v>285</v>
      </c>
      <c r="H61" s="123"/>
      <c r="I61" s="95">
        <f>427.975181-1.007276466583</f>
        <v>426.96790453341703</v>
      </c>
      <c r="J61" s="95">
        <v>426.96903180724058</v>
      </c>
      <c r="K61" s="96">
        <f t="shared" si="9"/>
        <v>2.6401839847611424</v>
      </c>
      <c r="L61" s="117" t="s">
        <v>2</v>
      </c>
      <c r="M61" s="122">
        <v>0.99118040764278148</v>
      </c>
      <c r="N61" s="117" t="s">
        <v>2</v>
      </c>
      <c r="O61" s="132" t="s">
        <v>2</v>
      </c>
      <c r="P61" s="154" t="s">
        <v>293</v>
      </c>
      <c r="Q61" s="117" t="s">
        <v>1</v>
      </c>
      <c r="R61" s="149" t="s">
        <v>605</v>
      </c>
      <c r="S61" s="149" t="s">
        <v>683</v>
      </c>
    </row>
    <row r="62" spans="1:19" x14ac:dyDescent="0.2">
      <c r="A62" s="145"/>
      <c r="B62" s="123" t="s">
        <v>138</v>
      </c>
      <c r="C62" s="133" t="s">
        <v>204</v>
      </c>
      <c r="D62" s="133" t="s">
        <v>847</v>
      </c>
      <c r="E62" s="120">
        <v>1</v>
      </c>
      <c r="F62" s="117" t="s">
        <v>2</v>
      </c>
      <c r="G62" s="120" t="s">
        <v>285</v>
      </c>
      <c r="H62" s="123"/>
      <c r="I62" s="95">
        <f>527.968793-1.007276466583</f>
        <v>526.96151653341701</v>
      </c>
      <c r="J62" s="95">
        <v>526.96253800201521</v>
      </c>
      <c r="K62" s="96">
        <f t="shared" si="9"/>
        <v>1.9384121347533558</v>
      </c>
      <c r="L62" s="117" t="s">
        <v>2</v>
      </c>
      <c r="M62" s="122">
        <v>0.99035778176391975</v>
      </c>
      <c r="N62" s="117" t="s">
        <v>2</v>
      </c>
      <c r="O62" s="132" t="s">
        <v>2</v>
      </c>
      <c r="P62" s="154"/>
      <c r="Q62" s="117" t="s">
        <v>296</v>
      </c>
      <c r="R62" s="148"/>
      <c r="S62" s="148"/>
    </row>
    <row r="63" spans="1:19" x14ac:dyDescent="0.2">
      <c r="A63" s="145"/>
      <c r="B63" s="123" t="s">
        <v>139</v>
      </c>
      <c r="C63" s="133" t="s">
        <v>205</v>
      </c>
      <c r="D63" s="133" t="s">
        <v>848</v>
      </c>
      <c r="E63" s="120">
        <v>2</v>
      </c>
      <c r="F63" s="117" t="s">
        <v>1</v>
      </c>
      <c r="G63" s="120" t="s">
        <v>285</v>
      </c>
      <c r="H63" s="123"/>
      <c r="I63" s="95">
        <f>627.962405-1.007276466583</f>
        <v>626.955128533417</v>
      </c>
      <c r="J63" s="95">
        <v>626.95673472508088</v>
      </c>
      <c r="K63" s="96">
        <f t="shared" si="9"/>
        <v>2.5618925354978765</v>
      </c>
      <c r="L63" s="117" t="s">
        <v>2</v>
      </c>
      <c r="M63" s="122">
        <v>0.99188486044084656</v>
      </c>
      <c r="N63" s="117" t="s">
        <v>2</v>
      </c>
      <c r="O63" s="132" t="s">
        <v>2</v>
      </c>
      <c r="P63" s="154"/>
      <c r="Q63" s="117" t="s">
        <v>1</v>
      </c>
      <c r="R63" s="148"/>
      <c r="S63" s="148"/>
    </row>
    <row r="64" spans="1:19" x14ac:dyDescent="0.2">
      <c r="A64" s="145"/>
      <c r="B64" s="123" t="s">
        <v>140</v>
      </c>
      <c r="C64" s="133" t="s">
        <v>206</v>
      </c>
      <c r="D64" s="133" t="s">
        <v>849</v>
      </c>
      <c r="E64" s="120">
        <v>2</v>
      </c>
      <c r="F64" s="117" t="s">
        <v>1</v>
      </c>
      <c r="G64" s="120" t="s">
        <v>285</v>
      </c>
      <c r="H64" s="123"/>
      <c r="I64" s="95">
        <f>727.956017-1.007276466583</f>
        <v>726.94874053341698</v>
      </c>
      <c r="J64" s="95">
        <v>726.95045327453079</v>
      </c>
      <c r="K64" s="96">
        <f t="shared" si="9"/>
        <v>2.3560686170932668</v>
      </c>
      <c r="L64" s="117" t="s">
        <v>2</v>
      </c>
      <c r="M64" s="122">
        <v>0.97773611154935713</v>
      </c>
      <c r="N64" s="117" t="s">
        <v>2</v>
      </c>
      <c r="O64" s="132" t="s">
        <v>2</v>
      </c>
      <c r="P64" s="154"/>
      <c r="Q64" s="117" t="s">
        <v>1</v>
      </c>
      <c r="R64" s="148"/>
      <c r="S64" s="148"/>
    </row>
    <row r="65" spans="1:19" x14ac:dyDescent="0.2">
      <c r="A65" s="145"/>
      <c r="B65" s="123" t="s">
        <v>141</v>
      </c>
      <c r="C65" s="133" t="s">
        <v>207</v>
      </c>
      <c r="D65" s="133" t="s">
        <v>850</v>
      </c>
      <c r="E65" s="120">
        <v>2</v>
      </c>
      <c r="F65" s="117" t="s">
        <v>1</v>
      </c>
      <c r="G65" s="120" t="s">
        <v>285</v>
      </c>
      <c r="H65" s="123"/>
      <c r="I65" s="95">
        <f>827.949629-1.007276466583</f>
        <v>826.94235253341697</v>
      </c>
      <c r="J65" s="95">
        <v>826.94428168952243</v>
      </c>
      <c r="K65" s="96">
        <f t="shared" si="9"/>
        <v>2.3328785852500622</v>
      </c>
      <c r="L65" s="117" t="s">
        <v>2</v>
      </c>
      <c r="M65" s="122">
        <v>0.99603022757900572</v>
      </c>
      <c r="N65" s="117" t="s">
        <v>2</v>
      </c>
      <c r="O65" s="132" t="s">
        <v>2</v>
      </c>
      <c r="P65" s="154"/>
      <c r="Q65" s="117" t="s">
        <v>1</v>
      </c>
      <c r="R65" s="148"/>
      <c r="S65" s="148"/>
    </row>
    <row r="66" spans="1:19" x14ac:dyDescent="0.2">
      <c r="A66" s="145" t="s">
        <v>464</v>
      </c>
      <c r="B66" s="123" t="s">
        <v>155</v>
      </c>
      <c r="C66" s="133" t="s">
        <v>263</v>
      </c>
      <c r="D66" s="135" t="s">
        <v>860</v>
      </c>
      <c r="E66" s="120">
        <v>2</v>
      </c>
      <c r="F66" s="117" t="s">
        <v>1</v>
      </c>
      <c r="G66" s="120" t="s">
        <v>285</v>
      </c>
      <c r="H66" s="123"/>
      <c r="I66" s="95">
        <v>360.93979973341703</v>
      </c>
      <c r="J66" s="95">
        <v>360.93972795714808</v>
      </c>
      <c r="K66" s="96">
        <f t="shared" si="9"/>
        <v>0.1988593915281287</v>
      </c>
      <c r="L66" s="117" t="s">
        <v>2</v>
      </c>
      <c r="M66" s="122">
        <v>0.96513133228198311</v>
      </c>
      <c r="N66" s="117" t="s">
        <v>2</v>
      </c>
      <c r="O66" s="132" t="s">
        <v>2</v>
      </c>
      <c r="P66" s="154" t="s">
        <v>378</v>
      </c>
      <c r="Q66" s="117" t="s">
        <v>298</v>
      </c>
      <c r="R66" s="148" t="s">
        <v>596</v>
      </c>
      <c r="S66" s="148" t="s">
        <v>668</v>
      </c>
    </row>
    <row r="67" spans="1:19" x14ac:dyDescent="0.2">
      <c r="A67" s="145"/>
      <c r="B67" s="123" t="s">
        <v>156</v>
      </c>
      <c r="C67" s="133" t="s">
        <v>262</v>
      </c>
      <c r="D67" s="135" t="s">
        <v>859</v>
      </c>
      <c r="E67" s="120">
        <v>2</v>
      </c>
      <c r="F67" s="117" t="s">
        <v>1</v>
      </c>
      <c r="G67" s="120" t="s">
        <v>285</v>
      </c>
      <c r="H67" s="123"/>
      <c r="I67" s="95">
        <v>410.936606133417</v>
      </c>
      <c r="J67" s="95">
        <v>410.93637393189567</v>
      </c>
      <c r="K67" s="96">
        <f t="shared" si="9"/>
        <v>0.56505436084876659</v>
      </c>
      <c r="L67" s="117" t="s">
        <v>2</v>
      </c>
      <c r="M67" s="122">
        <v>0.98620502346593664</v>
      </c>
      <c r="N67" s="117" t="s">
        <v>2</v>
      </c>
      <c r="O67" s="132" t="s">
        <v>2</v>
      </c>
      <c r="P67" s="154"/>
      <c r="Q67" s="117" t="s">
        <v>1</v>
      </c>
      <c r="R67" s="148"/>
      <c r="S67" s="148"/>
    </row>
    <row r="68" spans="1:19" x14ac:dyDescent="0.2">
      <c r="A68" s="145"/>
      <c r="B68" s="123" t="s">
        <v>157</v>
      </c>
      <c r="C68" s="133" t="s">
        <v>257</v>
      </c>
      <c r="D68" s="123" t="s">
        <v>851</v>
      </c>
      <c r="E68" s="120">
        <v>2</v>
      </c>
      <c r="F68" s="117" t="s">
        <v>1</v>
      </c>
      <c r="G68" s="120" t="s">
        <v>285</v>
      </c>
      <c r="H68" s="123"/>
      <c r="I68" s="95">
        <v>460.93341263341699</v>
      </c>
      <c r="J68" s="95">
        <v>460.93452440399591</v>
      </c>
      <c r="K68" s="96">
        <f t="shared" ref="K68:K74" si="10">ABS(I68-J68)/I68*10^6</f>
        <v>2.4119982375855473</v>
      </c>
      <c r="L68" s="117" t="s">
        <v>2</v>
      </c>
      <c r="M68" s="122">
        <v>0.98404073257878544</v>
      </c>
      <c r="N68" s="117" t="s">
        <v>2</v>
      </c>
      <c r="O68" s="132" t="s">
        <v>2</v>
      </c>
      <c r="P68" s="154"/>
      <c r="Q68" s="117" t="s">
        <v>299</v>
      </c>
      <c r="R68" s="148"/>
      <c r="S68" s="148"/>
    </row>
    <row r="69" spans="1:19" x14ac:dyDescent="0.2">
      <c r="A69" s="145"/>
      <c r="B69" s="123" t="s">
        <v>158</v>
      </c>
      <c r="C69" s="133" t="s">
        <v>258</v>
      </c>
      <c r="D69" s="135" t="s">
        <v>852</v>
      </c>
      <c r="E69" s="120">
        <v>2</v>
      </c>
      <c r="F69" s="117" t="s">
        <v>1</v>
      </c>
      <c r="G69" s="120" t="s">
        <v>285</v>
      </c>
      <c r="H69" s="123"/>
      <c r="I69" s="95">
        <v>510.93021903341702</v>
      </c>
      <c r="J69" s="95">
        <v>510.9310676499901</v>
      </c>
      <c r="K69" s="96">
        <f t="shared" si="10"/>
        <v>1.6609246066625871</v>
      </c>
      <c r="L69" s="117" t="s">
        <v>2</v>
      </c>
      <c r="M69" s="122">
        <v>0.98418176495056053</v>
      </c>
      <c r="N69" s="117" t="s">
        <v>2</v>
      </c>
      <c r="O69" s="132" t="s">
        <v>2</v>
      </c>
      <c r="P69" s="154"/>
      <c r="Q69" s="117" t="s">
        <v>1</v>
      </c>
      <c r="R69" s="148"/>
      <c r="S69" s="148"/>
    </row>
    <row r="70" spans="1:19" x14ac:dyDescent="0.2">
      <c r="A70" s="145"/>
      <c r="B70" s="123" t="s">
        <v>159</v>
      </c>
      <c r="C70" s="133" t="s">
        <v>259</v>
      </c>
      <c r="D70" s="135" t="s">
        <v>853</v>
      </c>
      <c r="E70" s="120">
        <v>2</v>
      </c>
      <c r="F70" s="117" t="s">
        <v>1</v>
      </c>
      <c r="G70" s="120" t="s">
        <v>285</v>
      </c>
      <c r="H70" s="123"/>
      <c r="I70" s="95">
        <v>560.92702543341704</v>
      </c>
      <c r="J70" s="95">
        <v>560.92796152797018</v>
      </c>
      <c r="K70" s="96">
        <f t="shared" si="10"/>
        <v>1.6688348228836163</v>
      </c>
      <c r="L70" s="117" t="s">
        <v>2</v>
      </c>
      <c r="M70" s="122">
        <v>0.98496385440949918</v>
      </c>
      <c r="N70" s="117" t="s">
        <v>2</v>
      </c>
      <c r="O70" s="132" t="s">
        <v>2</v>
      </c>
      <c r="P70" s="154"/>
      <c r="Q70" s="117" t="s">
        <v>1</v>
      </c>
      <c r="R70" s="148"/>
      <c r="S70" s="148"/>
    </row>
    <row r="71" spans="1:19" x14ac:dyDescent="0.2">
      <c r="A71" s="145"/>
      <c r="B71" s="123" t="s">
        <v>160</v>
      </c>
      <c r="C71" s="133" t="s">
        <v>260</v>
      </c>
      <c r="D71" s="135" t="s">
        <v>854</v>
      </c>
      <c r="E71" s="120">
        <v>2</v>
      </c>
      <c r="F71" s="117" t="s">
        <v>1</v>
      </c>
      <c r="G71" s="120" t="s">
        <v>285</v>
      </c>
      <c r="H71" s="123"/>
      <c r="I71" s="95">
        <v>610.92383193341698</v>
      </c>
      <c r="J71" s="95">
        <v>610.92467464937477</v>
      </c>
      <c r="K71" s="96">
        <f t="shared" si="10"/>
        <v>1.3794124794915144</v>
      </c>
      <c r="L71" s="117" t="s">
        <v>2</v>
      </c>
      <c r="M71" s="122">
        <v>0.96052004223903464</v>
      </c>
      <c r="N71" s="117" t="s">
        <v>2</v>
      </c>
      <c r="O71" s="132" t="s">
        <v>2</v>
      </c>
      <c r="P71" s="154"/>
      <c r="Q71" s="117" t="s">
        <v>1</v>
      </c>
      <c r="R71" s="148"/>
      <c r="S71" s="148"/>
    </row>
    <row r="72" spans="1:19" x14ac:dyDescent="0.2">
      <c r="A72" s="145"/>
      <c r="B72" s="123" t="s">
        <v>161</v>
      </c>
      <c r="C72" s="133" t="s">
        <v>261</v>
      </c>
      <c r="D72" s="135" t="s">
        <v>855</v>
      </c>
      <c r="E72" s="120">
        <v>2</v>
      </c>
      <c r="F72" s="117" t="s">
        <v>1</v>
      </c>
      <c r="G72" s="120" t="s">
        <v>285</v>
      </c>
      <c r="H72" s="123"/>
      <c r="I72" s="95">
        <v>660.92063833341706</v>
      </c>
      <c r="J72" s="95">
        <v>660.92173124833187</v>
      </c>
      <c r="K72" s="96">
        <f t="shared" si="10"/>
        <v>1.6536250366803502</v>
      </c>
      <c r="L72" s="117" t="s">
        <v>2</v>
      </c>
      <c r="M72" s="122">
        <v>0.99468594350462292</v>
      </c>
      <c r="N72" s="117" t="s">
        <v>2</v>
      </c>
      <c r="O72" s="132" t="s">
        <v>2</v>
      </c>
      <c r="P72" s="154"/>
      <c r="Q72" s="117" t="s">
        <v>1</v>
      </c>
      <c r="R72" s="148"/>
      <c r="S72" s="148"/>
    </row>
    <row r="73" spans="1:19" x14ac:dyDescent="0.2">
      <c r="A73" s="145"/>
      <c r="B73" s="123" t="s">
        <v>320</v>
      </c>
      <c r="C73" s="133" t="s">
        <v>266</v>
      </c>
      <c r="D73" s="135" t="s">
        <v>856</v>
      </c>
      <c r="E73" s="120">
        <v>2</v>
      </c>
      <c r="F73" s="117" t="s">
        <v>1</v>
      </c>
      <c r="G73" s="120" t="s">
        <v>285</v>
      </c>
      <c r="H73" s="123"/>
      <c r="I73" s="95">
        <v>710.91744483341699</v>
      </c>
      <c r="J73" s="95">
        <v>710.91894205334336</v>
      </c>
      <c r="K73" s="96">
        <f t="shared" si="10"/>
        <v>2.10603908687977</v>
      </c>
      <c r="L73" s="117" t="s">
        <v>2</v>
      </c>
      <c r="M73" s="122">
        <v>0.99135011968403364</v>
      </c>
      <c r="N73" s="117" t="s">
        <v>2</v>
      </c>
      <c r="O73" s="132" t="s">
        <v>2</v>
      </c>
      <c r="P73" s="154"/>
      <c r="Q73" s="117" t="s">
        <v>1</v>
      </c>
      <c r="R73" s="148"/>
      <c r="S73" s="148"/>
    </row>
    <row r="74" spans="1:19" x14ac:dyDescent="0.2">
      <c r="A74" s="145"/>
      <c r="B74" s="123" t="s">
        <v>264</v>
      </c>
      <c r="C74" s="133" t="s">
        <v>267</v>
      </c>
      <c r="D74" s="135" t="s">
        <v>857</v>
      </c>
      <c r="E74" s="120">
        <v>2</v>
      </c>
      <c r="F74" s="117" t="s">
        <v>1</v>
      </c>
      <c r="G74" s="120" t="s">
        <v>285</v>
      </c>
      <c r="H74" s="123"/>
      <c r="I74" s="95">
        <v>760.91425123341696</v>
      </c>
      <c r="J74" s="95">
        <v>760.91596062225778</v>
      </c>
      <c r="K74" s="96">
        <f t="shared" si="10"/>
        <v>2.2464933966629608</v>
      </c>
      <c r="L74" s="117" t="s">
        <v>2</v>
      </c>
      <c r="M74" s="122">
        <v>0.99426959258746206</v>
      </c>
      <c r="N74" s="117" t="s">
        <v>2</v>
      </c>
      <c r="O74" s="132" t="s">
        <v>2</v>
      </c>
      <c r="P74" s="154"/>
      <c r="Q74" s="117" t="s">
        <v>1</v>
      </c>
      <c r="R74" s="148"/>
      <c r="S74" s="148"/>
    </row>
    <row r="75" spans="1:19" x14ac:dyDescent="0.2">
      <c r="A75" s="145"/>
      <c r="B75" s="123" t="s">
        <v>265</v>
      </c>
      <c r="C75" s="133" t="s">
        <v>268</v>
      </c>
      <c r="D75" s="135" t="s">
        <v>858</v>
      </c>
      <c r="E75" s="120">
        <v>5</v>
      </c>
      <c r="F75" s="117" t="s">
        <v>1</v>
      </c>
      <c r="G75" s="120" t="s">
        <v>285</v>
      </c>
      <c r="H75" s="123"/>
      <c r="I75" s="95">
        <v>810.91105763341704</v>
      </c>
      <c r="J75" s="95" t="s">
        <v>322</v>
      </c>
      <c r="K75" s="96" t="s">
        <v>1</v>
      </c>
      <c r="L75" s="117" t="s">
        <v>1</v>
      </c>
      <c r="M75" s="122" t="s">
        <v>1</v>
      </c>
      <c r="N75" s="117" t="s">
        <v>1</v>
      </c>
      <c r="O75" s="132" t="s">
        <v>800</v>
      </c>
      <c r="P75" s="154"/>
      <c r="Q75" s="117" t="s">
        <v>1</v>
      </c>
      <c r="R75" s="148"/>
      <c r="S75" s="148"/>
    </row>
    <row r="76" spans="1:19" x14ac:dyDescent="0.2">
      <c r="A76" s="145" t="s">
        <v>465</v>
      </c>
      <c r="B76" s="123" t="s">
        <v>134</v>
      </c>
      <c r="C76" s="133" t="s">
        <v>209</v>
      </c>
      <c r="D76" s="133" t="s">
        <v>906</v>
      </c>
      <c r="E76" s="120">
        <v>2</v>
      </c>
      <c r="F76" s="117" t="s">
        <v>1</v>
      </c>
      <c r="G76" s="120" t="s">
        <v>285</v>
      </c>
      <c r="H76" s="123"/>
      <c r="I76" s="95">
        <f>557.9063727-1.007276466583</f>
        <v>556.89909623341703</v>
      </c>
      <c r="J76" s="95">
        <v>556.89981439639052</v>
      </c>
      <c r="K76" s="96">
        <f t="shared" ref="K76" si="11">ABS(I76-J76)/I76*10^6</f>
        <v>1.2895746794275351</v>
      </c>
      <c r="L76" s="117" t="s">
        <v>2</v>
      </c>
      <c r="M76" s="122">
        <v>0.97449286242112443</v>
      </c>
      <c r="N76" s="117" t="s">
        <v>2</v>
      </c>
      <c r="O76" s="132" t="s">
        <v>2</v>
      </c>
      <c r="P76" s="154" t="s">
        <v>381</v>
      </c>
      <c r="Q76" s="117" t="s">
        <v>1</v>
      </c>
      <c r="R76" s="148" t="s">
        <v>606</v>
      </c>
      <c r="S76" s="148" t="s">
        <v>671</v>
      </c>
    </row>
    <row r="77" spans="1:19" x14ac:dyDescent="0.2">
      <c r="A77" s="145"/>
      <c r="B77" s="123" t="s">
        <v>135</v>
      </c>
      <c r="C77" s="133" t="s">
        <v>208</v>
      </c>
      <c r="D77" s="133" t="s">
        <v>905</v>
      </c>
      <c r="E77" s="120">
        <v>2</v>
      </c>
      <c r="F77" s="117" t="s">
        <v>1</v>
      </c>
      <c r="G77" s="120" t="s">
        <v>285</v>
      </c>
      <c r="H77" s="123"/>
      <c r="I77" s="95">
        <f>607.903177-1.007276466583</f>
        <v>606.89590053341703</v>
      </c>
      <c r="J77" s="95">
        <v>606.89724784272448</v>
      </c>
      <c r="K77" s="96">
        <f t="shared" ref="K77:K80" si="12">ABS(I77-J77)/I77*10^6</f>
        <v>2.2200006727082839</v>
      </c>
      <c r="L77" s="117" t="s">
        <v>2</v>
      </c>
      <c r="M77" s="122">
        <v>0.98607491921013712</v>
      </c>
      <c r="N77" s="117" t="s">
        <v>2</v>
      </c>
      <c r="O77" s="132" t="s">
        <v>2</v>
      </c>
      <c r="P77" s="154"/>
      <c r="Q77" s="117" t="s">
        <v>306</v>
      </c>
      <c r="R77" s="148"/>
      <c r="S77" s="148"/>
    </row>
    <row r="78" spans="1:19" x14ac:dyDescent="0.2">
      <c r="A78" s="145"/>
      <c r="B78" s="123" t="s">
        <v>136</v>
      </c>
      <c r="C78" s="133" t="s">
        <v>211</v>
      </c>
      <c r="D78" s="133" t="s">
        <v>907</v>
      </c>
      <c r="E78" s="120">
        <v>2</v>
      </c>
      <c r="F78" s="117" t="s">
        <v>1</v>
      </c>
      <c r="G78" s="120" t="s">
        <v>285</v>
      </c>
      <c r="H78" s="123"/>
      <c r="I78" s="95">
        <f>657.899983-1.007276466583</f>
        <v>656.89270653341703</v>
      </c>
      <c r="J78" s="95">
        <v>656.89406918251689</v>
      </c>
      <c r="K78" s="96">
        <f t="shared" si="12"/>
        <v>2.0743861003594071</v>
      </c>
      <c r="L78" s="117" t="s">
        <v>2</v>
      </c>
      <c r="M78" s="122">
        <v>0.97636555535066116</v>
      </c>
      <c r="N78" s="117" t="s">
        <v>2</v>
      </c>
      <c r="O78" s="132" t="s">
        <v>2</v>
      </c>
      <c r="P78" s="154"/>
      <c r="Q78" s="117" t="s">
        <v>306</v>
      </c>
      <c r="R78" s="148"/>
      <c r="S78" s="148"/>
    </row>
    <row r="79" spans="1:19" x14ac:dyDescent="0.2">
      <c r="A79" s="145"/>
      <c r="B79" s="123" t="s">
        <v>137</v>
      </c>
      <c r="C79" s="133" t="s">
        <v>212</v>
      </c>
      <c r="D79" s="133" t="s">
        <v>908</v>
      </c>
      <c r="E79" s="120">
        <v>2</v>
      </c>
      <c r="F79" s="117" t="s">
        <v>1</v>
      </c>
      <c r="G79" s="120" t="s">
        <v>285</v>
      </c>
      <c r="H79" s="123"/>
      <c r="I79" s="95">
        <f>707.896789-1.007276466583</f>
        <v>706.88951253341702</v>
      </c>
      <c r="J79" s="95">
        <v>706.89069017108363</v>
      </c>
      <c r="K79" s="96">
        <f t="shared" si="12"/>
        <v>1.6659430444714047</v>
      </c>
      <c r="L79" s="117" t="s">
        <v>2</v>
      </c>
      <c r="M79" s="122">
        <v>0.98850699363806649</v>
      </c>
      <c r="N79" s="117" t="s">
        <v>2</v>
      </c>
      <c r="O79" s="132" t="s">
        <v>2</v>
      </c>
      <c r="P79" s="154"/>
      <c r="Q79" s="117" t="s">
        <v>1</v>
      </c>
      <c r="R79" s="148"/>
      <c r="S79" s="148"/>
    </row>
    <row r="80" spans="1:19" x14ac:dyDescent="0.2">
      <c r="A80" s="164" t="s">
        <v>466</v>
      </c>
      <c r="B80" s="123" t="s">
        <v>467</v>
      </c>
      <c r="C80" s="133" t="s">
        <v>80</v>
      </c>
      <c r="D80" s="133" t="s">
        <v>910</v>
      </c>
      <c r="E80" s="120">
        <v>2</v>
      </c>
      <c r="F80" s="117" t="s">
        <v>1</v>
      </c>
      <c r="G80" s="120" t="s">
        <v>286</v>
      </c>
      <c r="H80" s="123" t="s">
        <v>290</v>
      </c>
      <c r="I80" s="95">
        <f>442.060882+1.007276466583</f>
        <v>443.06815846658299</v>
      </c>
      <c r="J80" s="95">
        <v>443.06758584157058</v>
      </c>
      <c r="K80" s="96">
        <f t="shared" si="12"/>
        <v>1.2924084059473948</v>
      </c>
      <c r="L80" s="117" t="s">
        <v>2</v>
      </c>
      <c r="M80" s="97">
        <v>0.97711339408942832</v>
      </c>
      <c r="N80" s="117" t="s">
        <v>2</v>
      </c>
      <c r="O80" s="132" t="s">
        <v>2</v>
      </c>
      <c r="P80" s="158" t="s">
        <v>398</v>
      </c>
      <c r="Q80" s="117" t="s">
        <v>1</v>
      </c>
      <c r="R80" s="149" t="s">
        <v>607</v>
      </c>
      <c r="S80" s="149" t="s">
        <v>682</v>
      </c>
    </row>
    <row r="81" spans="1:20" x14ac:dyDescent="0.2">
      <c r="A81" s="164"/>
      <c r="B81" s="123" t="s">
        <v>468</v>
      </c>
      <c r="C81" s="133" t="s">
        <v>79</v>
      </c>
      <c r="D81" s="123" t="s">
        <v>911</v>
      </c>
      <c r="E81" s="120">
        <v>5</v>
      </c>
      <c r="F81" s="117" t="s">
        <v>1</v>
      </c>
      <c r="G81" s="120" t="s">
        <v>286</v>
      </c>
      <c r="H81" s="123" t="s">
        <v>290</v>
      </c>
      <c r="I81" s="95">
        <f>492.057688+1.007276466583</f>
        <v>493.06496446658298</v>
      </c>
      <c r="J81" s="95" t="s">
        <v>322</v>
      </c>
      <c r="K81" s="96" t="s">
        <v>1</v>
      </c>
      <c r="L81" s="117" t="s">
        <v>1</v>
      </c>
      <c r="M81" s="122" t="s">
        <v>1</v>
      </c>
      <c r="N81" s="117" t="s">
        <v>1</v>
      </c>
      <c r="O81" s="132" t="s">
        <v>800</v>
      </c>
      <c r="P81" s="154"/>
      <c r="Q81" s="117" t="s">
        <v>1</v>
      </c>
      <c r="R81" s="148"/>
      <c r="S81" s="148"/>
    </row>
    <row r="82" spans="1:20" x14ac:dyDescent="0.2">
      <c r="A82" s="164"/>
      <c r="B82" s="145" t="s">
        <v>469</v>
      </c>
      <c r="C82" s="145" t="s">
        <v>78</v>
      </c>
      <c r="D82" s="145" t="s">
        <v>909</v>
      </c>
      <c r="E82" s="157">
        <v>2</v>
      </c>
      <c r="F82" s="154" t="s">
        <v>1</v>
      </c>
      <c r="G82" s="120" t="s">
        <v>286</v>
      </c>
      <c r="H82" s="125" t="s">
        <v>290</v>
      </c>
      <c r="I82" s="98">
        <f>542.054494+1.007276466583</f>
        <v>543.06177046658297</v>
      </c>
      <c r="J82" s="95">
        <v>543.06140601927154</v>
      </c>
      <c r="K82" s="96">
        <f>ABS(I82-J82)/I82*10^6</f>
        <v>0.67109734333398585</v>
      </c>
      <c r="L82" s="117" t="s">
        <v>2</v>
      </c>
      <c r="M82" s="122">
        <v>0.97694828020608027</v>
      </c>
      <c r="N82" s="117" t="s">
        <v>2</v>
      </c>
      <c r="O82" s="132" t="s">
        <v>2</v>
      </c>
      <c r="P82" s="154"/>
      <c r="Q82" s="117" t="s">
        <v>298</v>
      </c>
      <c r="R82" s="148"/>
      <c r="S82" s="148"/>
    </row>
    <row r="83" spans="1:20" x14ac:dyDescent="0.2">
      <c r="A83" s="164"/>
      <c r="B83" s="145"/>
      <c r="C83" s="145"/>
      <c r="D83" s="145"/>
      <c r="E83" s="157"/>
      <c r="F83" s="154"/>
      <c r="G83" s="120" t="s">
        <v>309</v>
      </c>
      <c r="H83" s="125"/>
      <c r="I83" s="98">
        <f>542.054494-1.007276466583</f>
        <v>541.04721753341698</v>
      </c>
      <c r="J83" s="95" t="s">
        <v>322</v>
      </c>
      <c r="K83" s="96" t="s">
        <v>1</v>
      </c>
      <c r="L83" s="117" t="s">
        <v>1</v>
      </c>
      <c r="M83" s="122" t="s">
        <v>1</v>
      </c>
      <c r="N83" s="117" t="s">
        <v>1</v>
      </c>
      <c r="O83" s="132" t="s">
        <v>800</v>
      </c>
      <c r="P83" s="154"/>
      <c r="Q83" s="117" t="s">
        <v>1</v>
      </c>
      <c r="R83" s="148"/>
      <c r="S83" s="148"/>
    </row>
    <row r="84" spans="1:20" x14ac:dyDescent="0.2">
      <c r="A84" s="164"/>
      <c r="B84" s="145" t="s">
        <v>470</v>
      </c>
      <c r="C84" s="145" t="s">
        <v>77</v>
      </c>
      <c r="D84" s="145" t="s">
        <v>912</v>
      </c>
      <c r="E84" s="157">
        <v>2</v>
      </c>
      <c r="F84" s="154" t="s">
        <v>1</v>
      </c>
      <c r="G84" s="120" t="s">
        <v>286</v>
      </c>
      <c r="H84" s="125" t="s">
        <v>290</v>
      </c>
      <c r="I84" s="98">
        <f>642.048106+1.007276466583</f>
        <v>643.05538246658296</v>
      </c>
      <c r="J84" s="95">
        <v>643.05561907471042</v>
      </c>
      <c r="K84" s="96">
        <f>ABS(I84-J84)/I84*10^6</f>
        <v>0.36794362339100439</v>
      </c>
      <c r="L84" s="117" t="s">
        <v>2</v>
      </c>
      <c r="M84" s="122">
        <v>0.9717679171303425</v>
      </c>
      <c r="N84" s="117" t="s">
        <v>2</v>
      </c>
      <c r="O84" s="132" t="s">
        <v>2</v>
      </c>
      <c r="P84" s="154"/>
      <c r="Q84" s="117" t="s">
        <v>299</v>
      </c>
      <c r="R84" s="148"/>
      <c r="S84" s="148"/>
    </row>
    <row r="85" spans="1:20" x14ac:dyDescent="0.2">
      <c r="A85" s="164"/>
      <c r="B85" s="145"/>
      <c r="C85" s="145"/>
      <c r="D85" s="145"/>
      <c r="E85" s="157"/>
      <c r="F85" s="154"/>
      <c r="G85" s="120" t="s">
        <v>309</v>
      </c>
      <c r="H85" s="125"/>
      <c r="I85" s="98">
        <f>642.048106-1.007276466583</f>
        <v>641.04082953341697</v>
      </c>
      <c r="J85" s="95">
        <v>641.03980178254278</v>
      </c>
      <c r="K85" s="96">
        <f>ABS(I85-J85)/I85*10^6</f>
        <v>1.6032533761297947</v>
      </c>
      <c r="L85" s="117" t="s">
        <v>2</v>
      </c>
      <c r="M85" s="122">
        <v>0.96944765299690727</v>
      </c>
      <c r="N85" s="117" t="s">
        <v>2</v>
      </c>
      <c r="O85" s="132" t="s">
        <v>2</v>
      </c>
      <c r="P85" s="154"/>
      <c r="Q85" s="117" t="s">
        <v>1</v>
      </c>
      <c r="R85" s="148"/>
      <c r="S85" s="148"/>
    </row>
    <row r="86" spans="1:20" x14ac:dyDescent="0.2">
      <c r="A86" s="164" t="s">
        <v>471</v>
      </c>
      <c r="B86" s="123" t="s">
        <v>13</v>
      </c>
      <c r="C86" s="133" t="s">
        <v>81</v>
      </c>
      <c r="D86" s="123" t="s">
        <v>885</v>
      </c>
      <c r="E86" s="120">
        <v>2</v>
      </c>
      <c r="F86" s="117" t="s">
        <v>1</v>
      </c>
      <c r="G86" s="120" t="s">
        <v>286</v>
      </c>
      <c r="H86" s="123"/>
      <c r="I86" s="95">
        <f>449.066043+1.007276466583</f>
        <v>450.07331946658297</v>
      </c>
      <c r="J86" s="95">
        <v>450.07326865933089</v>
      </c>
      <c r="K86" s="96">
        <f>ABS(I86-J86)/I86*10^6</f>
        <v>0.11288661176448263</v>
      </c>
      <c r="L86" s="117" t="s">
        <v>2</v>
      </c>
      <c r="M86" s="122">
        <v>0.98215069100442931</v>
      </c>
      <c r="N86" s="117" t="s">
        <v>2</v>
      </c>
      <c r="O86" s="132" t="s">
        <v>2</v>
      </c>
      <c r="P86" s="154" t="s">
        <v>381</v>
      </c>
      <c r="Q86" s="117" t="s">
        <v>33</v>
      </c>
      <c r="R86" s="148" t="s">
        <v>1</v>
      </c>
      <c r="S86" s="149" t="s">
        <v>608</v>
      </c>
    </row>
    <row r="87" spans="1:20" x14ac:dyDescent="0.2">
      <c r="A87" s="164"/>
      <c r="B87" s="123" t="s">
        <v>48</v>
      </c>
      <c r="C87" s="133" t="s">
        <v>82</v>
      </c>
      <c r="D87" s="135" t="s">
        <v>886</v>
      </c>
      <c r="E87" s="120">
        <v>2</v>
      </c>
      <c r="F87" s="117" t="s">
        <v>1</v>
      </c>
      <c r="G87" s="120" t="s">
        <v>286</v>
      </c>
      <c r="H87" s="123"/>
      <c r="I87" s="95">
        <f>549.059655+1.007276466583</f>
        <v>550.06693146658301</v>
      </c>
      <c r="J87" s="95">
        <v>550.06644876371138</v>
      </c>
      <c r="K87" s="96">
        <f>ABS(I87-J87)/I87*10^6</f>
        <v>0.8775347944464551</v>
      </c>
      <c r="L87" s="117" t="s">
        <v>2</v>
      </c>
      <c r="M87" s="122">
        <v>0.9962434393898103</v>
      </c>
      <c r="N87" s="117" t="s">
        <v>2</v>
      </c>
      <c r="O87" s="132" t="s">
        <v>2</v>
      </c>
      <c r="P87" s="154"/>
      <c r="Q87" s="117" t="s">
        <v>296</v>
      </c>
      <c r="R87" s="148"/>
      <c r="S87" s="148"/>
    </row>
    <row r="88" spans="1:20" x14ac:dyDescent="0.2">
      <c r="A88" s="164"/>
      <c r="B88" s="123" t="s">
        <v>49</v>
      </c>
      <c r="C88" s="133" t="s">
        <v>83</v>
      </c>
      <c r="D88" s="135" t="s">
        <v>887</v>
      </c>
      <c r="E88" s="120">
        <v>2</v>
      </c>
      <c r="F88" s="117" t="s">
        <v>1</v>
      </c>
      <c r="G88" s="120" t="s">
        <v>286</v>
      </c>
      <c r="H88" s="123"/>
      <c r="I88" s="95">
        <f>649.053267+1.007276466583</f>
        <v>650.060543466583</v>
      </c>
      <c r="J88" s="95">
        <v>650.05974300037246</v>
      </c>
      <c r="K88" s="96">
        <f>ABS(I88-J88)/I88*10^6</f>
        <v>1.231371783105502</v>
      </c>
      <c r="L88" s="117" t="s">
        <v>2</v>
      </c>
      <c r="M88" s="122">
        <v>0.99731550509330058</v>
      </c>
      <c r="N88" s="117" t="s">
        <v>2</v>
      </c>
      <c r="O88" s="132" t="s">
        <v>2</v>
      </c>
      <c r="P88" s="154"/>
      <c r="Q88" s="117" t="s">
        <v>1</v>
      </c>
      <c r="R88" s="148"/>
      <c r="S88" s="148"/>
    </row>
    <row r="89" spans="1:20" x14ac:dyDescent="0.2">
      <c r="A89" s="164"/>
      <c r="B89" s="123" t="s">
        <v>50</v>
      </c>
      <c r="C89" s="133" t="s">
        <v>84</v>
      </c>
      <c r="D89" s="135" t="s">
        <v>888</v>
      </c>
      <c r="E89" s="120">
        <v>5</v>
      </c>
      <c r="F89" s="117" t="s">
        <v>1</v>
      </c>
      <c r="G89" s="120" t="s">
        <v>286</v>
      </c>
      <c r="H89" s="123"/>
      <c r="I89" s="95">
        <f>749.046878+1.007276466583</f>
        <v>750.05415446658299</v>
      </c>
      <c r="J89" s="95" t="s">
        <v>322</v>
      </c>
      <c r="K89" s="96" t="s">
        <v>1</v>
      </c>
      <c r="L89" s="117" t="s">
        <v>1</v>
      </c>
      <c r="M89" s="122" t="s">
        <v>1</v>
      </c>
      <c r="N89" s="117" t="s">
        <v>1</v>
      </c>
      <c r="O89" s="132" t="s">
        <v>800</v>
      </c>
      <c r="P89" s="154"/>
      <c r="Q89" s="117" t="s">
        <v>1</v>
      </c>
      <c r="R89" s="148"/>
      <c r="S89" s="148"/>
    </row>
    <row r="90" spans="1:20" x14ac:dyDescent="0.2">
      <c r="A90" s="145" t="s">
        <v>472</v>
      </c>
      <c r="B90" s="123" t="s">
        <v>21</v>
      </c>
      <c r="C90" s="133" t="s">
        <v>215</v>
      </c>
      <c r="D90" s="123" t="s">
        <v>889</v>
      </c>
      <c r="E90" s="120">
        <v>2</v>
      </c>
      <c r="F90" s="117" t="s">
        <v>1</v>
      </c>
      <c r="G90" s="120" t="s">
        <v>285</v>
      </c>
      <c r="H90" s="123" t="s">
        <v>311</v>
      </c>
      <c r="I90" s="95">
        <f>426.991164-1.007276466583</f>
        <v>425.98388753341703</v>
      </c>
      <c r="J90" s="95">
        <v>425.98558672906643</v>
      </c>
      <c r="K90" s="96">
        <f t="shared" ref="K90:K95" si="13">ABS(I90-J90)/I90*10^6</f>
        <v>3.9888730515907551</v>
      </c>
      <c r="L90" s="117" t="s">
        <v>2</v>
      </c>
      <c r="M90" s="122">
        <v>0.98769040060272562</v>
      </c>
      <c r="N90" s="117" t="s">
        <v>2</v>
      </c>
      <c r="O90" s="132" t="s">
        <v>2</v>
      </c>
      <c r="P90" s="154" t="s">
        <v>380</v>
      </c>
      <c r="Q90" s="117" t="s">
        <v>300</v>
      </c>
      <c r="R90" s="149" t="s">
        <v>610</v>
      </c>
      <c r="S90" s="148" t="s">
        <v>1</v>
      </c>
      <c r="T90" s="79"/>
    </row>
    <row r="91" spans="1:20" x14ac:dyDescent="0.2">
      <c r="A91" s="145"/>
      <c r="B91" s="123" t="s">
        <v>142</v>
      </c>
      <c r="C91" s="133" t="s">
        <v>216</v>
      </c>
      <c r="D91" s="135" t="s">
        <v>890</v>
      </c>
      <c r="E91" s="120">
        <v>2</v>
      </c>
      <c r="F91" s="117" t="s">
        <v>1</v>
      </c>
      <c r="G91" s="120" t="s">
        <v>285</v>
      </c>
      <c r="H91" s="123"/>
      <c r="I91" s="95">
        <f>526.984776-1.007276466583</f>
        <v>525.97749953341702</v>
      </c>
      <c r="J91" s="95">
        <v>525.9784455664095</v>
      </c>
      <c r="K91" s="96">
        <f t="shared" si="13"/>
        <v>1.7986187495224588</v>
      </c>
      <c r="L91" s="117" t="s">
        <v>2</v>
      </c>
      <c r="M91" s="122">
        <v>0.99421034483108683</v>
      </c>
      <c r="N91" s="117" t="s">
        <v>2</v>
      </c>
      <c r="O91" s="132" t="s">
        <v>2</v>
      </c>
      <c r="P91" s="154"/>
      <c r="Q91" s="117" t="s">
        <v>1</v>
      </c>
      <c r="R91" s="148"/>
      <c r="S91" s="148"/>
    </row>
    <row r="92" spans="1:20" x14ac:dyDescent="0.2">
      <c r="A92" s="145"/>
      <c r="B92" s="123" t="s">
        <v>143</v>
      </c>
      <c r="C92" s="133" t="s">
        <v>217</v>
      </c>
      <c r="D92" s="135" t="s">
        <v>891</v>
      </c>
      <c r="E92" s="120">
        <v>2</v>
      </c>
      <c r="F92" s="117" t="s">
        <v>1</v>
      </c>
      <c r="G92" s="120" t="s">
        <v>285</v>
      </c>
      <c r="H92" s="123"/>
      <c r="I92" s="95">
        <f>626.978388-1.007276466583</f>
        <v>625.971111533417</v>
      </c>
      <c r="J92" s="95">
        <v>625.97149541224655</v>
      </c>
      <c r="K92" s="96">
        <f t="shared" si="13"/>
        <v>0.61325326757030918</v>
      </c>
      <c r="L92" s="117" t="s">
        <v>2</v>
      </c>
      <c r="M92" s="122">
        <v>0.97079242057744808</v>
      </c>
      <c r="N92" s="117" t="s">
        <v>2</v>
      </c>
      <c r="O92" s="132" t="s">
        <v>2</v>
      </c>
      <c r="P92" s="154"/>
      <c r="Q92" s="117" t="s">
        <v>1</v>
      </c>
      <c r="R92" s="148"/>
      <c r="S92" s="148"/>
    </row>
    <row r="93" spans="1:20" ht="15.75" customHeight="1" x14ac:dyDescent="0.2">
      <c r="A93" s="164" t="s">
        <v>869</v>
      </c>
      <c r="B93" s="123" t="s">
        <v>870</v>
      </c>
      <c r="C93" s="133" t="s">
        <v>86</v>
      </c>
      <c r="D93" s="135" t="s">
        <v>895</v>
      </c>
      <c r="E93" s="120">
        <v>2</v>
      </c>
      <c r="F93" s="117" t="s">
        <v>1</v>
      </c>
      <c r="G93" s="120" t="s">
        <v>286</v>
      </c>
      <c r="H93" s="123"/>
      <c r="I93" s="95">
        <f>395.096538+1.007276466583</f>
        <v>396.103814466583</v>
      </c>
      <c r="J93" s="95">
        <v>396.10166154336571</v>
      </c>
      <c r="K93" s="96">
        <f t="shared" si="13"/>
        <v>5.4352498982986699</v>
      </c>
      <c r="L93" s="117" t="s">
        <v>2</v>
      </c>
      <c r="M93" s="122">
        <v>0.99075255773107507</v>
      </c>
      <c r="N93" s="117" t="s">
        <v>2</v>
      </c>
      <c r="O93" s="132" t="s">
        <v>2</v>
      </c>
      <c r="P93" s="154" t="s">
        <v>381</v>
      </c>
      <c r="Q93" s="117" t="s">
        <v>1</v>
      </c>
      <c r="R93" s="148" t="s">
        <v>595</v>
      </c>
      <c r="S93" s="149" t="s">
        <v>681</v>
      </c>
    </row>
    <row r="94" spans="1:20" ht="15.75" customHeight="1" x14ac:dyDescent="0.2">
      <c r="A94" s="164"/>
      <c r="B94" s="123" t="s">
        <v>863</v>
      </c>
      <c r="C94" s="133" t="s">
        <v>85</v>
      </c>
      <c r="D94" s="123" t="s">
        <v>892</v>
      </c>
      <c r="E94" s="120">
        <v>2</v>
      </c>
      <c r="F94" s="117" t="s">
        <v>1</v>
      </c>
      <c r="G94" s="120" t="s">
        <v>286</v>
      </c>
      <c r="H94" s="123"/>
      <c r="I94" s="95">
        <f>495.09015+1.007276466583</f>
        <v>496.09742646658299</v>
      </c>
      <c r="J94" s="95">
        <v>496.09764629487069</v>
      </c>
      <c r="K94" s="96">
        <f t="shared" si="13"/>
        <v>0.44311515434220367</v>
      </c>
      <c r="L94" s="117" t="s">
        <v>2</v>
      </c>
      <c r="M94" s="122">
        <v>0.98440411551511675</v>
      </c>
      <c r="N94" s="117" t="s">
        <v>2</v>
      </c>
      <c r="O94" s="132" t="s">
        <v>2</v>
      </c>
      <c r="P94" s="154"/>
      <c r="Q94" s="117" t="s">
        <v>298</v>
      </c>
      <c r="R94" s="148"/>
      <c r="S94" s="148"/>
    </row>
    <row r="95" spans="1:20" ht="15.75" customHeight="1" x14ac:dyDescent="0.2">
      <c r="A95" s="164"/>
      <c r="B95" s="123" t="s">
        <v>871</v>
      </c>
      <c r="C95" s="133" t="s">
        <v>87</v>
      </c>
      <c r="D95" s="135" t="s">
        <v>893</v>
      </c>
      <c r="E95" s="120">
        <v>2</v>
      </c>
      <c r="F95" s="117" t="s">
        <v>1</v>
      </c>
      <c r="G95" s="120" t="s">
        <v>286</v>
      </c>
      <c r="H95" s="123"/>
      <c r="I95" s="95">
        <f>595.083762+1.007276466583</f>
        <v>596.09103846658297</v>
      </c>
      <c r="J95" s="95">
        <v>596.09064176854827</v>
      </c>
      <c r="K95" s="96">
        <f t="shared" si="13"/>
        <v>0.66549907498419292</v>
      </c>
      <c r="L95" s="117" t="s">
        <v>2</v>
      </c>
      <c r="M95" s="122">
        <v>0.96447365510636762</v>
      </c>
      <c r="N95" s="117" t="s">
        <v>2</v>
      </c>
      <c r="O95" s="132" t="s">
        <v>2</v>
      </c>
      <c r="P95" s="154"/>
      <c r="Q95" s="117" t="s">
        <v>298</v>
      </c>
      <c r="R95" s="148"/>
      <c r="S95" s="148"/>
    </row>
    <row r="96" spans="1:20" ht="15.75" customHeight="1" x14ac:dyDescent="0.2">
      <c r="A96" s="164"/>
      <c r="B96" s="123" t="s">
        <v>872</v>
      </c>
      <c r="C96" s="133" t="s">
        <v>88</v>
      </c>
      <c r="D96" s="135" t="s">
        <v>894</v>
      </c>
      <c r="E96" s="120">
        <v>5</v>
      </c>
      <c r="F96" s="117" t="s">
        <v>1</v>
      </c>
      <c r="G96" s="120" t="s">
        <v>286</v>
      </c>
      <c r="H96" s="123"/>
      <c r="I96" s="95">
        <f>695.077374+1.007276466583</f>
        <v>696.08465046658296</v>
      </c>
      <c r="J96" s="95" t="s">
        <v>322</v>
      </c>
      <c r="K96" s="96" t="s">
        <v>1</v>
      </c>
      <c r="L96" s="117" t="s">
        <v>1</v>
      </c>
      <c r="M96" s="122" t="s">
        <v>1</v>
      </c>
      <c r="N96" s="117" t="s">
        <v>1</v>
      </c>
      <c r="O96" s="132" t="s">
        <v>800</v>
      </c>
      <c r="P96" s="154"/>
      <c r="Q96" s="117" t="s">
        <v>1</v>
      </c>
      <c r="R96" s="148"/>
      <c r="S96" s="148"/>
    </row>
    <row r="97" spans="1:19" s="80" customFormat="1" x14ac:dyDescent="0.2">
      <c r="A97" s="164" t="s">
        <v>873</v>
      </c>
      <c r="B97" s="123" t="s">
        <v>874</v>
      </c>
      <c r="C97" s="133" t="s">
        <v>90</v>
      </c>
      <c r="D97" s="137" t="s">
        <v>914</v>
      </c>
      <c r="E97" s="120">
        <v>5</v>
      </c>
      <c r="F97" s="117" t="s">
        <v>1</v>
      </c>
      <c r="G97" s="120" t="s">
        <v>286</v>
      </c>
      <c r="H97" s="123"/>
      <c r="I97" s="95">
        <f>411.091453+1.007276466583</f>
        <v>412.09872946658299</v>
      </c>
      <c r="J97" s="95">
        <v>412.09914918044689</v>
      </c>
      <c r="K97" s="96">
        <v>0.66549907498419292</v>
      </c>
      <c r="L97" s="117" t="s">
        <v>2</v>
      </c>
      <c r="M97" s="122">
        <v>0.92131120537010336</v>
      </c>
      <c r="N97" s="117" t="s">
        <v>1</v>
      </c>
      <c r="O97" s="132" t="s">
        <v>2</v>
      </c>
      <c r="P97" s="154" t="s">
        <v>381</v>
      </c>
      <c r="Q97" s="117" t="s">
        <v>1</v>
      </c>
      <c r="R97" s="148" t="s">
        <v>595</v>
      </c>
      <c r="S97" s="149" t="s">
        <v>680</v>
      </c>
    </row>
    <row r="98" spans="1:19" x14ac:dyDescent="0.2">
      <c r="A98" s="164"/>
      <c r="B98" s="123" t="s">
        <v>864</v>
      </c>
      <c r="C98" s="133" t="s">
        <v>89</v>
      </c>
      <c r="D98" s="137" t="s">
        <v>896</v>
      </c>
      <c r="E98" s="120">
        <v>2</v>
      </c>
      <c r="F98" s="117" t="s">
        <v>1</v>
      </c>
      <c r="G98" s="120" t="s">
        <v>286</v>
      </c>
      <c r="H98" s="123" t="s">
        <v>302</v>
      </c>
      <c r="I98" s="95">
        <f>511.085065+1.007276466583</f>
        <v>512.09234146658298</v>
      </c>
      <c r="J98" s="95">
        <v>512.09323394975786</v>
      </c>
      <c r="K98" s="96">
        <f t="shared" ref="K98:K109" si="14">ABS(I98-J98)/I98*10^6</f>
        <v>1.7428168761985647</v>
      </c>
      <c r="L98" s="117" t="s">
        <v>2</v>
      </c>
      <c r="M98" s="122">
        <v>0.99681877899700977</v>
      </c>
      <c r="N98" s="117" t="s">
        <v>2</v>
      </c>
      <c r="O98" s="132" t="s">
        <v>2</v>
      </c>
      <c r="P98" s="154"/>
      <c r="Q98" s="117" t="s">
        <v>300</v>
      </c>
      <c r="R98" s="148"/>
      <c r="S98" s="148"/>
    </row>
    <row r="99" spans="1:19" x14ac:dyDescent="0.2">
      <c r="A99" s="164"/>
      <c r="B99" s="123" t="s">
        <v>875</v>
      </c>
      <c r="C99" s="133" t="s">
        <v>91</v>
      </c>
      <c r="D99" s="137" t="s">
        <v>913</v>
      </c>
      <c r="E99" s="120">
        <v>2</v>
      </c>
      <c r="F99" s="117" t="s">
        <v>1</v>
      </c>
      <c r="G99" s="120" t="s">
        <v>286</v>
      </c>
      <c r="H99" s="123"/>
      <c r="I99" s="95">
        <f>611.078677+1.007276466583</f>
        <v>612.08595346658296</v>
      </c>
      <c r="J99" s="95">
        <v>612.08620663587408</v>
      </c>
      <c r="K99" s="96">
        <f t="shared" si="14"/>
        <v>0.41361722104480636</v>
      </c>
      <c r="L99" s="117" t="s">
        <v>2</v>
      </c>
      <c r="M99" s="122">
        <v>0.98389681794092798</v>
      </c>
      <c r="N99" s="117" t="s">
        <v>2</v>
      </c>
      <c r="O99" s="132" t="s">
        <v>2</v>
      </c>
      <c r="P99" s="154"/>
      <c r="Q99" s="117" t="s">
        <v>300</v>
      </c>
      <c r="R99" s="148"/>
      <c r="S99" s="148"/>
    </row>
    <row r="100" spans="1:19" ht="16.5" customHeight="1" x14ac:dyDescent="0.2">
      <c r="A100" s="164" t="s">
        <v>876</v>
      </c>
      <c r="B100" s="123" t="s">
        <v>877</v>
      </c>
      <c r="C100" s="133" t="s">
        <v>93</v>
      </c>
      <c r="D100" s="137" t="s">
        <v>917</v>
      </c>
      <c r="E100" s="120">
        <v>2</v>
      </c>
      <c r="F100" s="117" t="s">
        <v>1</v>
      </c>
      <c r="G100" s="120" t="s">
        <v>286</v>
      </c>
      <c r="H100" s="123"/>
      <c r="I100" s="95">
        <f>427.086368+1.007276466583</f>
        <v>428.09364446658299</v>
      </c>
      <c r="J100" s="95">
        <v>428.09377957601481</v>
      </c>
      <c r="K100" s="96">
        <f t="shared" si="14"/>
        <v>0.31560718915173647</v>
      </c>
      <c r="L100" s="117" t="s">
        <v>2</v>
      </c>
      <c r="M100" s="122">
        <v>0.99663490442696523</v>
      </c>
      <c r="N100" s="117" t="s">
        <v>2</v>
      </c>
      <c r="O100" s="132" t="s">
        <v>2</v>
      </c>
      <c r="P100" s="154" t="s">
        <v>380</v>
      </c>
      <c r="Q100" s="117" t="s">
        <v>298</v>
      </c>
      <c r="R100" s="153" t="s">
        <v>1</v>
      </c>
      <c r="S100" s="149" t="s">
        <v>679</v>
      </c>
    </row>
    <row r="101" spans="1:19" ht="16.5" customHeight="1" x14ac:dyDescent="0.2">
      <c r="A101" s="164"/>
      <c r="B101" s="123" t="s">
        <v>865</v>
      </c>
      <c r="C101" s="133" t="s">
        <v>92</v>
      </c>
      <c r="D101" s="123" t="s">
        <v>915</v>
      </c>
      <c r="E101" s="120">
        <v>2</v>
      </c>
      <c r="F101" s="117" t="s">
        <v>1</v>
      </c>
      <c r="G101" s="120" t="s">
        <v>286</v>
      </c>
      <c r="H101" s="123" t="s">
        <v>303</v>
      </c>
      <c r="I101" s="95">
        <f>527.07998+1.007276466583</f>
        <v>528.08725646658297</v>
      </c>
      <c r="J101" s="95">
        <v>528.08833193316309</v>
      </c>
      <c r="K101" s="96">
        <f t="shared" si="14"/>
        <v>2.0365319688163219</v>
      </c>
      <c r="L101" s="117" t="s">
        <v>2</v>
      </c>
      <c r="M101" s="122">
        <v>0.99043294974895646</v>
      </c>
      <c r="N101" s="117" t="s">
        <v>2</v>
      </c>
      <c r="O101" s="132" t="s">
        <v>2</v>
      </c>
      <c r="P101" s="154"/>
      <c r="Q101" s="117" t="s">
        <v>298</v>
      </c>
      <c r="R101" s="153"/>
      <c r="S101" s="148"/>
    </row>
    <row r="102" spans="1:19" ht="16.5" customHeight="1" x14ac:dyDescent="0.2">
      <c r="A102" s="164"/>
      <c r="B102" s="123" t="s">
        <v>878</v>
      </c>
      <c r="C102" s="133" t="s">
        <v>94</v>
      </c>
      <c r="D102" s="137" t="s">
        <v>916</v>
      </c>
      <c r="E102" s="120">
        <v>2</v>
      </c>
      <c r="F102" s="117" t="s">
        <v>1</v>
      </c>
      <c r="G102" s="120" t="s">
        <v>286</v>
      </c>
      <c r="H102" s="123" t="s">
        <v>304</v>
      </c>
      <c r="I102" s="95">
        <f>627.073592+1.007276466583</f>
        <v>628.08086846658296</v>
      </c>
      <c r="J102" s="95">
        <v>628.08129289682199</v>
      </c>
      <c r="K102" s="96">
        <f t="shared" si="14"/>
        <v>0.67575731143088824</v>
      </c>
      <c r="L102" s="117" t="s">
        <v>2</v>
      </c>
      <c r="M102" s="122">
        <v>0.99509305290691097</v>
      </c>
      <c r="N102" s="117" t="s">
        <v>2</v>
      </c>
      <c r="O102" s="132" t="s">
        <v>2</v>
      </c>
      <c r="P102" s="154"/>
      <c r="Q102" s="117" t="s">
        <v>298</v>
      </c>
      <c r="R102" s="153"/>
      <c r="S102" s="148"/>
    </row>
    <row r="103" spans="1:19" x14ac:dyDescent="0.2">
      <c r="A103" s="145" t="s">
        <v>879</v>
      </c>
      <c r="B103" s="123" t="s">
        <v>867</v>
      </c>
      <c r="C103" s="133" t="s">
        <v>220</v>
      </c>
      <c r="D103" s="137" t="s">
        <v>918</v>
      </c>
      <c r="E103" s="120">
        <v>2</v>
      </c>
      <c r="F103" s="117" t="s">
        <v>1</v>
      </c>
      <c r="G103" s="120" t="s">
        <v>285</v>
      </c>
      <c r="H103" s="123"/>
      <c r="I103" s="95">
        <f>619.036797-1.007276466583</f>
        <v>618.02952053341699</v>
      </c>
      <c r="J103" s="95">
        <v>618.03021682580982</v>
      </c>
      <c r="K103" s="96">
        <f t="shared" si="14"/>
        <v>1.1266329029563913</v>
      </c>
      <c r="L103" s="117" t="s">
        <v>2</v>
      </c>
      <c r="M103" s="122">
        <v>0.98929066560322776</v>
      </c>
      <c r="N103" s="117" t="s">
        <v>2</v>
      </c>
      <c r="O103" s="132" t="s">
        <v>2</v>
      </c>
      <c r="P103" s="154" t="s">
        <v>381</v>
      </c>
      <c r="Q103" s="117" t="s">
        <v>33</v>
      </c>
      <c r="R103" s="149" t="s">
        <v>672</v>
      </c>
      <c r="S103" s="148" t="s">
        <v>611</v>
      </c>
    </row>
    <row r="104" spans="1:19" x14ac:dyDescent="0.2">
      <c r="A104" s="145"/>
      <c r="B104" s="123" t="s">
        <v>880</v>
      </c>
      <c r="C104" s="133" t="s">
        <v>221</v>
      </c>
      <c r="D104" s="137" t="s">
        <v>919</v>
      </c>
      <c r="E104" s="120">
        <v>2</v>
      </c>
      <c r="F104" s="117" t="s">
        <v>1</v>
      </c>
      <c r="G104" s="120" t="s">
        <v>285</v>
      </c>
      <c r="H104" s="123"/>
      <c r="I104" s="95">
        <f>719.030409-1.007276466583</f>
        <v>718.02313253341697</v>
      </c>
      <c r="J104" s="95">
        <v>718.02464282382346</v>
      </c>
      <c r="K104" s="96">
        <f t="shared" si="14"/>
        <v>2.1034007653169908</v>
      </c>
      <c r="L104" s="117" t="s">
        <v>2</v>
      </c>
      <c r="M104" s="122">
        <v>0.9535766058618026</v>
      </c>
      <c r="N104" s="117" t="s">
        <v>2</v>
      </c>
      <c r="O104" s="132" t="s">
        <v>2</v>
      </c>
      <c r="P104" s="154"/>
      <c r="Q104" s="117" t="s">
        <v>33</v>
      </c>
      <c r="R104" s="148"/>
      <c r="S104" s="148"/>
    </row>
    <row r="105" spans="1:19" x14ac:dyDescent="0.2">
      <c r="A105" s="145"/>
      <c r="B105" s="123" t="s">
        <v>881</v>
      </c>
      <c r="C105" s="133" t="s">
        <v>222</v>
      </c>
      <c r="D105" s="137" t="s">
        <v>920</v>
      </c>
      <c r="E105" s="120">
        <v>2</v>
      </c>
      <c r="F105" s="117" t="s">
        <v>1</v>
      </c>
      <c r="G105" s="120" t="s">
        <v>285</v>
      </c>
      <c r="H105" s="123"/>
      <c r="I105" s="95">
        <f>819.024021-1.007276466583</f>
        <v>818.01674453341695</v>
      </c>
      <c r="J105" s="95">
        <v>818.01769431137836</v>
      </c>
      <c r="K105" s="96">
        <f t="shared" si="14"/>
        <v>1.1610739850455249</v>
      </c>
      <c r="L105" s="117" t="s">
        <v>2</v>
      </c>
      <c r="M105" s="122">
        <v>0.98445911773983219</v>
      </c>
      <c r="N105" s="117" t="s">
        <v>2</v>
      </c>
      <c r="O105" s="132" t="s">
        <v>2</v>
      </c>
      <c r="P105" s="154"/>
      <c r="Q105" s="117" t="s">
        <v>1</v>
      </c>
      <c r="R105" s="148"/>
      <c r="S105" s="148"/>
    </row>
    <row r="106" spans="1:19" x14ac:dyDescent="0.2">
      <c r="A106" s="145"/>
      <c r="B106" s="123" t="s">
        <v>882</v>
      </c>
      <c r="C106" s="133" t="s">
        <v>223</v>
      </c>
      <c r="D106" s="137" t="s">
        <v>921</v>
      </c>
      <c r="E106" s="120">
        <v>2</v>
      </c>
      <c r="F106" s="117" t="s">
        <v>1</v>
      </c>
      <c r="G106" s="120" t="s">
        <v>285</v>
      </c>
      <c r="H106" s="123"/>
      <c r="I106" s="95">
        <f>919.017633-1.007276466583</f>
        <v>918.01035653341705</v>
      </c>
      <c r="J106" s="95">
        <v>918.01071504937693</v>
      </c>
      <c r="K106" s="96">
        <f t="shared" si="14"/>
        <v>0.39053585542113523</v>
      </c>
      <c r="L106" s="117" t="s">
        <v>2</v>
      </c>
      <c r="M106" s="122">
        <v>0.9663507538381042</v>
      </c>
      <c r="N106" s="117" t="s">
        <v>2</v>
      </c>
      <c r="O106" s="132" t="s">
        <v>2</v>
      </c>
      <c r="P106" s="154"/>
      <c r="Q106" s="117" t="s">
        <v>1</v>
      </c>
      <c r="R106" s="148"/>
      <c r="S106" s="148"/>
    </row>
    <row r="107" spans="1:19" ht="22.5" x14ac:dyDescent="0.2">
      <c r="A107" s="124" t="s">
        <v>755</v>
      </c>
      <c r="B107" s="123" t="s">
        <v>754</v>
      </c>
      <c r="C107" s="133" t="s">
        <v>237</v>
      </c>
      <c r="D107" s="123" t="s">
        <v>922</v>
      </c>
      <c r="E107" s="120">
        <v>2</v>
      </c>
      <c r="F107" s="117" t="s">
        <v>1</v>
      </c>
      <c r="G107" s="120" t="s">
        <v>285</v>
      </c>
      <c r="H107" s="123"/>
      <c r="I107" s="95">
        <f>483.942578-1.007276466583</f>
        <v>482.93530153341703</v>
      </c>
      <c r="J107" s="95">
        <v>482.93568638625959</v>
      </c>
      <c r="K107" s="96">
        <f t="shared" si="14"/>
        <v>0.79690352172612455</v>
      </c>
      <c r="L107" s="117" t="s">
        <v>2</v>
      </c>
      <c r="M107" s="122">
        <v>0.99166227955624131</v>
      </c>
      <c r="N107" s="117" t="s">
        <v>2</v>
      </c>
      <c r="O107" s="132" t="s">
        <v>2</v>
      </c>
      <c r="P107" s="117" t="s">
        <v>1</v>
      </c>
      <c r="Q107" s="117" t="s">
        <v>298</v>
      </c>
      <c r="R107" s="116" t="s">
        <v>612</v>
      </c>
      <c r="S107" s="115" t="s">
        <v>1</v>
      </c>
    </row>
    <row r="108" spans="1:19" x14ac:dyDescent="0.2">
      <c r="A108" s="145" t="s">
        <v>473</v>
      </c>
      <c r="B108" s="123" t="s">
        <v>144</v>
      </c>
      <c r="C108" s="133" t="s">
        <v>235</v>
      </c>
      <c r="D108" s="140" t="s">
        <v>923</v>
      </c>
      <c r="E108" s="120">
        <v>2</v>
      </c>
      <c r="F108" s="117" t="s">
        <v>1</v>
      </c>
      <c r="G108" s="120" t="s">
        <v>285</v>
      </c>
      <c r="H108" s="123"/>
      <c r="I108" s="95">
        <f>569.906371-1.007276466583</f>
        <v>568.89909453341704</v>
      </c>
      <c r="J108" s="95">
        <v>568.90004344619433</v>
      </c>
      <c r="K108" s="96">
        <f t="shared" si="14"/>
        <v>1.6679808184045897</v>
      </c>
      <c r="L108" s="117" t="s">
        <v>2</v>
      </c>
      <c r="M108" s="122">
        <v>0.99072133776109583</v>
      </c>
      <c r="N108" s="117" t="s">
        <v>2</v>
      </c>
      <c r="O108" s="132" t="s">
        <v>2</v>
      </c>
      <c r="P108" s="154" t="s">
        <v>380</v>
      </c>
      <c r="Q108" s="117" t="s">
        <v>324</v>
      </c>
      <c r="R108" s="148" t="s">
        <v>606</v>
      </c>
      <c r="S108" s="148" t="s">
        <v>1</v>
      </c>
    </row>
    <row r="109" spans="1:19" x14ac:dyDescent="0.2">
      <c r="A109" s="145"/>
      <c r="B109" s="123" t="s">
        <v>145</v>
      </c>
      <c r="C109" s="133" t="s">
        <v>210</v>
      </c>
      <c r="D109" s="140" t="s">
        <v>928</v>
      </c>
      <c r="E109" s="120">
        <v>2</v>
      </c>
      <c r="F109" s="117" t="s">
        <v>1</v>
      </c>
      <c r="G109" s="120" t="s">
        <v>285</v>
      </c>
      <c r="H109" s="123"/>
      <c r="I109" s="95">
        <f>619.9031791-1.007276466583</f>
        <v>618.89590263341699</v>
      </c>
      <c r="J109" s="95">
        <v>618.89518657128826</v>
      </c>
      <c r="K109" s="96">
        <f t="shared" si="14"/>
        <v>1.1569993042195756</v>
      </c>
      <c r="L109" s="117" t="s">
        <v>2</v>
      </c>
      <c r="M109" s="122">
        <v>0.98093382616947455</v>
      </c>
      <c r="N109" s="117" t="s">
        <v>2</v>
      </c>
      <c r="O109" s="132" t="s">
        <v>2</v>
      </c>
      <c r="P109" s="154"/>
      <c r="Q109" s="117" t="s">
        <v>298</v>
      </c>
      <c r="R109" s="148"/>
      <c r="S109" s="148"/>
    </row>
    <row r="110" spans="1:19" x14ac:dyDescent="0.2">
      <c r="A110" s="145"/>
      <c r="B110" s="123" t="s">
        <v>146</v>
      </c>
      <c r="C110" s="133" t="s">
        <v>236</v>
      </c>
      <c r="D110" s="140" t="s">
        <v>929</v>
      </c>
      <c r="E110" s="120">
        <v>5</v>
      </c>
      <c r="F110" s="117" t="s">
        <v>1</v>
      </c>
      <c r="G110" s="120" t="s">
        <v>285</v>
      </c>
      <c r="H110" s="123"/>
      <c r="I110" s="95">
        <f>669.8999856-1.007276466583</f>
        <v>668.89270913341704</v>
      </c>
      <c r="J110" s="95" t="s">
        <v>322</v>
      </c>
      <c r="K110" s="96" t="s">
        <v>1</v>
      </c>
      <c r="L110" s="117" t="s">
        <v>1</v>
      </c>
      <c r="M110" s="122" t="s">
        <v>1</v>
      </c>
      <c r="N110" s="117" t="s">
        <v>1</v>
      </c>
      <c r="O110" s="132" t="s">
        <v>800</v>
      </c>
      <c r="P110" s="154"/>
      <c r="Q110" s="117" t="s">
        <v>1</v>
      </c>
      <c r="R110" s="148"/>
      <c r="S110" s="148"/>
    </row>
    <row r="111" spans="1:19" x14ac:dyDescent="0.2">
      <c r="A111" s="145" t="s">
        <v>474</v>
      </c>
      <c r="B111" s="123" t="s">
        <v>132</v>
      </c>
      <c r="C111" s="133" t="s">
        <v>213</v>
      </c>
      <c r="D111" s="139" t="s">
        <v>925</v>
      </c>
      <c r="E111" s="120">
        <v>5</v>
      </c>
      <c r="F111" s="117" t="s">
        <v>1</v>
      </c>
      <c r="G111" s="120" t="s">
        <v>285</v>
      </c>
      <c r="H111" s="123"/>
      <c r="I111" s="95">
        <f>415.9143321-1.007276466583</f>
        <v>414.90705563341703</v>
      </c>
      <c r="J111" s="95" t="s">
        <v>322</v>
      </c>
      <c r="K111" s="96" t="s">
        <v>1</v>
      </c>
      <c r="L111" s="117" t="s">
        <v>1</v>
      </c>
      <c r="M111" s="122" t="s">
        <v>1</v>
      </c>
      <c r="N111" s="117" t="s">
        <v>1</v>
      </c>
      <c r="O111" s="132" t="s">
        <v>800</v>
      </c>
      <c r="P111" s="154" t="s">
        <v>506</v>
      </c>
      <c r="Q111" s="117" t="s">
        <v>1</v>
      </c>
      <c r="R111" s="148" t="s">
        <v>606</v>
      </c>
      <c r="S111" s="148" t="s">
        <v>613</v>
      </c>
    </row>
    <row r="112" spans="1:19" x14ac:dyDescent="0.2">
      <c r="A112" s="145"/>
      <c r="B112" s="123" t="s">
        <v>133</v>
      </c>
      <c r="C112" s="133" t="s">
        <v>214</v>
      </c>
      <c r="D112" s="139" t="s">
        <v>924</v>
      </c>
      <c r="E112" s="120">
        <v>2</v>
      </c>
      <c r="F112" s="117" t="s">
        <v>1</v>
      </c>
      <c r="G112" s="120" t="s">
        <v>285</v>
      </c>
      <c r="H112" s="123"/>
      <c r="I112" s="95">
        <f>515.907943-1.007276466583</f>
        <v>514.90066653341705</v>
      </c>
      <c r="J112" s="95">
        <v>514.90209964825863</v>
      </c>
      <c r="K112" s="96">
        <f>ABS(I112-J112)/I112*10^6</f>
        <v>2.7832841064732334</v>
      </c>
      <c r="L112" s="117" t="s">
        <v>2</v>
      </c>
      <c r="M112" s="122">
        <v>0.99661170620160922</v>
      </c>
      <c r="N112" s="117" t="s">
        <v>2</v>
      </c>
      <c r="O112" s="132" t="s">
        <v>2</v>
      </c>
      <c r="P112" s="154"/>
      <c r="Q112" s="117" t="s">
        <v>298</v>
      </c>
      <c r="R112" s="148"/>
      <c r="S112" s="148"/>
    </row>
    <row r="113" spans="1:20" x14ac:dyDescent="0.2">
      <c r="A113" s="145" t="s">
        <v>475</v>
      </c>
      <c r="B113" s="123" t="s">
        <v>433</v>
      </c>
      <c r="C113" s="133" t="s">
        <v>432</v>
      </c>
      <c r="D113" s="139" t="s">
        <v>927</v>
      </c>
      <c r="E113" s="120">
        <v>2</v>
      </c>
      <c r="F113" s="117" t="s">
        <v>1</v>
      </c>
      <c r="G113" s="120" t="s">
        <v>285</v>
      </c>
      <c r="H113" s="123"/>
      <c r="I113" s="95">
        <f>481.946915-1.007276466583</f>
        <v>480.939638533417</v>
      </c>
      <c r="J113" s="95">
        <v>480.93939999999998</v>
      </c>
      <c r="K113" s="96">
        <f>ABS(I113-J113)/I113*10^6</f>
        <v>0.49597371043464555</v>
      </c>
      <c r="L113" s="117" t="s">
        <v>2</v>
      </c>
      <c r="M113" s="122">
        <v>0.99602796936333127</v>
      </c>
      <c r="N113" s="117" t="s">
        <v>2</v>
      </c>
      <c r="O113" s="132" t="s">
        <v>2</v>
      </c>
      <c r="P113" s="154" t="s">
        <v>506</v>
      </c>
      <c r="Q113" s="117" t="s">
        <v>33</v>
      </c>
      <c r="R113" s="148" t="s">
        <v>596</v>
      </c>
      <c r="S113" s="148" t="s">
        <v>677</v>
      </c>
    </row>
    <row r="114" spans="1:20" x14ac:dyDescent="0.2">
      <c r="A114" s="145"/>
      <c r="B114" s="123" t="s">
        <v>435</v>
      </c>
      <c r="C114" s="133" t="s">
        <v>434</v>
      </c>
      <c r="D114" s="139" t="s">
        <v>926</v>
      </c>
      <c r="E114" s="120">
        <v>3</v>
      </c>
      <c r="F114" s="117" t="s">
        <v>1</v>
      </c>
      <c r="G114" s="120" t="s">
        <v>285</v>
      </c>
      <c r="H114" s="123"/>
      <c r="I114" s="95">
        <f>581.940527-1.007276466583</f>
        <v>580.93325053341698</v>
      </c>
      <c r="J114" s="95">
        <v>580.93269999999995</v>
      </c>
      <c r="K114" s="96">
        <f t="shared" ref="K114" si="15">ABS(I114-J114)/I114*10^6</f>
        <v>0.94767069456102915</v>
      </c>
      <c r="L114" s="117" t="s">
        <v>2</v>
      </c>
      <c r="M114" s="122">
        <v>0.99208729140921093</v>
      </c>
      <c r="N114" s="117" t="s">
        <v>2</v>
      </c>
      <c r="O114" s="132" t="s">
        <v>2</v>
      </c>
      <c r="P114" s="154"/>
      <c r="Q114" s="117" t="s">
        <v>1</v>
      </c>
      <c r="R114" s="148"/>
      <c r="S114" s="148"/>
    </row>
    <row r="115" spans="1:20" x14ac:dyDescent="0.2">
      <c r="A115" s="145" t="s">
        <v>930</v>
      </c>
      <c r="B115" s="123" t="s">
        <v>756</v>
      </c>
      <c r="C115" s="133" t="s">
        <v>229</v>
      </c>
      <c r="D115" s="139" t="s">
        <v>932</v>
      </c>
      <c r="E115" s="120">
        <v>2</v>
      </c>
      <c r="F115" s="117" t="s">
        <v>1</v>
      </c>
      <c r="G115" s="120" t="s">
        <v>285</v>
      </c>
      <c r="H115" s="123"/>
      <c r="I115" s="95">
        <f>456.965345-1.007276466583</f>
        <v>455.95806853341702</v>
      </c>
      <c r="J115" s="95">
        <v>455.95881419778442</v>
      </c>
      <c r="K115" s="96">
        <f>ABS(I115-J115)/I115*10^6</f>
        <v>1.6353792571295909</v>
      </c>
      <c r="L115" s="117" t="s">
        <v>2</v>
      </c>
      <c r="M115" s="122">
        <v>0.9542064543634261</v>
      </c>
      <c r="N115" s="117" t="s">
        <v>2</v>
      </c>
      <c r="O115" s="132" t="s">
        <v>2</v>
      </c>
      <c r="P115" s="154" t="s">
        <v>506</v>
      </c>
      <c r="Q115" s="117" t="s">
        <v>299</v>
      </c>
      <c r="R115" s="149" t="s">
        <v>614</v>
      </c>
      <c r="S115" s="148" t="s">
        <v>674</v>
      </c>
    </row>
    <row r="116" spans="1:20" x14ac:dyDescent="0.2">
      <c r="A116" s="145"/>
      <c r="B116" s="123" t="s">
        <v>757</v>
      </c>
      <c r="C116" s="133" t="s">
        <v>230</v>
      </c>
      <c r="D116" s="123" t="s">
        <v>931</v>
      </c>
      <c r="E116" s="120">
        <v>2</v>
      </c>
      <c r="F116" s="117" t="s">
        <v>1</v>
      </c>
      <c r="G116" s="120" t="s">
        <v>285</v>
      </c>
      <c r="H116" s="123"/>
      <c r="I116" s="95">
        <f>556.958957-1.007276466583</f>
        <v>555.95168053341706</v>
      </c>
      <c r="J116" s="95">
        <v>555.952292228327</v>
      </c>
      <c r="K116" s="96">
        <f>ABS(I116-J116)/I116*10^6</f>
        <v>1.1002663205337682</v>
      </c>
      <c r="L116" s="117" t="s">
        <v>2</v>
      </c>
      <c r="M116" s="122">
        <v>0.95831523863918289</v>
      </c>
      <c r="N116" s="117" t="s">
        <v>2</v>
      </c>
      <c r="O116" s="132" t="s">
        <v>2</v>
      </c>
      <c r="P116" s="154"/>
      <c r="Q116" s="117" t="s">
        <v>301</v>
      </c>
      <c r="R116" s="148"/>
      <c r="S116" s="148"/>
    </row>
    <row r="117" spans="1:20" ht="15" customHeight="1" x14ac:dyDescent="0.2">
      <c r="A117" s="164" t="s">
        <v>476</v>
      </c>
      <c r="B117" s="123" t="s">
        <v>477</v>
      </c>
      <c r="C117" s="133" t="s">
        <v>75</v>
      </c>
      <c r="D117" s="139" t="s">
        <v>933</v>
      </c>
      <c r="E117" s="120">
        <v>3</v>
      </c>
      <c r="F117" s="117" t="s">
        <v>1</v>
      </c>
      <c r="G117" s="120" t="s">
        <v>391</v>
      </c>
      <c r="H117" s="125" t="s">
        <v>291</v>
      </c>
      <c r="I117" s="98">
        <f>498.064664+1.007276466583</f>
        <v>499.07194046658299</v>
      </c>
      <c r="J117" s="95">
        <v>499.07181313873468</v>
      </c>
      <c r="K117" s="96">
        <f>ABS(I117-J117)/I117*10^6</f>
        <v>0.25512924686771521</v>
      </c>
      <c r="L117" s="117" t="s">
        <v>2</v>
      </c>
      <c r="M117" s="122">
        <v>0.98307377596675594</v>
      </c>
      <c r="N117" s="117" t="s">
        <v>2</v>
      </c>
      <c r="O117" s="132" t="s">
        <v>2</v>
      </c>
      <c r="P117" s="154" t="s">
        <v>506</v>
      </c>
      <c r="Q117" s="117" t="s">
        <v>1</v>
      </c>
      <c r="R117" s="149" t="s">
        <v>615</v>
      </c>
      <c r="S117" s="149" t="s">
        <v>678</v>
      </c>
    </row>
    <row r="118" spans="1:20" x14ac:dyDescent="0.2">
      <c r="A118" s="164"/>
      <c r="B118" s="123" t="s">
        <v>478</v>
      </c>
      <c r="C118" s="133" t="s">
        <v>76</v>
      </c>
      <c r="D118" s="139" t="s">
        <v>934</v>
      </c>
      <c r="E118" s="120">
        <v>2</v>
      </c>
      <c r="F118" s="117" t="s">
        <v>1</v>
      </c>
      <c r="G118" s="120" t="s">
        <v>391</v>
      </c>
      <c r="H118" s="125" t="s">
        <v>291</v>
      </c>
      <c r="I118" s="98">
        <f>598.058276+1.007276466583</f>
        <v>599.06555246658297</v>
      </c>
      <c r="J118" s="95">
        <v>599.06545023636386</v>
      </c>
      <c r="K118" s="96">
        <f>ABS(I118-J118)/I118*10^6</f>
        <v>0.17064947014935497</v>
      </c>
      <c r="L118" s="117" t="s">
        <v>2</v>
      </c>
      <c r="M118" s="122">
        <v>0.98794958447566805</v>
      </c>
      <c r="N118" s="117" t="s">
        <v>2</v>
      </c>
      <c r="O118" s="132" t="s">
        <v>2</v>
      </c>
      <c r="P118" s="154"/>
      <c r="Q118" s="117" t="s">
        <v>298</v>
      </c>
      <c r="R118" s="148"/>
      <c r="S118" s="148"/>
    </row>
    <row r="119" spans="1:20" x14ac:dyDescent="0.2">
      <c r="A119" s="145" t="s">
        <v>510</v>
      </c>
      <c r="B119" s="123" t="s">
        <v>511</v>
      </c>
      <c r="C119" s="133" t="s">
        <v>228</v>
      </c>
      <c r="D119" s="139" t="s">
        <v>937</v>
      </c>
      <c r="E119" s="120">
        <v>5</v>
      </c>
      <c r="F119" s="117" t="s">
        <v>1</v>
      </c>
      <c r="G119" s="120" t="s">
        <v>285</v>
      </c>
      <c r="H119" s="123"/>
      <c r="I119" s="95">
        <f>420.9700197-1.007276466583</f>
        <v>419.96274323341703</v>
      </c>
      <c r="J119" s="95" t="s">
        <v>322</v>
      </c>
      <c r="K119" s="96" t="s">
        <v>1</v>
      </c>
      <c r="L119" s="117" t="s">
        <v>1</v>
      </c>
      <c r="M119" s="122" t="s">
        <v>1</v>
      </c>
      <c r="N119" s="117" t="s">
        <v>1</v>
      </c>
      <c r="O119" s="132" t="s">
        <v>800</v>
      </c>
      <c r="P119" s="154" t="s">
        <v>380</v>
      </c>
      <c r="Q119" s="117" t="s">
        <v>1</v>
      </c>
      <c r="R119" s="149" t="s">
        <v>616</v>
      </c>
      <c r="S119" s="148" t="s">
        <v>669</v>
      </c>
    </row>
    <row r="120" spans="1:20" x14ac:dyDescent="0.2">
      <c r="A120" s="145"/>
      <c r="B120" s="123" t="s">
        <v>512</v>
      </c>
      <c r="C120" s="133" t="s">
        <v>227</v>
      </c>
      <c r="D120" s="139" t="s">
        <v>936</v>
      </c>
      <c r="E120" s="120">
        <v>5</v>
      </c>
      <c r="F120" s="117" t="s">
        <v>1</v>
      </c>
      <c r="G120" s="120" t="s">
        <v>285</v>
      </c>
      <c r="H120" s="123"/>
      <c r="I120" s="95">
        <f>470.9668261-1.007276466583</f>
        <v>469.959549633417</v>
      </c>
      <c r="J120" s="95" t="s">
        <v>322</v>
      </c>
      <c r="K120" s="96" t="s">
        <v>1</v>
      </c>
      <c r="L120" s="117" t="s">
        <v>1</v>
      </c>
      <c r="M120" s="122" t="s">
        <v>1</v>
      </c>
      <c r="N120" s="117" t="s">
        <v>1</v>
      </c>
      <c r="O120" s="132" t="s">
        <v>800</v>
      </c>
      <c r="P120" s="154"/>
      <c r="Q120" s="117" t="s">
        <v>1</v>
      </c>
      <c r="R120" s="148"/>
      <c r="S120" s="148"/>
    </row>
    <row r="121" spans="1:20" x14ac:dyDescent="0.2">
      <c r="A121" s="145"/>
      <c r="B121" s="123" t="s">
        <v>513</v>
      </c>
      <c r="C121" s="133" t="s">
        <v>226</v>
      </c>
      <c r="D121" s="139" t="s">
        <v>935</v>
      </c>
      <c r="E121" s="120">
        <v>2</v>
      </c>
      <c r="F121" s="117" t="s">
        <v>1</v>
      </c>
      <c r="G121" s="120" t="s">
        <v>285</v>
      </c>
      <c r="H121" s="123"/>
      <c r="I121" s="95">
        <f>520.963632-1.007276466583</f>
        <v>519.95635553341697</v>
      </c>
      <c r="J121" s="95">
        <v>519.95690392684799</v>
      </c>
      <c r="K121" s="96">
        <f>ABS(I121-J121)/I121*10^6</f>
        <v>1.0546912739534979</v>
      </c>
      <c r="L121" s="117" t="s">
        <v>2</v>
      </c>
      <c r="M121" s="122">
        <v>0.98433440058261257</v>
      </c>
      <c r="N121" s="117" t="s">
        <v>2</v>
      </c>
      <c r="O121" s="132" t="s">
        <v>2</v>
      </c>
      <c r="P121" s="154"/>
      <c r="Q121" s="117" t="s">
        <v>33</v>
      </c>
      <c r="R121" s="148"/>
      <c r="S121" s="148"/>
    </row>
    <row r="122" spans="1:20" x14ac:dyDescent="0.2">
      <c r="A122" s="145" t="s">
        <v>479</v>
      </c>
      <c r="B122" s="123" t="s">
        <v>53</v>
      </c>
      <c r="C122" s="133" t="s">
        <v>100</v>
      </c>
      <c r="D122" s="139" t="s">
        <v>944</v>
      </c>
      <c r="E122" s="120">
        <v>2</v>
      </c>
      <c r="F122" s="117" t="s">
        <v>1</v>
      </c>
      <c r="G122" s="120" t="s">
        <v>286</v>
      </c>
      <c r="H122" s="123" t="s">
        <v>290</v>
      </c>
      <c r="I122" s="95">
        <f>377.103731+1.007276466583</f>
        <v>378.11100746658298</v>
      </c>
      <c r="J122" s="95">
        <v>378.11060560123133</v>
      </c>
      <c r="K122" s="96">
        <f t="shared" ref="K122:K125" si="16">ABS(I122-J122)/I122*10^6</f>
        <v>1.0628237308952933</v>
      </c>
      <c r="L122" s="117" t="s">
        <v>2</v>
      </c>
      <c r="M122" s="122">
        <v>0.99200640259099027</v>
      </c>
      <c r="N122" s="117" t="s">
        <v>2</v>
      </c>
      <c r="O122" s="132" t="s">
        <v>2</v>
      </c>
      <c r="P122" s="154" t="s">
        <v>381</v>
      </c>
      <c r="Q122" s="117" t="s">
        <v>296</v>
      </c>
      <c r="R122" s="148" t="s">
        <v>1</v>
      </c>
      <c r="S122" s="149" t="s">
        <v>609</v>
      </c>
    </row>
    <row r="123" spans="1:20" x14ac:dyDescent="0.2">
      <c r="A123" s="145"/>
      <c r="B123" s="123" t="s">
        <v>14</v>
      </c>
      <c r="C123" s="133" t="s">
        <v>101</v>
      </c>
      <c r="D123" s="139" t="s">
        <v>941</v>
      </c>
      <c r="E123" s="120">
        <v>2</v>
      </c>
      <c r="F123" s="117" t="s">
        <v>1</v>
      </c>
      <c r="G123" s="120" t="s">
        <v>286</v>
      </c>
      <c r="H123" s="123" t="s">
        <v>288</v>
      </c>
      <c r="I123" s="95">
        <f>477.097343+1.007276466583</f>
        <v>478.10461946658302</v>
      </c>
      <c r="J123" s="95">
        <v>478.10471745505703</v>
      </c>
      <c r="K123" s="96">
        <f t="shared" si="16"/>
        <v>0.20495194988862514</v>
      </c>
      <c r="L123" s="117" t="s">
        <v>2</v>
      </c>
      <c r="M123" s="122">
        <v>0.99847396976958347</v>
      </c>
      <c r="N123" s="117" t="s">
        <v>2</v>
      </c>
      <c r="O123" s="132" t="s">
        <v>2</v>
      </c>
      <c r="P123" s="154"/>
      <c r="Q123" s="117" t="s">
        <v>298</v>
      </c>
      <c r="R123" s="148"/>
      <c r="S123" s="148"/>
    </row>
    <row r="124" spans="1:20" x14ac:dyDescent="0.2">
      <c r="A124" s="145"/>
      <c r="B124" s="123" t="s">
        <v>54</v>
      </c>
      <c r="C124" s="133" t="s">
        <v>102</v>
      </c>
      <c r="D124" s="139" t="s">
        <v>942</v>
      </c>
      <c r="E124" s="120">
        <v>2</v>
      </c>
      <c r="F124" s="117" t="s">
        <v>1</v>
      </c>
      <c r="G124" s="120" t="s">
        <v>286</v>
      </c>
      <c r="H124" s="123" t="s">
        <v>289</v>
      </c>
      <c r="I124" s="95">
        <f>577.090955+1.007276466583</f>
        <v>578.098231466583</v>
      </c>
      <c r="J124" s="95">
        <v>578.09798459072465</v>
      </c>
      <c r="K124" s="96">
        <f t="shared" si="16"/>
        <v>0.42704828507347625</v>
      </c>
      <c r="L124" s="117" t="s">
        <v>2</v>
      </c>
      <c r="M124" s="122">
        <v>0.98762694604826673</v>
      </c>
      <c r="N124" s="117" t="s">
        <v>2</v>
      </c>
      <c r="O124" s="132" t="s">
        <v>2</v>
      </c>
      <c r="P124" s="154"/>
      <c r="Q124" s="117" t="s">
        <v>296</v>
      </c>
      <c r="R124" s="148"/>
      <c r="S124" s="148"/>
    </row>
    <row r="125" spans="1:20" x14ac:dyDescent="0.2">
      <c r="A125" s="145"/>
      <c r="B125" s="123" t="s">
        <v>55</v>
      </c>
      <c r="C125" s="133" t="s">
        <v>103</v>
      </c>
      <c r="D125" s="139" t="s">
        <v>943</v>
      </c>
      <c r="E125" s="120">
        <v>2</v>
      </c>
      <c r="F125" s="117" t="s">
        <v>1</v>
      </c>
      <c r="G125" s="120" t="s">
        <v>286</v>
      </c>
      <c r="H125" s="123" t="s">
        <v>290</v>
      </c>
      <c r="I125" s="95">
        <f>677.084567+1.007276466583</f>
        <v>678.09184346658299</v>
      </c>
      <c r="J125" s="95">
        <v>678.09088511480275</v>
      </c>
      <c r="K125" s="96">
        <f t="shared" si="16"/>
        <v>1.4133067511059094</v>
      </c>
      <c r="L125" s="117" t="s">
        <v>2</v>
      </c>
      <c r="M125" s="122">
        <v>0.97387040846726258</v>
      </c>
      <c r="N125" s="117" t="s">
        <v>2</v>
      </c>
      <c r="O125" s="132" t="s">
        <v>2</v>
      </c>
      <c r="P125" s="154"/>
      <c r="Q125" s="117" t="s">
        <v>1</v>
      </c>
      <c r="R125" s="148"/>
      <c r="S125" s="148"/>
    </row>
    <row r="126" spans="1:20" x14ac:dyDescent="0.2">
      <c r="A126" s="145" t="s">
        <v>762</v>
      </c>
      <c r="B126" s="123" t="s">
        <v>721</v>
      </c>
      <c r="C126" s="133" t="s">
        <v>224</v>
      </c>
      <c r="D126" s="139" t="s">
        <v>945</v>
      </c>
      <c r="E126" s="120">
        <v>2</v>
      </c>
      <c r="F126" s="117" t="s">
        <v>1</v>
      </c>
      <c r="G126" s="120" t="s">
        <v>285</v>
      </c>
      <c r="H126" s="123"/>
      <c r="I126" s="95">
        <f>836.955781-1.007276466583</f>
        <v>835.94850453341701</v>
      </c>
      <c r="J126" s="95">
        <v>835.95012436378545</v>
      </c>
      <c r="K126" s="96">
        <f>ABS(I126-J126)/I126*10^6</f>
        <v>1.9377154928276283</v>
      </c>
      <c r="L126" s="117" t="s">
        <v>2</v>
      </c>
      <c r="M126" s="122">
        <v>0.97503525247282641</v>
      </c>
      <c r="N126" s="117" t="s">
        <v>2</v>
      </c>
      <c r="O126" s="132" t="s">
        <v>2</v>
      </c>
      <c r="P126" s="154" t="s">
        <v>506</v>
      </c>
      <c r="Q126" s="117" t="s">
        <v>301</v>
      </c>
      <c r="R126" s="149" t="s">
        <v>617</v>
      </c>
      <c r="S126" s="148" t="s">
        <v>600</v>
      </c>
    </row>
    <row r="127" spans="1:20" x14ac:dyDescent="0.2">
      <c r="A127" s="145"/>
      <c r="B127" s="123" t="s">
        <v>763</v>
      </c>
      <c r="C127" s="133" t="s">
        <v>225</v>
      </c>
      <c r="D127" s="139" t="s">
        <v>946</v>
      </c>
      <c r="E127" s="120">
        <v>2</v>
      </c>
      <c r="F127" s="117" t="s">
        <v>1</v>
      </c>
      <c r="G127" s="120" t="s">
        <v>285</v>
      </c>
      <c r="H127" s="123"/>
      <c r="I127" s="95">
        <f>936.949393-1.007276466583</f>
        <v>935.94211653341699</v>
      </c>
      <c r="J127" s="95">
        <v>935.94397808245526</v>
      </c>
      <c r="K127" s="96">
        <f>ABS(I127-J127)/I127*10^6</f>
        <v>1.9889574423278131</v>
      </c>
      <c r="L127" s="117" t="s">
        <v>2</v>
      </c>
      <c r="M127" s="122">
        <v>0.9843695714272499</v>
      </c>
      <c r="N127" s="117" t="s">
        <v>2</v>
      </c>
      <c r="O127" s="132" t="s">
        <v>2</v>
      </c>
      <c r="P127" s="154"/>
      <c r="Q127" s="117" t="s">
        <v>324</v>
      </c>
      <c r="R127" s="148"/>
      <c r="S127" s="148"/>
    </row>
    <row r="128" spans="1:20" s="83" customFormat="1" x14ac:dyDescent="0.2">
      <c r="A128" s="147" t="s">
        <v>480</v>
      </c>
      <c r="B128" s="147" t="s">
        <v>20</v>
      </c>
      <c r="C128" s="147" t="s">
        <v>231</v>
      </c>
      <c r="D128" s="147" t="s">
        <v>947</v>
      </c>
      <c r="E128" s="159">
        <v>2</v>
      </c>
      <c r="F128" s="155" t="s">
        <v>1</v>
      </c>
      <c r="G128" s="121" t="s">
        <v>284</v>
      </c>
      <c r="H128" s="125"/>
      <c r="I128" s="98">
        <f>498.064664+1.007276466583</f>
        <v>499.07194046658299</v>
      </c>
      <c r="J128" s="98">
        <v>499.07224268794539</v>
      </c>
      <c r="K128" s="99">
        <f>ABS(I128-J128)/I128*10^6</f>
        <v>0.6055667287585752</v>
      </c>
      <c r="L128" s="118" t="s">
        <v>2</v>
      </c>
      <c r="M128" s="100">
        <v>0.95683890112556436</v>
      </c>
      <c r="N128" s="118" t="s">
        <v>2</v>
      </c>
      <c r="O128" s="132" t="s">
        <v>2</v>
      </c>
      <c r="P128" s="155" t="s">
        <v>1</v>
      </c>
      <c r="Q128" s="118" t="s">
        <v>33</v>
      </c>
      <c r="R128" s="151" t="s">
        <v>618</v>
      </c>
      <c r="S128" s="151" t="s">
        <v>601</v>
      </c>
      <c r="T128" s="82"/>
    </row>
    <row r="129" spans="1:20" s="83" customFormat="1" x14ac:dyDescent="0.2">
      <c r="A129" s="147"/>
      <c r="B129" s="147"/>
      <c r="C129" s="147"/>
      <c r="D129" s="147"/>
      <c r="E129" s="159"/>
      <c r="F129" s="155"/>
      <c r="G129" s="121" t="s">
        <v>285</v>
      </c>
      <c r="H129" s="125" t="s">
        <v>312</v>
      </c>
      <c r="I129" s="98">
        <f>498.064664-1.007276466583</f>
        <v>497.057387533417</v>
      </c>
      <c r="J129" s="98">
        <v>497.05781684756431</v>
      </c>
      <c r="K129" s="99">
        <f>ABS(I129-J129)/I129*10^6</f>
        <v>0.86371143066941258</v>
      </c>
      <c r="L129" s="118" t="s">
        <v>2</v>
      </c>
      <c r="M129" s="100">
        <v>0.98730687849644383</v>
      </c>
      <c r="N129" s="118" t="s">
        <v>2</v>
      </c>
      <c r="O129" s="132" t="s">
        <v>2</v>
      </c>
      <c r="P129" s="155"/>
      <c r="Q129" s="118" t="s">
        <v>301</v>
      </c>
      <c r="R129" s="152"/>
      <c r="S129" s="152"/>
      <c r="T129" s="82"/>
    </row>
    <row r="130" spans="1:20" ht="30" customHeight="1" x14ac:dyDescent="0.2">
      <c r="A130" s="164" t="s">
        <v>481</v>
      </c>
      <c r="B130" s="145" t="s">
        <v>56</v>
      </c>
      <c r="C130" s="145" t="s">
        <v>95</v>
      </c>
      <c r="D130" s="145" t="s">
        <v>949</v>
      </c>
      <c r="E130" s="157">
        <v>2</v>
      </c>
      <c r="F130" s="154" t="s">
        <v>1</v>
      </c>
      <c r="G130" s="120" t="s">
        <v>284</v>
      </c>
      <c r="H130" s="123"/>
      <c r="I130" s="95">
        <f>512.080314+1.007276466583</f>
        <v>513.08759046658304</v>
      </c>
      <c r="J130" s="95">
        <v>513.08720000000005</v>
      </c>
      <c r="K130" s="96">
        <f t="shared" ref="K130:K132" si="17">ABS(I130-J130)/I130*10^6</f>
        <v>0.76101349991714151</v>
      </c>
      <c r="L130" s="117" t="s">
        <v>2</v>
      </c>
      <c r="M130" s="160" t="s">
        <v>321</v>
      </c>
      <c r="N130" s="160"/>
      <c r="O130" s="132" t="s">
        <v>800</v>
      </c>
      <c r="P130" s="158" t="s">
        <v>507</v>
      </c>
      <c r="Q130" s="117" t="s">
        <v>33</v>
      </c>
      <c r="R130" s="149" t="s">
        <v>619</v>
      </c>
      <c r="S130" s="149" t="s">
        <v>676</v>
      </c>
    </row>
    <row r="131" spans="1:20" ht="30" customHeight="1" x14ac:dyDescent="0.2">
      <c r="A131" s="164"/>
      <c r="B131" s="145"/>
      <c r="C131" s="145"/>
      <c r="D131" s="145"/>
      <c r="E131" s="157"/>
      <c r="F131" s="154"/>
      <c r="G131" s="120" t="s">
        <v>285</v>
      </c>
      <c r="H131" s="123" t="s">
        <v>312</v>
      </c>
      <c r="I131" s="95">
        <f>512.080314-1.007276466583</f>
        <v>511.07303753341705</v>
      </c>
      <c r="J131" s="95">
        <v>511.07366443973388</v>
      </c>
      <c r="K131" s="96">
        <f t="shared" si="17"/>
        <v>1.2266472124030312</v>
      </c>
      <c r="L131" s="117" t="s">
        <v>2</v>
      </c>
      <c r="M131" s="122">
        <v>0.96903520135887833</v>
      </c>
      <c r="N131" s="117" t="s">
        <v>2</v>
      </c>
      <c r="O131" s="132" t="s">
        <v>2</v>
      </c>
      <c r="P131" s="154"/>
      <c r="Q131" s="117" t="s">
        <v>301</v>
      </c>
      <c r="R131" s="148"/>
      <c r="S131" s="148"/>
    </row>
    <row r="132" spans="1:20" ht="30" customHeight="1" x14ac:dyDescent="0.2">
      <c r="A132" s="164"/>
      <c r="B132" s="123" t="s">
        <v>22</v>
      </c>
      <c r="C132" s="133" t="s">
        <v>96</v>
      </c>
      <c r="D132" s="123" t="s">
        <v>948</v>
      </c>
      <c r="E132" s="120">
        <v>2</v>
      </c>
      <c r="F132" s="117" t="s">
        <v>1</v>
      </c>
      <c r="G132" s="120" t="s">
        <v>284</v>
      </c>
      <c r="H132" s="123"/>
      <c r="I132" s="95">
        <f>612.073929+1.007276466583</f>
        <v>613.08120546658301</v>
      </c>
      <c r="J132" s="95">
        <v>613.08111358558756</v>
      </c>
      <c r="K132" s="96">
        <f t="shared" si="17"/>
        <v>0.14986757812223958</v>
      </c>
      <c r="L132" s="117" t="s">
        <v>2</v>
      </c>
      <c r="M132" s="122">
        <v>0.9822803535750062</v>
      </c>
      <c r="N132" s="117" t="s">
        <v>2</v>
      </c>
      <c r="O132" s="132" t="s">
        <v>2</v>
      </c>
      <c r="P132" s="154"/>
      <c r="Q132" s="117" t="s">
        <v>301</v>
      </c>
      <c r="R132" s="148"/>
      <c r="S132" s="148"/>
    </row>
    <row r="133" spans="1:20" ht="12.75" customHeight="1" x14ac:dyDescent="0.2">
      <c r="A133" s="124" t="s">
        <v>514</v>
      </c>
      <c r="B133" s="123" t="s">
        <v>413</v>
      </c>
      <c r="C133" s="133" t="s">
        <v>411</v>
      </c>
      <c r="D133" s="123" t="s">
        <v>950</v>
      </c>
      <c r="E133" s="120">
        <v>2</v>
      </c>
      <c r="F133" s="117" t="s">
        <v>1</v>
      </c>
      <c r="G133" s="121" t="s">
        <v>284</v>
      </c>
      <c r="H133" s="123"/>
      <c r="I133" s="95">
        <f>510.064664+1.007276466583</f>
        <v>511.07194046658299</v>
      </c>
      <c r="J133" s="95">
        <v>511.07123352094152</v>
      </c>
      <c r="K133" s="96">
        <f t="shared" ref="K133" si="18">ABS(I133-J133)/I133*10^6</f>
        <v>1.38326052653748</v>
      </c>
      <c r="L133" s="117" t="s">
        <v>2</v>
      </c>
      <c r="M133" s="122">
        <v>0.96501969310269453</v>
      </c>
      <c r="N133" s="117" t="s">
        <v>2</v>
      </c>
      <c r="O133" s="132" t="s">
        <v>2</v>
      </c>
      <c r="P133" s="117" t="s">
        <v>1</v>
      </c>
      <c r="Q133" s="117" t="s">
        <v>298</v>
      </c>
      <c r="R133" s="116" t="s">
        <v>620</v>
      </c>
      <c r="S133" s="115" t="s">
        <v>1</v>
      </c>
    </row>
    <row r="134" spans="1:20" ht="22.5" x14ac:dyDescent="0.2">
      <c r="A134" s="124" t="s">
        <v>515</v>
      </c>
      <c r="B134" s="124" t="s">
        <v>401</v>
      </c>
      <c r="C134" s="133" t="s">
        <v>402</v>
      </c>
      <c r="D134" s="123" t="s">
        <v>951</v>
      </c>
      <c r="E134" s="120">
        <v>2</v>
      </c>
      <c r="F134" s="117" t="s">
        <v>1</v>
      </c>
      <c r="G134" s="120" t="s">
        <v>285</v>
      </c>
      <c r="H134" s="123" t="s">
        <v>325</v>
      </c>
      <c r="I134" s="95">
        <f>499.012295-1.007276466583</f>
        <v>498.005018533417</v>
      </c>
      <c r="J134" s="95">
        <v>498.00470000000001</v>
      </c>
      <c r="K134" s="96">
        <f>ABS(I134-J134)/I134*10^6</f>
        <v>0.63961888963512836</v>
      </c>
      <c r="L134" s="117" t="s">
        <v>2</v>
      </c>
      <c r="M134" s="122">
        <v>0.97382084008332348</v>
      </c>
      <c r="N134" s="117" t="s">
        <v>2</v>
      </c>
      <c r="O134" s="132" t="s">
        <v>2</v>
      </c>
      <c r="P134" s="117" t="s">
        <v>1</v>
      </c>
      <c r="Q134" s="117" t="s">
        <v>301</v>
      </c>
      <c r="R134" s="116" t="s">
        <v>621</v>
      </c>
      <c r="S134" s="115" t="s">
        <v>1</v>
      </c>
    </row>
    <row r="135" spans="1:20" ht="15" customHeight="1" x14ac:dyDescent="0.2">
      <c r="A135" s="166" t="s">
        <v>764</v>
      </c>
      <c r="B135" s="166" t="s">
        <v>748</v>
      </c>
      <c r="C135" s="145" t="s">
        <v>327</v>
      </c>
      <c r="D135" s="145" t="s">
        <v>952</v>
      </c>
      <c r="E135" s="157">
        <v>2</v>
      </c>
      <c r="F135" s="154" t="s">
        <v>1</v>
      </c>
      <c r="G135" s="120" t="s">
        <v>284</v>
      </c>
      <c r="H135" s="123"/>
      <c r="I135" s="95">
        <f>513.027945+1.007276466583</f>
        <v>514.03522146658304</v>
      </c>
      <c r="J135" s="95" t="s">
        <v>322</v>
      </c>
      <c r="K135" s="96" t="s">
        <v>1</v>
      </c>
      <c r="L135" s="117" t="s">
        <v>1</v>
      </c>
      <c r="M135" s="122" t="s">
        <v>1</v>
      </c>
      <c r="N135" s="117" t="s">
        <v>1</v>
      </c>
      <c r="O135" s="132" t="s">
        <v>800</v>
      </c>
      <c r="P135" s="154" t="s">
        <v>1</v>
      </c>
      <c r="Q135" s="117" t="s">
        <v>1</v>
      </c>
      <c r="R135" s="149" t="s">
        <v>620</v>
      </c>
      <c r="S135" s="148" t="s">
        <v>1</v>
      </c>
    </row>
    <row r="136" spans="1:20" x14ac:dyDescent="0.2">
      <c r="A136" s="164"/>
      <c r="B136" s="164"/>
      <c r="C136" s="145"/>
      <c r="D136" s="145"/>
      <c r="E136" s="157"/>
      <c r="F136" s="154"/>
      <c r="G136" s="120" t="s">
        <v>285</v>
      </c>
      <c r="H136" s="123" t="s">
        <v>325</v>
      </c>
      <c r="I136" s="95">
        <f>513.027945-1.007276466583</f>
        <v>512.02066853341705</v>
      </c>
      <c r="J136" s="95">
        <v>512.02049999999997</v>
      </c>
      <c r="K136" s="96">
        <f>ABS(I136-J136)/I136*10^6</f>
        <v>0.32915354289172194</v>
      </c>
      <c r="L136" s="117" t="s">
        <v>2</v>
      </c>
      <c r="M136" s="122">
        <v>0.99634408420844356</v>
      </c>
      <c r="N136" s="117" t="s">
        <v>2</v>
      </c>
      <c r="O136" s="132" t="s">
        <v>2</v>
      </c>
      <c r="P136" s="154"/>
      <c r="Q136" s="117" t="s">
        <v>429</v>
      </c>
      <c r="R136" s="148"/>
      <c r="S136" s="148"/>
    </row>
    <row r="137" spans="1:20" x14ac:dyDescent="0.2">
      <c r="A137" s="145" t="s">
        <v>765</v>
      </c>
      <c r="B137" s="123" t="s">
        <v>766</v>
      </c>
      <c r="C137" s="133" t="s">
        <v>233</v>
      </c>
      <c r="D137" s="139" t="s">
        <v>955</v>
      </c>
      <c r="E137" s="120">
        <v>5</v>
      </c>
      <c r="F137" s="117" t="s">
        <v>1</v>
      </c>
      <c r="G137" s="120" t="s">
        <v>285</v>
      </c>
      <c r="H137" s="123"/>
      <c r="I137" s="95">
        <f>384.007785-1.007276466583</f>
        <v>383.00050853341702</v>
      </c>
      <c r="J137" s="95" t="s">
        <v>322</v>
      </c>
      <c r="K137" s="96" t="s">
        <v>1</v>
      </c>
      <c r="L137" s="117" t="s">
        <v>1</v>
      </c>
      <c r="M137" s="122" t="s">
        <v>1</v>
      </c>
      <c r="N137" s="117" t="s">
        <v>1</v>
      </c>
      <c r="O137" s="132" t="s">
        <v>800</v>
      </c>
      <c r="P137" s="154" t="s">
        <v>508</v>
      </c>
      <c r="Q137" s="117" t="s">
        <v>1</v>
      </c>
      <c r="R137" s="149" t="s">
        <v>622</v>
      </c>
      <c r="S137" s="148" t="s">
        <v>1</v>
      </c>
    </row>
    <row r="138" spans="1:20" x14ac:dyDescent="0.2">
      <c r="A138" s="145"/>
      <c r="B138" s="123" t="s">
        <v>767</v>
      </c>
      <c r="C138" s="133" t="s">
        <v>232</v>
      </c>
      <c r="D138" s="139" t="s">
        <v>953</v>
      </c>
      <c r="E138" s="120">
        <v>2</v>
      </c>
      <c r="F138" s="117" t="s">
        <v>1</v>
      </c>
      <c r="G138" s="120" t="s">
        <v>285</v>
      </c>
      <c r="H138" s="123"/>
      <c r="I138" s="95">
        <f>484.001396-1.007276466583</f>
        <v>482.99411953341701</v>
      </c>
      <c r="J138" s="95">
        <v>482.99498838222979</v>
      </c>
      <c r="K138" s="96">
        <f>ABS(I138-J138)/I138*10^6</f>
        <v>1.798880726799023</v>
      </c>
      <c r="L138" s="117" t="s">
        <v>2</v>
      </c>
      <c r="M138" s="122">
        <v>0.99416835872969256</v>
      </c>
      <c r="N138" s="117" t="s">
        <v>2</v>
      </c>
      <c r="O138" s="132" t="s">
        <v>2</v>
      </c>
      <c r="P138" s="154"/>
      <c r="Q138" s="117" t="s">
        <v>298</v>
      </c>
      <c r="R138" s="148"/>
      <c r="S138" s="148"/>
    </row>
    <row r="139" spans="1:20" x14ac:dyDescent="0.2">
      <c r="A139" s="145"/>
      <c r="B139" s="123" t="s">
        <v>768</v>
      </c>
      <c r="C139" s="133" t="s">
        <v>234</v>
      </c>
      <c r="D139" s="139" t="s">
        <v>954</v>
      </c>
      <c r="E139" s="120">
        <v>2</v>
      </c>
      <c r="F139" s="117" t="s">
        <v>1</v>
      </c>
      <c r="G139" s="120" t="s">
        <v>285</v>
      </c>
      <c r="H139" s="123"/>
      <c r="I139" s="95">
        <f>583.995008-1.007276466583</f>
        <v>582.98773153341699</v>
      </c>
      <c r="J139" s="95">
        <v>582.98802143314401</v>
      </c>
      <c r="K139" s="96">
        <f>ABS(I139-J139)/I139*10^6</f>
        <v>0.49726557068308636</v>
      </c>
      <c r="L139" s="117" t="s">
        <v>2</v>
      </c>
      <c r="M139" s="122">
        <v>0.96216770998589063</v>
      </c>
      <c r="N139" s="117" t="s">
        <v>2</v>
      </c>
      <c r="O139" s="132" t="s">
        <v>2</v>
      </c>
      <c r="P139" s="154"/>
      <c r="Q139" s="117" t="s">
        <v>324</v>
      </c>
      <c r="R139" s="148"/>
      <c r="S139" s="148"/>
    </row>
    <row r="140" spans="1:20" ht="12.75" customHeight="1" x14ac:dyDescent="0.2">
      <c r="A140" s="124" t="s">
        <v>883</v>
      </c>
      <c r="B140" s="123" t="s">
        <v>866</v>
      </c>
      <c r="C140" s="133" t="s">
        <v>219</v>
      </c>
      <c r="D140" s="139" t="s">
        <v>956</v>
      </c>
      <c r="E140" s="120">
        <v>2</v>
      </c>
      <c r="F140" s="117" t="s">
        <v>1</v>
      </c>
      <c r="G140" s="120" t="s">
        <v>285</v>
      </c>
      <c r="H140" s="123"/>
      <c r="I140" s="95">
        <f>603.041882-1.007276466583</f>
        <v>602.03460553341699</v>
      </c>
      <c r="J140" s="95">
        <v>602.03512874042428</v>
      </c>
      <c r="K140" s="96">
        <f t="shared" ref="K140" si="19">ABS(I140-J140)/I140*10^6</f>
        <v>0.86906467249855135</v>
      </c>
      <c r="L140" s="117" t="s">
        <v>2</v>
      </c>
      <c r="M140" s="122">
        <v>0.99536254483411746</v>
      </c>
      <c r="N140" s="117" t="s">
        <v>2</v>
      </c>
      <c r="O140" s="132" t="s">
        <v>2</v>
      </c>
      <c r="P140" s="117" t="s">
        <v>1</v>
      </c>
      <c r="Q140" s="117" t="s">
        <v>299</v>
      </c>
      <c r="R140" s="115" t="s">
        <v>595</v>
      </c>
      <c r="S140" s="116" t="s">
        <v>623</v>
      </c>
    </row>
    <row r="141" spans="1:20" x14ac:dyDescent="0.2">
      <c r="A141" s="146" t="s">
        <v>482</v>
      </c>
      <c r="B141" s="123" t="s">
        <v>483</v>
      </c>
      <c r="C141" s="133" t="s">
        <v>256</v>
      </c>
      <c r="D141" s="139" t="s">
        <v>957</v>
      </c>
      <c r="E141" s="120">
        <v>2</v>
      </c>
      <c r="F141" s="117" t="s">
        <v>1</v>
      </c>
      <c r="G141" s="120" t="s">
        <v>285</v>
      </c>
      <c r="H141" s="123"/>
      <c r="I141" s="95">
        <v>442.962821233417</v>
      </c>
      <c r="J141" s="95">
        <v>442.96340114017289</v>
      </c>
      <c r="K141" s="96">
        <f>ABS(I141-J141)/I141*10^6</f>
        <v>1.3091544664482822</v>
      </c>
      <c r="L141" s="117" t="s">
        <v>2</v>
      </c>
      <c r="M141" s="122">
        <v>0.99480347771092192</v>
      </c>
      <c r="N141" s="117" t="s">
        <v>2</v>
      </c>
      <c r="O141" s="132" t="s">
        <v>2</v>
      </c>
      <c r="P141" s="154" t="s">
        <v>506</v>
      </c>
      <c r="Q141" s="117" t="s">
        <v>301</v>
      </c>
      <c r="R141" s="149" t="s">
        <v>673</v>
      </c>
      <c r="S141" s="149" t="s">
        <v>675</v>
      </c>
    </row>
    <row r="142" spans="1:20" x14ac:dyDescent="0.2">
      <c r="A142" s="146"/>
      <c r="B142" s="123" t="s">
        <v>689</v>
      </c>
      <c r="C142" s="133" t="s">
        <v>255</v>
      </c>
      <c r="D142" s="139" t="s">
        <v>958</v>
      </c>
      <c r="E142" s="120">
        <v>2</v>
      </c>
      <c r="F142" s="117" t="s">
        <v>1</v>
      </c>
      <c r="G142" s="120" t="s">
        <v>285</v>
      </c>
      <c r="H142" s="123"/>
      <c r="I142" s="95">
        <v>542.95643413341702</v>
      </c>
      <c r="J142" s="95">
        <v>542.95721017222286</v>
      </c>
      <c r="K142" s="96">
        <f>ABS(I142-J142)/I142*10^6</f>
        <v>1.4292837455315277</v>
      </c>
      <c r="L142" s="117" t="s">
        <v>2</v>
      </c>
      <c r="M142" s="122">
        <v>0.98183060115378018</v>
      </c>
      <c r="N142" s="117" t="s">
        <v>2</v>
      </c>
      <c r="O142" s="132" t="s">
        <v>2</v>
      </c>
      <c r="P142" s="154"/>
      <c r="Q142" s="117" t="s">
        <v>33</v>
      </c>
      <c r="R142" s="148"/>
      <c r="S142" s="148"/>
    </row>
    <row r="143" spans="1:20" ht="15" customHeight="1" x14ac:dyDescent="0.2">
      <c r="A143" s="145" t="s">
        <v>484</v>
      </c>
      <c r="B143" s="123" t="s">
        <v>485</v>
      </c>
      <c r="C143" s="133" t="s">
        <v>403</v>
      </c>
      <c r="D143" s="139" t="s">
        <v>959</v>
      </c>
      <c r="E143" s="120">
        <v>2</v>
      </c>
      <c r="F143" s="117" t="s">
        <v>1</v>
      </c>
      <c r="G143" s="120" t="s">
        <v>285</v>
      </c>
      <c r="H143" s="123"/>
      <c r="I143" s="95">
        <f>441.954446-1.007276466583</f>
        <v>440.94716953341702</v>
      </c>
      <c r="J143" s="95">
        <v>440.94728508120522</v>
      </c>
      <c r="K143" s="96">
        <f t="shared" ref="K143:K144" si="20">ABS(I143-J143)/I143*10^6</f>
        <v>0.2620445173063839</v>
      </c>
      <c r="L143" s="117" t="s">
        <v>2</v>
      </c>
      <c r="M143" s="122">
        <v>0.97016257459570943</v>
      </c>
      <c r="N143" s="117" t="s">
        <v>2</v>
      </c>
      <c r="O143" s="132" t="s">
        <v>2</v>
      </c>
      <c r="P143" s="154" t="s">
        <v>380</v>
      </c>
      <c r="Q143" s="117" t="s">
        <v>301</v>
      </c>
      <c r="R143" s="149" t="s">
        <v>620</v>
      </c>
      <c r="S143" s="150"/>
    </row>
    <row r="144" spans="1:20" x14ac:dyDescent="0.2">
      <c r="A144" s="145"/>
      <c r="B144" s="123" t="s">
        <v>486</v>
      </c>
      <c r="C144" s="133" t="s">
        <v>404</v>
      </c>
      <c r="D144" s="139" t="s">
        <v>960</v>
      </c>
      <c r="E144" s="120">
        <v>2</v>
      </c>
      <c r="F144" s="117" t="s">
        <v>1</v>
      </c>
      <c r="G144" s="120" t="s">
        <v>285</v>
      </c>
      <c r="H144" s="123"/>
      <c r="I144" s="95">
        <f>541.948058-1.007276466583</f>
        <v>540.94078153341695</v>
      </c>
      <c r="J144" s="95">
        <v>540.94086613442084</v>
      </c>
      <c r="K144" s="96">
        <f t="shared" si="20"/>
        <v>0.15639605439152376</v>
      </c>
      <c r="L144" s="117" t="s">
        <v>2</v>
      </c>
      <c r="M144" s="122">
        <v>0.99637494379563285</v>
      </c>
      <c r="N144" s="117" t="s">
        <v>2</v>
      </c>
      <c r="O144" s="132" t="s">
        <v>2</v>
      </c>
      <c r="P144" s="154"/>
      <c r="Q144" s="117" t="s">
        <v>33</v>
      </c>
      <c r="R144" s="148"/>
      <c r="S144" s="150"/>
    </row>
    <row r="145" spans="1:19" x14ac:dyDescent="0.2">
      <c r="A145" s="145"/>
      <c r="B145" s="123" t="s">
        <v>487</v>
      </c>
      <c r="C145" s="133" t="s">
        <v>405</v>
      </c>
      <c r="D145" s="139" t="s">
        <v>961</v>
      </c>
      <c r="E145" s="120">
        <v>5</v>
      </c>
      <c r="F145" s="117" t="s">
        <v>1</v>
      </c>
      <c r="G145" s="120" t="s">
        <v>285</v>
      </c>
      <c r="H145" s="123"/>
      <c r="I145" s="95">
        <f>641.941669-1.007276466583</f>
        <v>640.93439253341705</v>
      </c>
      <c r="J145" s="95" t="s">
        <v>322</v>
      </c>
      <c r="K145" s="96" t="s">
        <v>1</v>
      </c>
      <c r="L145" s="117" t="s">
        <v>1</v>
      </c>
      <c r="M145" s="122" t="s">
        <v>1</v>
      </c>
      <c r="N145" s="117" t="s">
        <v>1</v>
      </c>
      <c r="O145" s="132" t="s">
        <v>800</v>
      </c>
      <c r="P145" s="154"/>
      <c r="Q145" s="117" t="s">
        <v>1</v>
      </c>
      <c r="R145" s="148"/>
      <c r="S145" s="150"/>
    </row>
    <row r="146" spans="1:19" x14ac:dyDescent="0.2">
      <c r="A146" s="145" t="s">
        <v>584</v>
      </c>
      <c r="B146" s="123" t="s">
        <v>585</v>
      </c>
      <c r="C146" s="133" t="s">
        <v>408</v>
      </c>
      <c r="D146" s="139" t="s">
        <v>962</v>
      </c>
      <c r="E146" s="120">
        <v>2</v>
      </c>
      <c r="F146" s="117" t="s">
        <v>1</v>
      </c>
      <c r="G146" s="120" t="s">
        <v>285</v>
      </c>
      <c r="H146" s="123"/>
      <c r="I146" s="95">
        <f>425.959531-1.007276466583</f>
        <v>424.95225453341703</v>
      </c>
      <c r="J146" s="95">
        <v>424.95221337475601</v>
      </c>
      <c r="K146" s="96">
        <f t="shared" ref="K146:K147" si="21">ABS(I146-J146)/I146*10^6</f>
        <v>9.6854789169259395E-2</v>
      </c>
      <c r="L146" s="117" t="s">
        <v>2</v>
      </c>
      <c r="M146" s="122">
        <v>0.99757398468254499</v>
      </c>
      <c r="N146" s="117" t="s">
        <v>2</v>
      </c>
      <c r="O146" s="132" t="s">
        <v>2</v>
      </c>
      <c r="P146" s="154" t="s">
        <v>506</v>
      </c>
      <c r="Q146" s="117" t="s">
        <v>298</v>
      </c>
      <c r="R146" s="149" t="s">
        <v>620</v>
      </c>
      <c r="S146" s="148" t="s">
        <v>1</v>
      </c>
    </row>
    <row r="147" spans="1:19" x14ac:dyDescent="0.2">
      <c r="A147" s="145"/>
      <c r="B147" s="123" t="s">
        <v>586</v>
      </c>
      <c r="C147" s="133" t="s">
        <v>409</v>
      </c>
      <c r="D147" s="139" t="s">
        <v>963</v>
      </c>
      <c r="E147" s="120">
        <v>3</v>
      </c>
      <c r="F147" s="117" t="s">
        <v>1</v>
      </c>
      <c r="G147" s="120" t="s">
        <v>285</v>
      </c>
      <c r="H147" s="123"/>
      <c r="I147" s="95">
        <f>525.953143-1.007276466583</f>
        <v>524.94586653341696</v>
      </c>
      <c r="J147" s="95">
        <v>524.94592340921849</v>
      </c>
      <c r="K147" s="96">
        <f t="shared" si="21"/>
        <v>0.10834603177074618</v>
      </c>
      <c r="L147" s="117" t="s">
        <v>2</v>
      </c>
      <c r="M147" s="122">
        <v>0.99111097915499002</v>
      </c>
      <c r="N147" s="117" t="s">
        <v>2</v>
      </c>
      <c r="O147" s="132" t="s">
        <v>2</v>
      </c>
      <c r="P147" s="154"/>
      <c r="Q147" s="117" t="s">
        <v>296</v>
      </c>
      <c r="R147" s="148"/>
      <c r="S147" s="148"/>
    </row>
    <row r="148" spans="1:19" s="84" customFormat="1" ht="12.75" customHeight="1" x14ac:dyDescent="0.2">
      <c r="A148" s="162" t="s">
        <v>758</v>
      </c>
      <c r="B148" s="165" t="s">
        <v>759</v>
      </c>
      <c r="C148" s="146" t="s">
        <v>97</v>
      </c>
      <c r="D148" s="146" t="s">
        <v>940</v>
      </c>
      <c r="E148" s="161">
        <v>5</v>
      </c>
      <c r="F148" s="156" t="s">
        <v>1</v>
      </c>
      <c r="G148" s="64" t="s">
        <v>286</v>
      </c>
      <c r="H148" s="142"/>
      <c r="I148" s="101">
        <f>506.059169+1.007276466583</f>
        <v>507.06644546658299</v>
      </c>
      <c r="J148" s="101">
        <v>507.09377441330992</v>
      </c>
      <c r="K148" s="102">
        <f t="shared" ref="K148:K149" si="22">ABS(I148-J148)/I148*10^6</f>
        <v>53.896184555809157</v>
      </c>
      <c r="L148" s="141" t="s">
        <v>1</v>
      </c>
      <c r="M148" s="101" t="s">
        <v>322</v>
      </c>
      <c r="N148" s="141" t="s">
        <v>1</v>
      </c>
      <c r="O148" s="141" t="s">
        <v>2</v>
      </c>
      <c r="P148" s="156" t="s">
        <v>380</v>
      </c>
      <c r="Q148" s="141" t="s">
        <v>1</v>
      </c>
      <c r="R148" s="149" t="s">
        <v>1</v>
      </c>
      <c r="S148" s="148" t="s">
        <v>1</v>
      </c>
    </row>
    <row r="149" spans="1:19" s="84" customFormat="1" ht="12.75" customHeight="1" x14ac:dyDescent="0.2">
      <c r="A149" s="162"/>
      <c r="B149" s="165"/>
      <c r="C149" s="146"/>
      <c r="D149" s="146"/>
      <c r="E149" s="161"/>
      <c r="F149" s="156"/>
      <c r="G149" s="64" t="s">
        <v>309</v>
      </c>
      <c r="H149" s="142"/>
      <c r="I149" s="101">
        <f>506.059169-1.007276466583</f>
        <v>505.051892533417</v>
      </c>
      <c r="J149" s="101">
        <v>505.04537819703262</v>
      </c>
      <c r="K149" s="102">
        <f t="shared" si="22"/>
        <v>12.898350606523969</v>
      </c>
      <c r="L149" s="141" t="s">
        <v>1</v>
      </c>
      <c r="M149" s="144">
        <v>0.96914914012627951</v>
      </c>
      <c r="N149" s="141" t="s">
        <v>2</v>
      </c>
      <c r="O149" s="141" t="s">
        <v>2</v>
      </c>
      <c r="P149" s="156"/>
      <c r="Q149" s="141" t="s">
        <v>1</v>
      </c>
      <c r="R149" s="148"/>
      <c r="S149" s="148"/>
    </row>
    <row r="150" spans="1:19" s="84" customFormat="1" ht="12.75" customHeight="1" x14ac:dyDescent="0.2">
      <c r="A150" s="162"/>
      <c r="B150" s="165" t="s">
        <v>760</v>
      </c>
      <c r="C150" s="146" t="s">
        <v>98</v>
      </c>
      <c r="D150" s="146" t="s">
        <v>939</v>
      </c>
      <c r="E150" s="161">
        <v>5</v>
      </c>
      <c r="F150" s="156" t="s">
        <v>1</v>
      </c>
      <c r="G150" s="64" t="s">
        <v>286</v>
      </c>
      <c r="H150" s="142"/>
      <c r="I150" s="101">
        <f>556.055975+1.007276466583</f>
        <v>557.06325146658298</v>
      </c>
      <c r="J150" s="101">
        <v>557.07860546186282</v>
      </c>
      <c r="K150" s="102">
        <f>ABS(I150-J150)/I150*10^6</f>
        <v>27.562391235493887</v>
      </c>
      <c r="L150" s="141" t="s">
        <v>1</v>
      </c>
      <c r="M150" s="101" t="s">
        <v>322</v>
      </c>
      <c r="N150" s="141" t="s">
        <v>1</v>
      </c>
      <c r="O150" s="141" t="s">
        <v>2</v>
      </c>
      <c r="P150" s="156"/>
      <c r="Q150" s="141" t="s">
        <v>1</v>
      </c>
      <c r="R150" s="148"/>
      <c r="S150" s="148"/>
    </row>
    <row r="151" spans="1:19" s="84" customFormat="1" ht="12.75" customHeight="1" x14ac:dyDescent="0.2">
      <c r="A151" s="162"/>
      <c r="B151" s="165"/>
      <c r="C151" s="146"/>
      <c r="D151" s="146"/>
      <c r="E151" s="161"/>
      <c r="F151" s="156"/>
      <c r="G151" s="64" t="s">
        <v>309</v>
      </c>
      <c r="H151" s="142"/>
      <c r="I151" s="101">
        <f>556.055975-1.007276466583</f>
        <v>555.048698533417</v>
      </c>
      <c r="J151" s="101" t="s">
        <v>322</v>
      </c>
      <c r="K151" s="102" t="s">
        <v>1</v>
      </c>
      <c r="L151" s="141" t="s">
        <v>1</v>
      </c>
      <c r="M151" s="103" t="s">
        <v>1</v>
      </c>
      <c r="N151" s="141" t="s">
        <v>1</v>
      </c>
      <c r="O151" s="141" t="s">
        <v>800</v>
      </c>
      <c r="P151" s="156"/>
      <c r="Q151" s="141" t="s">
        <v>1</v>
      </c>
      <c r="R151" s="148"/>
      <c r="S151" s="148"/>
    </row>
    <row r="152" spans="1:19" s="84" customFormat="1" ht="13.5" customHeight="1" x14ac:dyDescent="0.2">
      <c r="A152" s="162"/>
      <c r="B152" s="165" t="s">
        <v>761</v>
      </c>
      <c r="C152" s="146" t="s">
        <v>99</v>
      </c>
      <c r="D152" s="163" t="s">
        <v>938</v>
      </c>
      <c r="E152" s="161">
        <v>3</v>
      </c>
      <c r="F152" s="156" t="s">
        <v>1</v>
      </c>
      <c r="G152" s="64" t="s">
        <v>286</v>
      </c>
      <c r="H152" s="142"/>
      <c r="I152" s="101">
        <f>606.052781+1.007276466583</f>
        <v>607.06005746658298</v>
      </c>
      <c r="J152" s="101">
        <v>607.05965079438408</v>
      </c>
      <c r="K152" s="102">
        <f>ABS(I152-J152)/I152*10^6</f>
        <v>0.66990439230865895</v>
      </c>
      <c r="L152" s="141" t="s">
        <v>2</v>
      </c>
      <c r="M152" s="103">
        <v>0.99431655955797804</v>
      </c>
      <c r="N152" s="141" t="s">
        <v>2</v>
      </c>
      <c r="O152" s="141" t="s">
        <v>2</v>
      </c>
      <c r="P152" s="156"/>
      <c r="Q152" s="141" t="s">
        <v>301</v>
      </c>
      <c r="R152" s="148"/>
      <c r="S152" s="148"/>
    </row>
    <row r="153" spans="1:19" s="84" customFormat="1" ht="12.75" customHeight="1" x14ac:dyDescent="0.2">
      <c r="A153" s="162"/>
      <c r="B153" s="165"/>
      <c r="C153" s="146"/>
      <c r="D153" s="163"/>
      <c r="E153" s="161"/>
      <c r="F153" s="156"/>
      <c r="G153" s="64" t="s">
        <v>309</v>
      </c>
      <c r="H153" s="143"/>
      <c r="I153" s="101">
        <f>606.052781-1.007276466583</f>
        <v>605.04550453341699</v>
      </c>
      <c r="J153" s="101">
        <v>605.04461116765776</v>
      </c>
      <c r="K153" s="102">
        <f>ABS(I153-J153)/I153*10^6</f>
        <v>1.4765265629303108</v>
      </c>
      <c r="L153" s="141" t="s">
        <v>2</v>
      </c>
      <c r="M153" s="103">
        <v>0.98458307490222896</v>
      </c>
      <c r="N153" s="141" t="s">
        <v>2</v>
      </c>
      <c r="O153" s="141" t="s">
        <v>2</v>
      </c>
      <c r="P153" s="156"/>
      <c r="Q153" s="141" t="s">
        <v>326</v>
      </c>
      <c r="R153" s="148"/>
      <c r="S153" s="148"/>
    </row>
    <row r="154" spans="1:19" x14ac:dyDescent="0.2">
      <c r="A154" s="145" t="s">
        <v>488</v>
      </c>
      <c r="B154" s="123" t="s">
        <v>148</v>
      </c>
      <c r="C154" s="133" t="s">
        <v>254</v>
      </c>
      <c r="D154" s="139" t="s">
        <v>973</v>
      </c>
      <c r="E154" s="120">
        <v>3</v>
      </c>
      <c r="F154" s="117" t="s">
        <v>1</v>
      </c>
      <c r="G154" s="120" t="s">
        <v>285</v>
      </c>
      <c r="H154" s="123"/>
      <c r="I154" s="95">
        <v>376.93471473341702</v>
      </c>
      <c r="J154" s="95">
        <v>376.93431253940668</v>
      </c>
      <c r="K154" s="96">
        <f>ABS(I154-J154)/I154*10^6</f>
        <v>1.0670123886915377</v>
      </c>
      <c r="L154" s="117" t="s">
        <v>2</v>
      </c>
      <c r="M154" s="122">
        <v>0.99259896665189207</v>
      </c>
      <c r="N154" s="117" t="s">
        <v>2</v>
      </c>
      <c r="O154" s="132" t="s">
        <v>2</v>
      </c>
      <c r="P154" s="154" t="s">
        <v>400</v>
      </c>
      <c r="Q154" s="117" t="s">
        <v>298</v>
      </c>
      <c r="R154" s="149" t="s">
        <v>624</v>
      </c>
      <c r="S154" s="149" t="s">
        <v>670</v>
      </c>
    </row>
    <row r="155" spans="1:19" x14ac:dyDescent="0.2">
      <c r="A155" s="145"/>
      <c r="B155" s="123" t="s">
        <v>147</v>
      </c>
      <c r="C155" s="133" t="s">
        <v>253</v>
      </c>
      <c r="D155" s="139" t="s">
        <v>972</v>
      </c>
      <c r="E155" s="120">
        <v>3</v>
      </c>
      <c r="F155" s="117" t="s">
        <v>1</v>
      </c>
      <c r="G155" s="120" t="s">
        <v>285</v>
      </c>
      <c r="H155" s="123"/>
      <c r="I155" s="95">
        <v>426.93152113341699</v>
      </c>
      <c r="J155" s="95">
        <v>426.93113951715662</v>
      </c>
      <c r="K155" s="96">
        <f>ABS(I155-J155)/I155*10^6</f>
        <v>0.89385824536144864</v>
      </c>
      <c r="L155" s="117" t="s">
        <v>2</v>
      </c>
      <c r="M155" s="122">
        <v>0.98231616117183895</v>
      </c>
      <c r="N155" s="117" t="s">
        <v>2</v>
      </c>
      <c r="O155" s="132" t="s">
        <v>2</v>
      </c>
      <c r="P155" s="154"/>
      <c r="Q155" s="117" t="s">
        <v>1</v>
      </c>
      <c r="R155" s="148"/>
      <c r="S155" s="148"/>
    </row>
    <row r="156" spans="1:19" x14ac:dyDescent="0.2">
      <c r="A156" s="145"/>
      <c r="B156" s="123" t="s">
        <v>149</v>
      </c>
      <c r="C156" s="133" t="s">
        <v>246</v>
      </c>
      <c r="D156" s="140" t="s">
        <v>965</v>
      </c>
      <c r="E156" s="120">
        <v>3</v>
      </c>
      <c r="F156" s="117" t="s">
        <v>1</v>
      </c>
      <c r="G156" s="120" t="s">
        <v>285</v>
      </c>
      <c r="H156" s="123"/>
      <c r="I156" s="95">
        <v>476.92832763341698</v>
      </c>
      <c r="J156" s="95">
        <v>476.9289089640717</v>
      </c>
      <c r="K156" s="96">
        <f>ABS(I156-J156)/I156*10^6</f>
        <v>1.2189056951088462</v>
      </c>
      <c r="L156" s="117" t="s">
        <v>2</v>
      </c>
      <c r="M156" s="122">
        <v>0.98983132958507758</v>
      </c>
      <c r="N156" s="117" t="s">
        <v>2</v>
      </c>
      <c r="O156" s="132" t="s">
        <v>2</v>
      </c>
      <c r="P156" s="154"/>
      <c r="Q156" s="117" t="s">
        <v>306</v>
      </c>
      <c r="R156" s="148"/>
      <c r="S156" s="148"/>
    </row>
    <row r="157" spans="1:19" x14ac:dyDescent="0.2">
      <c r="A157" s="145"/>
      <c r="B157" s="123" t="s">
        <v>150</v>
      </c>
      <c r="C157" s="133" t="s">
        <v>247</v>
      </c>
      <c r="D157" s="139" t="s">
        <v>966</v>
      </c>
      <c r="E157" s="120">
        <v>5</v>
      </c>
      <c r="F157" s="117" t="s">
        <v>1</v>
      </c>
      <c r="G157" s="120" t="s">
        <v>285</v>
      </c>
      <c r="H157" s="123"/>
      <c r="I157" s="95">
        <v>526.92513403341695</v>
      </c>
      <c r="J157" s="95" t="s">
        <v>322</v>
      </c>
      <c r="K157" s="96" t="s">
        <v>1</v>
      </c>
      <c r="L157" s="117" t="s">
        <v>1</v>
      </c>
      <c r="M157" s="122" t="s">
        <v>1</v>
      </c>
      <c r="N157" s="117" t="s">
        <v>1</v>
      </c>
      <c r="O157" s="132" t="s">
        <v>800</v>
      </c>
      <c r="P157" s="154"/>
      <c r="Q157" s="117" t="s">
        <v>1</v>
      </c>
      <c r="R157" s="148"/>
      <c r="S157" s="148"/>
    </row>
    <row r="158" spans="1:19" x14ac:dyDescent="0.2">
      <c r="A158" s="145"/>
      <c r="B158" s="123" t="s">
        <v>151</v>
      </c>
      <c r="C158" s="133" t="s">
        <v>248</v>
      </c>
      <c r="D158" s="139" t="s">
        <v>967</v>
      </c>
      <c r="E158" s="120">
        <v>5</v>
      </c>
      <c r="F158" s="117" t="s">
        <v>1</v>
      </c>
      <c r="G158" s="120" t="s">
        <v>285</v>
      </c>
      <c r="H158" s="123"/>
      <c r="I158" s="95">
        <v>576.92194043341703</v>
      </c>
      <c r="J158" s="95" t="s">
        <v>322</v>
      </c>
      <c r="K158" s="96" t="s">
        <v>1</v>
      </c>
      <c r="L158" s="117" t="s">
        <v>1</v>
      </c>
      <c r="M158" s="122" t="s">
        <v>1</v>
      </c>
      <c r="N158" s="117" t="s">
        <v>1</v>
      </c>
      <c r="O158" s="132" t="s">
        <v>800</v>
      </c>
      <c r="P158" s="154"/>
      <c r="Q158" s="117" t="s">
        <v>1</v>
      </c>
      <c r="R158" s="148"/>
      <c r="S158" s="148"/>
    </row>
    <row r="159" spans="1:19" x14ac:dyDescent="0.2">
      <c r="A159" s="145"/>
      <c r="B159" s="123" t="s">
        <v>152</v>
      </c>
      <c r="C159" s="133" t="s">
        <v>249</v>
      </c>
      <c r="D159" s="139" t="s">
        <v>968</v>
      </c>
      <c r="E159" s="120">
        <v>5</v>
      </c>
      <c r="F159" s="117" t="s">
        <v>1</v>
      </c>
      <c r="G159" s="120" t="s">
        <v>285</v>
      </c>
      <c r="H159" s="123"/>
      <c r="I159" s="95">
        <v>626.91874693341697</v>
      </c>
      <c r="J159" s="95" t="s">
        <v>322</v>
      </c>
      <c r="K159" s="96" t="s">
        <v>1</v>
      </c>
      <c r="L159" s="117" t="s">
        <v>1</v>
      </c>
      <c r="M159" s="122" t="s">
        <v>1</v>
      </c>
      <c r="N159" s="117" t="s">
        <v>1</v>
      </c>
      <c r="O159" s="132" t="s">
        <v>800</v>
      </c>
      <c r="P159" s="154"/>
      <c r="Q159" s="117" t="s">
        <v>1</v>
      </c>
      <c r="R159" s="148"/>
      <c r="S159" s="148"/>
    </row>
    <row r="160" spans="1:19" x14ac:dyDescent="0.2">
      <c r="A160" s="145"/>
      <c r="B160" s="123" t="s">
        <v>153</v>
      </c>
      <c r="C160" s="133" t="s">
        <v>250</v>
      </c>
      <c r="D160" s="139" t="s">
        <v>969</v>
      </c>
      <c r="E160" s="120">
        <v>3</v>
      </c>
      <c r="F160" s="117" t="s">
        <v>1</v>
      </c>
      <c r="G160" s="120" t="s">
        <v>285</v>
      </c>
      <c r="H160" s="123"/>
      <c r="I160" s="95">
        <v>676.91555333341705</v>
      </c>
      <c r="J160" s="95">
        <v>676.91653717813426</v>
      </c>
      <c r="K160" s="96">
        <f>ABS(I160-J160)/I160*10^6</f>
        <v>1.4534231225248155</v>
      </c>
      <c r="L160" s="117" t="s">
        <v>2</v>
      </c>
      <c r="M160" s="122">
        <v>0.99805596750210812</v>
      </c>
      <c r="N160" s="117" t="s">
        <v>2</v>
      </c>
      <c r="O160" s="132" t="s">
        <v>2</v>
      </c>
      <c r="P160" s="154"/>
      <c r="Q160" s="117" t="s">
        <v>1</v>
      </c>
      <c r="R160" s="148"/>
      <c r="S160" s="148"/>
    </row>
    <row r="161" spans="1:19" x14ac:dyDescent="0.2">
      <c r="A161" s="145"/>
      <c r="B161" s="123" t="s">
        <v>154</v>
      </c>
      <c r="C161" s="133" t="s">
        <v>251</v>
      </c>
      <c r="D161" s="139" t="s">
        <v>970</v>
      </c>
      <c r="E161" s="120">
        <v>5</v>
      </c>
      <c r="F161" s="117" t="s">
        <v>1</v>
      </c>
      <c r="G161" s="120" t="s">
        <v>285</v>
      </c>
      <c r="H161" s="123"/>
      <c r="I161" s="95">
        <v>726.91235983341699</v>
      </c>
      <c r="J161" s="95" t="s">
        <v>322</v>
      </c>
      <c r="K161" s="96" t="s">
        <v>1</v>
      </c>
      <c r="L161" s="117" t="s">
        <v>1</v>
      </c>
      <c r="M161" s="122" t="s">
        <v>1</v>
      </c>
      <c r="N161" s="117" t="s">
        <v>1</v>
      </c>
      <c r="O161" s="132" t="s">
        <v>800</v>
      </c>
      <c r="P161" s="154"/>
      <c r="Q161" s="117" t="s">
        <v>1</v>
      </c>
      <c r="R161" s="148"/>
      <c r="S161" s="148"/>
    </row>
    <row r="162" spans="1:19" ht="12.75" customHeight="1" x14ac:dyDescent="0.2">
      <c r="A162" s="145"/>
      <c r="B162" s="123" t="s">
        <v>769</v>
      </c>
      <c r="C162" s="133" t="s">
        <v>252</v>
      </c>
      <c r="D162" s="139" t="s">
        <v>971</v>
      </c>
      <c r="E162" s="120">
        <v>5</v>
      </c>
      <c r="F162" s="117" t="s">
        <v>1</v>
      </c>
      <c r="G162" s="120" t="s">
        <v>285</v>
      </c>
      <c r="H162" s="123"/>
      <c r="I162" s="95">
        <v>776.90916623341695</v>
      </c>
      <c r="J162" s="95" t="s">
        <v>322</v>
      </c>
      <c r="K162" s="96" t="s">
        <v>1</v>
      </c>
      <c r="L162" s="117" t="s">
        <v>1</v>
      </c>
      <c r="M162" s="122" t="s">
        <v>1</v>
      </c>
      <c r="N162" s="117" t="s">
        <v>1</v>
      </c>
      <c r="O162" s="132" t="s">
        <v>800</v>
      </c>
      <c r="P162" s="154"/>
      <c r="Q162" s="117" t="s">
        <v>1</v>
      </c>
      <c r="R162" s="148"/>
      <c r="S162" s="148"/>
    </row>
    <row r="163" spans="1:19" x14ac:dyDescent="0.2">
      <c r="A163" s="145" t="s">
        <v>770</v>
      </c>
      <c r="B163" s="128" t="s">
        <v>771</v>
      </c>
      <c r="C163" s="133" t="s">
        <v>238</v>
      </c>
      <c r="D163" s="139" t="s">
        <v>976</v>
      </c>
      <c r="E163" s="120">
        <v>3</v>
      </c>
      <c r="F163" s="117" t="s">
        <v>1</v>
      </c>
      <c r="G163" s="120" t="s">
        <v>285</v>
      </c>
      <c r="H163" s="123"/>
      <c r="I163" s="95">
        <f>312.981903-1.007276466583</f>
        <v>311.97462653341699</v>
      </c>
      <c r="J163" s="95">
        <v>311.97512383744362</v>
      </c>
      <c r="K163" s="96">
        <f>ABS(I163-J163)/I163*10^6</f>
        <v>1.5940527989392608</v>
      </c>
      <c r="L163" s="117" t="s">
        <v>2</v>
      </c>
      <c r="M163" s="122">
        <v>0.99763349047943928</v>
      </c>
      <c r="N163" s="117" t="s">
        <v>2</v>
      </c>
      <c r="O163" s="132" t="s">
        <v>2</v>
      </c>
      <c r="P163" s="154" t="s">
        <v>509</v>
      </c>
      <c r="Q163" s="117" t="s">
        <v>296</v>
      </c>
      <c r="R163" s="148" t="s">
        <v>596</v>
      </c>
      <c r="S163" s="153" t="s">
        <v>1</v>
      </c>
    </row>
    <row r="164" spans="1:19" x14ac:dyDescent="0.2">
      <c r="A164" s="145"/>
      <c r="B164" s="128" t="s">
        <v>772</v>
      </c>
      <c r="C164" s="133" t="s">
        <v>239</v>
      </c>
      <c r="D164" s="139" t="s">
        <v>975</v>
      </c>
      <c r="E164" s="120">
        <v>5</v>
      </c>
      <c r="F164" s="117" t="s">
        <v>1</v>
      </c>
      <c r="G164" s="120" t="s">
        <v>285</v>
      </c>
      <c r="H164" s="123"/>
      <c r="I164" s="95">
        <f>412.9755167-1.007276466583</f>
        <v>411.96824023341702</v>
      </c>
      <c r="J164" s="95" t="s">
        <v>322</v>
      </c>
      <c r="K164" s="96" t="s">
        <v>1</v>
      </c>
      <c r="L164" s="117" t="s">
        <v>1</v>
      </c>
      <c r="M164" s="122" t="s">
        <v>1</v>
      </c>
      <c r="N164" s="117" t="s">
        <v>1</v>
      </c>
      <c r="O164" s="132" t="s">
        <v>800</v>
      </c>
      <c r="P164" s="154"/>
      <c r="Q164" s="117" t="s">
        <v>33</v>
      </c>
      <c r="R164" s="148"/>
      <c r="S164" s="153"/>
    </row>
    <row r="165" spans="1:19" x14ac:dyDescent="0.2">
      <c r="A165" s="145"/>
      <c r="B165" s="128" t="s">
        <v>773</v>
      </c>
      <c r="C165" s="133" t="s">
        <v>240</v>
      </c>
      <c r="D165" s="139" t="s">
        <v>974</v>
      </c>
      <c r="E165" s="120">
        <v>3</v>
      </c>
      <c r="F165" s="117" t="s">
        <v>1</v>
      </c>
      <c r="G165" s="120" t="s">
        <v>285</v>
      </c>
      <c r="H165" s="123"/>
      <c r="I165" s="95">
        <f>512.9691296-1.007276466583</f>
        <v>511.96185313341698</v>
      </c>
      <c r="J165" s="95">
        <v>511.96144409249092</v>
      </c>
      <c r="K165" s="96">
        <f>ABS(I165-J165)/I165*10^6</f>
        <v>0.7989675862662915</v>
      </c>
      <c r="L165" s="117" t="s">
        <v>2</v>
      </c>
      <c r="M165" s="122">
        <v>0.99559692868459437</v>
      </c>
      <c r="N165" s="117" t="s">
        <v>2</v>
      </c>
      <c r="O165" s="132" t="s">
        <v>2</v>
      </c>
      <c r="P165" s="154"/>
      <c r="Q165" s="117" t="s">
        <v>296</v>
      </c>
      <c r="R165" s="148"/>
      <c r="S165" s="153"/>
    </row>
    <row r="166" spans="1:19" x14ac:dyDescent="0.2">
      <c r="A166" s="145" t="s">
        <v>489</v>
      </c>
      <c r="B166" s="123" t="s">
        <v>51</v>
      </c>
      <c r="C166" s="133" t="s">
        <v>105</v>
      </c>
      <c r="D166" s="139" t="s">
        <v>979</v>
      </c>
      <c r="E166" s="120">
        <v>3</v>
      </c>
      <c r="F166" s="117" t="s">
        <v>1</v>
      </c>
      <c r="G166" s="120" t="s">
        <v>286</v>
      </c>
      <c r="H166" s="123"/>
      <c r="I166" s="95">
        <f>445.091115+1.007276466583</f>
        <v>446.098391466583</v>
      </c>
      <c r="J166" s="95">
        <v>446.09826537659598</v>
      </c>
      <c r="K166" s="96">
        <f t="shared" ref="K166:K169" si="23">ABS(I166-J166)/I166*10^6</f>
        <v>0.28265062020470338</v>
      </c>
      <c r="L166" s="117" t="s">
        <v>2</v>
      </c>
      <c r="M166" s="122">
        <v>0.99896485608847596</v>
      </c>
      <c r="N166" s="117" t="s">
        <v>2</v>
      </c>
      <c r="O166" s="132" t="s">
        <v>2</v>
      </c>
      <c r="P166" s="154" t="s">
        <v>509</v>
      </c>
      <c r="Q166" s="117" t="s">
        <v>296</v>
      </c>
      <c r="R166" s="148" t="s">
        <v>1</v>
      </c>
      <c r="S166" s="149" t="s">
        <v>625</v>
      </c>
    </row>
    <row r="167" spans="1:19" x14ac:dyDescent="0.2">
      <c r="A167" s="145"/>
      <c r="B167" s="123" t="s">
        <v>12</v>
      </c>
      <c r="C167" s="133" t="s">
        <v>104</v>
      </c>
      <c r="D167" s="139" t="s">
        <v>977</v>
      </c>
      <c r="E167" s="120">
        <v>3</v>
      </c>
      <c r="F167" s="117" t="s">
        <v>1</v>
      </c>
      <c r="G167" s="120" t="s">
        <v>286</v>
      </c>
      <c r="H167" s="123"/>
      <c r="I167" s="95">
        <f>545.084726+1.007276466583</f>
        <v>546.09200246658304</v>
      </c>
      <c r="J167" s="95">
        <v>546.09169009109814</v>
      </c>
      <c r="K167" s="96">
        <f t="shared" si="23"/>
        <v>0.57201988581553287</v>
      </c>
      <c r="L167" s="117" t="s">
        <v>2</v>
      </c>
      <c r="M167" s="122">
        <v>0.99130696274144736</v>
      </c>
      <c r="N167" s="117" t="s">
        <v>2</v>
      </c>
      <c r="O167" s="132" t="s">
        <v>2</v>
      </c>
      <c r="P167" s="154"/>
      <c r="Q167" s="117" t="s">
        <v>1</v>
      </c>
      <c r="R167" s="148"/>
      <c r="S167" s="148"/>
    </row>
    <row r="168" spans="1:19" x14ac:dyDescent="0.2">
      <c r="A168" s="145"/>
      <c r="B168" s="123" t="s">
        <v>52</v>
      </c>
      <c r="C168" s="133" t="s">
        <v>106</v>
      </c>
      <c r="D168" s="139" t="s">
        <v>978</v>
      </c>
      <c r="E168" s="120">
        <v>3</v>
      </c>
      <c r="F168" s="117" t="s">
        <v>1</v>
      </c>
      <c r="G168" s="120" t="s">
        <v>286</v>
      </c>
      <c r="H168" s="123"/>
      <c r="I168" s="95">
        <f>645.078338+1.007276466583</f>
        <v>646.08561446658302</v>
      </c>
      <c r="J168" s="95">
        <v>646.08515259978071</v>
      </c>
      <c r="K168" s="96">
        <f t="shared" si="23"/>
        <v>0.7148693485346046</v>
      </c>
      <c r="L168" s="117" t="s">
        <v>2</v>
      </c>
      <c r="M168" s="122">
        <v>0.98658445588662791</v>
      </c>
      <c r="N168" s="117" t="s">
        <v>2</v>
      </c>
      <c r="O168" s="132" t="s">
        <v>2</v>
      </c>
      <c r="P168" s="154"/>
      <c r="Q168" s="117" t="s">
        <v>1</v>
      </c>
      <c r="R168" s="148"/>
      <c r="S168" s="148"/>
    </row>
    <row r="169" spans="1:19" x14ac:dyDescent="0.2">
      <c r="A169" s="145" t="s">
        <v>490</v>
      </c>
      <c r="B169" s="123" t="s">
        <v>162</v>
      </c>
      <c r="C169" s="133" t="s">
        <v>276</v>
      </c>
      <c r="D169" s="139" t="s">
        <v>980</v>
      </c>
      <c r="E169" s="120">
        <v>4</v>
      </c>
      <c r="F169" s="117" t="s">
        <v>1</v>
      </c>
      <c r="G169" s="120" t="s">
        <v>285</v>
      </c>
      <c r="H169" s="123"/>
      <c r="I169" s="95">
        <v>564.92194043341703</v>
      </c>
      <c r="J169" s="95">
        <v>564.92226648546898</v>
      </c>
      <c r="K169" s="96">
        <f t="shared" si="23"/>
        <v>0.57716301777194723</v>
      </c>
      <c r="L169" s="117" t="s">
        <v>2</v>
      </c>
      <c r="M169" s="122">
        <v>0.95776473902664838</v>
      </c>
      <c r="N169" s="117" t="s">
        <v>2</v>
      </c>
      <c r="O169" s="132" t="s">
        <v>2</v>
      </c>
      <c r="P169" s="154" t="s">
        <v>377</v>
      </c>
      <c r="Q169" s="117" t="s">
        <v>1</v>
      </c>
      <c r="R169" s="148" t="s">
        <v>606</v>
      </c>
      <c r="S169" s="148" t="s">
        <v>1</v>
      </c>
    </row>
    <row r="170" spans="1:19" x14ac:dyDescent="0.2">
      <c r="A170" s="145"/>
      <c r="B170" s="123" t="s">
        <v>163</v>
      </c>
      <c r="C170" s="133" t="s">
        <v>277</v>
      </c>
      <c r="D170" s="139" t="s">
        <v>981</v>
      </c>
      <c r="E170" s="120">
        <v>5</v>
      </c>
      <c r="F170" s="117" t="s">
        <v>1</v>
      </c>
      <c r="G170" s="120" t="s">
        <v>285</v>
      </c>
      <c r="H170" s="123"/>
      <c r="I170" s="95">
        <v>614.91874693341697</v>
      </c>
      <c r="J170" s="95" t="s">
        <v>322</v>
      </c>
      <c r="K170" s="96" t="s">
        <v>1</v>
      </c>
      <c r="L170" s="117" t="s">
        <v>1</v>
      </c>
      <c r="M170" s="122" t="s">
        <v>1</v>
      </c>
      <c r="N170" s="117" t="s">
        <v>1</v>
      </c>
      <c r="O170" s="132" t="s">
        <v>800</v>
      </c>
      <c r="P170" s="154"/>
      <c r="Q170" s="117" t="s">
        <v>1</v>
      </c>
      <c r="R170" s="148"/>
      <c r="S170" s="148"/>
    </row>
    <row r="171" spans="1:19" x14ac:dyDescent="0.2">
      <c r="A171" s="145"/>
      <c r="B171" s="123" t="s">
        <v>164</v>
      </c>
      <c r="C171" s="133" t="s">
        <v>278</v>
      </c>
      <c r="D171" s="139" t="s">
        <v>982</v>
      </c>
      <c r="E171" s="120">
        <v>5</v>
      </c>
      <c r="F171" s="117" t="s">
        <v>1</v>
      </c>
      <c r="G171" s="120" t="s">
        <v>285</v>
      </c>
      <c r="H171" s="123"/>
      <c r="I171" s="95">
        <v>664.91555333341705</v>
      </c>
      <c r="J171" s="95" t="s">
        <v>322</v>
      </c>
      <c r="K171" s="96" t="s">
        <v>1</v>
      </c>
      <c r="L171" s="117" t="s">
        <v>1</v>
      </c>
      <c r="M171" s="122" t="s">
        <v>1</v>
      </c>
      <c r="N171" s="117" t="s">
        <v>1</v>
      </c>
      <c r="O171" s="132" t="s">
        <v>800</v>
      </c>
      <c r="P171" s="154"/>
      <c r="Q171" s="117" t="s">
        <v>1</v>
      </c>
      <c r="R171" s="148"/>
      <c r="S171" s="148"/>
    </row>
    <row r="172" spans="1:19" x14ac:dyDescent="0.2">
      <c r="A172" s="145"/>
      <c r="B172" s="123" t="s">
        <v>165</v>
      </c>
      <c r="C172" s="133" t="s">
        <v>279</v>
      </c>
      <c r="D172" s="139" t="s">
        <v>983</v>
      </c>
      <c r="E172" s="120">
        <v>5</v>
      </c>
      <c r="F172" s="117" t="s">
        <v>1</v>
      </c>
      <c r="G172" s="120" t="s">
        <v>285</v>
      </c>
      <c r="H172" s="123"/>
      <c r="I172" s="95">
        <v>714.91235983341699</v>
      </c>
      <c r="J172" s="95" t="s">
        <v>322</v>
      </c>
      <c r="K172" s="96" t="s">
        <v>1</v>
      </c>
      <c r="L172" s="117" t="s">
        <v>1</v>
      </c>
      <c r="M172" s="122" t="s">
        <v>1</v>
      </c>
      <c r="N172" s="117" t="s">
        <v>1</v>
      </c>
      <c r="O172" s="132" t="s">
        <v>800</v>
      </c>
      <c r="P172" s="154"/>
      <c r="Q172" s="117" t="s">
        <v>1</v>
      </c>
      <c r="R172" s="148"/>
      <c r="S172" s="148"/>
    </row>
    <row r="173" spans="1:19" x14ac:dyDescent="0.2">
      <c r="A173" s="145"/>
      <c r="B173" s="123" t="s">
        <v>166</v>
      </c>
      <c r="C173" s="133" t="s">
        <v>280</v>
      </c>
      <c r="D173" s="139" t="s">
        <v>984</v>
      </c>
      <c r="E173" s="120">
        <v>5</v>
      </c>
      <c r="F173" s="117" t="s">
        <v>1</v>
      </c>
      <c r="G173" s="120" t="s">
        <v>285</v>
      </c>
      <c r="H173" s="123"/>
      <c r="I173" s="95">
        <v>764.90916623341695</v>
      </c>
      <c r="J173" s="95" t="s">
        <v>322</v>
      </c>
      <c r="K173" s="96" t="s">
        <v>1</v>
      </c>
      <c r="L173" s="117" t="s">
        <v>1</v>
      </c>
      <c r="M173" s="122" t="s">
        <v>1</v>
      </c>
      <c r="N173" s="117" t="s">
        <v>1</v>
      </c>
      <c r="O173" s="132" t="s">
        <v>800</v>
      </c>
      <c r="P173" s="154"/>
      <c r="Q173" s="117" t="s">
        <v>1</v>
      </c>
      <c r="R173" s="148"/>
      <c r="S173" s="148"/>
    </row>
    <row r="174" spans="1:19" x14ac:dyDescent="0.2">
      <c r="A174" s="145"/>
      <c r="B174" s="123" t="s">
        <v>167</v>
      </c>
      <c r="C174" s="133" t="s">
        <v>281</v>
      </c>
      <c r="D174" s="139" t="s">
        <v>985</v>
      </c>
      <c r="E174" s="120">
        <v>5</v>
      </c>
      <c r="F174" s="117" t="s">
        <v>1</v>
      </c>
      <c r="G174" s="120" t="s">
        <v>285</v>
      </c>
      <c r="H174" s="123"/>
      <c r="I174" s="95">
        <v>814.90597263341704</v>
      </c>
      <c r="J174" s="95" t="s">
        <v>322</v>
      </c>
      <c r="K174" s="96" t="s">
        <v>1</v>
      </c>
      <c r="L174" s="117" t="s">
        <v>1</v>
      </c>
      <c r="M174" s="122" t="s">
        <v>1</v>
      </c>
      <c r="N174" s="117" t="s">
        <v>1</v>
      </c>
      <c r="O174" s="132" t="s">
        <v>800</v>
      </c>
      <c r="P174" s="154"/>
      <c r="Q174" s="117" t="s">
        <v>1</v>
      </c>
      <c r="R174" s="148"/>
      <c r="S174" s="148"/>
    </row>
    <row r="175" spans="1:19" x14ac:dyDescent="0.2">
      <c r="A175" s="145"/>
      <c r="B175" s="123" t="s">
        <v>168</v>
      </c>
      <c r="C175" s="133" t="s">
        <v>282</v>
      </c>
      <c r="D175" s="139" t="s">
        <v>986</v>
      </c>
      <c r="E175" s="120">
        <v>5</v>
      </c>
      <c r="F175" s="117" t="s">
        <v>1</v>
      </c>
      <c r="G175" s="120" t="s">
        <v>285</v>
      </c>
      <c r="H175" s="123"/>
      <c r="I175" s="95">
        <v>864.90277913341697</v>
      </c>
      <c r="J175" s="95" t="s">
        <v>322</v>
      </c>
      <c r="K175" s="96" t="s">
        <v>1</v>
      </c>
      <c r="L175" s="117" t="s">
        <v>1</v>
      </c>
      <c r="M175" s="122" t="s">
        <v>1</v>
      </c>
      <c r="N175" s="117" t="s">
        <v>1</v>
      </c>
      <c r="O175" s="132" t="s">
        <v>800</v>
      </c>
      <c r="P175" s="154"/>
      <c r="Q175" s="117" t="s">
        <v>1</v>
      </c>
      <c r="R175" s="148"/>
      <c r="S175" s="148"/>
    </row>
    <row r="176" spans="1:19" x14ac:dyDescent="0.2">
      <c r="A176" s="145"/>
      <c r="B176" s="123" t="s">
        <v>774</v>
      </c>
      <c r="C176" s="133" t="s">
        <v>283</v>
      </c>
      <c r="D176" s="139" t="s">
        <v>987</v>
      </c>
      <c r="E176" s="120">
        <v>5</v>
      </c>
      <c r="F176" s="117" t="s">
        <v>1</v>
      </c>
      <c r="G176" s="120" t="s">
        <v>285</v>
      </c>
      <c r="H176" s="123"/>
      <c r="I176" s="95">
        <v>914.89958553341705</v>
      </c>
      <c r="J176" s="95" t="s">
        <v>322</v>
      </c>
      <c r="K176" s="96" t="s">
        <v>1</v>
      </c>
      <c r="L176" s="117" t="s">
        <v>1</v>
      </c>
      <c r="M176" s="122" t="s">
        <v>1</v>
      </c>
      <c r="N176" s="117" t="s">
        <v>1</v>
      </c>
      <c r="O176" s="132" t="s">
        <v>800</v>
      </c>
      <c r="P176" s="154"/>
      <c r="Q176" s="117" t="s">
        <v>1</v>
      </c>
      <c r="R176" s="148"/>
      <c r="S176" s="148"/>
    </row>
    <row r="177" spans="1:19" x14ac:dyDescent="0.2">
      <c r="A177" s="145" t="s">
        <v>775</v>
      </c>
      <c r="B177" s="128" t="s">
        <v>776</v>
      </c>
      <c r="C177" s="133" t="s">
        <v>241</v>
      </c>
      <c r="D177" s="139" t="s">
        <v>988</v>
      </c>
      <c r="E177" s="120">
        <v>4</v>
      </c>
      <c r="F177" s="117" t="s">
        <v>1</v>
      </c>
      <c r="G177" s="120" t="s">
        <v>285</v>
      </c>
      <c r="H177" s="123"/>
      <c r="I177" s="95">
        <f>570.974607-1.007276466583</f>
        <v>569.967330533417</v>
      </c>
      <c r="J177" s="95">
        <v>569.96796229013114</v>
      </c>
      <c r="K177" s="96">
        <f>ABS(I177-J177)/I177*10^6</f>
        <v>1.1084086408093603</v>
      </c>
      <c r="L177" s="117" t="s">
        <v>2</v>
      </c>
      <c r="M177" s="122">
        <v>0.98971993633843114</v>
      </c>
      <c r="N177" s="117" t="s">
        <v>2</v>
      </c>
      <c r="O177" s="132" t="s">
        <v>2</v>
      </c>
      <c r="P177" s="154" t="s">
        <v>430</v>
      </c>
      <c r="Q177" s="117" t="s">
        <v>299</v>
      </c>
      <c r="R177" s="149" t="s">
        <v>627</v>
      </c>
      <c r="S177" s="148" t="s">
        <v>674</v>
      </c>
    </row>
    <row r="178" spans="1:19" x14ac:dyDescent="0.2">
      <c r="A178" s="145"/>
      <c r="B178" s="128" t="s">
        <v>777</v>
      </c>
      <c r="C178" s="133" t="s">
        <v>242</v>
      </c>
      <c r="D178" s="139" t="s">
        <v>989</v>
      </c>
      <c r="E178" s="120">
        <v>4</v>
      </c>
      <c r="F178" s="117" t="s">
        <v>1</v>
      </c>
      <c r="G178" s="120" t="s">
        <v>285</v>
      </c>
      <c r="H178" s="123"/>
      <c r="I178" s="95">
        <f>820.9586419-1.007276466583</f>
        <v>819.95136543341698</v>
      </c>
      <c r="J178" s="95">
        <v>819.95230216756477</v>
      </c>
      <c r="K178" s="96">
        <f>ABS(I178-J178)/I178*10^6</f>
        <v>1.1424264746365216</v>
      </c>
      <c r="L178" s="117" t="s">
        <v>2</v>
      </c>
      <c r="M178" s="122">
        <v>0.95527091614125503</v>
      </c>
      <c r="N178" s="117" t="s">
        <v>2</v>
      </c>
      <c r="O178" s="132" t="s">
        <v>2</v>
      </c>
      <c r="P178" s="154"/>
      <c r="Q178" s="117" t="s">
        <v>1</v>
      </c>
      <c r="R178" s="148"/>
      <c r="S178" s="148"/>
    </row>
    <row r="179" spans="1:19" x14ac:dyDescent="0.2">
      <c r="A179" s="145"/>
      <c r="B179" s="128" t="s">
        <v>778</v>
      </c>
      <c r="C179" s="133" t="s">
        <v>243</v>
      </c>
      <c r="D179" s="139" t="s">
        <v>990</v>
      </c>
      <c r="E179" s="120">
        <v>4</v>
      </c>
      <c r="F179" s="117" t="s">
        <v>1</v>
      </c>
      <c r="G179" s="120" t="s">
        <v>285</v>
      </c>
      <c r="H179" s="123"/>
      <c r="I179" s="95">
        <f>920.9522547-1.007276466583</f>
        <v>919.94497823341703</v>
      </c>
      <c r="J179" s="95">
        <v>919.94566342116752</v>
      </c>
      <c r="K179" s="96">
        <f>ABS(I179-J179)/I179*10^6</f>
        <v>0.74481383854847294</v>
      </c>
      <c r="L179" s="117" t="s">
        <v>2</v>
      </c>
      <c r="M179" s="122">
        <v>0.96236260896741721</v>
      </c>
      <c r="N179" s="117" t="s">
        <v>2</v>
      </c>
      <c r="O179" s="132" t="s">
        <v>2</v>
      </c>
      <c r="P179" s="154"/>
      <c r="Q179" s="117" t="s">
        <v>33</v>
      </c>
      <c r="R179" s="148"/>
      <c r="S179" s="148"/>
    </row>
    <row r="180" spans="1:19" s="84" customFormat="1" ht="15" customHeight="1" x14ac:dyDescent="0.2">
      <c r="A180" s="146" t="s">
        <v>779</v>
      </c>
      <c r="B180" s="127" t="s">
        <v>781</v>
      </c>
      <c r="C180" s="134" t="s">
        <v>245</v>
      </c>
      <c r="D180" s="140" t="s">
        <v>992</v>
      </c>
      <c r="E180" s="64">
        <v>4</v>
      </c>
      <c r="F180" s="119" t="s">
        <v>1</v>
      </c>
      <c r="G180" s="64" t="s">
        <v>285</v>
      </c>
      <c r="H180" s="127"/>
      <c r="I180" s="101">
        <f>484.996645-1.007276466583</f>
        <v>483.98936853341701</v>
      </c>
      <c r="J180" s="101">
        <v>483.98970000000003</v>
      </c>
      <c r="K180" s="102">
        <f t="shared" ref="K180:K186" si="24">ABS(I180-J180)/I180*10^6</f>
        <v>0.68486335562433964</v>
      </c>
      <c r="L180" s="119" t="s">
        <v>2</v>
      </c>
      <c r="M180" s="103">
        <v>0.96560573999999999</v>
      </c>
      <c r="N180" s="119" t="s">
        <v>2</v>
      </c>
      <c r="O180" s="132" t="s">
        <v>2</v>
      </c>
      <c r="P180" s="156" t="s">
        <v>414</v>
      </c>
      <c r="Q180" s="119" t="s">
        <v>1</v>
      </c>
      <c r="R180" s="149" t="s">
        <v>626</v>
      </c>
      <c r="S180" s="148" t="s">
        <v>674</v>
      </c>
    </row>
    <row r="181" spans="1:19" s="84" customFormat="1" x14ac:dyDescent="0.2">
      <c r="A181" s="146"/>
      <c r="B181" s="127" t="s">
        <v>780</v>
      </c>
      <c r="C181" s="134" t="s">
        <v>244</v>
      </c>
      <c r="D181" s="140" t="s">
        <v>991</v>
      </c>
      <c r="E181" s="64">
        <v>5</v>
      </c>
      <c r="F181" s="119" t="s">
        <v>2</v>
      </c>
      <c r="G181" s="64" t="s">
        <v>285</v>
      </c>
      <c r="H181" s="127"/>
      <c r="I181" s="101">
        <f>584.990256-1.007276466583</f>
        <v>583.98297953341705</v>
      </c>
      <c r="J181" s="101">
        <v>583.98159999999996</v>
      </c>
      <c r="K181" s="102">
        <f t="shared" si="24"/>
        <v>2.3622836031896464</v>
      </c>
      <c r="L181" s="119" t="s">
        <v>2</v>
      </c>
      <c r="M181" s="101" t="s">
        <v>322</v>
      </c>
      <c r="N181" s="119" t="s">
        <v>1</v>
      </c>
      <c r="O181" s="132" t="s">
        <v>800</v>
      </c>
      <c r="P181" s="156"/>
      <c r="Q181" s="119" t="s">
        <v>1</v>
      </c>
      <c r="R181" s="148"/>
      <c r="S181" s="148"/>
    </row>
    <row r="182" spans="1:19" ht="12.75" customHeight="1" x14ac:dyDescent="0.2">
      <c r="A182" s="170" t="s">
        <v>782</v>
      </c>
      <c r="B182" s="123" t="s">
        <v>783</v>
      </c>
      <c r="C182" s="133" t="s">
        <v>245</v>
      </c>
      <c r="D182" s="139" t="s">
        <v>994</v>
      </c>
      <c r="E182" s="120">
        <v>4</v>
      </c>
      <c r="F182" s="117" t="s">
        <v>1</v>
      </c>
      <c r="G182" s="120" t="s">
        <v>285</v>
      </c>
      <c r="H182" s="123"/>
      <c r="I182" s="95">
        <f>484.996645-1.007276466583</f>
        <v>483.98936853341701</v>
      </c>
      <c r="J182" s="95">
        <v>483.98919999999998</v>
      </c>
      <c r="K182" s="96">
        <f t="shared" si="24"/>
        <v>0.34821718819032782</v>
      </c>
      <c r="L182" s="117" t="s">
        <v>2</v>
      </c>
      <c r="M182" s="122">
        <v>0.96540000000000004</v>
      </c>
      <c r="N182" s="117" t="s">
        <v>2</v>
      </c>
      <c r="O182" s="132" t="s">
        <v>2</v>
      </c>
      <c r="P182" s="154" t="s">
        <v>414</v>
      </c>
      <c r="Q182" s="117" t="s">
        <v>1</v>
      </c>
      <c r="R182" s="149" t="s">
        <v>620</v>
      </c>
      <c r="S182" s="148" t="s">
        <v>1</v>
      </c>
    </row>
    <row r="183" spans="1:19" x14ac:dyDescent="0.2">
      <c r="A183" s="170"/>
      <c r="B183" s="123" t="s">
        <v>784</v>
      </c>
      <c r="C183" s="133" t="s">
        <v>244</v>
      </c>
      <c r="D183" s="139" t="s">
        <v>993</v>
      </c>
      <c r="E183" s="120">
        <v>4</v>
      </c>
      <c r="F183" s="117" t="s">
        <v>1</v>
      </c>
      <c r="G183" s="120" t="s">
        <v>285</v>
      </c>
      <c r="H183" s="123"/>
      <c r="I183" s="95">
        <f>584.990256-1.007276466583</f>
        <v>583.98297953341705</v>
      </c>
      <c r="J183" s="95">
        <v>583.98260000000005</v>
      </c>
      <c r="K183" s="96">
        <f t="shared" si="24"/>
        <v>0.64990492926150067</v>
      </c>
      <c r="L183" s="117" t="s">
        <v>2</v>
      </c>
      <c r="M183" s="122">
        <v>0.99199999999999999</v>
      </c>
      <c r="N183" s="117" t="s">
        <v>2</v>
      </c>
      <c r="O183" s="132" t="s">
        <v>2</v>
      </c>
      <c r="P183" s="154"/>
      <c r="Q183" s="117" t="s">
        <v>297</v>
      </c>
      <c r="R183" s="148"/>
      <c r="S183" s="148"/>
    </row>
    <row r="184" spans="1:19" ht="12" customHeight="1" x14ac:dyDescent="0.2">
      <c r="A184" s="123" t="s">
        <v>491</v>
      </c>
      <c r="B184" s="123" t="s">
        <v>415</v>
      </c>
      <c r="C184" s="133" t="s">
        <v>417</v>
      </c>
      <c r="D184" s="139" t="s">
        <v>995</v>
      </c>
      <c r="E184" s="120">
        <v>4</v>
      </c>
      <c r="F184" s="117" t="s">
        <v>1</v>
      </c>
      <c r="G184" s="120" t="s">
        <v>285</v>
      </c>
      <c r="H184" s="123"/>
      <c r="I184" s="95">
        <v>470.00955149999999</v>
      </c>
      <c r="J184" s="95">
        <v>470.009616292391</v>
      </c>
      <c r="K184" s="96">
        <f t="shared" si="24"/>
        <v>0.13785334959323561</v>
      </c>
      <c r="L184" s="117" t="s">
        <v>2</v>
      </c>
      <c r="M184" s="122">
        <v>0.98638420338500732</v>
      </c>
      <c r="N184" s="117" t="s">
        <v>2</v>
      </c>
      <c r="O184" s="132" t="s">
        <v>2</v>
      </c>
      <c r="P184" s="117" t="s">
        <v>1</v>
      </c>
      <c r="Q184" s="117" t="s">
        <v>1</v>
      </c>
      <c r="R184" s="116" t="s">
        <v>620</v>
      </c>
      <c r="S184" s="115" t="s">
        <v>1</v>
      </c>
    </row>
    <row r="185" spans="1:19" x14ac:dyDescent="0.2">
      <c r="A185" s="126" t="s">
        <v>504</v>
      </c>
      <c r="B185" s="123" t="s">
        <v>588</v>
      </c>
      <c r="C185" s="133" t="s">
        <v>1013</v>
      </c>
      <c r="D185" s="139" t="s">
        <v>996</v>
      </c>
      <c r="E185" s="120">
        <v>4</v>
      </c>
      <c r="F185" s="117" t="s">
        <v>1</v>
      </c>
      <c r="G185" s="120" t="s">
        <v>285</v>
      </c>
      <c r="H185" s="123"/>
      <c r="I185" s="95">
        <v>525.05175150000002</v>
      </c>
      <c r="J185" s="95">
        <v>525.05136281420243</v>
      </c>
      <c r="K185" s="96">
        <f t="shared" si="24"/>
        <v>0.74028092750501084</v>
      </c>
      <c r="L185" s="117" t="s">
        <v>2</v>
      </c>
      <c r="M185" s="122">
        <v>0.98758620689655174</v>
      </c>
      <c r="N185" s="117" t="s">
        <v>2</v>
      </c>
      <c r="O185" s="132" t="s">
        <v>2</v>
      </c>
      <c r="P185" s="117" t="s">
        <v>1</v>
      </c>
      <c r="Q185" s="117" t="s">
        <v>1</v>
      </c>
      <c r="R185" s="116" t="s">
        <v>620</v>
      </c>
      <c r="S185" s="115" t="s">
        <v>1</v>
      </c>
    </row>
    <row r="186" spans="1:19" ht="101.25" x14ac:dyDescent="0.2">
      <c r="A186" s="124" t="s">
        <v>884</v>
      </c>
      <c r="B186" s="123" t="s">
        <v>868</v>
      </c>
      <c r="C186" s="133" t="s">
        <v>218</v>
      </c>
      <c r="D186" s="123" t="s">
        <v>997</v>
      </c>
      <c r="E186" s="120">
        <v>4</v>
      </c>
      <c r="F186" s="117" t="s">
        <v>1</v>
      </c>
      <c r="G186" s="120" t="s">
        <v>285</v>
      </c>
      <c r="H186" s="123"/>
      <c r="I186" s="95">
        <f>587.046967-1.007276466583</f>
        <v>586.039690533417</v>
      </c>
      <c r="J186" s="95">
        <v>586.03903638285078</v>
      </c>
      <c r="K186" s="96">
        <f t="shared" si="24"/>
        <v>1.1162222914022375</v>
      </c>
      <c r="L186" s="117" t="s">
        <v>2</v>
      </c>
      <c r="M186" s="122">
        <v>0.91476007415289984</v>
      </c>
      <c r="N186" s="117" t="s">
        <v>1</v>
      </c>
      <c r="O186" s="132" t="s">
        <v>2</v>
      </c>
      <c r="P186" s="117" t="s">
        <v>1</v>
      </c>
      <c r="Q186" s="117" t="s">
        <v>33</v>
      </c>
      <c r="R186" s="116" t="s">
        <v>595</v>
      </c>
      <c r="S186" s="104" t="s">
        <v>628</v>
      </c>
    </row>
    <row r="187" spans="1:19" x14ac:dyDescent="0.2">
      <c r="A187" s="146" t="s">
        <v>591</v>
      </c>
      <c r="B187" s="127" t="s">
        <v>590</v>
      </c>
      <c r="C187" s="133" t="s">
        <v>419</v>
      </c>
      <c r="D187" s="139" t="s">
        <v>998</v>
      </c>
      <c r="E187" s="120">
        <v>4</v>
      </c>
      <c r="F187" s="117" t="s">
        <v>1</v>
      </c>
      <c r="G187" s="120" t="s">
        <v>285</v>
      </c>
      <c r="H187" s="123"/>
      <c r="I187" s="95">
        <v>338.00395150000003</v>
      </c>
      <c r="J187" s="95">
        <v>338.00399365911107</v>
      </c>
      <c r="K187" s="96">
        <f t="shared" ref="K187" si="25">ABS(I187-J187)/I187*10^6</f>
        <v>0.12472963957836428</v>
      </c>
      <c r="L187" s="117" t="s">
        <v>2</v>
      </c>
      <c r="M187" s="122">
        <v>0.96314366405350205</v>
      </c>
      <c r="N187" s="117" t="s">
        <v>2</v>
      </c>
      <c r="O187" s="132" t="s">
        <v>2</v>
      </c>
      <c r="P187" s="154" t="s">
        <v>414</v>
      </c>
      <c r="Q187" s="117" t="s">
        <v>1</v>
      </c>
      <c r="R187" s="149" t="s">
        <v>620</v>
      </c>
      <c r="S187" s="148" t="s">
        <v>1</v>
      </c>
    </row>
    <row r="188" spans="1:19" x14ac:dyDescent="0.2">
      <c r="A188" s="146"/>
      <c r="B188" s="127" t="s">
        <v>592</v>
      </c>
      <c r="C188" s="133" t="s">
        <v>420</v>
      </c>
      <c r="D188" s="139" t="s">
        <v>999</v>
      </c>
      <c r="E188" s="120">
        <v>4</v>
      </c>
      <c r="F188" s="117" t="s">
        <v>1</v>
      </c>
      <c r="G188" s="120" t="s">
        <v>285</v>
      </c>
      <c r="H188" s="123"/>
      <c r="I188" s="95">
        <f>439.005334-1.007276466583</f>
        <v>437.99805753341701</v>
      </c>
      <c r="J188" s="95">
        <v>437.99766157794272</v>
      </c>
      <c r="K188" s="96">
        <f t="shared" ref="K188" si="26">ABS(I188-J188)/I188*10^6</f>
        <v>0.90401194132911766</v>
      </c>
      <c r="L188" s="117" t="s">
        <v>2</v>
      </c>
      <c r="M188" s="122">
        <v>0.98089041686600353</v>
      </c>
      <c r="N188" s="117" t="s">
        <v>2</v>
      </c>
      <c r="O188" s="132" t="s">
        <v>2</v>
      </c>
      <c r="P188" s="154"/>
      <c r="Q188" s="117" t="s">
        <v>1</v>
      </c>
      <c r="R188" s="148"/>
      <c r="S188" s="148"/>
    </row>
    <row r="189" spans="1:19" x14ac:dyDescent="0.2">
      <c r="A189" s="145" t="s">
        <v>492</v>
      </c>
      <c r="B189" s="123" t="s">
        <v>785</v>
      </c>
      <c r="C189" s="133" t="s">
        <v>328</v>
      </c>
      <c r="D189" s="139" t="s">
        <v>1001</v>
      </c>
      <c r="E189" s="120">
        <v>5</v>
      </c>
      <c r="F189" s="117" t="s">
        <v>1</v>
      </c>
      <c r="G189" s="120" t="s">
        <v>285</v>
      </c>
      <c r="H189" s="123"/>
      <c r="I189" s="95">
        <f>497.94183-1.007276466583</f>
        <v>496.93455353341699</v>
      </c>
      <c r="J189" s="95">
        <v>496.93329999999997</v>
      </c>
      <c r="K189" s="96">
        <f t="shared" ref="K189:K190" si="27">ABS(I189-J189)/I189*10^6</f>
        <v>2.5225322089210405</v>
      </c>
      <c r="L189" s="117" t="s">
        <v>2</v>
      </c>
      <c r="M189" s="95" t="s">
        <v>322</v>
      </c>
      <c r="N189" s="117" t="s">
        <v>1</v>
      </c>
      <c r="O189" s="132" t="s">
        <v>800</v>
      </c>
      <c r="P189" s="154" t="s">
        <v>385</v>
      </c>
      <c r="Q189" s="117" t="s">
        <v>1</v>
      </c>
      <c r="R189" s="149" t="s">
        <v>629</v>
      </c>
      <c r="S189" s="148" t="s">
        <v>1</v>
      </c>
    </row>
    <row r="190" spans="1:19" x14ac:dyDescent="0.2">
      <c r="A190" s="145"/>
      <c r="B190" s="123" t="s">
        <v>786</v>
      </c>
      <c r="C190" s="133" t="s">
        <v>329</v>
      </c>
      <c r="D190" s="139" t="s">
        <v>1000</v>
      </c>
      <c r="E190" s="120">
        <v>5</v>
      </c>
      <c r="F190" s="117" t="s">
        <v>1</v>
      </c>
      <c r="G190" s="120" t="s">
        <v>285</v>
      </c>
      <c r="H190" s="123"/>
      <c r="I190" s="95">
        <f>597.935442-1.007276466583</f>
        <v>596.92816553341697</v>
      </c>
      <c r="J190" s="95">
        <v>596.92939999999999</v>
      </c>
      <c r="K190" s="96">
        <f t="shared" si="27"/>
        <v>2.0680320586163976</v>
      </c>
      <c r="L190" s="117" t="s">
        <v>2</v>
      </c>
      <c r="M190" s="95" t="s">
        <v>322</v>
      </c>
      <c r="N190" s="117" t="s">
        <v>1</v>
      </c>
      <c r="O190" s="132" t="s">
        <v>800</v>
      </c>
      <c r="P190" s="154"/>
      <c r="Q190" s="117" t="s">
        <v>1</v>
      </c>
      <c r="R190" s="148"/>
      <c r="S190" s="148"/>
    </row>
    <row r="191" spans="1:19" x14ac:dyDescent="0.2">
      <c r="A191" s="145" t="s">
        <v>787</v>
      </c>
      <c r="B191" s="123" t="s">
        <v>788</v>
      </c>
      <c r="C191" s="133" t="s">
        <v>275</v>
      </c>
      <c r="D191" s="139" t="s">
        <v>1008</v>
      </c>
      <c r="E191" s="120">
        <v>5</v>
      </c>
      <c r="F191" s="117" t="s">
        <v>1</v>
      </c>
      <c r="G191" s="120" t="s">
        <v>285</v>
      </c>
      <c r="H191" s="123"/>
      <c r="I191" s="95">
        <v>479.90506913341699</v>
      </c>
      <c r="J191" s="95" t="s">
        <v>322</v>
      </c>
      <c r="K191" s="96" t="s">
        <v>1</v>
      </c>
      <c r="L191" s="117" t="s">
        <v>1</v>
      </c>
      <c r="M191" s="122" t="s">
        <v>1</v>
      </c>
      <c r="N191" s="117" t="s">
        <v>1</v>
      </c>
      <c r="O191" s="132" t="s">
        <v>800</v>
      </c>
      <c r="P191" s="154" t="s">
        <v>379</v>
      </c>
      <c r="Q191" s="117" t="s">
        <v>1</v>
      </c>
      <c r="R191" s="149" t="s">
        <v>630</v>
      </c>
      <c r="S191" s="148" t="s">
        <v>1</v>
      </c>
    </row>
    <row r="192" spans="1:19" x14ac:dyDescent="0.2">
      <c r="A192" s="145"/>
      <c r="B192" s="123" t="s">
        <v>789</v>
      </c>
      <c r="C192" s="133" t="s">
        <v>274</v>
      </c>
      <c r="D192" s="139" t="s">
        <v>1007</v>
      </c>
      <c r="E192" s="120">
        <v>5</v>
      </c>
      <c r="F192" s="117" t="s">
        <v>1</v>
      </c>
      <c r="G192" s="120" t="s">
        <v>285</v>
      </c>
      <c r="H192" s="123"/>
      <c r="I192" s="95">
        <v>529.90187553341696</v>
      </c>
      <c r="J192" s="95" t="s">
        <v>322</v>
      </c>
      <c r="K192" s="96" t="s">
        <v>1</v>
      </c>
      <c r="L192" s="117" t="s">
        <v>1</v>
      </c>
      <c r="M192" s="122" t="s">
        <v>1</v>
      </c>
      <c r="N192" s="117" t="s">
        <v>1</v>
      </c>
      <c r="O192" s="132" t="s">
        <v>800</v>
      </c>
      <c r="P192" s="154"/>
      <c r="Q192" s="117" t="s">
        <v>1</v>
      </c>
      <c r="R192" s="148"/>
      <c r="S192" s="148"/>
    </row>
    <row r="193" spans="1:19" x14ac:dyDescent="0.2">
      <c r="A193" s="145"/>
      <c r="B193" s="123" t="s">
        <v>790</v>
      </c>
      <c r="C193" s="133" t="s">
        <v>273</v>
      </c>
      <c r="D193" s="139" t="s">
        <v>1006</v>
      </c>
      <c r="E193" s="120">
        <v>5</v>
      </c>
      <c r="F193" s="117" t="s">
        <v>1</v>
      </c>
      <c r="G193" s="120" t="s">
        <v>285</v>
      </c>
      <c r="H193" s="123"/>
      <c r="I193" s="95">
        <v>579.898682033417</v>
      </c>
      <c r="J193" s="95" t="s">
        <v>322</v>
      </c>
      <c r="K193" s="96" t="s">
        <v>1</v>
      </c>
      <c r="L193" s="117" t="s">
        <v>1</v>
      </c>
      <c r="M193" s="122" t="s">
        <v>1</v>
      </c>
      <c r="N193" s="117" t="s">
        <v>1</v>
      </c>
      <c r="O193" s="132" t="s">
        <v>800</v>
      </c>
      <c r="P193" s="154"/>
      <c r="Q193" s="117" t="s">
        <v>1</v>
      </c>
      <c r="R193" s="148"/>
      <c r="S193" s="148"/>
    </row>
    <row r="194" spans="1:19" x14ac:dyDescent="0.2">
      <c r="A194" s="145"/>
      <c r="B194" s="123" t="s">
        <v>791</v>
      </c>
      <c r="C194" s="133" t="s">
        <v>272</v>
      </c>
      <c r="D194" s="139" t="s">
        <v>1005</v>
      </c>
      <c r="E194" s="120">
        <v>5</v>
      </c>
      <c r="F194" s="117" t="s">
        <v>1</v>
      </c>
      <c r="G194" s="120" t="s">
        <v>285</v>
      </c>
      <c r="H194" s="123"/>
      <c r="I194" s="95">
        <v>629.89548843341697</v>
      </c>
      <c r="J194" s="95" t="s">
        <v>322</v>
      </c>
      <c r="K194" s="96" t="s">
        <v>1</v>
      </c>
      <c r="L194" s="117" t="s">
        <v>1</v>
      </c>
      <c r="M194" s="122" t="s">
        <v>1</v>
      </c>
      <c r="N194" s="117" t="s">
        <v>1</v>
      </c>
      <c r="O194" s="132" t="s">
        <v>800</v>
      </c>
      <c r="P194" s="154"/>
      <c r="Q194" s="117" t="s">
        <v>1</v>
      </c>
      <c r="R194" s="148"/>
      <c r="S194" s="148"/>
    </row>
    <row r="195" spans="1:19" x14ac:dyDescent="0.2">
      <c r="A195" s="145"/>
      <c r="B195" s="123" t="s">
        <v>792</v>
      </c>
      <c r="C195" s="133" t="s">
        <v>271</v>
      </c>
      <c r="D195" s="139" t="s">
        <v>1004</v>
      </c>
      <c r="E195" s="120">
        <v>5</v>
      </c>
      <c r="F195" s="117" t="s">
        <v>1</v>
      </c>
      <c r="G195" s="120" t="s">
        <v>285</v>
      </c>
      <c r="H195" s="123"/>
      <c r="I195" s="95">
        <v>679.89229483341705</v>
      </c>
      <c r="J195" s="95">
        <v>679.89103862973877</v>
      </c>
      <c r="K195" s="96">
        <f t="shared" ref="K195" si="28">ABS(I195-J195)/I195*10^6</f>
        <v>1.8476509997643684</v>
      </c>
      <c r="L195" s="117" t="s">
        <v>2</v>
      </c>
      <c r="M195" s="122">
        <v>0.92026631601175302</v>
      </c>
      <c r="N195" s="117" t="s">
        <v>1</v>
      </c>
      <c r="O195" s="132" t="s">
        <v>2</v>
      </c>
      <c r="P195" s="154"/>
      <c r="Q195" s="117" t="s">
        <v>1</v>
      </c>
      <c r="R195" s="148"/>
      <c r="S195" s="148"/>
    </row>
    <row r="196" spans="1:19" x14ac:dyDescent="0.2">
      <c r="A196" s="145"/>
      <c r="B196" s="123" t="s">
        <v>793</v>
      </c>
      <c r="C196" s="133" t="s">
        <v>270</v>
      </c>
      <c r="D196" s="139" t="s">
        <v>1003</v>
      </c>
      <c r="E196" s="120">
        <v>5</v>
      </c>
      <c r="F196" s="117" t="s">
        <v>1</v>
      </c>
      <c r="G196" s="120" t="s">
        <v>285</v>
      </c>
      <c r="H196" s="123"/>
      <c r="I196" s="95">
        <v>729.88910133341699</v>
      </c>
      <c r="J196" s="95" t="s">
        <v>322</v>
      </c>
      <c r="K196" s="96" t="s">
        <v>1</v>
      </c>
      <c r="L196" s="117" t="s">
        <v>1</v>
      </c>
      <c r="M196" s="122" t="s">
        <v>1</v>
      </c>
      <c r="N196" s="117" t="s">
        <v>1</v>
      </c>
      <c r="O196" s="132" t="s">
        <v>800</v>
      </c>
      <c r="P196" s="154"/>
      <c r="Q196" s="117" t="s">
        <v>1</v>
      </c>
      <c r="R196" s="148"/>
      <c r="S196" s="148"/>
    </row>
    <row r="197" spans="1:19" x14ac:dyDescent="0.2">
      <c r="A197" s="145"/>
      <c r="B197" s="123" t="s">
        <v>794</v>
      </c>
      <c r="C197" s="133" t="s">
        <v>269</v>
      </c>
      <c r="D197" s="139" t="s">
        <v>1002</v>
      </c>
      <c r="E197" s="120">
        <v>5</v>
      </c>
      <c r="F197" s="117" t="s">
        <v>1</v>
      </c>
      <c r="G197" s="120" t="s">
        <v>285</v>
      </c>
      <c r="H197" s="123"/>
      <c r="I197" s="95">
        <v>779.88590773341696</v>
      </c>
      <c r="J197" s="95" t="s">
        <v>322</v>
      </c>
      <c r="K197" s="96" t="s">
        <v>1</v>
      </c>
      <c r="L197" s="117" t="s">
        <v>1</v>
      </c>
      <c r="M197" s="122" t="s">
        <v>1</v>
      </c>
      <c r="N197" s="117" t="s">
        <v>1</v>
      </c>
      <c r="O197" s="132" t="s">
        <v>800</v>
      </c>
      <c r="P197" s="154"/>
      <c r="Q197" s="117" t="s">
        <v>1</v>
      </c>
      <c r="R197" s="148"/>
      <c r="S197" s="148"/>
    </row>
    <row r="198" spans="1:19" x14ac:dyDescent="0.2">
      <c r="A198" s="123" t="s">
        <v>493</v>
      </c>
      <c r="B198" s="123" t="s">
        <v>422</v>
      </c>
      <c r="C198" s="133" t="s">
        <v>416</v>
      </c>
      <c r="D198" s="123" t="s">
        <v>1009</v>
      </c>
      <c r="E198" s="120">
        <v>5</v>
      </c>
      <c r="F198" s="117" t="s">
        <v>1</v>
      </c>
      <c r="G198" s="120" t="s">
        <v>285</v>
      </c>
      <c r="H198" s="123"/>
      <c r="I198" s="95">
        <v>454.01465149999996</v>
      </c>
      <c r="J198" s="95">
        <v>454.01459999999997</v>
      </c>
      <c r="K198" s="96">
        <f>ABS(I198-J198)/I198*10^6</f>
        <v>0.1134324626165987</v>
      </c>
      <c r="L198" s="117" t="s">
        <v>2</v>
      </c>
      <c r="M198" s="95" t="s">
        <v>322</v>
      </c>
      <c r="N198" s="117" t="s">
        <v>1</v>
      </c>
      <c r="O198" s="132" t="s">
        <v>800</v>
      </c>
      <c r="P198" s="117" t="s">
        <v>1</v>
      </c>
      <c r="Q198" s="117" t="s">
        <v>1</v>
      </c>
      <c r="R198" s="116" t="s">
        <v>620</v>
      </c>
      <c r="S198" s="115" t="s">
        <v>1</v>
      </c>
    </row>
    <row r="199" spans="1:19" x14ac:dyDescent="0.2">
      <c r="A199" s="123" t="s">
        <v>494</v>
      </c>
      <c r="B199" s="123" t="s">
        <v>421</v>
      </c>
      <c r="C199" s="133" t="s">
        <v>418</v>
      </c>
      <c r="D199" s="139" t="s">
        <v>1010</v>
      </c>
      <c r="E199" s="120">
        <v>5</v>
      </c>
      <c r="F199" s="117" t="s">
        <v>1</v>
      </c>
      <c r="G199" s="120" t="s">
        <v>285</v>
      </c>
      <c r="H199" s="123"/>
      <c r="I199" s="95">
        <v>467.99395149999998</v>
      </c>
      <c r="J199" s="95">
        <v>467.99375178249392</v>
      </c>
      <c r="K199" s="96">
        <f t="shared" ref="K199" si="29">ABS(I199-J199)/I199*10^6</f>
        <v>0.4267523232375251</v>
      </c>
      <c r="L199" s="117" t="s">
        <v>2</v>
      </c>
      <c r="M199" s="95" t="s">
        <v>322</v>
      </c>
      <c r="N199" s="117" t="s">
        <v>1</v>
      </c>
      <c r="O199" s="132" t="s">
        <v>800</v>
      </c>
      <c r="P199" s="117" t="s">
        <v>1</v>
      </c>
      <c r="Q199" s="117" t="s">
        <v>1</v>
      </c>
      <c r="R199" s="116" t="s">
        <v>620</v>
      </c>
      <c r="S199" s="115" t="s">
        <v>1</v>
      </c>
    </row>
    <row r="200" spans="1:19" ht="16.5" customHeight="1" x14ac:dyDescent="0.2">
      <c r="A200" s="123" t="s">
        <v>495</v>
      </c>
      <c r="B200" s="123" t="s">
        <v>589</v>
      </c>
      <c r="C200" s="133" t="s">
        <v>1012</v>
      </c>
      <c r="D200" s="139" t="s">
        <v>1011</v>
      </c>
      <c r="E200" s="120">
        <v>5</v>
      </c>
      <c r="F200" s="117" t="s">
        <v>1</v>
      </c>
      <c r="G200" s="120" t="s">
        <v>285</v>
      </c>
      <c r="H200" s="123"/>
      <c r="I200" s="95">
        <v>539.06745149999995</v>
      </c>
      <c r="J200" s="95">
        <v>539.06721076623978</v>
      </c>
      <c r="K200" s="96">
        <f t="shared" ref="K200" si="30">ABS(I200-J200)/I200*10^6</f>
        <v>0.4465744676207975</v>
      </c>
      <c r="L200" s="117" t="s">
        <v>2</v>
      </c>
      <c r="M200" s="95" t="s">
        <v>322</v>
      </c>
      <c r="N200" s="117" t="s">
        <v>1</v>
      </c>
      <c r="O200" s="132" t="s">
        <v>800</v>
      </c>
      <c r="P200" s="117" t="s">
        <v>1</v>
      </c>
      <c r="Q200" s="117" t="s">
        <v>1</v>
      </c>
      <c r="R200" s="116" t="s">
        <v>620</v>
      </c>
      <c r="S200" s="115" t="s">
        <v>1</v>
      </c>
    </row>
    <row r="201" spans="1:19" x14ac:dyDescent="0.2">
      <c r="A201" s="145" t="s">
        <v>382</v>
      </c>
      <c r="B201" s="123" t="s">
        <v>382</v>
      </c>
      <c r="C201" s="133" t="s">
        <v>382</v>
      </c>
      <c r="D201" s="135" t="s">
        <v>382</v>
      </c>
      <c r="E201" s="120">
        <v>5</v>
      </c>
      <c r="F201" s="117" t="s">
        <v>1</v>
      </c>
      <c r="G201" s="120" t="s">
        <v>383</v>
      </c>
      <c r="H201" s="123" t="s">
        <v>387</v>
      </c>
      <c r="I201" s="95" t="s">
        <v>1</v>
      </c>
      <c r="J201" s="95">
        <v>454.154</v>
      </c>
      <c r="K201" s="96" t="s">
        <v>1</v>
      </c>
      <c r="L201" s="117" t="s">
        <v>1</v>
      </c>
      <c r="M201" s="122" t="s">
        <v>1</v>
      </c>
      <c r="N201" s="117" t="s">
        <v>1</v>
      </c>
      <c r="O201" s="132" t="s">
        <v>801</v>
      </c>
      <c r="P201" s="154" t="s">
        <v>384</v>
      </c>
      <c r="Q201" s="117" t="s">
        <v>1</v>
      </c>
      <c r="R201" s="148" t="s">
        <v>1</v>
      </c>
      <c r="S201" s="148" t="s">
        <v>1</v>
      </c>
    </row>
    <row r="202" spans="1:19" x14ac:dyDescent="0.2">
      <c r="A202" s="145"/>
      <c r="B202" s="123" t="s">
        <v>382</v>
      </c>
      <c r="C202" s="133" t="s">
        <v>382</v>
      </c>
      <c r="D202" s="135" t="s">
        <v>382</v>
      </c>
      <c r="E202" s="120">
        <v>5</v>
      </c>
      <c r="F202" s="117" t="s">
        <v>1</v>
      </c>
      <c r="G202" s="120" t="s">
        <v>383</v>
      </c>
      <c r="H202" s="123"/>
      <c r="I202" s="95" t="s">
        <v>1</v>
      </c>
      <c r="J202" s="95">
        <v>554.14760000000001</v>
      </c>
      <c r="K202" s="96" t="s">
        <v>1</v>
      </c>
      <c r="L202" s="117" t="s">
        <v>1</v>
      </c>
      <c r="M202" s="122" t="s">
        <v>1</v>
      </c>
      <c r="N202" s="117" t="s">
        <v>1</v>
      </c>
      <c r="O202" s="132" t="s">
        <v>801</v>
      </c>
      <c r="P202" s="154"/>
      <c r="Q202" s="117" t="s">
        <v>1</v>
      </c>
      <c r="R202" s="148"/>
      <c r="S202" s="148"/>
    </row>
    <row r="203" spans="1:19" x14ac:dyDescent="0.2">
      <c r="A203" s="145"/>
      <c r="B203" s="123" t="s">
        <v>382</v>
      </c>
      <c r="C203" s="133" t="s">
        <v>382</v>
      </c>
      <c r="D203" s="135" t="s">
        <v>382</v>
      </c>
      <c r="E203" s="120">
        <v>5</v>
      </c>
      <c r="F203" s="117" t="s">
        <v>1</v>
      </c>
      <c r="G203" s="120" t="s">
        <v>383</v>
      </c>
      <c r="H203" s="123"/>
      <c r="I203" s="95" t="s">
        <v>1</v>
      </c>
      <c r="J203" s="95">
        <v>654.14120000000003</v>
      </c>
      <c r="K203" s="96" t="s">
        <v>1</v>
      </c>
      <c r="L203" s="117" t="s">
        <v>1</v>
      </c>
      <c r="M203" s="122" t="s">
        <v>1</v>
      </c>
      <c r="N203" s="117" t="s">
        <v>1</v>
      </c>
      <c r="O203" s="132" t="s">
        <v>801</v>
      </c>
      <c r="P203" s="154"/>
      <c r="Q203" s="117" t="s">
        <v>1</v>
      </c>
      <c r="R203" s="148"/>
      <c r="S203" s="148"/>
    </row>
    <row r="204" spans="1:19" x14ac:dyDescent="0.2">
      <c r="A204" s="145" t="s">
        <v>382</v>
      </c>
      <c r="B204" s="123" t="s">
        <v>382</v>
      </c>
      <c r="C204" s="133" t="s">
        <v>382</v>
      </c>
      <c r="D204" s="135" t="s">
        <v>382</v>
      </c>
      <c r="E204" s="120">
        <v>5</v>
      </c>
      <c r="F204" s="117" t="s">
        <v>1</v>
      </c>
      <c r="G204" s="120" t="s">
        <v>383</v>
      </c>
      <c r="H204" s="123"/>
      <c r="I204" s="95" t="s">
        <v>1</v>
      </c>
      <c r="J204" s="95">
        <v>309.27820000000003</v>
      </c>
      <c r="K204" s="96" t="s">
        <v>1</v>
      </c>
      <c r="L204" s="117" t="s">
        <v>1</v>
      </c>
      <c r="M204" s="122" t="s">
        <v>1</v>
      </c>
      <c r="N204" s="117" t="s">
        <v>1</v>
      </c>
      <c r="O204" s="132" t="s">
        <v>801</v>
      </c>
      <c r="P204" s="154" t="s">
        <v>385</v>
      </c>
      <c r="Q204" s="117" t="s">
        <v>1</v>
      </c>
      <c r="R204" s="148" t="s">
        <v>1</v>
      </c>
      <c r="S204" s="148" t="s">
        <v>1</v>
      </c>
    </row>
    <row r="205" spans="1:19" x14ac:dyDescent="0.2">
      <c r="A205" s="145"/>
      <c r="B205" s="123" t="s">
        <v>382</v>
      </c>
      <c r="C205" s="133" t="s">
        <v>382</v>
      </c>
      <c r="D205" s="135" t="s">
        <v>382</v>
      </c>
      <c r="E205" s="120">
        <v>5</v>
      </c>
      <c r="F205" s="117" t="s">
        <v>1</v>
      </c>
      <c r="G205" s="120" t="s">
        <v>383</v>
      </c>
      <c r="H205" s="123"/>
      <c r="I205" s="95" t="s">
        <v>1</v>
      </c>
      <c r="J205" s="95">
        <v>409.27120000000002</v>
      </c>
      <c r="K205" s="96" t="s">
        <v>1</v>
      </c>
      <c r="L205" s="117" t="s">
        <v>1</v>
      </c>
      <c r="M205" s="122" t="s">
        <v>1</v>
      </c>
      <c r="N205" s="117" t="s">
        <v>1</v>
      </c>
      <c r="O205" s="132" t="s">
        <v>801</v>
      </c>
      <c r="P205" s="154"/>
      <c r="Q205" s="117" t="s">
        <v>1</v>
      </c>
      <c r="R205" s="148"/>
      <c r="S205" s="148"/>
    </row>
    <row r="206" spans="1:19" x14ac:dyDescent="0.2">
      <c r="A206" s="145" t="s">
        <v>382</v>
      </c>
      <c r="B206" s="123" t="s">
        <v>382</v>
      </c>
      <c r="C206" s="133" t="s">
        <v>382</v>
      </c>
      <c r="D206" s="135" t="s">
        <v>382</v>
      </c>
      <c r="E206" s="120">
        <v>5</v>
      </c>
      <c r="F206" s="117" t="s">
        <v>1</v>
      </c>
      <c r="G206" s="120" t="s">
        <v>383</v>
      </c>
      <c r="H206" s="123"/>
      <c r="I206" s="95" t="s">
        <v>1</v>
      </c>
      <c r="J206" s="95">
        <v>435.00380000000001</v>
      </c>
      <c r="K206" s="96" t="s">
        <v>1</v>
      </c>
      <c r="L206" s="117" t="s">
        <v>1</v>
      </c>
      <c r="M206" s="122" t="s">
        <v>1</v>
      </c>
      <c r="N206" s="117" t="s">
        <v>1</v>
      </c>
      <c r="O206" s="132" t="s">
        <v>801</v>
      </c>
      <c r="P206" s="154" t="s">
        <v>385</v>
      </c>
      <c r="Q206" s="117" t="s">
        <v>1</v>
      </c>
      <c r="R206" s="148" t="s">
        <v>1</v>
      </c>
      <c r="S206" s="148" t="s">
        <v>1</v>
      </c>
    </row>
    <row r="207" spans="1:19" x14ac:dyDescent="0.2">
      <c r="A207" s="145"/>
      <c r="B207" s="123" t="s">
        <v>382</v>
      </c>
      <c r="C207" s="133" t="s">
        <v>382</v>
      </c>
      <c r="D207" s="135" t="s">
        <v>382</v>
      </c>
      <c r="E207" s="120">
        <v>5</v>
      </c>
      <c r="F207" s="117" t="s">
        <v>1</v>
      </c>
      <c r="G207" s="120" t="s">
        <v>383</v>
      </c>
      <c r="H207" s="123"/>
      <c r="I207" s="95" t="s">
        <v>1</v>
      </c>
      <c r="J207" s="95">
        <v>534.99775999999997</v>
      </c>
      <c r="K207" s="96" t="s">
        <v>1</v>
      </c>
      <c r="L207" s="117" t="s">
        <v>1</v>
      </c>
      <c r="M207" s="122" t="s">
        <v>1</v>
      </c>
      <c r="N207" s="117" t="s">
        <v>1</v>
      </c>
      <c r="O207" s="132" t="s">
        <v>801</v>
      </c>
      <c r="P207" s="154"/>
      <c r="Q207" s="117" t="s">
        <v>1</v>
      </c>
      <c r="R207" s="148"/>
      <c r="S207" s="148"/>
    </row>
    <row r="208" spans="1:19" x14ac:dyDescent="0.2">
      <c r="A208" s="124" t="s">
        <v>382</v>
      </c>
      <c r="B208" s="123" t="s">
        <v>382</v>
      </c>
      <c r="C208" s="133" t="s">
        <v>382</v>
      </c>
      <c r="D208" s="135" t="s">
        <v>382</v>
      </c>
      <c r="E208" s="120">
        <v>5</v>
      </c>
      <c r="F208" s="117" t="s">
        <v>1</v>
      </c>
      <c r="G208" s="120" t="s">
        <v>383</v>
      </c>
      <c r="H208" s="123"/>
      <c r="I208" s="95" t="s">
        <v>1</v>
      </c>
      <c r="J208" s="95">
        <v>194.02520000000001</v>
      </c>
      <c r="K208" s="96" t="s">
        <v>1</v>
      </c>
      <c r="L208" s="117" t="s">
        <v>1</v>
      </c>
      <c r="M208" s="122" t="s">
        <v>1</v>
      </c>
      <c r="N208" s="117" t="s">
        <v>1</v>
      </c>
      <c r="O208" s="132" t="s">
        <v>801</v>
      </c>
      <c r="P208" s="117" t="s">
        <v>1</v>
      </c>
      <c r="Q208" s="117" t="s">
        <v>1</v>
      </c>
      <c r="R208" s="115" t="s">
        <v>1</v>
      </c>
      <c r="S208" s="115" t="s">
        <v>1</v>
      </c>
    </row>
    <row r="209" spans="1:19" x14ac:dyDescent="0.2">
      <c r="A209" s="124" t="s">
        <v>382</v>
      </c>
      <c r="B209" s="123" t="s">
        <v>382</v>
      </c>
      <c r="C209" s="133" t="s">
        <v>382</v>
      </c>
      <c r="D209" s="135" t="s">
        <v>382</v>
      </c>
      <c r="E209" s="120">
        <v>5</v>
      </c>
      <c r="F209" s="117" t="s">
        <v>1</v>
      </c>
      <c r="G209" s="120" t="s">
        <v>383</v>
      </c>
      <c r="H209" s="123" t="s">
        <v>390</v>
      </c>
      <c r="I209" s="95" t="s">
        <v>1</v>
      </c>
      <c r="J209" s="95">
        <v>282.27969999999999</v>
      </c>
      <c r="K209" s="96" t="s">
        <v>1</v>
      </c>
      <c r="L209" s="117" t="s">
        <v>1</v>
      </c>
      <c r="M209" s="122" t="s">
        <v>1</v>
      </c>
      <c r="N209" s="117" t="s">
        <v>1</v>
      </c>
      <c r="O209" s="132" t="s">
        <v>801</v>
      </c>
      <c r="P209" s="117" t="s">
        <v>1</v>
      </c>
      <c r="Q209" s="117" t="s">
        <v>1</v>
      </c>
      <c r="R209" s="115" t="s">
        <v>1</v>
      </c>
      <c r="S209" s="115" t="s">
        <v>1</v>
      </c>
    </row>
    <row r="210" spans="1:19" x14ac:dyDescent="0.2">
      <c r="A210" s="124" t="s">
        <v>382</v>
      </c>
      <c r="B210" s="123" t="s">
        <v>382</v>
      </c>
      <c r="C210" s="133" t="s">
        <v>382</v>
      </c>
      <c r="D210" s="135" t="s">
        <v>382</v>
      </c>
      <c r="E210" s="120">
        <v>5</v>
      </c>
      <c r="F210" s="117" t="s">
        <v>1</v>
      </c>
      <c r="G210" s="120" t="s">
        <v>383</v>
      </c>
      <c r="H210" s="123"/>
      <c r="I210" s="95" t="s">
        <v>1</v>
      </c>
      <c r="J210" s="95">
        <v>518.07680000000005</v>
      </c>
      <c r="K210" s="96" t="s">
        <v>1</v>
      </c>
      <c r="L210" s="117" t="s">
        <v>1</v>
      </c>
      <c r="M210" s="122" t="s">
        <v>1</v>
      </c>
      <c r="N210" s="117" t="s">
        <v>1</v>
      </c>
      <c r="O210" s="132" t="s">
        <v>801</v>
      </c>
      <c r="P210" s="117" t="s">
        <v>1</v>
      </c>
      <c r="Q210" s="117" t="s">
        <v>1</v>
      </c>
      <c r="R210" s="115" t="s">
        <v>1</v>
      </c>
      <c r="S210" s="115" t="s">
        <v>1</v>
      </c>
    </row>
    <row r="211" spans="1:19" x14ac:dyDescent="0.2">
      <c r="A211" s="124" t="s">
        <v>382</v>
      </c>
      <c r="B211" s="123" t="s">
        <v>382</v>
      </c>
      <c r="C211" s="133" t="s">
        <v>382</v>
      </c>
      <c r="D211" s="135" t="s">
        <v>382</v>
      </c>
      <c r="E211" s="120">
        <v>5</v>
      </c>
      <c r="F211" s="117" t="s">
        <v>1</v>
      </c>
      <c r="G211" s="120" t="s">
        <v>383</v>
      </c>
      <c r="H211" s="123"/>
      <c r="I211" s="95" t="s">
        <v>1</v>
      </c>
      <c r="J211" s="95">
        <v>585.10879999999997</v>
      </c>
      <c r="K211" s="96" t="s">
        <v>1</v>
      </c>
      <c r="L211" s="117" t="s">
        <v>1</v>
      </c>
      <c r="M211" s="122" t="s">
        <v>1</v>
      </c>
      <c r="N211" s="117" t="s">
        <v>1</v>
      </c>
      <c r="O211" s="132" t="s">
        <v>801</v>
      </c>
      <c r="P211" s="117" t="s">
        <v>1</v>
      </c>
      <c r="Q211" s="117" t="s">
        <v>1</v>
      </c>
      <c r="R211" s="115" t="s">
        <v>1</v>
      </c>
      <c r="S211" s="115" t="s">
        <v>1</v>
      </c>
    </row>
    <row r="212" spans="1:19" x14ac:dyDescent="0.2">
      <c r="A212" s="124" t="s">
        <v>382</v>
      </c>
      <c r="B212" s="123" t="s">
        <v>382</v>
      </c>
      <c r="C212" s="133" t="s">
        <v>382</v>
      </c>
      <c r="D212" s="135" t="s">
        <v>382</v>
      </c>
      <c r="E212" s="120">
        <v>5</v>
      </c>
      <c r="F212" s="117" t="s">
        <v>1</v>
      </c>
      <c r="G212" s="120" t="s">
        <v>383</v>
      </c>
      <c r="H212" s="123"/>
      <c r="I212" s="95" t="s">
        <v>1</v>
      </c>
      <c r="J212" s="95">
        <v>641.07640000000004</v>
      </c>
      <c r="K212" s="96" t="s">
        <v>1</v>
      </c>
      <c r="L212" s="117" t="s">
        <v>1</v>
      </c>
      <c r="M212" s="122" t="s">
        <v>1</v>
      </c>
      <c r="N212" s="117" t="s">
        <v>1</v>
      </c>
      <c r="O212" s="132" t="s">
        <v>801</v>
      </c>
      <c r="P212" s="117" t="s">
        <v>1</v>
      </c>
      <c r="Q212" s="117" t="s">
        <v>1</v>
      </c>
      <c r="R212" s="115" t="s">
        <v>1</v>
      </c>
      <c r="S212" s="115" t="s">
        <v>1</v>
      </c>
    </row>
    <row r="213" spans="1:19" x14ac:dyDescent="0.2">
      <c r="A213" s="124" t="s">
        <v>382</v>
      </c>
      <c r="B213" s="123" t="s">
        <v>382</v>
      </c>
      <c r="C213" s="133" t="s">
        <v>382</v>
      </c>
      <c r="D213" s="135" t="s">
        <v>382</v>
      </c>
      <c r="E213" s="120">
        <v>5</v>
      </c>
      <c r="F213" s="117" t="s">
        <v>1</v>
      </c>
      <c r="G213" s="120" t="s">
        <v>386</v>
      </c>
      <c r="H213" s="123"/>
      <c r="I213" s="95" t="s">
        <v>1</v>
      </c>
      <c r="J213" s="95">
        <v>646.11659999999995</v>
      </c>
      <c r="K213" s="96" t="s">
        <v>1</v>
      </c>
      <c r="L213" s="117" t="s">
        <v>1</v>
      </c>
      <c r="M213" s="122" t="s">
        <v>1</v>
      </c>
      <c r="N213" s="117" t="s">
        <v>1</v>
      </c>
      <c r="O213" s="132" t="s">
        <v>801</v>
      </c>
      <c r="P213" s="117" t="s">
        <v>1</v>
      </c>
      <c r="Q213" s="117" t="s">
        <v>1</v>
      </c>
      <c r="R213" s="115" t="s">
        <v>1</v>
      </c>
      <c r="S213" s="115" t="s">
        <v>1</v>
      </c>
    </row>
    <row r="214" spans="1:19" x14ac:dyDescent="0.2">
      <c r="A214" s="124" t="s">
        <v>382</v>
      </c>
      <c r="B214" s="123" t="s">
        <v>382</v>
      </c>
      <c r="C214" s="133" t="s">
        <v>382</v>
      </c>
      <c r="D214" s="135" t="s">
        <v>382</v>
      </c>
      <c r="E214" s="120">
        <v>5</v>
      </c>
      <c r="F214" s="117" t="s">
        <v>1</v>
      </c>
      <c r="G214" s="120" t="s">
        <v>383</v>
      </c>
      <c r="H214" s="123"/>
      <c r="I214" s="95" t="s">
        <v>1</v>
      </c>
      <c r="J214" s="95">
        <v>659.0856</v>
      </c>
      <c r="K214" s="96" t="s">
        <v>1</v>
      </c>
      <c r="L214" s="117" t="s">
        <v>1</v>
      </c>
      <c r="M214" s="122" t="s">
        <v>1</v>
      </c>
      <c r="N214" s="117" t="s">
        <v>1</v>
      </c>
      <c r="O214" s="132" t="s">
        <v>801</v>
      </c>
      <c r="P214" s="117" t="s">
        <v>1</v>
      </c>
      <c r="Q214" s="117" t="s">
        <v>1</v>
      </c>
      <c r="R214" s="115" t="s">
        <v>1</v>
      </c>
      <c r="S214" s="115" t="s">
        <v>1</v>
      </c>
    </row>
    <row r="215" spans="1:19" x14ac:dyDescent="0.2">
      <c r="A215" s="124" t="s">
        <v>382</v>
      </c>
      <c r="B215" s="123" t="s">
        <v>382</v>
      </c>
      <c r="C215" s="133" t="s">
        <v>382</v>
      </c>
      <c r="D215" s="135" t="s">
        <v>382</v>
      </c>
      <c r="E215" s="120">
        <v>5</v>
      </c>
      <c r="F215" s="117" t="s">
        <v>1</v>
      </c>
      <c r="G215" s="120" t="s">
        <v>383</v>
      </c>
      <c r="H215" s="123" t="s">
        <v>390</v>
      </c>
      <c r="I215" s="95" t="s">
        <v>1</v>
      </c>
      <c r="J215" s="95">
        <v>727.07640000000004</v>
      </c>
      <c r="K215" s="96" t="s">
        <v>1</v>
      </c>
      <c r="L215" s="117" t="s">
        <v>1</v>
      </c>
      <c r="M215" s="122" t="s">
        <v>1</v>
      </c>
      <c r="N215" s="117" t="s">
        <v>1</v>
      </c>
      <c r="O215" s="132" t="s">
        <v>801</v>
      </c>
      <c r="P215" s="117" t="s">
        <v>1</v>
      </c>
      <c r="Q215" s="117" t="s">
        <v>1</v>
      </c>
      <c r="R215" s="115" t="s">
        <v>1</v>
      </c>
      <c r="S215" s="115" t="s">
        <v>1</v>
      </c>
    </row>
    <row r="216" spans="1:19" x14ac:dyDescent="0.2">
      <c r="A216" s="124" t="s">
        <v>382</v>
      </c>
      <c r="B216" s="123" t="s">
        <v>382</v>
      </c>
      <c r="C216" s="133" t="s">
        <v>382</v>
      </c>
      <c r="D216" s="135" t="s">
        <v>382</v>
      </c>
      <c r="E216" s="120">
        <v>5</v>
      </c>
      <c r="F216" s="117" t="s">
        <v>1</v>
      </c>
      <c r="G216" s="120" t="s">
        <v>383</v>
      </c>
      <c r="H216" s="123" t="s">
        <v>390</v>
      </c>
      <c r="I216" s="95" t="s">
        <v>1</v>
      </c>
      <c r="J216" s="95">
        <v>928.28989999999999</v>
      </c>
      <c r="K216" s="96" t="s">
        <v>1</v>
      </c>
      <c r="L216" s="117" t="s">
        <v>1</v>
      </c>
      <c r="M216" s="122" t="s">
        <v>1</v>
      </c>
      <c r="N216" s="117" t="s">
        <v>1</v>
      </c>
      <c r="O216" s="132" t="s">
        <v>801</v>
      </c>
      <c r="P216" s="117" t="s">
        <v>1</v>
      </c>
      <c r="Q216" s="117" t="s">
        <v>1</v>
      </c>
      <c r="R216" s="115" t="s">
        <v>1</v>
      </c>
      <c r="S216" s="115" t="s">
        <v>1</v>
      </c>
    </row>
    <row r="217" spans="1:19" x14ac:dyDescent="0.2">
      <c r="A217" s="124" t="s">
        <v>382</v>
      </c>
      <c r="B217" s="123" t="s">
        <v>382</v>
      </c>
      <c r="C217" s="133" t="s">
        <v>382</v>
      </c>
      <c r="D217" s="135" t="s">
        <v>382</v>
      </c>
      <c r="E217" s="120">
        <v>5</v>
      </c>
      <c r="F217" s="117" t="s">
        <v>1</v>
      </c>
      <c r="G217" s="120" t="s">
        <v>383</v>
      </c>
      <c r="H217" s="123" t="s">
        <v>390</v>
      </c>
      <c r="I217" s="95" t="s">
        <v>1</v>
      </c>
      <c r="J217" s="95">
        <v>946.28009999999995</v>
      </c>
      <c r="K217" s="96" t="s">
        <v>1</v>
      </c>
      <c r="L217" s="117" t="s">
        <v>1</v>
      </c>
      <c r="M217" s="122" t="s">
        <v>1</v>
      </c>
      <c r="N217" s="117" t="s">
        <v>1</v>
      </c>
      <c r="O217" s="132" t="s">
        <v>801</v>
      </c>
      <c r="P217" s="117" t="s">
        <v>1</v>
      </c>
      <c r="Q217" s="117" t="s">
        <v>1</v>
      </c>
      <c r="R217" s="115" t="s">
        <v>1</v>
      </c>
      <c r="S217" s="115" t="s">
        <v>1</v>
      </c>
    </row>
    <row r="218" spans="1:19" x14ac:dyDescent="0.2">
      <c r="A218" s="124" t="s">
        <v>382</v>
      </c>
      <c r="B218" s="123" t="s">
        <v>382</v>
      </c>
      <c r="C218" s="133" t="s">
        <v>382</v>
      </c>
      <c r="D218" s="135" t="s">
        <v>382</v>
      </c>
      <c r="E218" s="120">
        <v>5</v>
      </c>
      <c r="F218" s="117" t="s">
        <v>1</v>
      </c>
      <c r="G218" s="120" t="s">
        <v>383</v>
      </c>
      <c r="H218" s="123"/>
      <c r="I218" s="95" t="s">
        <v>1</v>
      </c>
      <c r="J218" s="95">
        <v>1044.155</v>
      </c>
      <c r="K218" s="96" t="s">
        <v>1</v>
      </c>
      <c r="L218" s="117" t="s">
        <v>1</v>
      </c>
      <c r="M218" s="122" t="s">
        <v>1</v>
      </c>
      <c r="N218" s="117" t="s">
        <v>1</v>
      </c>
      <c r="O218" s="132" t="s">
        <v>801</v>
      </c>
      <c r="P218" s="117" t="s">
        <v>1</v>
      </c>
      <c r="Q218" s="117" t="s">
        <v>1</v>
      </c>
      <c r="R218" s="115" t="s">
        <v>1</v>
      </c>
      <c r="S218" s="115" t="s">
        <v>1</v>
      </c>
    </row>
    <row r="219" spans="1:19" x14ac:dyDescent="0.2">
      <c r="A219" s="145" t="s">
        <v>382</v>
      </c>
      <c r="B219" s="123" t="s">
        <v>382</v>
      </c>
      <c r="C219" s="133" t="s">
        <v>382</v>
      </c>
      <c r="D219" s="135" t="s">
        <v>382</v>
      </c>
      <c r="E219" s="120">
        <v>5</v>
      </c>
      <c r="F219" s="117" t="s">
        <v>1</v>
      </c>
      <c r="G219" s="120" t="s">
        <v>386</v>
      </c>
      <c r="H219" s="123" t="s">
        <v>388</v>
      </c>
      <c r="I219" s="95" t="s">
        <v>1</v>
      </c>
      <c r="J219" s="95">
        <v>506.08580000000001</v>
      </c>
      <c r="K219" s="96" t="s">
        <v>1</v>
      </c>
      <c r="L219" s="117" t="s">
        <v>1</v>
      </c>
      <c r="M219" s="122" t="s">
        <v>1</v>
      </c>
      <c r="N219" s="117" t="s">
        <v>1</v>
      </c>
      <c r="O219" s="132" t="s">
        <v>801</v>
      </c>
      <c r="P219" s="154" t="s">
        <v>389</v>
      </c>
      <c r="Q219" s="117" t="s">
        <v>1</v>
      </c>
      <c r="R219" s="148" t="s">
        <v>1</v>
      </c>
      <c r="S219" s="148" t="s">
        <v>1</v>
      </c>
    </row>
    <row r="220" spans="1:19" x14ac:dyDescent="0.2">
      <c r="A220" s="145"/>
      <c r="B220" s="123" t="s">
        <v>382</v>
      </c>
      <c r="C220" s="133" t="s">
        <v>382</v>
      </c>
      <c r="D220" s="135" t="s">
        <v>382</v>
      </c>
      <c r="E220" s="120">
        <v>5</v>
      </c>
      <c r="F220" s="117" t="s">
        <v>1</v>
      </c>
      <c r="G220" s="120" t="s">
        <v>386</v>
      </c>
      <c r="H220" s="123" t="s">
        <v>388</v>
      </c>
      <c r="I220" s="95" t="s">
        <v>1</v>
      </c>
      <c r="J220" s="95">
        <v>606.07939999999996</v>
      </c>
      <c r="K220" s="96" t="s">
        <v>1</v>
      </c>
      <c r="L220" s="117" t="s">
        <v>1</v>
      </c>
      <c r="M220" s="122" t="s">
        <v>1</v>
      </c>
      <c r="N220" s="117" t="s">
        <v>1</v>
      </c>
      <c r="O220" s="132" t="s">
        <v>801</v>
      </c>
      <c r="P220" s="154"/>
      <c r="Q220" s="117" t="s">
        <v>1</v>
      </c>
      <c r="R220" s="148"/>
      <c r="S220" s="148"/>
    </row>
    <row r="221" spans="1:19" x14ac:dyDescent="0.2">
      <c r="A221" s="145"/>
      <c r="B221" s="123" t="s">
        <v>382</v>
      </c>
      <c r="C221" s="133" t="s">
        <v>382</v>
      </c>
      <c r="D221" s="135" t="s">
        <v>382</v>
      </c>
      <c r="E221" s="120">
        <v>5</v>
      </c>
      <c r="F221" s="117" t="s">
        <v>1</v>
      </c>
      <c r="G221" s="120" t="s">
        <v>386</v>
      </c>
      <c r="H221" s="123" t="s">
        <v>388</v>
      </c>
      <c r="I221" s="95" t="s">
        <v>1</v>
      </c>
      <c r="J221" s="95">
        <v>706.07299999999998</v>
      </c>
      <c r="K221" s="96" t="s">
        <v>1</v>
      </c>
      <c r="L221" s="117" t="s">
        <v>1</v>
      </c>
      <c r="M221" s="122" t="s">
        <v>1</v>
      </c>
      <c r="N221" s="117" t="s">
        <v>1</v>
      </c>
      <c r="O221" s="132" t="s">
        <v>801</v>
      </c>
      <c r="P221" s="154"/>
      <c r="Q221" s="117" t="s">
        <v>1</v>
      </c>
      <c r="R221" s="148"/>
      <c r="S221" s="148"/>
    </row>
    <row r="222" spans="1:19" x14ac:dyDescent="0.2">
      <c r="A222" s="145"/>
      <c r="B222" s="123" t="s">
        <v>382</v>
      </c>
      <c r="C222" s="133" t="s">
        <v>382</v>
      </c>
      <c r="D222" s="135" t="s">
        <v>382</v>
      </c>
      <c r="E222" s="120">
        <v>5</v>
      </c>
      <c r="F222" s="117" t="s">
        <v>1</v>
      </c>
      <c r="G222" s="120" t="s">
        <v>386</v>
      </c>
      <c r="H222" s="123" t="s">
        <v>388</v>
      </c>
      <c r="I222" s="95" t="s">
        <v>1</v>
      </c>
      <c r="J222" s="95">
        <v>806.06669999999997</v>
      </c>
      <c r="K222" s="96" t="s">
        <v>1</v>
      </c>
      <c r="L222" s="117" t="s">
        <v>1</v>
      </c>
      <c r="M222" s="122" t="s">
        <v>1</v>
      </c>
      <c r="N222" s="117" t="s">
        <v>1</v>
      </c>
      <c r="O222" s="132" t="s">
        <v>801</v>
      </c>
      <c r="P222" s="154"/>
      <c r="Q222" s="117" t="s">
        <v>1</v>
      </c>
      <c r="R222" s="148"/>
      <c r="S222" s="148"/>
    </row>
    <row r="223" spans="1:19" x14ac:dyDescent="0.2">
      <c r="A223" s="145" t="s">
        <v>382</v>
      </c>
      <c r="B223" s="123" t="s">
        <v>382</v>
      </c>
      <c r="C223" s="133" t="s">
        <v>382</v>
      </c>
      <c r="D223" s="135" t="s">
        <v>382</v>
      </c>
      <c r="E223" s="120">
        <v>5</v>
      </c>
      <c r="F223" s="117" t="s">
        <v>1</v>
      </c>
      <c r="G223" s="120" t="s">
        <v>386</v>
      </c>
      <c r="H223" s="123"/>
      <c r="I223" s="95" t="s">
        <v>1</v>
      </c>
      <c r="J223" s="95">
        <v>707.92340000000002</v>
      </c>
      <c r="K223" s="96" t="s">
        <v>1</v>
      </c>
      <c r="L223" s="117" t="s">
        <v>1</v>
      </c>
      <c r="M223" s="122" t="s">
        <v>1</v>
      </c>
      <c r="N223" s="117" t="s">
        <v>1</v>
      </c>
      <c r="O223" s="132" t="s">
        <v>801</v>
      </c>
      <c r="P223" s="154" t="s">
        <v>389</v>
      </c>
      <c r="Q223" s="117" t="s">
        <v>1</v>
      </c>
      <c r="R223" s="148" t="s">
        <v>1</v>
      </c>
      <c r="S223" s="148" t="s">
        <v>1</v>
      </c>
    </row>
    <row r="224" spans="1:19" x14ac:dyDescent="0.2">
      <c r="A224" s="145"/>
      <c r="B224" s="123" t="s">
        <v>382</v>
      </c>
      <c r="C224" s="133" t="s">
        <v>382</v>
      </c>
      <c r="D224" s="135" t="s">
        <v>382</v>
      </c>
      <c r="E224" s="120">
        <v>5</v>
      </c>
      <c r="F224" s="117" t="s">
        <v>1</v>
      </c>
      <c r="G224" s="120" t="s">
        <v>386</v>
      </c>
      <c r="H224" s="123"/>
      <c r="I224" s="95" t="s">
        <v>1</v>
      </c>
      <c r="J224" s="95">
        <v>807.9171</v>
      </c>
      <c r="K224" s="96" t="s">
        <v>1</v>
      </c>
      <c r="L224" s="117" t="s">
        <v>1</v>
      </c>
      <c r="M224" s="122" t="s">
        <v>1</v>
      </c>
      <c r="N224" s="117" t="s">
        <v>1</v>
      </c>
      <c r="O224" s="132" t="s">
        <v>801</v>
      </c>
      <c r="P224" s="154"/>
      <c r="Q224" s="117" t="s">
        <v>1</v>
      </c>
      <c r="R224" s="148"/>
      <c r="S224" s="148"/>
    </row>
    <row r="225" spans="1:19" x14ac:dyDescent="0.2">
      <c r="A225" s="145"/>
      <c r="B225" s="123" t="s">
        <v>382</v>
      </c>
      <c r="C225" s="133" t="s">
        <v>382</v>
      </c>
      <c r="D225" s="135" t="s">
        <v>382</v>
      </c>
      <c r="E225" s="120">
        <v>5</v>
      </c>
      <c r="F225" s="117" t="s">
        <v>1</v>
      </c>
      <c r="G225" s="120" t="s">
        <v>386</v>
      </c>
      <c r="H225" s="123"/>
      <c r="I225" s="95" t="s">
        <v>1</v>
      </c>
      <c r="J225" s="95">
        <v>907.9117</v>
      </c>
      <c r="K225" s="96" t="s">
        <v>1</v>
      </c>
      <c r="L225" s="117" t="s">
        <v>1</v>
      </c>
      <c r="M225" s="122" t="s">
        <v>1</v>
      </c>
      <c r="N225" s="117" t="s">
        <v>1</v>
      </c>
      <c r="O225" s="132" t="s">
        <v>801</v>
      </c>
      <c r="P225" s="154"/>
      <c r="Q225" s="117" t="s">
        <v>1</v>
      </c>
      <c r="R225" s="148"/>
      <c r="S225" s="148"/>
    </row>
    <row r="226" spans="1:19" x14ac:dyDescent="0.2">
      <c r="A226" s="145"/>
      <c r="B226" s="123" t="s">
        <v>382</v>
      </c>
      <c r="C226" s="133" t="s">
        <v>382</v>
      </c>
      <c r="D226" s="135" t="s">
        <v>382</v>
      </c>
      <c r="E226" s="120">
        <v>5</v>
      </c>
      <c r="F226" s="117" t="s">
        <v>1</v>
      </c>
      <c r="G226" s="120" t="s">
        <v>386</v>
      </c>
      <c r="H226" s="123"/>
      <c r="I226" s="95" t="s">
        <v>1</v>
      </c>
      <c r="J226" s="95">
        <v>1007.9043</v>
      </c>
      <c r="K226" s="96" t="s">
        <v>1</v>
      </c>
      <c r="L226" s="117" t="s">
        <v>1</v>
      </c>
      <c r="M226" s="122" t="s">
        <v>1</v>
      </c>
      <c r="N226" s="117" t="s">
        <v>1</v>
      </c>
      <c r="O226" s="132" t="s">
        <v>801</v>
      </c>
      <c r="P226" s="154"/>
      <c r="Q226" s="117" t="s">
        <v>1</v>
      </c>
      <c r="R226" s="148"/>
      <c r="S226" s="148"/>
    </row>
    <row r="227" spans="1:19" x14ac:dyDescent="0.2">
      <c r="A227" s="145" t="s">
        <v>382</v>
      </c>
      <c r="B227" s="123" t="s">
        <v>382</v>
      </c>
      <c r="C227" s="133" t="s">
        <v>382</v>
      </c>
      <c r="D227" s="135" t="s">
        <v>382</v>
      </c>
      <c r="E227" s="120">
        <v>5</v>
      </c>
      <c r="F227" s="117" t="s">
        <v>1</v>
      </c>
      <c r="G227" s="120" t="s">
        <v>386</v>
      </c>
      <c r="H227" s="123"/>
      <c r="I227" s="95" t="s">
        <v>1</v>
      </c>
      <c r="J227" s="95">
        <v>485.01089999999999</v>
      </c>
      <c r="K227" s="96" t="s">
        <v>1</v>
      </c>
      <c r="L227" s="117" t="s">
        <v>1</v>
      </c>
      <c r="M227" s="122" t="s">
        <v>1</v>
      </c>
      <c r="N227" s="117" t="s">
        <v>1</v>
      </c>
      <c r="O227" s="132" t="s">
        <v>801</v>
      </c>
      <c r="P227" s="154" t="s">
        <v>389</v>
      </c>
      <c r="Q227" s="117" t="s">
        <v>1</v>
      </c>
      <c r="R227" s="148" t="s">
        <v>1</v>
      </c>
      <c r="S227" s="148" t="s">
        <v>1</v>
      </c>
    </row>
    <row r="228" spans="1:19" x14ac:dyDescent="0.2">
      <c r="A228" s="145"/>
      <c r="B228" s="123" t="s">
        <v>382</v>
      </c>
      <c r="C228" s="133" t="s">
        <v>382</v>
      </c>
      <c r="D228" s="135" t="s">
        <v>382</v>
      </c>
      <c r="E228" s="120">
        <v>5</v>
      </c>
      <c r="F228" s="117" t="s">
        <v>1</v>
      </c>
      <c r="G228" s="120" t="s">
        <v>386</v>
      </c>
      <c r="H228" s="123"/>
      <c r="I228" s="95" t="s">
        <v>1</v>
      </c>
      <c r="J228" s="95">
        <v>585.005</v>
      </c>
      <c r="K228" s="96" t="s">
        <v>1</v>
      </c>
      <c r="L228" s="117" t="s">
        <v>1</v>
      </c>
      <c r="M228" s="122" t="s">
        <v>1</v>
      </c>
      <c r="N228" s="117" t="s">
        <v>1</v>
      </c>
      <c r="O228" s="132" t="s">
        <v>801</v>
      </c>
      <c r="P228" s="154"/>
      <c r="Q228" s="117" t="s">
        <v>1</v>
      </c>
      <c r="R228" s="148"/>
      <c r="S228" s="148"/>
    </row>
    <row r="229" spans="1:19" x14ac:dyDescent="0.2">
      <c r="A229" s="145"/>
      <c r="B229" s="123" t="s">
        <v>382</v>
      </c>
      <c r="C229" s="133" t="s">
        <v>382</v>
      </c>
      <c r="D229" s="135" t="s">
        <v>382</v>
      </c>
      <c r="E229" s="120">
        <v>5</v>
      </c>
      <c r="F229" s="117" t="s">
        <v>1</v>
      </c>
      <c r="G229" s="120" t="s">
        <v>386</v>
      </c>
      <c r="H229" s="123"/>
      <c r="I229" s="95" t="s">
        <v>1</v>
      </c>
      <c r="J229" s="95">
        <v>685.00599999999997</v>
      </c>
      <c r="K229" s="96" t="s">
        <v>1</v>
      </c>
      <c r="L229" s="117" t="s">
        <v>1</v>
      </c>
      <c r="M229" s="122" t="s">
        <v>1</v>
      </c>
      <c r="N229" s="117" t="s">
        <v>1</v>
      </c>
      <c r="O229" s="132" t="s">
        <v>801</v>
      </c>
      <c r="P229" s="154"/>
      <c r="Q229" s="117" t="s">
        <v>1</v>
      </c>
      <c r="R229" s="148"/>
      <c r="S229" s="148"/>
    </row>
    <row r="230" spans="1:19" x14ac:dyDescent="0.2">
      <c r="A230" s="145"/>
      <c r="B230" s="123" t="s">
        <v>382</v>
      </c>
      <c r="C230" s="133" t="s">
        <v>382</v>
      </c>
      <c r="D230" s="135" t="s">
        <v>382</v>
      </c>
      <c r="E230" s="120">
        <v>5</v>
      </c>
      <c r="F230" s="117" t="s">
        <v>1</v>
      </c>
      <c r="G230" s="120" t="s">
        <v>386</v>
      </c>
      <c r="H230" s="123"/>
      <c r="I230" s="95" t="s">
        <v>1</v>
      </c>
      <c r="J230" s="95">
        <v>784.99959999999999</v>
      </c>
      <c r="K230" s="96" t="s">
        <v>1</v>
      </c>
      <c r="L230" s="117" t="s">
        <v>1</v>
      </c>
      <c r="M230" s="122" t="s">
        <v>1</v>
      </c>
      <c r="N230" s="117" t="s">
        <v>1</v>
      </c>
      <c r="O230" s="132" t="s">
        <v>801</v>
      </c>
      <c r="P230" s="154"/>
      <c r="Q230" s="117" t="s">
        <v>1</v>
      </c>
      <c r="R230" s="148"/>
      <c r="S230" s="148"/>
    </row>
    <row r="231" spans="1:19" x14ac:dyDescent="0.2">
      <c r="A231" s="145" t="s">
        <v>382</v>
      </c>
      <c r="B231" s="123" t="s">
        <v>382</v>
      </c>
      <c r="C231" s="133" t="s">
        <v>382</v>
      </c>
      <c r="D231" s="135" t="s">
        <v>382</v>
      </c>
      <c r="E231" s="120">
        <v>5</v>
      </c>
      <c r="F231" s="117" t="s">
        <v>1</v>
      </c>
      <c r="G231" s="120" t="s">
        <v>386</v>
      </c>
      <c r="H231" s="123"/>
      <c r="I231" s="95" t="s">
        <v>1</v>
      </c>
      <c r="J231" s="95">
        <v>472.09989999999999</v>
      </c>
      <c r="K231" s="96" t="s">
        <v>1</v>
      </c>
      <c r="L231" s="117" t="s">
        <v>1</v>
      </c>
      <c r="M231" s="122" t="s">
        <v>1</v>
      </c>
      <c r="N231" s="117" t="s">
        <v>1</v>
      </c>
      <c r="O231" s="132" t="s">
        <v>801</v>
      </c>
      <c r="P231" s="154" t="s">
        <v>389</v>
      </c>
      <c r="Q231" s="117" t="s">
        <v>1</v>
      </c>
      <c r="R231" s="148" t="s">
        <v>1</v>
      </c>
      <c r="S231" s="148" t="s">
        <v>1</v>
      </c>
    </row>
    <row r="232" spans="1:19" x14ac:dyDescent="0.2">
      <c r="A232" s="145"/>
      <c r="B232" s="123" t="s">
        <v>382</v>
      </c>
      <c r="C232" s="133" t="s">
        <v>382</v>
      </c>
      <c r="D232" s="135" t="s">
        <v>382</v>
      </c>
      <c r="E232" s="120">
        <v>5</v>
      </c>
      <c r="F232" s="117" t="s">
        <v>1</v>
      </c>
      <c r="G232" s="120" t="s">
        <v>386</v>
      </c>
      <c r="H232" s="123"/>
      <c r="I232" s="95" t="s">
        <v>1</v>
      </c>
      <c r="J232" s="95">
        <v>572.09349999999995</v>
      </c>
      <c r="K232" s="96" t="s">
        <v>1</v>
      </c>
      <c r="L232" s="117" t="s">
        <v>1</v>
      </c>
      <c r="M232" s="122" t="s">
        <v>1</v>
      </c>
      <c r="N232" s="117" t="s">
        <v>1</v>
      </c>
      <c r="O232" s="132" t="s">
        <v>801</v>
      </c>
      <c r="P232" s="154"/>
      <c r="Q232" s="117" t="s">
        <v>1</v>
      </c>
      <c r="R232" s="148"/>
      <c r="S232" s="148"/>
    </row>
    <row r="233" spans="1:19" x14ac:dyDescent="0.2">
      <c r="A233" s="145"/>
      <c r="B233" s="123" t="s">
        <v>382</v>
      </c>
      <c r="C233" s="133" t="s">
        <v>382</v>
      </c>
      <c r="D233" s="135" t="s">
        <v>382</v>
      </c>
      <c r="E233" s="120">
        <v>5</v>
      </c>
      <c r="F233" s="117" t="s">
        <v>1</v>
      </c>
      <c r="G233" s="120" t="s">
        <v>386</v>
      </c>
      <c r="H233" s="123"/>
      <c r="I233" s="95" t="s">
        <v>1</v>
      </c>
      <c r="J233" s="95">
        <v>672.08709999999996</v>
      </c>
      <c r="K233" s="96" t="s">
        <v>1</v>
      </c>
      <c r="L233" s="117" t="s">
        <v>1</v>
      </c>
      <c r="M233" s="122" t="s">
        <v>1</v>
      </c>
      <c r="N233" s="117" t="s">
        <v>1</v>
      </c>
      <c r="O233" s="132" t="s">
        <v>801</v>
      </c>
      <c r="P233" s="154"/>
      <c r="Q233" s="117" t="s">
        <v>1</v>
      </c>
      <c r="R233" s="148"/>
      <c r="S233" s="148"/>
    </row>
    <row r="234" spans="1:19" x14ac:dyDescent="0.2">
      <c r="A234" s="145"/>
      <c r="B234" s="123" t="s">
        <v>382</v>
      </c>
      <c r="C234" s="133" t="s">
        <v>382</v>
      </c>
      <c r="D234" s="135" t="s">
        <v>382</v>
      </c>
      <c r="E234" s="120">
        <v>5</v>
      </c>
      <c r="F234" s="117" t="s">
        <v>1</v>
      </c>
      <c r="G234" s="120" t="s">
        <v>386</v>
      </c>
      <c r="H234" s="123"/>
      <c r="I234" s="95" t="s">
        <v>1</v>
      </c>
      <c r="J234" s="95">
        <v>772.08069999999998</v>
      </c>
      <c r="K234" s="96" t="s">
        <v>1</v>
      </c>
      <c r="L234" s="117" t="s">
        <v>1</v>
      </c>
      <c r="M234" s="122" t="s">
        <v>1</v>
      </c>
      <c r="N234" s="117" t="s">
        <v>1</v>
      </c>
      <c r="O234" s="132" t="s">
        <v>801</v>
      </c>
      <c r="P234" s="154"/>
      <c r="Q234" s="117" t="s">
        <v>1</v>
      </c>
      <c r="R234" s="148"/>
      <c r="S234" s="148"/>
    </row>
    <row r="235" spans="1:19" x14ac:dyDescent="0.2">
      <c r="A235" s="145" t="s">
        <v>382</v>
      </c>
      <c r="B235" s="123" t="s">
        <v>382</v>
      </c>
      <c r="C235" s="133" t="s">
        <v>382</v>
      </c>
      <c r="D235" s="135" t="s">
        <v>382</v>
      </c>
      <c r="E235" s="120">
        <v>5</v>
      </c>
      <c r="F235" s="117" t="s">
        <v>1</v>
      </c>
      <c r="G235" s="120" t="s">
        <v>386</v>
      </c>
      <c r="H235" s="123"/>
      <c r="I235" s="95" t="s">
        <v>1</v>
      </c>
      <c r="J235" s="95">
        <v>791.92399999999998</v>
      </c>
      <c r="K235" s="96" t="s">
        <v>1</v>
      </c>
      <c r="L235" s="117" t="s">
        <v>1</v>
      </c>
      <c r="M235" s="122" t="s">
        <v>1</v>
      </c>
      <c r="N235" s="117" t="s">
        <v>1</v>
      </c>
      <c r="O235" s="132" t="s">
        <v>801</v>
      </c>
      <c r="P235" s="154" t="s">
        <v>384</v>
      </c>
      <c r="Q235" s="117" t="s">
        <v>1</v>
      </c>
      <c r="R235" s="148" t="s">
        <v>1</v>
      </c>
      <c r="S235" s="148" t="s">
        <v>1</v>
      </c>
    </row>
    <row r="236" spans="1:19" x14ac:dyDescent="0.2">
      <c r="A236" s="145"/>
      <c r="B236" s="123" t="s">
        <v>382</v>
      </c>
      <c r="C236" s="133" t="s">
        <v>382</v>
      </c>
      <c r="D236" s="135" t="s">
        <v>382</v>
      </c>
      <c r="E236" s="120">
        <v>5</v>
      </c>
      <c r="F236" s="117" t="s">
        <v>1</v>
      </c>
      <c r="G236" s="120" t="s">
        <v>386</v>
      </c>
      <c r="H236" s="123"/>
      <c r="I236" s="95" t="s">
        <v>1</v>
      </c>
      <c r="J236" s="95">
        <v>891.91759999999999</v>
      </c>
      <c r="K236" s="96" t="s">
        <v>1</v>
      </c>
      <c r="L236" s="117" t="s">
        <v>1</v>
      </c>
      <c r="M236" s="122" t="s">
        <v>1</v>
      </c>
      <c r="N236" s="117" t="s">
        <v>1</v>
      </c>
      <c r="O236" s="132" t="s">
        <v>801</v>
      </c>
      <c r="P236" s="154"/>
      <c r="Q236" s="117" t="s">
        <v>1</v>
      </c>
      <c r="R236" s="148"/>
      <c r="S236" s="148"/>
    </row>
    <row r="237" spans="1:19" x14ac:dyDescent="0.2">
      <c r="A237" s="145"/>
      <c r="B237" s="123" t="s">
        <v>382</v>
      </c>
      <c r="C237" s="133" t="s">
        <v>382</v>
      </c>
      <c r="D237" s="135" t="s">
        <v>382</v>
      </c>
      <c r="E237" s="120">
        <v>5</v>
      </c>
      <c r="F237" s="117" t="s">
        <v>1</v>
      </c>
      <c r="G237" s="120" t="s">
        <v>386</v>
      </c>
      <c r="H237" s="123"/>
      <c r="I237" s="95" t="s">
        <v>1</v>
      </c>
      <c r="J237" s="95">
        <v>991.91120000000001</v>
      </c>
      <c r="K237" s="96" t="s">
        <v>1</v>
      </c>
      <c r="L237" s="117" t="s">
        <v>1</v>
      </c>
      <c r="M237" s="122" t="s">
        <v>1</v>
      </c>
      <c r="N237" s="117" t="s">
        <v>1</v>
      </c>
      <c r="O237" s="132" t="s">
        <v>801</v>
      </c>
      <c r="P237" s="154"/>
      <c r="Q237" s="117" t="s">
        <v>1</v>
      </c>
      <c r="R237" s="148"/>
      <c r="S237" s="148"/>
    </row>
    <row r="238" spans="1:19" x14ac:dyDescent="0.2">
      <c r="A238" s="145" t="s">
        <v>382</v>
      </c>
      <c r="B238" s="123" t="s">
        <v>382</v>
      </c>
      <c r="C238" s="133" t="s">
        <v>382</v>
      </c>
      <c r="D238" s="135" t="s">
        <v>382</v>
      </c>
      <c r="E238" s="120">
        <v>5</v>
      </c>
      <c r="F238" s="117" t="s">
        <v>1</v>
      </c>
      <c r="G238" s="120" t="s">
        <v>386</v>
      </c>
      <c r="H238" s="123"/>
      <c r="I238" s="95" t="s">
        <v>1</v>
      </c>
      <c r="J238" s="95">
        <v>899.00059999999996</v>
      </c>
      <c r="K238" s="96" t="s">
        <v>1</v>
      </c>
      <c r="L238" s="117" t="s">
        <v>1</v>
      </c>
      <c r="M238" s="122" t="s">
        <v>1</v>
      </c>
      <c r="N238" s="117" t="s">
        <v>1</v>
      </c>
      <c r="O238" s="132" t="s">
        <v>801</v>
      </c>
      <c r="P238" s="154" t="s">
        <v>385</v>
      </c>
      <c r="Q238" s="117" t="s">
        <v>1</v>
      </c>
      <c r="R238" s="148" t="s">
        <v>1</v>
      </c>
      <c r="S238" s="148" t="s">
        <v>1</v>
      </c>
    </row>
    <row r="239" spans="1:19" x14ac:dyDescent="0.2">
      <c r="A239" s="145"/>
      <c r="B239" s="123" t="s">
        <v>382</v>
      </c>
      <c r="C239" s="133" t="s">
        <v>382</v>
      </c>
      <c r="D239" s="135" t="s">
        <v>382</v>
      </c>
      <c r="E239" s="120">
        <v>5</v>
      </c>
      <c r="F239" s="117" t="s">
        <v>1</v>
      </c>
      <c r="G239" s="120" t="s">
        <v>386</v>
      </c>
      <c r="H239" s="123"/>
      <c r="I239" s="95" t="s">
        <v>1</v>
      </c>
      <c r="J239" s="95">
        <v>998.99419999999998</v>
      </c>
      <c r="K239" s="96" t="s">
        <v>1</v>
      </c>
      <c r="L239" s="117" t="s">
        <v>1</v>
      </c>
      <c r="M239" s="122" t="s">
        <v>1</v>
      </c>
      <c r="N239" s="117" t="s">
        <v>1</v>
      </c>
      <c r="O239" s="132" t="s">
        <v>801</v>
      </c>
      <c r="P239" s="154"/>
      <c r="Q239" s="117" t="s">
        <v>1</v>
      </c>
      <c r="R239" s="148"/>
      <c r="S239" s="148"/>
    </row>
    <row r="240" spans="1:19" x14ac:dyDescent="0.2">
      <c r="A240" s="145" t="s">
        <v>382</v>
      </c>
      <c r="B240" s="123" t="s">
        <v>382</v>
      </c>
      <c r="C240" s="133" t="s">
        <v>382</v>
      </c>
      <c r="D240" s="135" t="s">
        <v>382</v>
      </c>
      <c r="E240" s="120">
        <v>5</v>
      </c>
      <c r="F240" s="117" t="s">
        <v>1</v>
      </c>
      <c r="G240" s="120" t="s">
        <v>386</v>
      </c>
      <c r="H240" s="123"/>
      <c r="I240" s="95" t="s">
        <v>1</v>
      </c>
      <c r="J240" s="95">
        <v>469.02749999999997</v>
      </c>
      <c r="K240" s="96" t="s">
        <v>1</v>
      </c>
      <c r="L240" s="117" t="s">
        <v>1</v>
      </c>
      <c r="M240" s="122" t="s">
        <v>1</v>
      </c>
      <c r="N240" s="117" t="s">
        <v>1</v>
      </c>
      <c r="O240" s="132" t="s">
        <v>801</v>
      </c>
      <c r="P240" s="154" t="s">
        <v>385</v>
      </c>
      <c r="Q240" s="117" t="s">
        <v>1</v>
      </c>
      <c r="R240" s="148" t="s">
        <v>1</v>
      </c>
      <c r="S240" s="148" t="s">
        <v>1</v>
      </c>
    </row>
    <row r="241" spans="1:19" x14ac:dyDescent="0.2">
      <c r="A241" s="145"/>
      <c r="B241" s="123" t="s">
        <v>382</v>
      </c>
      <c r="C241" s="133" t="s">
        <v>382</v>
      </c>
      <c r="D241" s="135" t="s">
        <v>382</v>
      </c>
      <c r="E241" s="120">
        <v>5</v>
      </c>
      <c r="F241" s="117" t="s">
        <v>1</v>
      </c>
      <c r="G241" s="120" t="s">
        <v>386</v>
      </c>
      <c r="H241" s="123"/>
      <c r="I241" s="95" t="s">
        <v>1</v>
      </c>
      <c r="J241" s="95">
        <v>569.02110000000005</v>
      </c>
      <c r="K241" s="96" t="s">
        <v>1</v>
      </c>
      <c r="L241" s="117" t="s">
        <v>1</v>
      </c>
      <c r="M241" s="122" t="s">
        <v>1</v>
      </c>
      <c r="N241" s="117" t="s">
        <v>1</v>
      </c>
      <c r="O241" s="132" t="s">
        <v>801</v>
      </c>
      <c r="P241" s="154"/>
      <c r="Q241" s="117" t="s">
        <v>1</v>
      </c>
      <c r="R241" s="148"/>
      <c r="S241" s="148"/>
    </row>
    <row r="242" spans="1:19" x14ac:dyDescent="0.2">
      <c r="A242" s="124" t="s">
        <v>382</v>
      </c>
      <c r="B242" s="123" t="s">
        <v>382</v>
      </c>
      <c r="C242" s="133" t="s">
        <v>382</v>
      </c>
      <c r="D242" s="135" t="s">
        <v>382</v>
      </c>
      <c r="E242" s="120">
        <v>5</v>
      </c>
      <c r="F242" s="117" t="s">
        <v>1</v>
      </c>
      <c r="G242" s="120" t="s">
        <v>386</v>
      </c>
      <c r="H242" s="123"/>
      <c r="I242" s="95" t="s">
        <v>1</v>
      </c>
      <c r="J242" s="95">
        <v>193.9342</v>
      </c>
      <c r="K242" s="96" t="s">
        <v>1</v>
      </c>
      <c r="L242" s="117" t="s">
        <v>1</v>
      </c>
      <c r="M242" s="122" t="s">
        <v>1</v>
      </c>
      <c r="N242" s="117" t="s">
        <v>1</v>
      </c>
      <c r="O242" s="132" t="s">
        <v>801</v>
      </c>
      <c r="P242" s="117" t="s">
        <v>1</v>
      </c>
      <c r="Q242" s="117" t="s">
        <v>1</v>
      </c>
      <c r="R242" s="115" t="s">
        <v>1</v>
      </c>
      <c r="S242" s="115" t="s">
        <v>1</v>
      </c>
    </row>
    <row r="243" spans="1:19" x14ac:dyDescent="0.2">
      <c r="A243" s="124" t="s">
        <v>382</v>
      </c>
      <c r="B243" s="123" t="s">
        <v>382</v>
      </c>
      <c r="C243" s="133" t="s">
        <v>382</v>
      </c>
      <c r="D243" s="135" t="s">
        <v>382</v>
      </c>
      <c r="E243" s="120">
        <v>5</v>
      </c>
      <c r="F243" s="117" t="s">
        <v>1</v>
      </c>
      <c r="G243" s="120" t="s">
        <v>386</v>
      </c>
      <c r="H243" s="123"/>
      <c r="I243" s="95" t="s">
        <v>1</v>
      </c>
      <c r="J243" s="95">
        <v>213.0160736</v>
      </c>
      <c r="K243" s="96" t="s">
        <v>1</v>
      </c>
      <c r="L243" s="117" t="s">
        <v>1</v>
      </c>
      <c r="M243" s="122" t="s">
        <v>1</v>
      </c>
      <c r="N243" s="117" t="s">
        <v>1</v>
      </c>
      <c r="O243" s="132" t="s">
        <v>801</v>
      </c>
      <c r="P243" s="117" t="s">
        <v>1</v>
      </c>
      <c r="Q243" s="117" t="s">
        <v>1</v>
      </c>
      <c r="R243" s="115" t="s">
        <v>1</v>
      </c>
      <c r="S243" s="115" t="s">
        <v>1</v>
      </c>
    </row>
    <row r="244" spans="1:19" x14ac:dyDescent="0.2">
      <c r="A244" s="124" t="s">
        <v>382</v>
      </c>
      <c r="B244" s="123" t="s">
        <v>382</v>
      </c>
      <c r="C244" s="133" t="s">
        <v>382</v>
      </c>
      <c r="D244" s="135" t="s">
        <v>382</v>
      </c>
      <c r="E244" s="120">
        <v>5</v>
      </c>
      <c r="F244" s="117" t="s">
        <v>1</v>
      </c>
      <c r="G244" s="120" t="s">
        <v>386</v>
      </c>
      <c r="H244" s="123"/>
      <c r="I244" s="95" t="s">
        <v>1</v>
      </c>
      <c r="J244" s="95">
        <v>275.09800000000001</v>
      </c>
      <c r="K244" s="96" t="s">
        <v>1</v>
      </c>
      <c r="L244" s="117" t="s">
        <v>1</v>
      </c>
      <c r="M244" s="122" t="s">
        <v>1</v>
      </c>
      <c r="N244" s="117" t="s">
        <v>1</v>
      </c>
      <c r="O244" s="132" t="s">
        <v>801</v>
      </c>
      <c r="P244" s="117" t="s">
        <v>1</v>
      </c>
      <c r="Q244" s="117" t="s">
        <v>1</v>
      </c>
      <c r="R244" s="115" t="s">
        <v>1</v>
      </c>
      <c r="S244" s="115" t="s">
        <v>1</v>
      </c>
    </row>
    <row r="245" spans="1:19" x14ac:dyDescent="0.2">
      <c r="A245" s="124" t="s">
        <v>382</v>
      </c>
      <c r="B245" s="123" t="s">
        <v>382</v>
      </c>
      <c r="C245" s="133" t="s">
        <v>382</v>
      </c>
      <c r="D245" s="135" t="s">
        <v>382</v>
      </c>
      <c r="E245" s="120">
        <v>5</v>
      </c>
      <c r="F245" s="117" t="s">
        <v>1</v>
      </c>
      <c r="G245" s="120" t="s">
        <v>386</v>
      </c>
      <c r="H245" s="123"/>
      <c r="I245" s="95" t="s">
        <v>1</v>
      </c>
      <c r="J245" s="95">
        <v>312.97179999999997</v>
      </c>
      <c r="K245" s="96" t="s">
        <v>1</v>
      </c>
      <c r="L245" s="117" t="s">
        <v>1</v>
      </c>
      <c r="M245" s="122" t="s">
        <v>1</v>
      </c>
      <c r="N245" s="117" t="s">
        <v>1</v>
      </c>
      <c r="O245" s="132" t="s">
        <v>801</v>
      </c>
      <c r="P245" s="117" t="s">
        <v>1</v>
      </c>
      <c r="Q245" s="117" t="s">
        <v>1</v>
      </c>
      <c r="R245" s="115" t="s">
        <v>1</v>
      </c>
      <c r="S245" s="115" t="s">
        <v>1</v>
      </c>
    </row>
    <row r="246" spans="1:19" x14ac:dyDescent="0.2">
      <c r="A246" s="124" t="s">
        <v>382</v>
      </c>
      <c r="B246" s="123" t="s">
        <v>382</v>
      </c>
      <c r="C246" s="133" t="s">
        <v>382</v>
      </c>
      <c r="D246" s="135" t="s">
        <v>382</v>
      </c>
      <c r="E246" s="120">
        <v>5</v>
      </c>
      <c r="F246" s="117" t="s">
        <v>1</v>
      </c>
      <c r="G246" s="120" t="s">
        <v>386</v>
      </c>
      <c r="H246" s="123"/>
      <c r="I246" s="95" t="s">
        <v>1</v>
      </c>
      <c r="J246" s="123">
        <v>314.96879999999999</v>
      </c>
      <c r="K246" s="96" t="s">
        <v>1</v>
      </c>
      <c r="L246" s="117" t="s">
        <v>1</v>
      </c>
      <c r="M246" s="122" t="s">
        <v>1</v>
      </c>
      <c r="N246" s="117" t="s">
        <v>1</v>
      </c>
      <c r="O246" s="132" t="s">
        <v>801</v>
      </c>
      <c r="P246" s="117" t="s">
        <v>1</v>
      </c>
      <c r="Q246" s="117" t="s">
        <v>1</v>
      </c>
      <c r="R246" s="115" t="s">
        <v>1</v>
      </c>
      <c r="S246" s="115" t="s">
        <v>1</v>
      </c>
    </row>
    <row r="247" spans="1:19" x14ac:dyDescent="0.2">
      <c r="A247" s="124" t="s">
        <v>382</v>
      </c>
      <c r="B247" s="123" t="s">
        <v>382</v>
      </c>
      <c r="C247" s="133" t="s">
        <v>382</v>
      </c>
      <c r="D247" s="135" t="s">
        <v>382</v>
      </c>
      <c r="E247" s="120">
        <v>5</v>
      </c>
      <c r="F247" s="117" t="s">
        <v>1</v>
      </c>
      <c r="G247" s="120" t="s">
        <v>386</v>
      </c>
      <c r="H247" s="123"/>
      <c r="I247" s="95" t="s">
        <v>1</v>
      </c>
      <c r="J247" s="95">
        <v>497.05869999999999</v>
      </c>
      <c r="K247" s="96" t="s">
        <v>1</v>
      </c>
      <c r="L247" s="117" t="s">
        <v>1</v>
      </c>
      <c r="M247" s="122" t="s">
        <v>1</v>
      </c>
      <c r="N247" s="117" t="s">
        <v>1</v>
      </c>
      <c r="O247" s="132" t="s">
        <v>801</v>
      </c>
      <c r="P247" s="117" t="s">
        <v>1</v>
      </c>
      <c r="Q247" s="117" t="s">
        <v>1</v>
      </c>
      <c r="R247" s="115" t="s">
        <v>1</v>
      </c>
      <c r="S247" s="115" t="s">
        <v>1</v>
      </c>
    </row>
    <row r="248" spans="1:19" x14ac:dyDescent="0.2">
      <c r="A248" s="124" t="s">
        <v>382</v>
      </c>
      <c r="B248" s="123" t="s">
        <v>382</v>
      </c>
      <c r="C248" s="133" t="s">
        <v>382</v>
      </c>
      <c r="D248" s="135" t="s">
        <v>382</v>
      </c>
      <c r="E248" s="120">
        <v>5</v>
      </c>
      <c r="F248" s="117" t="s">
        <v>1</v>
      </c>
      <c r="G248" s="120" t="s">
        <v>386</v>
      </c>
      <c r="H248" s="123"/>
      <c r="I248" s="95" t="s">
        <v>1</v>
      </c>
      <c r="J248" s="95">
        <v>505.04680000000002</v>
      </c>
      <c r="K248" s="96" t="s">
        <v>1</v>
      </c>
      <c r="L248" s="117" t="s">
        <v>1</v>
      </c>
      <c r="M248" s="122" t="s">
        <v>1</v>
      </c>
      <c r="N248" s="117" t="s">
        <v>1</v>
      </c>
      <c r="O248" s="132" t="s">
        <v>801</v>
      </c>
      <c r="P248" s="117" t="s">
        <v>1</v>
      </c>
      <c r="Q248" s="117" t="s">
        <v>1</v>
      </c>
      <c r="R248" s="115" t="s">
        <v>1</v>
      </c>
      <c r="S248" s="115" t="s">
        <v>1</v>
      </c>
    </row>
    <row r="249" spans="1:19" x14ac:dyDescent="0.2">
      <c r="A249" s="124" t="s">
        <v>382</v>
      </c>
      <c r="B249" s="123" t="s">
        <v>382</v>
      </c>
      <c r="C249" s="133" t="s">
        <v>382</v>
      </c>
      <c r="D249" s="135" t="s">
        <v>382</v>
      </c>
      <c r="E249" s="120">
        <v>5</v>
      </c>
      <c r="F249" s="117" t="s">
        <v>1</v>
      </c>
      <c r="G249" s="120" t="s">
        <v>386</v>
      </c>
      <c r="H249" s="123"/>
      <c r="I249" s="95" t="s">
        <v>1</v>
      </c>
      <c r="J249" s="95">
        <v>538.86860000000001</v>
      </c>
      <c r="K249" s="96" t="s">
        <v>1</v>
      </c>
      <c r="L249" s="117" t="s">
        <v>1</v>
      </c>
      <c r="M249" s="122" t="s">
        <v>1</v>
      </c>
      <c r="N249" s="117" t="s">
        <v>1</v>
      </c>
      <c r="O249" s="132" t="s">
        <v>801</v>
      </c>
      <c r="P249" s="117" t="s">
        <v>1</v>
      </c>
      <c r="Q249" s="117" t="s">
        <v>1</v>
      </c>
      <c r="R249" s="115" t="s">
        <v>1</v>
      </c>
      <c r="S249" s="115" t="s">
        <v>1</v>
      </c>
    </row>
    <row r="250" spans="1:19" x14ac:dyDescent="0.2">
      <c r="A250" s="124" t="s">
        <v>382</v>
      </c>
      <c r="B250" s="123" t="s">
        <v>382</v>
      </c>
      <c r="C250" s="133" t="s">
        <v>382</v>
      </c>
      <c r="D250" s="135" t="s">
        <v>382</v>
      </c>
      <c r="E250" s="120">
        <v>5</v>
      </c>
      <c r="F250" s="117" t="s">
        <v>1</v>
      </c>
      <c r="G250" s="120" t="s">
        <v>386</v>
      </c>
      <c r="H250" s="123"/>
      <c r="I250" s="95" t="s">
        <v>1</v>
      </c>
      <c r="J250" s="95">
        <v>630.12130000000002</v>
      </c>
      <c r="K250" s="96" t="s">
        <v>1</v>
      </c>
      <c r="L250" s="117" t="s">
        <v>1</v>
      </c>
      <c r="M250" s="122" t="s">
        <v>1</v>
      </c>
      <c r="N250" s="117" t="s">
        <v>1</v>
      </c>
      <c r="O250" s="132" t="s">
        <v>801</v>
      </c>
      <c r="P250" s="117" t="s">
        <v>1</v>
      </c>
      <c r="Q250" s="117" t="s">
        <v>1</v>
      </c>
      <c r="R250" s="115" t="s">
        <v>1</v>
      </c>
      <c r="S250" s="115" t="s">
        <v>1</v>
      </c>
    </row>
    <row r="251" spans="1:19" x14ac:dyDescent="0.2">
      <c r="A251" s="124" t="s">
        <v>382</v>
      </c>
      <c r="B251" s="123" t="s">
        <v>382</v>
      </c>
      <c r="C251" s="133" t="s">
        <v>382</v>
      </c>
      <c r="D251" s="135" t="s">
        <v>382</v>
      </c>
      <c r="E251" s="120">
        <v>5</v>
      </c>
      <c r="F251" s="117" t="s">
        <v>1</v>
      </c>
      <c r="G251" s="120" t="s">
        <v>386</v>
      </c>
      <c r="H251" s="123"/>
      <c r="I251" s="95" t="s">
        <v>1</v>
      </c>
      <c r="J251" s="95">
        <v>1053.0429999999999</v>
      </c>
      <c r="K251" s="96" t="s">
        <v>1</v>
      </c>
      <c r="L251" s="117" t="s">
        <v>1</v>
      </c>
      <c r="M251" s="122" t="s">
        <v>1</v>
      </c>
      <c r="N251" s="117" t="s">
        <v>1</v>
      </c>
      <c r="O251" s="132" t="s">
        <v>801</v>
      </c>
      <c r="P251" s="117" t="s">
        <v>1</v>
      </c>
      <c r="Q251" s="117" t="s">
        <v>1</v>
      </c>
      <c r="R251" s="115" t="s">
        <v>1</v>
      </c>
      <c r="S251" s="115" t="s">
        <v>1</v>
      </c>
    </row>
    <row r="252" spans="1:19" x14ac:dyDescent="0.2">
      <c r="A252" s="124" t="s">
        <v>382</v>
      </c>
      <c r="B252" s="123" t="s">
        <v>382</v>
      </c>
      <c r="C252" s="133" t="s">
        <v>382</v>
      </c>
      <c r="D252" s="135" t="s">
        <v>382</v>
      </c>
      <c r="E252" s="120">
        <v>5</v>
      </c>
      <c r="F252" s="117" t="s">
        <v>1</v>
      </c>
      <c r="G252" s="120" t="s">
        <v>386</v>
      </c>
      <c r="H252" s="123"/>
      <c r="I252" s="95" t="s">
        <v>1</v>
      </c>
      <c r="J252" s="95">
        <v>1056.92</v>
      </c>
      <c r="K252" s="96" t="s">
        <v>1</v>
      </c>
      <c r="L252" s="117" t="s">
        <v>1</v>
      </c>
      <c r="M252" s="122" t="s">
        <v>1</v>
      </c>
      <c r="N252" s="117" t="s">
        <v>1</v>
      </c>
      <c r="O252" s="132" t="s">
        <v>801</v>
      </c>
      <c r="P252" s="117" t="s">
        <v>1</v>
      </c>
      <c r="Q252" s="117" t="s">
        <v>1</v>
      </c>
      <c r="R252" s="115" t="s">
        <v>1</v>
      </c>
      <c r="S252" s="115" t="s">
        <v>1</v>
      </c>
    </row>
    <row r="253" spans="1:19" x14ac:dyDescent="0.2">
      <c r="A253" s="124" t="s">
        <v>382</v>
      </c>
      <c r="B253" s="123" t="s">
        <v>382</v>
      </c>
      <c r="C253" s="133" t="s">
        <v>382</v>
      </c>
      <c r="D253" s="135" t="s">
        <v>382</v>
      </c>
      <c r="E253" s="120">
        <v>5</v>
      </c>
      <c r="F253" s="117" t="s">
        <v>1</v>
      </c>
      <c r="G253" s="120" t="s">
        <v>386</v>
      </c>
      <c r="H253" s="123"/>
      <c r="I253" s="95" t="s">
        <v>1</v>
      </c>
      <c r="J253" s="95">
        <v>1069.0154</v>
      </c>
      <c r="K253" s="96" t="s">
        <v>1</v>
      </c>
      <c r="L253" s="117" t="s">
        <v>1</v>
      </c>
      <c r="M253" s="122" t="s">
        <v>1</v>
      </c>
      <c r="N253" s="117" t="s">
        <v>1</v>
      </c>
      <c r="O253" s="132" t="s">
        <v>801</v>
      </c>
      <c r="P253" s="117" t="s">
        <v>1</v>
      </c>
      <c r="Q253" s="117" t="s">
        <v>1</v>
      </c>
      <c r="R253" s="115" t="s">
        <v>1</v>
      </c>
      <c r="S253" s="115" t="s">
        <v>1</v>
      </c>
    </row>
    <row r="255" spans="1:19" x14ac:dyDescent="0.2">
      <c r="A255" s="85" t="s">
        <v>519</v>
      </c>
    </row>
    <row r="256" spans="1:19" x14ac:dyDescent="0.2">
      <c r="A256" s="81" t="s">
        <v>631</v>
      </c>
    </row>
    <row r="257" spans="1:8" x14ac:dyDescent="0.2">
      <c r="A257" s="81" t="s">
        <v>632</v>
      </c>
    </row>
    <row r="258" spans="1:8" x14ac:dyDescent="0.2">
      <c r="A258" s="81" t="s">
        <v>633</v>
      </c>
    </row>
    <row r="259" spans="1:8" x14ac:dyDescent="0.2">
      <c r="A259" s="81" t="s">
        <v>634</v>
      </c>
    </row>
    <row r="260" spans="1:8" x14ac:dyDescent="0.2">
      <c r="A260" s="81" t="s">
        <v>635</v>
      </c>
    </row>
    <row r="261" spans="1:8" x14ac:dyDescent="0.2">
      <c r="A261" s="81" t="s">
        <v>636</v>
      </c>
    </row>
    <row r="262" spans="1:8" x14ac:dyDescent="0.2">
      <c r="A262" s="81" t="s">
        <v>637</v>
      </c>
    </row>
    <row r="263" spans="1:8" x14ac:dyDescent="0.2">
      <c r="A263" s="81" t="s">
        <v>638</v>
      </c>
    </row>
    <row r="264" spans="1:8" x14ac:dyDescent="0.2">
      <c r="A264" s="81" t="s">
        <v>538</v>
      </c>
      <c r="H264" s="77"/>
    </row>
    <row r="265" spans="1:8" x14ac:dyDescent="0.2">
      <c r="A265" s="81" t="s">
        <v>639</v>
      </c>
    </row>
    <row r="266" spans="1:8" x14ac:dyDescent="0.2">
      <c r="A266" s="81" t="s">
        <v>640</v>
      </c>
    </row>
    <row r="267" spans="1:8" x14ac:dyDescent="0.2">
      <c r="A267" s="81" t="s">
        <v>641</v>
      </c>
    </row>
    <row r="268" spans="1:8" x14ac:dyDescent="0.2">
      <c r="A268" s="81" t="s">
        <v>642</v>
      </c>
    </row>
    <row r="269" spans="1:8" x14ac:dyDescent="0.2">
      <c r="A269" s="81" t="s">
        <v>643</v>
      </c>
    </row>
    <row r="270" spans="1:8" x14ac:dyDescent="0.2">
      <c r="A270" s="81" t="s">
        <v>644</v>
      </c>
    </row>
    <row r="271" spans="1:8" x14ac:dyDescent="0.2">
      <c r="A271" s="81" t="s">
        <v>645</v>
      </c>
    </row>
    <row r="272" spans="1:8" x14ac:dyDescent="0.2">
      <c r="A272" s="81" t="s">
        <v>646</v>
      </c>
    </row>
    <row r="273" spans="1:1" x14ac:dyDescent="0.2">
      <c r="A273" s="81" t="s">
        <v>647</v>
      </c>
    </row>
    <row r="274" spans="1:1" x14ac:dyDescent="0.2">
      <c r="A274" s="81" t="s">
        <v>575</v>
      </c>
    </row>
    <row r="275" spans="1:1" x14ac:dyDescent="0.2">
      <c r="A275" s="81" t="s">
        <v>648</v>
      </c>
    </row>
    <row r="276" spans="1:1" x14ac:dyDescent="0.2">
      <c r="A276" s="81" t="s">
        <v>649</v>
      </c>
    </row>
    <row r="277" spans="1:1" x14ac:dyDescent="0.2">
      <c r="A277" s="81" t="s">
        <v>650</v>
      </c>
    </row>
    <row r="278" spans="1:1" x14ac:dyDescent="0.2">
      <c r="A278" s="81" t="s">
        <v>651</v>
      </c>
    </row>
    <row r="279" spans="1:1" x14ac:dyDescent="0.2">
      <c r="A279" s="81" t="s">
        <v>652</v>
      </c>
    </row>
    <row r="280" spans="1:1" x14ac:dyDescent="0.2">
      <c r="A280" s="81" t="s">
        <v>653</v>
      </c>
    </row>
    <row r="281" spans="1:1" x14ac:dyDescent="0.2">
      <c r="A281" s="81" t="s">
        <v>654</v>
      </c>
    </row>
    <row r="282" spans="1:1" x14ac:dyDescent="0.2">
      <c r="A282" s="81" t="s">
        <v>655</v>
      </c>
    </row>
    <row r="283" spans="1:1" x14ac:dyDescent="0.2">
      <c r="A283" s="81" t="s">
        <v>656</v>
      </c>
    </row>
    <row r="284" spans="1:1" x14ac:dyDescent="0.2">
      <c r="A284" s="81" t="s">
        <v>657</v>
      </c>
    </row>
    <row r="285" spans="1:1" x14ac:dyDescent="0.2">
      <c r="A285" s="81" t="s">
        <v>658</v>
      </c>
    </row>
    <row r="286" spans="1:1" x14ac:dyDescent="0.2">
      <c r="A286" s="81" t="s">
        <v>659</v>
      </c>
    </row>
    <row r="287" spans="1:1" x14ac:dyDescent="0.2">
      <c r="A287" s="81" t="s">
        <v>660</v>
      </c>
    </row>
    <row r="288" spans="1:1" x14ac:dyDescent="0.2">
      <c r="A288" s="81" t="s">
        <v>661</v>
      </c>
    </row>
    <row r="289" spans="1:1" x14ac:dyDescent="0.2">
      <c r="A289" s="81" t="s">
        <v>662</v>
      </c>
    </row>
    <row r="290" spans="1:1" x14ac:dyDescent="0.2">
      <c r="A290" s="81" t="s">
        <v>663</v>
      </c>
    </row>
    <row r="291" spans="1:1" x14ac:dyDescent="0.2">
      <c r="A291" s="81" t="s">
        <v>664</v>
      </c>
    </row>
    <row r="292" spans="1:1" x14ac:dyDescent="0.2">
      <c r="A292" s="81" t="s">
        <v>665</v>
      </c>
    </row>
    <row r="293" spans="1:1" x14ac:dyDescent="0.2">
      <c r="A293" s="81" t="s">
        <v>666</v>
      </c>
    </row>
    <row r="294" spans="1:1" x14ac:dyDescent="0.2">
      <c r="A294" s="81" t="s">
        <v>667</v>
      </c>
    </row>
  </sheetData>
  <sortState ref="A188:R188">
    <sortCondition ref="J188"/>
  </sortState>
  <mergeCells count="291">
    <mergeCell ref="A240:A241"/>
    <mergeCell ref="A113:A114"/>
    <mergeCell ref="A154:A162"/>
    <mergeCell ref="P240:P241"/>
    <mergeCell ref="P231:P234"/>
    <mergeCell ref="P235:P237"/>
    <mergeCell ref="P223:P226"/>
    <mergeCell ref="P238:P239"/>
    <mergeCell ref="P227:P230"/>
    <mergeCell ref="P113:P114"/>
    <mergeCell ref="P201:P203"/>
    <mergeCell ref="P204:P205"/>
    <mergeCell ref="P206:P207"/>
    <mergeCell ref="P219:P222"/>
    <mergeCell ref="P191:P197"/>
    <mergeCell ref="A238:A239"/>
    <mergeCell ref="A223:A226"/>
    <mergeCell ref="A235:A237"/>
    <mergeCell ref="A219:A222"/>
    <mergeCell ref="A166:A168"/>
    <mergeCell ref="A189:A190"/>
    <mergeCell ref="A191:A197"/>
    <mergeCell ref="A169:A176"/>
    <mergeCell ref="A182:A183"/>
    <mergeCell ref="A187:A188"/>
    <mergeCell ref="A231:A234"/>
    <mergeCell ref="A180:A181"/>
    <mergeCell ref="A66:A75"/>
    <mergeCell ref="F150:F151"/>
    <mergeCell ref="F148:F149"/>
    <mergeCell ref="E152:E153"/>
    <mergeCell ref="E150:E151"/>
    <mergeCell ref="A206:A207"/>
    <mergeCell ref="A204:A205"/>
    <mergeCell ref="A201:A203"/>
    <mergeCell ref="A227:A230"/>
    <mergeCell ref="A141:A142"/>
    <mergeCell ref="A146:A147"/>
    <mergeCell ref="A122:A125"/>
    <mergeCell ref="A137:A139"/>
    <mergeCell ref="A143:A145"/>
    <mergeCell ref="A163:A165"/>
    <mergeCell ref="A177:A179"/>
    <mergeCell ref="A119:A121"/>
    <mergeCell ref="A126:A127"/>
    <mergeCell ref="A76:A79"/>
    <mergeCell ref="A135:A136"/>
    <mergeCell ref="A103:A106"/>
    <mergeCell ref="D2:D3"/>
    <mergeCell ref="B2:B3"/>
    <mergeCell ref="D20:D21"/>
    <mergeCell ref="B20:B21"/>
    <mergeCell ref="D4:D5"/>
    <mergeCell ref="A48:A53"/>
    <mergeCell ref="A54:A60"/>
    <mergeCell ref="A28:A36"/>
    <mergeCell ref="A37:A47"/>
    <mergeCell ref="B4:B5"/>
    <mergeCell ref="A2:A5"/>
    <mergeCell ref="B18:B19"/>
    <mergeCell ref="D22:D23"/>
    <mergeCell ref="B22:B23"/>
    <mergeCell ref="A25:A27"/>
    <mergeCell ref="A17:A24"/>
    <mergeCell ref="A12:A16"/>
    <mergeCell ref="A6:A11"/>
    <mergeCell ref="B25:B26"/>
    <mergeCell ref="D18:D19"/>
    <mergeCell ref="C2:C3"/>
    <mergeCell ref="C4:C5"/>
    <mergeCell ref="C18:C19"/>
    <mergeCell ref="C20:C21"/>
    <mergeCell ref="A90:A92"/>
    <mergeCell ref="A111:A112"/>
    <mergeCell ref="A61:A65"/>
    <mergeCell ref="A130:A132"/>
    <mergeCell ref="A100:A102"/>
    <mergeCell ref="A97:A99"/>
    <mergeCell ref="B152:B153"/>
    <mergeCell ref="B150:B151"/>
    <mergeCell ref="B148:B149"/>
    <mergeCell ref="B82:B83"/>
    <mergeCell ref="A93:A96"/>
    <mergeCell ref="A86:A89"/>
    <mergeCell ref="A80:A85"/>
    <mergeCell ref="A117:A118"/>
    <mergeCell ref="A108:A110"/>
    <mergeCell ref="B84:B85"/>
    <mergeCell ref="A115:A116"/>
    <mergeCell ref="B135:B136"/>
    <mergeCell ref="D135:D136"/>
    <mergeCell ref="B130:B131"/>
    <mergeCell ref="D130:D131"/>
    <mergeCell ref="D148:D149"/>
    <mergeCell ref="D150:D151"/>
    <mergeCell ref="B128:B129"/>
    <mergeCell ref="A128:A129"/>
    <mergeCell ref="A148:A153"/>
    <mergeCell ref="D152:D153"/>
    <mergeCell ref="D128:D129"/>
    <mergeCell ref="C135:C136"/>
    <mergeCell ref="E25:E26"/>
    <mergeCell ref="F25:F26"/>
    <mergeCell ref="F84:F85"/>
    <mergeCell ref="E84:E85"/>
    <mergeCell ref="F82:F83"/>
    <mergeCell ref="E82:E83"/>
    <mergeCell ref="D82:D83"/>
    <mergeCell ref="D84:D85"/>
    <mergeCell ref="D25:D26"/>
    <mergeCell ref="E2:E3"/>
    <mergeCell ref="E4:E5"/>
    <mergeCell ref="F4:F5"/>
    <mergeCell ref="F2:F3"/>
    <mergeCell ref="P122:P125"/>
    <mergeCell ref="P148:P153"/>
    <mergeCell ref="P130:P132"/>
    <mergeCell ref="P100:P102"/>
    <mergeCell ref="P97:P99"/>
    <mergeCell ref="P93:P96"/>
    <mergeCell ref="P2:P5"/>
    <mergeCell ref="P6:P11"/>
    <mergeCell ref="P12:P16"/>
    <mergeCell ref="P17:P24"/>
    <mergeCell ref="P25:P27"/>
    <mergeCell ref="P117:P118"/>
    <mergeCell ref="P28:P36"/>
    <mergeCell ref="P37:P47"/>
    <mergeCell ref="M130:N130"/>
    <mergeCell ref="P115:P116"/>
    <mergeCell ref="F152:F153"/>
    <mergeCell ref="P61:P65"/>
    <mergeCell ref="E148:E149"/>
    <mergeCell ref="F130:F131"/>
    <mergeCell ref="F135:F136"/>
    <mergeCell ref="E18:E19"/>
    <mergeCell ref="P146:P147"/>
    <mergeCell ref="E135:E136"/>
    <mergeCell ref="P143:P145"/>
    <mergeCell ref="E130:E131"/>
    <mergeCell ref="P48:P53"/>
    <mergeCell ref="P54:P60"/>
    <mergeCell ref="P66:P75"/>
    <mergeCell ref="P76:P79"/>
    <mergeCell ref="P119:P121"/>
    <mergeCell ref="P126:P127"/>
    <mergeCell ref="P86:P89"/>
    <mergeCell ref="P103:P106"/>
    <mergeCell ref="P90:P92"/>
    <mergeCell ref="P80:P85"/>
    <mergeCell ref="F20:F21"/>
    <mergeCell ref="E20:E21"/>
    <mergeCell ref="E22:E23"/>
    <mergeCell ref="F128:F129"/>
    <mergeCell ref="E128:E129"/>
    <mergeCell ref="P141:P142"/>
    <mergeCell ref="F18:F19"/>
    <mergeCell ref="F22:F23"/>
    <mergeCell ref="P154:P162"/>
    <mergeCell ref="P182:P183"/>
    <mergeCell ref="P177:P179"/>
    <mergeCell ref="P163:P165"/>
    <mergeCell ref="P108:P110"/>
    <mergeCell ref="P135:P136"/>
    <mergeCell ref="P189:P190"/>
    <mergeCell ref="P137:P139"/>
    <mergeCell ref="P128:P129"/>
    <mergeCell ref="P111:P112"/>
    <mergeCell ref="P180:P181"/>
    <mergeCell ref="P187:P188"/>
    <mergeCell ref="P166:P168"/>
    <mergeCell ref="P169:P176"/>
    <mergeCell ref="R2:R5"/>
    <mergeCell ref="R6:R11"/>
    <mergeCell ref="R12:R16"/>
    <mergeCell ref="R17:R24"/>
    <mergeCell ref="R25:R27"/>
    <mergeCell ref="R28:R36"/>
    <mergeCell ref="R37:R47"/>
    <mergeCell ref="R48:R53"/>
    <mergeCell ref="R54:R60"/>
    <mergeCell ref="R61:R65"/>
    <mergeCell ref="R66:R75"/>
    <mergeCell ref="R76:R79"/>
    <mergeCell ref="R80:R85"/>
    <mergeCell ref="R86:R89"/>
    <mergeCell ref="R90:R92"/>
    <mergeCell ref="R93:R96"/>
    <mergeCell ref="R97:R99"/>
    <mergeCell ref="R100:R102"/>
    <mergeCell ref="R103:R106"/>
    <mergeCell ref="R108:R110"/>
    <mergeCell ref="R111:R112"/>
    <mergeCell ref="R113:R114"/>
    <mergeCell ref="R115:R116"/>
    <mergeCell ref="R117:R118"/>
    <mergeCell ref="R119:R121"/>
    <mergeCell ref="R148:R153"/>
    <mergeCell ref="R122:R125"/>
    <mergeCell ref="R126:R127"/>
    <mergeCell ref="R128:R129"/>
    <mergeCell ref="R130:R132"/>
    <mergeCell ref="R135:R136"/>
    <mergeCell ref="R137:R139"/>
    <mergeCell ref="R141:R142"/>
    <mergeCell ref="R143:R145"/>
    <mergeCell ref="R146:R147"/>
    <mergeCell ref="R154:R162"/>
    <mergeCell ref="R163:R165"/>
    <mergeCell ref="R166:R168"/>
    <mergeCell ref="R169:R176"/>
    <mergeCell ref="R177:R179"/>
    <mergeCell ref="R180:R181"/>
    <mergeCell ref="R182:R183"/>
    <mergeCell ref="R187:R188"/>
    <mergeCell ref="R189:R190"/>
    <mergeCell ref="R191:R197"/>
    <mergeCell ref="R201:R203"/>
    <mergeCell ref="R204:R205"/>
    <mergeCell ref="R206:R207"/>
    <mergeCell ref="R219:R222"/>
    <mergeCell ref="R223:R226"/>
    <mergeCell ref="R227:R230"/>
    <mergeCell ref="R231:R234"/>
    <mergeCell ref="R235:R237"/>
    <mergeCell ref="R238:R239"/>
    <mergeCell ref="R240:R241"/>
    <mergeCell ref="S2:S5"/>
    <mergeCell ref="S6:S11"/>
    <mergeCell ref="S12:S16"/>
    <mergeCell ref="S17:S24"/>
    <mergeCell ref="S25:S27"/>
    <mergeCell ref="S28:S36"/>
    <mergeCell ref="S37:S47"/>
    <mergeCell ref="S48:S53"/>
    <mergeCell ref="S54:S60"/>
    <mergeCell ref="S61:S65"/>
    <mergeCell ref="S66:S75"/>
    <mergeCell ref="S76:S79"/>
    <mergeCell ref="S80:S85"/>
    <mergeCell ref="S86:S89"/>
    <mergeCell ref="S90:S92"/>
    <mergeCell ref="S93:S96"/>
    <mergeCell ref="S97:S99"/>
    <mergeCell ref="S100:S102"/>
    <mergeCell ref="S103:S106"/>
    <mergeCell ref="S108:S110"/>
    <mergeCell ref="S111:S112"/>
    <mergeCell ref="S113:S114"/>
    <mergeCell ref="S115:S116"/>
    <mergeCell ref="S141:S142"/>
    <mergeCell ref="S143:S145"/>
    <mergeCell ref="S146:S147"/>
    <mergeCell ref="S154:S162"/>
    <mergeCell ref="S166:S168"/>
    <mergeCell ref="S169:S176"/>
    <mergeCell ref="S177:S179"/>
    <mergeCell ref="S180:S181"/>
    <mergeCell ref="S117:S118"/>
    <mergeCell ref="S119:S121"/>
    <mergeCell ref="S148:S153"/>
    <mergeCell ref="S122:S125"/>
    <mergeCell ref="S126:S127"/>
    <mergeCell ref="S128:S129"/>
    <mergeCell ref="S130:S132"/>
    <mergeCell ref="S135:S136"/>
    <mergeCell ref="S137:S139"/>
    <mergeCell ref="S163:S165"/>
    <mergeCell ref="S227:S230"/>
    <mergeCell ref="S231:S234"/>
    <mergeCell ref="S235:S237"/>
    <mergeCell ref="S238:S239"/>
    <mergeCell ref="S240:S241"/>
    <mergeCell ref="S182:S183"/>
    <mergeCell ref="S187:S188"/>
    <mergeCell ref="S189:S190"/>
    <mergeCell ref="S191:S197"/>
    <mergeCell ref="S201:S203"/>
    <mergeCell ref="S204:S205"/>
    <mergeCell ref="S206:S207"/>
    <mergeCell ref="S219:S222"/>
    <mergeCell ref="S223:S226"/>
    <mergeCell ref="C22:C23"/>
    <mergeCell ref="C25:C26"/>
    <mergeCell ref="C82:C83"/>
    <mergeCell ref="C84:C85"/>
    <mergeCell ref="C148:C149"/>
    <mergeCell ref="C150:C151"/>
    <mergeCell ref="C152:C153"/>
    <mergeCell ref="C128:C129"/>
    <mergeCell ref="C130:C13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compound Names</vt:lpstr>
      <vt:lpstr>All compounds CL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Catharina</dc:creator>
  <cp:lastModifiedBy>Melanie Schüßler</cp:lastModifiedBy>
  <cp:lastPrinted>2023-11-28T09:44:05Z</cp:lastPrinted>
  <dcterms:created xsi:type="dcterms:W3CDTF">2023-11-10T07:28:07Z</dcterms:created>
  <dcterms:modified xsi:type="dcterms:W3CDTF">2024-09-17T14:20:12Z</dcterms:modified>
</cp:coreProperties>
</file>