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4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5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5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harts/chart26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7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glianoe\Desktop\Under_review\MOOS4_CERT\"/>
    </mc:Choice>
  </mc:AlternateContent>
  <xr:revisionPtr revIDLastSave="0" documentId="13_ncr:1_{BEBF4C5F-8713-4AE5-A916-CF040AD8E3CB}" xr6:coauthVersionLast="47" xr6:coauthVersionMax="47" xr10:uidLastSave="{00000000-0000-0000-0000-000000000000}"/>
  <bookViews>
    <workbookView xWindow="-108" yWindow="-108" windowWidth="23256" windowHeight="12576" tabRatio="693" xr2:uid="{00000000-000D-0000-FFFF-FFFF00000000}"/>
  </bookViews>
  <sheets>
    <sheet name="RND" sheetId="42" r:id="rId1"/>
    <sheet name="UNITS" sheetId="33" r:id="rId2"/>
    <sheet name="SHORT_HOM" sheetId="44" r:id="rId3"/>
    <sheet name="CHAR_HOM" sheetId="20" r:id="rId4"/>
    <sheet name="LONG" sheetId="47" r:id="rId5"/>
    <sheet name="CERT" sheetId="46" r:id="rId6"/>
    <sheet name="RAW_DATA" sheetId="45" r:id="rId7"/>
    <sheet name="SOFTWARE" sheetId="9" r:id="rId8"/>
  </sheets>
  <functionGroups builtInGroupCount="19"/>
  <definedNames>
    <definedName name="dLNSW">CHAR_HOM!$B$70</definedName>
    <definedName name="dMOOS3">CHAR_HOM!$B$71</definedName>
    <definedName name="dMOOS4">CHAR_HOM!$B$69</definedName>
    <definedName name="dSALT1">CHAR_HOM!$B$72</definedName>
    <definedName name="m_efft_NO2_u">CHAR_HOM!$C$266</definedName>
    <definedName name="m_efft_NO2_v">CHAR_HOM!$B$266</definedName>
    <definedName name="m_efft_PO4_u">CHAR_HOM!$C$267</definedName>
    <definedName name="m_efft_PO4_v">CHAR_HOM!$B$267</definedName>
    <definedName name="m_efft_SiO2_u">CHAR_HOM!$C$268</definedName>
    <definedName name="m_efft_SiO2_v">CHAR_HOM!$B$268</definedName>
    <definedName name="MC">CHAR_HOM!$A$33</definedName>
    <definedName name="MM_N">CHAR_HOM!$A$194</definedName>
    <definedName name="MM_NO2">CHAR_HOM!$A$208</definedName>
    <definedName name="MM_NO3">CHAR_HOM!$A$205</definedName>
    <definedName name="MM_O">CHAR_HOM!$A$198</definedName>
    <definedName name="MM_P">CHAR_HOM!$A$202</definedName>
    <definedName name="MM_PO4">CHAR_HOM!$A$211</definedName>
    <definedName name="MM_Si">CHAR_HOM!$A$190</definedName>
    <definedName name="MM_SiO2">CHAR_HOM!$A$214</definedName>
    <definedName name="pNO2u">CHAR_HOM!$C$169</definedName>
    <definedName name="pNO2v">CHAR_HOM!$A$169</definedName>
    <definedName name="pNO3u">CHAR_HOM!$C$162</definedName>
    <definedName name="pNO3v">CHAR_HOM!$A$162</definedName>
    <definedName name="pPO4u">CHAR_HOM!$C$176</definedName>
    <definedName name="pPO4v">CHAR_HOM!$A$176</definedName>
    <definedName name="_xlnm.Print_Area" localSheetId="5">CERT!$A$18:$H$47,CERT!$A$49:$H$78,CERT!$A$80:$H$109,CERT!$A$111:$H$140,CERT!$A$142:$G$149</definedName>
    <definedName name="_xlnm.Print_Area" localSheetId="3">CHAR_HOM!$A$1192:$F$1228,CHAR_HOM!$A$1233:$F$1252,CHAR_HOM!$A$1258:$F$1279,CHAR_HOM!$A$1284:$F$1310</definedName>
    <definedName name="_xlnm.Print_Area" localSheetId="4">LONG!$A$16:$I$60</definedName>
    <definedName name="pSiO2u">CHAR_HOM!$C$183</definedName>
    <definedName name="pSiO2v">CHAR_HOM!$A$183</definedName>
    <definedName name="solver_eng" localSheetId="3" hidden="1">1</definedName>
    <definedName name="solver_neg" localSheetId="3" hidden="1">1</definedName>
    <definedName name="solver_num" localSheetId="3" hidden="1">0</definedName>
    <definedName name="solver_opt" localSheetId="3" hidden="1">CHAR_HOM!$H$1087</definedName>
    <definedName name="solver_typ" localSheetId="3" hidden="1">1</definedName>
    <definedName name="solver_val" localSheetId="3" hidden="1">0</definedName>
    <definedName name="solver_ver" localSheetId="3" hidden="1">3</definedName>
    <definedName name="u_m1">CHAR_HOM!$B$39</definedName>
    <definedName name="u_m2">CHAR_HOM!$B$44</definedName>
    <definedName name="u_m3">CHAR_HOM!$B$48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26" i="44" l="1" a="1"/>
  <c r="A526" i="44" s="1"/>
  <c r="B1715" i="42"/>
  <c r="B1718" i="42" s="1"/>
  <c r="B1719" i="42" s="1"/>
  <c r="B1714" i="42"/>
  <c r="B1713" i="42"/>
  <c r="E1768" i="42"/>
  <c r="E1769" i="42" s="1"/>
  <c r="E1767" i="42"/>
  <c r="C1768" i="42"/>
  <c r="C1769" i="42" s="1"/>
  <c r="B1768" i="42"/>
  <c r="B1769" i="42" s="1"/>
  <c r="C1767" i="42"/>
  <c r="B1767" i="42"/>
  <c r="A528" i="44" a="1"/>
  <c r="B1716" i="42" l="1"/>
  <c r="A528" i="44"/>
  <c r="B1772" i="42"/>
  <c r="C1772" i="42" s="1"/>
  <c r="D1687" i="42" l="1"/>
  <c r="E1687" i="42"/>
  <c r="D1688" i="42"/>
  <c r="E1688" i="42"/>
  <c r="D1689" i="42"/>
  <c r="E1689" i="42"/>
  <c r="D1690" i="42"/>
  <c r="E1690" i="42"/>
  <c r="E1686" i="42"/>
  <c r="D1686" i="42"/>
  <c r="B28" i="42"/>
  <c r="A28" i="42"/>
  <c r="G1686" i="42" l="1"/>
  <c r="G1688" i="42"/>
  <c r="G1689" i="42"/>
  <c r="G1687" i="42"/>
  <c r="G1690" i="42"/>
  <c r="A1703" i="42" a="1"/>
  <c r="DB1710" i="42" l="1"/>
  <c r="HA1710" i="42"/>
  <c r="EP1710" i="42"/>
  <c r="CE1710" i="42"/>
  <c r="EK1710" i="42"/>
  <c r="HD1710" i="42"/>
  <c r="GQ1710" i="42"/>
  <c r="ED1710" i="42"/>
  <c r="HG1710" i="42"/>
  <c r="HH1710" i="42"/>
  <c r="EG1710" i="42"/>
  <c r="K1710" i="42"/>
  <c r="L1710" i="42"/>
  <c r="P1710" i="42"/>
  <c r="DE1710" i="42"/>
  <c r="HQ1710" i="42"/>
  <c r="FF1710" i="42"/>
  <c r="CU1710" i="42"/>
  <c r="FB1710" i="42"/>
  <c r="HT1710" i="42"/>
  <c r="GS1710" i="42"/>
  <c r="ET1710" i="42"/>
  <c r="BV1710" i="42"/>
  <c r="HX1710" i="42"/>
  <c r="EW1710" i="42"/>
  <c r="AA1710" i="42"/>
  <c r="AB1710" i="42"/>
  <c r="BI1710" i="42"/>
  <c r="AF1710" i="42"/>
  <c r="FR1710" i="42"/>
  <c r="HV1710" i="42"/>
  <c r="FV1710" i="42"/>
  <c r="DK1710" i="42"/>
  <c r="AU1710" i="42"/>
  <c r="HE1710" i="42"/>
  <c r="HJ1710" i="42"/>
  <c r="FJ1710" i="42"/>
  <c r="AT1710" i="42"/>
  <c r="HI1710" i="42"/>
  <c r="FM1710" i="42"/>
  <c r="AQ1710" i="42"/>
  <c r="AR1710" i="42"/>
  <c r="AV1710" i="42"/>
  <c r="DG1710" i="42"/>
  <c r="EU1710" i="42"/>
  <c r="GL1710" i="42"/>
  <c r="EA1710" i="42"/>
  <c r="D1710" i="42"/>
  <c r="FK1710" i="42"/>
  <c r="GU1710" i="42"/>
  <c r="FZ1710" i="42"/>
  <c r="H1710" i="42"/>
  <c r="EX1710" i="42"/>
  <c r="B1710" i="42"/>
  <c r="BG1710" i="42"/>
  <c r="BH1710" i="42"/>
  <c r="BL1710" i="42"/>
  <c r="Q1710" i="42"/>
  <c r="EH1710" i="42"/>
  <c r="HB1710" i="42"/>
  <c r="EQ1710" i="42"/>
  <c r="T1710" i="42"/>
  <c r="E1710" i="42"/>
  <c r="GW1710" i="42"/>
  <c r="GP1710" i="42"/>
  <c r="X1710" i="42"/>
  <c r="GV1710" i="42"/>
  <c r="FN1710" i="42"/>
  <c r="BW1710" i="42"/>
  <c r="BX1710" i="42"/>
  <c r="DU1710" i="42"/>
  <c r="FQ1710" i="42"/>
  <c r="CN1710" i="42"/>
  <c r="CR1710" i="42"/>
  <c r="GX1710" i="42"/>
  <c r="HU1710" i="42"/>
  <c r="FW1710" i="42"/>
  <c r="AZ1710" i="42"/>
  <c r="EE1710" i="42"/>
  <c r="HN1710" i="42"/>
  <c r="DC1710" i="42"/>
  <c r="BK1710" i="42"/>
  <c r="EN1710" i="42"/>
  <c r="FC1710" i="42"/>
  <c r="EY1710" i="42"/>
  <c r="DR1710" i="42"/>
  <c r="GG1710" i="42"/>
  <c r="HP1710" i="42"/>
  <c r="DA1710" i="42"/>
  <c r="DZ1710" i="42"/>
  <c r="AC1710" i="42"/>
  <c r="CB1710" i="42"/>
  <c r="AG1710" i="42"/>
  <c r="FA1710" i="42"/>
  <c r="HR1710" i="42"/>
  <c r="FG1710" i="42"/>
  <c r="AJ1710" i="42"/>
  <c r="U1710" i="42"/>
  <c r="DV1710" i="42"/>
  <c r="HF1710" i="42"/>
  <c r="AN1710" i="42"/>
  <c r="CP1710" i="42"/>
  <c r="CM1710" i="42"/>
  <c r="EL1710" i="42"/>
  <c r="AW1710" i="42"/>
  <c r="AK1710" i="42"/>
  <c r="BD1710" i="42"/>
  <c r="GH1710" i="42"/>
  <c r="DD1710" i="42"/>
  <c r="CS1710" i="42"/>
  <c r="CV1710" i="42"/>
  <c r="CG1710" i="42"/>
  <c r="CZ1710" i="42"/>
  <c r="Z1710" i="42"/>
  <c r="EV1710" i="42"/>
  <c r="DJ1710" i="42"/>
  <c r="CX1710" i="42"/>
  <c r="GN1710" i="42"/>
  <c r="GR1710" i="42"/>
  <c r="AS1710" i="42"/>
  <c r="CA1710" i="42"/>
  <c r="DW1710" i="42"/>
  <c r="DO1710" i="42"/>
  <c r="DH1710" i="42"/>
  <c r="BM1710" i="42"/>
  <c r="AE1710" i="42"/>
  <c r="CI1710" i="42"/>
  <c r="GM1710" i="42"/>
  <c r="BP1710" i="42"/>
  <c r="BA1710" i="42"/>
  <c r="GI1710" i="42"/>
  <c r="CL1710" i="42"/>
  <c r="BT1710" i="42"/>
  <c r="CQ1710" i="42"/>
  <c r="O1710" i="42"/>
  <c r="DS1710" i="42"/>
  <c r="DT1710" i="42"/>
  <c r="GY1710" i="42"/>
  <c r="DX1710" i="42"/>
  <c r="CC1710" i="42"/>
  <c r="R1710" i="42"/>
  <c r="GT1710" i="42"/>
  <c r="HC1710" i="42"/>
  <c r="CF1710" i="42"/>
  <c r="BQ1710" i="42"/>
  <c r="F1710" i="42"/>
  <c r="AD1710" i="42"/>
  <c r="CJ1710" i="42"/>
  <c r="I1710" i="42"/>
  <c r="EI1710" i="42"/>
  <c r="EJ1710" i="42"/>
  <c r="A1703" i="42"/>
  <c r="HL1710" i="42"/>
  <c r="HS1710" i="42"/>
  <c r="V1710" i="42"/>
  <c r="Y1710" i="42"/>
  <c r="EZ1710" i="42"/>
  <c r="BR1710" i="42"/>
  <c r="BJ1710" i="42"/>
  <c r="AY1710" i="42"/>
  <c r="DF1710" i="42"/>
  <c r="BO1710" i="42"/>
  <c r="EM1710" i="42"/>
  <c r="J1710" i="42"/>
  <c r="GK1710" i="42"/>
  <c r="AH1710" i="42"/>
  <c r="DN1710" i="42"/>
  <c r="FD1710" i="42"/>
  <c r="DI1710" i="42"/>
  <c r="AX1710" i="42"/>
  <c r="N1710" i="42"/>
  <c r="GO1710" i="42"/>
  <c r="DL1710" i="42"/>
  <c r="CW1710" i="42"/>
  <c r="AL1710" i="42"/>
  <c r="G1710" i="42"/>
  <c r="DP1710" i="42"/>
  <c r="AO1710" i="42"/>
  <c r="AP1710" i="42"/>
  <c r="FO1710" i="42"/>
  <c r="FP1710" i="42"/>
  <c r="EO1710" i="42"/>
  <c r="AM1710" i="42"/>
  <c r="FX1710" i="42"/>
  <c r="BS1710" i="42"/>
  <c r="M1710" i="42"/>
  <c r="CY1710" i="42"/>
  <c r="FT1710" i="42"/>
  <c r="DY1710" i="42"/>
  <c r="BN1710" i="42"/>
  <c r="C1710" i="42"/>
  <c r="GA1710" i="42"/>
  <c r="EB1710" i="42"/>
  <c r="DM1710" i="42"/>
  <c r="BB1710" i="42"/>
  <c r="W1710" i="42"/>
  <c r="EF1710" i="42"/>
  <c r="BE1710" i="42"/>
  <c r="BF1710" i="42"/>
  <c r="GE1710" i="42"/>
  <c r="GF1710" i="42"/>
  <c r="GJ1710" i="42"/>
  <c r="CD1710" i="42"/>
  <c r="HW1710" i="42"/>
  <c r="ER1710" i="42"/>
  <c r="EC1710" i="42"/>
  <c r="BU1710" i="42"/>
  <c r="GD1710" i="42"/>
  <c r="GB1710" i="42"/>
  <c r="HK1710" i="42"/>
  <c r="DQ1710" i="42"/>
  <c r="S1710" i="42"/>
  <c r="GZ1710" i="42"/>
  <c r="FE1710" i="42"/>
  <c r="CT1710" i="42"/>
  <c r="AI1710" i="42"/>
  <c r="GC1710" i="42"/>
  <c r="FH1710" i="42"/>
  <c r="ES1710" i="42"/>
  <c r="CH1710" i="42"/>
  <c r="BC1710" i="42"/>
  <c r="FL1710" i="42"/>
  <c r="CK1710" i="42"/>
  <c r="HM1710" i="42"/>
  <c r="BZ1710" i="42"/>
  <c r="HO1710" i="42"/>
  <c r="FU1710" i="42"/>
  <c r="FI1710" i="42"/>
  <c r="FY1710" i="42"/>
  <c r="FS1710" i="42"/>
  <c r="BY1710" i="42"/>
  <c r="CO1710" i="42"/>
  <c r="C157" i="46"/>
  <c r="C156" i="46"/>
  <c r="C155" i="46"/>
  <c r="B157" i="46"/>
  <c r="B156" i="46"/>
  <c r="B155" i="46"/>
  <c r="B154" i="46"/>
  <c r="B11" i="46"/>
  <c r="A11" i="46"/>
  <c r="A450" i="44" a="1"/>
  <c r="A450" i="44" l="1"/>
  <c r="B7" i="47" l="1"/>
  <c r="A7" i="47"/>
  <c r="G1647" i="42"/>
  <c r="G1646" i="42"/>
  <c r="G1645" i="42"/>
  <c r="H1645" i="42" s="1"/>
  <c r="G1644" i="42"/>
  <c r="G1643" i="42"/>
  <c r="G1642" i="42"/>
  <c r="H1642" i="42" s="1"/>
  <c r="B29" i="45"/>
  <c r="A29" i="45"/>
  <c r="F956" i="45"/>
  <c r="G956" i="45"/>
  <c r="F957" i="45"/>
  <c r="G957" i="45"/>
  <c r="F958" i="45"/>
  <c r="G958" i="45"/>
  <c r="F959" i="45"/>
  <c r="G959" i="45"/>
  <c r="F960" i="45"/>
  <c r="G960" i="45"/>
  <c r="F961" i="45"/>
  <c r="G961" i="45"/>
  <c r="E961" i="45"/>
  <c r="E960" i="45"/>
  <c r="E959" i="45"/>
  <c r="E958" i="45"/>
  <c r="E957" i="45"/>
  <c r="E956" i="45"/>
  <c r="F1647" i="42"/>
  <c r="E1647" i="42"/>
  <c r="F1646" i="42"/>
  <c r="E1646" i="42"/>
  <c r="F1645" i="42"/>
  <c r="E1645" i="42"/>
  <c r="F1644" i="42"/>
  <c r="E1644" i="42"/>
  <c r="F1643" i="42"/>
  <c r="E1643" i="42"/>
  <c r="F1642" i="42"/>
  <c r="E1642" i="42"/>
  <c r="G1619" i="42"/>
  <c r="G1618" i="42"/>
  <c r="G1617" i="42"/>
  <c r="G1616" i="42"/>
  <c r="G1615" i="42"/>
  <c r="G1614" i="42"/>
  <c r="B28" i="45"/>
  <c r="A28" i="45"/>
  <c r="F946" i="45"/>
  <c r="G946" i="45"/>
  <c r="F947" i="45"/>
  <c r="G947" i="45"/>
  <c r="F948" i="45"/>
  <c r="G948" i="45"/>
  <c r="F949" i="45"/>
  <c r="G949" i="45"/>
  <c r="F950" i="45"/>
  <c r="G950" i="45"/>
  <c r="F951" i="45"/>
  <c r="G951" i="45"/>
  <c r="E951" i="45"/>
  <c r="E950" i="45"/>
  <c r="E949" i="45"/>
  <c r="E948" i="45"/>
  <c r="E947" i="45"/>
  <c r="E946" i="45"/>
  <c r="H1646" i="42" l="1"/>
  <c r="K1646" i="42" s="1"/>
  <c r="H1647" i="42"/>
  <c r="H1644" i="42"/>
  <c r="H1643" i="42"/>
  <c r="K1643" i="42" s="1"/>
  <c r="K1645" i="42" l="1"/>
  <c r="K1642" i="42"/>
  <c r="K1644" i="42" s="1"/>
  <c r="K1647" i="42"/>
  <c r="A1650" i="42" l="1"/>
  <c r="G1587" i="42"/>
  <c r="G1588" i="42"/>
  <c r="G1589" i="42"/>
  <c r="G1590" i="42"/>
  <c r="F936" i="45"/>
  <c r="G936" i="45"/>
  <c r="G1586" i="42" s="1"/>
  <c r="F937" i="45"/>
  <c r="G937" i="45"/>
  <c r="F938" i="45"/>
  <c r="G938" i="45"/>
  <c r="F939" i="45"/>
  <c r="G939" i="45"/>
  <c r="F940" i="45"/>
  <c r="G940" i="45"/>
  <c r="F941" i="45"/>
  <c r="G941" i="45"/>
  <c r="G1591" i="42" s="1"/>
  <c r="E941" i="45"/>
  <c r="E940" i="45"/>
  <c r="E939" i="45"/>
  <c r="E938" i="45"/>
  <c r="E937" i="45"/>
  <c r="E936" i="45"/>
  <c r="B27" i="45"/>
  <c r="A27" i="45"/>
  <c r="F1591" i="42"/>
  <c r="E1591" i="42"/>
  <c r="F1590" i="42"/>
  <c r="E1590" i="42"/>
  <c r="F1589" i="42"/>
  <c r="E1589" i="42"/>
  <c r="F1588" i="42"/>
  <c r="E1588" i="42"/>
  <c r="F1587" i="42"/>
  <c r="E1587" i="42"/>
  <c r="F1586" i="42"/>
  <c r="E1586" i="42"/>
  <c r="F1615" i="42"/>
  <c r="F1616" i="42"/>
  <c r="F1617" i="42"/>
  <c r="F1618" i="42"/>
  <c r="F1619" i="42"/>
  <c r="F1614" i="42"/>
  <c r="E1615" i="42"/>
  <c r="E1616" i="42"/>
  <c r="E1617" i="42"/>
  <c r="E1618" i="42"/>
  <c r="E1619" i="42"/>
  <c r="E1614" i="42"/>
  <c r="B27" i="42"/>
  <c r="A27" i="42"/>
  <c r="M1669" i="42"/>
  <c r="M1670" i="42"/>
  <c r="M1671" i="42"/>
  <c r="M1672" i="42"/>
  <c r="M1673" i="42"/>
  <c r="M1674" i="42"/>
  <c r="M1668" i="42"/>
  <c r="B26" i="45"/>
  <c r="A26" i="45"/>
  <c r="L1669" i="42"/>
  <c r="L1670" i="42"/>
  <c r="L1671" i="42"/>
  <c r="L1672" i="42"/>
  <c r="L1673" i="42"/>
  <c r="L1674" i="42"/>
  <c r="L1668" i="42"/>
  <c r="I1669" i="42"/>
  <c r="I1670" i="42"/>
  <c r="I1671" i="42"/>
  <c r="I1672" i="42"/>
  <c r="I1673" i="42"/>
  <c r="I1674" i="42"/>
  <c r="H1669" i="42"/>
  <c r="H1670" i="42"/>
  <c r="H1671" i="42"/>
  <c r="H1672" i="42"/>
  <c r="H1673" i="42"/>
  <c r="H1674" i="42"/>
  <c r="B9" i="46"/>
  <c r="A9" i="46"/>
  <c r="B131" i="46"/>
  <c r="B130" i="46"/>
  <c r="B129" i="46"/>
  <c r="B30" i="20"/>
  <c r="A30" i="20"/>
  <c r="D1374" i="20"/>
  <c r="E1374" i="20"/>
  <c r="F1374" i="20"/>
  <c r="D1375" i="20"/>
  <c r="E1375" i="20"/>
  <c r="F1375" i="20"/>
  <c r="D1376" i="20"/>
  <c r="E1376" i="20"/>
  <c r="F1376" i="20"/>
  <c r="D1377" i="20"/>
  <c r="E1377" i="20"/>
  <c r="F1377" i="20"/>
  <c r="D1378" i="20"/>
  <c r="E1378" i="20"/>
  <c r="F1378" i="20"/>
  <c r="D1379" i="20"/>
  <c r="E1379" i="20"/>
  <c r="F1379" i="20"/>
  <c r="D1380" i="20"/>
  <c r="E1380" i="20"/>
  <c r="F1380" i="20"/>
  <c r="D1381" i="20"/>
  <c r="E1381" i="20"/>
  <c r="F1381" i="20"/>
  <c r="D1382" i="20"/>
  <c r="E1382" i="20"/>
  <c r="F1382" i="20"/>
  <c r="D1383" i="20"/>
  <c r="E1383" i="20"/>
  <c r="F1383" i="20"/>
  <c r="D1384" i="20"/>
  <c r="E1384" i="20"/>
  <c r="F1384" i="20"/>
  <c r="D1385" i="20"/>
  <c r="E1385" i="20"/>
  <c r="F1385" i="20"/>
  <c r="D1386" i="20"/>
  <c r="E1386" i="20"/>
  <c r="F1386" i="20"/>
  <c r="D1387" i="20"/>
  <c r="E1387" i="20"/>
  <c r="F1387" i="20"/>
  <c r="D1388" i="20"/>
  <c r="E1388" i="20"/>
  <c r="F1388" i="20"/>
  <c r="D1389" i="20"/>
  <c r="E1389" i="20"/>
  <c r="F1389" i="20"/>
  <c r="D1390" i="20"/>
  <c r="E1390" i="20"/>
  <c r="F1390" i="20"/>
  <c r="D1391" i="20"/>
  <c r="E1391" i="20"/>
  <c r="F1391" i="20"/>
  <c r="D1392" i="20"/>
  <c r="E1392" i="20"/>
  <c r="F1392" i="20"/>
  <c r="D1373" i="20"/>
  <c r="E1373" i="20"/>
  <c r="F1373" i="20"/>
  <c r="B8" i="46"/>
  <c r="A8" i="46"/>
  <c r="B98" i="46"/>
  <c r="B7" i="46"/>
  <c r="A7" i="46"/>
  <c r="B69" i="46"/>
  <c r="B68" i="46"/>
  <c r="B10" i="46"/>
  <c r="A10" i="46"/>
  <c r="B38" i="46"/>
  <c r="B37" i="46"/>
  <c r="B36" i="46"/>
  <c r="B29" i="20"/>
  <c r="A29" i="20"/>
  <c r="D1356" i="20"/>
  <c r="E1356" i="20"/>
  <c r="D1357" i="20"/>
  <c r="E1357" i="20"/>
  <c r="D1358" i="20"/>
  <c r="E1358" i="20"/>
  <c r="D1359" i="20"/>
  <c r="E1359" i="20"/>
  <c r="D1360" i="20"/>
  <c r="E1360" i="20"/>
  <c r="D1361" i="20"/>
  <c r="E1361" i="20"/>
  <c r="D1362" i="20"/>
  <c r="E1362" i="20"/>
  <c r="D1363" i="20"/>
  <c r="E1363" i="20"/>
  <c r="D1364" i="20"/>
  <c r="E1364" i="20"/>
  <c r="D1355" i="20"/>
  <c r="E1355" i="20"/>
  <c r="D1346" i="20"/>
  <c r="E1346" i="20"/>
  <c r="D1347" i="20"/>
  <c r="E1347" i="20"/>
  <c r="D1348" i="20"/>
  <c r="E1348" i="20"/>
  <c r="D1349" i="20"/>
  <c r="E1349" i="20"/>
  <c r="D1350" i="20"/>
  <c r="E1350" i="20"/>
  <c r="D1351" i="20"/>
  <c r="E1351" i="20"/>
  <c r="D1352" i="20"/>
  <c r="E1352" i="20"/>
  <c r="D1353" i="20"/>
  <c r="E1353" i="20"/>
  <c r="D1354" i="20"/>
  <c r="E1354" i="20"/>
  <c r="D1345" i="20"/>
  <c r="E1345" i="20"/>
  <c r="B6" i="46"/>
  <c r="A6" i="46"/>
  <c r="B5" i="46"/>
  <c r="A5" i="46"/>
  <c r="D69" i="20"/>
  <c r="D16" i="46" s="1"/>
  <c r="F16" i="46" s="1"/>
  <c r="B6" i="47"/>
  <c r="A6" i="47"/>
  <c r="A71" i="47"/>
  <c r="D71" i="47"/>
  <c r="H1617" i="42" l="1"/>
  <c r="H1618" i="42"/>
  <c r="H1616" i="42"/>
  <c r="H1615" i="42"/>
  <c r="H1614" i="42"/>
  <c r="H1619" i="42"/>
  <c r="H1586" i="42"/>
  <c r="J1672" i="42"/>
  <c r="N1672" i="42" s="1"/>
  <c r="H1588" i="42"/>
  <c r="H1587" i="42"/>
  <c r="J1673" i="42"/>
  <c r="N1673" i="42" s="1"/>
  <c r="J1671" i="42"/>
  <c r="N1671" i="42" s="1"/>
  <c r="H1590" i="42"/>
  <c r="H1589" i="42"/>
  <c r="J1674" i="42"/>
  <c r="N1674" i="42" s="1"/>
  <c r="H1591" i="42"/>
  <c r="J1670" i="42"/>
  <c r="N1670" i="42" s="1"/>
  <c r="J1669" i="42"/>
  <c r="N1669" i="42" s="1"/>
  <c r="C56" i="47"/>
  <c r="C32" i="47"/>
  <c r="C45" i="47"/>
  <c r="C20" i="47"/>
  <c r="B5" i="47"/>
  <c r="A5" i="47"/>
  <c r="K1590" i="42" l="1"/>
  <c r="K1618" i="42"/>
  <c r="K1617" i="42"/>
  <c r="K1589" i="42"/>
  <c r="K1591" i="42" s="1"/>
  <c r="K1614" i="42"/>
  <c r="K1615" i="42"/>
  <c r="K1586" i="42"/>
  <c r="K1587" i="42"/>
  <c r="B28" i="20"/>
  <c r="A28" i="20"/>
  <c r="D1318" i="20"/>
  <c r="E1318" i="20"/>
  <c r="F1318" i="20"/>
  <c r="D1319" i="20"/>
  <c r="E1319" i="20"/>
  <c r="F1319" i="20"/>
  <c r="D1320" i="20"/>
  <c r="E1320" i="20"/>
  <c r="F1320" i="20"/>
  <c r="D1321" i="20"/>
  <c r="E1321" i="20"/>
  <c r="F1321" i="20"/>
  <c r="D1322" i="20"/>
  <c r="E1322" i="20"/>
  <c r="F1322" i="20"/>
  <c r="D1323" i="20"/>
  <c r="E1323" i="20"/>
  <c r="F1323" i="20"/>
  <c r="D1324" i="20"/>
  <c r="E1324" i="20"/>
  <c r="F1324" i="20"/>
  <c r="D1325" i="20"/>
  <c r="E1325" i="20"/>
  <c r="F1325" i="20"/>
  <c r="D1326" i="20"/>
  <c r="E1326" i="20"/>
  <c r="F1326" i="20"/>
  <c r="D1327" i="20"/>
  <c r="E1327" i="20"/>
  <c r="F1327" i="20"/>
  <c r="D1328" i="20"/>
  <c r="E1328" i="20"/>
  <c r="F1328" i="20"/>
  <c r="D1329" i="20"/>
  <c r="E1329" i="20"/>
  <c r="F1329" i="20"/>
  <c r="D1330" i="20"/>
  <c r="E1330" i="20"/>
  <c r="F1330" i="20"/>
  <c r="D1331" i="20"/>
  <c r="E1331" i="20"/>
  <c r="F1331" i="20"/>
  <c r="D1332" i="20"/>
  <c r="E1332" i="20"/>
  <c r="F1332" i="20"/>
  <c r="D1333" i="20"/>
  <c r="E1333" i="20"/>
  <c r="F1333" i="20"/>
  <c r="D1334" i="20"/>
  <c r="E1334" i="20"/>
  <c r="F1334" i="20"/>
  <c r="D1335" i="20"/>
  <c r="E1335" i="20"/>
  <c r="F1335" i="20"/>
  <c r="D1336" i="20"/>
  <c r="E1336" i="20"/>
  <c r="F1336" i="20"/>
  <c r="D1317" i="20"/>
  <c r="E1317" i="20"/>
  <c r="F1317" i="20"/>
  <c r="O1294" i="20"/>
  <c r="N1294" i="20"/>
  <c r="B139" i="46" s="1"/>
  <c r="K1619" i="42" l="1"/>
  <c r="K1588" i="42"/>
  <c r="K1616" i="42"/>
  <c r="P1294" i="20"/>
  <c r="B116" i="46" s="1"/>
  <c r="B127" i="46" s="1"/>
  <c r="M1287" i="20"/>
  <c r="M1288" i="20"/>
  <c r="M1286" i="20"/>
  <c r="O1267" i="20"/>
  <c r="N1267" i="20"/>
  <c r="B108" i="46" s="1"/>
  <c r="M1261" i="20"/>
  <c r="M1260" i="20"/>
  <c r="O1203" i="20"/>
  <c r="N1203" i="20"/>
  <c r="B46" i="46" s="1"/>
  <c r="M1197" i="20"/>
  <c r="M1196" i="20"/>
  <c r="M1195" i="20"/>
  <c r="M1194" i="20"/>
  <c r="O1242" i="20"/>
  <c r="N1242" i="20"/>
  <c r="B77" i="46" s="1"/>
  <c r="M1236" i="20"/>
  <c r="M1235" i="20"/>
  <c r="W223" i="20"/>
  <c r="W222" i="20"/>
  <c r="W221" i="20"/>
  <c r="A223" i="20"/>
  <c r="Q223" i="20"/>
  <c r="R223" i="20"/>
  <c r="S223" i="20"/>
  <c r="T223" i="20"/>
  <c r="U223" i="20"/>
  <c r="F1668" i="42"/>
  <c r="D1668" i="42"/>
  <c r="B680" i="45"/>
  <c r="F913" i="45"/>
  <c r="G913" i="45"/>
  <c r="I1553" i="42" s="1"/>
  <c r="F914" i="45"/>
  <c r="G914" i="45"/>
  <c r="I1554" i="42" s="1"/>
  <c r="F915" i="45"/>
  <c r="G915" i="45"/>
  <c r="I1555" i="42" s="1"/>
  <c r="F916" i="45"/>
  <c r="G916" i="45"/>
  <c r="I1556" i="42" s="1"/>
  <c r="F917" i="45"/>
  <c r="G917" i="45"/>
  <c r="I1557" i="42" s="1"/>
  <c r="F918" i="45"/>
  <c r="G918" i="45"/>
  <c r="I1558" i="42" s="1"/>
  <c r="F919" i="45"/>
  <c r="G919" i="45"/>
  <c r="I1559" i="42" s="1"/>
  <c r="F920" i="45"/>
  <c r="G920" i="45"/>
  <c r="I1560" i="42" s="1"/>
  <c r="E920" i="45"/>
  <c r="E919" i="45"/>
  <c r="E918" i="45"/>
  <c r="E917" i="45"/>
  <c r="E916" i="45"/>
  <c r="E915" i="45"/>
  <c r="E914" i="45"/>
  <c r="E913" i="45"/>
  <c r="B25" i="45"/>
  <c r="A25" i="45"/>
  <c r="B24" i="45"/>
  <c r="A24" i="45"/>
  <c r="F901" i="45"/>
  <c r="G901" i="45"/>
  <c r="I1536" i="42" s="1"/>
  <c r="F902" i="45"/>
  <c r="G902" i="45"/>
  <c r="I1537" i="42" s="1"/>
  <c r="F903" i="45"/>
  <c r="G903" i="45"/>
  <c r="I1538" i="42" s="1"/>
  <c r="F904" i="45"/>
  <c r="G904" i="45"/>
  <c r="I1539" i="42" s="1"/>
  <c r="F905" i="45"/>
  <c r="G905" i="45"/>
  <c r="I1540" i="42" s="1"/>
  <c r="F906" i="45"/>
  <c r="G906" i="45"/>
  <c r="I1541" i="42" s="1"/>
  <c r="F907" i="45"/>
  <c r="G907" i="45"/>
  <c r="I1542" i="42" s="1"/>
  <c r="F908" i="45"/>
  <c r="G908" i="45"/>
  <c r="I1543" i="42" s="1"/>
  <c r="E908" i="45"/>
  <c r="E907" i="45"/>
  <c r="E906" i="45"/>
  <c r="E905" i="45"/>
  <c r="E904" i="45"/>
  <c r="E903" i="45"/>
  <c r="E902" i="45"/>
  <c r="E901" i="45"/>
  <c r="G892" i="45"/>
  <c r="I1523" i="42" s="1"/>
  <c r="F889" i="45"/>
  <c r="G889" i="45"/>
  <c r="I1520" i="42" s="1"/>
  <c r="F890" i="45"/>
  <c r="G890" i="45"/>
  <c r="I1521" i="42" s="1"/>
  <c r="F891" i="45"/>
  <c r="G891" i="45"/>
  <c r="I1522" i="42" s="1"/>
  <c r="F892" i="45"/>
  <c r="F893" i="45"/>
  <c r="G893" i="45"/>
  <c r="I1524" i="42" s="1"/>
  <c r="F894" i="45"/>
  <c r="G894" i="45"/>
  <c r="I1525" i="42" s="1"/>
  <c r="F895" i="45"/>
  <c r="G895" i="45"/>
  <c r="I1526" i="42" s="1"/>
  <c r="F896" i="45"/>
  <c r="G896" i="45"/>
  <c r="I1527" i="42" s="1"/>
  <c r="E896" i="45"/>
  <c r="E895" i="45"/>
  <c r="E894" i="45"/>
  <c r="E893" i="45"/>
  <c r="E892" i="45"/>
  <c r="E891" i="45"/>
  <c r="E890" i="45"/>
  <c r="E889" i="45"/>
  <c r="B23" i="45"/>
  <c r="A23" i="45"/>
  <c r="H1668" i="42" l="1"/>
  <c r="I1668" i="42"/>
  <c r="P1267" i="20"/>
  <c r="B85" i="46" s="1"/>
  <c r="P1242" i="20"/>
  <c r="B54" i="46" s="1"/>
  <c r="P1203" i="20"/>
  <c r="B23" i="46" s="1"/>
  <c r="B34" i="46" s="1"/>
  <c r="X223" i="20"/>
  <c r="H1560" i="42"/>
  <c r="E1560" i="42"/>
  <c r="H1559" i="42"/>
  <c r="E1559" i="42"/>
  <c r="H1558" i="42"/>
  <c r="E1558" i="42"/>
  <c r="H1557" i="42"/>
  <c r="E1557" i="42"/>
  <c r="H1556" i="42"/>
  <c r="E1556" i="42"/>
  <c r="H1555" i="42"/>
  <c r="E1555" i="42"/>
  <c r="H1554" i="42"/>
  <c r="E1554" i="42"/>
  <c r="H1553" i="42"/>
  <c r="E1553" i="42"/>
  <c r="H1543" i="42"/>
  <c r="E1543" i="42"/>
  <c r="H1542" i="42"/>
  <c r="E1542" i="42"/>
  <c r="H1541" i="42"/>
  <c r="E1541" i="42"/>
  <c r="H1540" i="42"/>
  <c r="E1540" i="42"/>
  <c r="H1539" i="42"/>
  <c r="E1539" i="42"/>
  <c r="H1538" i="42"/>
  <c r="E1538" i="42"/>
  <c r="H1537" i="42"/>
  <c r="E1537" i="42"/>
  <c r="H1536" i="42"/>
  <c r="E1536" i="42"/>
  <c r="E1521" i="42"/>
  <c r="H1521" i="42"/>
  <c r="E1522" i="42"/>
  <c r="H1522" i="42"/>
  <c r="E1523" i="42"/>
  <c r="H1523" i="42"/>
  <c r="E1524" i="42"/>
  <c r="H1524" i="42"/>
  <c r="E1525" i="42"/>
  <c r="H1525" i="42"/>
  <c r="E1526" i="42"/>
  <c r="H1526" i="42"/>
  <c r="E1527" i="42"/>
  <c r="H1527" i="42"/>
  <c r="H1520" i="42"/>
  <c r="E1520" i="42"/>
  <c r="D255" i="20"/>
  <c r="E255" i="20" s="1"/>
  <c r="D254" i="20"/>
  <c r="E254" i="20" s="1"/>
  <c r="D1508" i="42"/>
  <c r="F1508" i="42" s="1"/>
  <c r="D1504" i="42"/>
  <c r="F1504" i="42" s="1"/>
  <c r="B27" i="20"/>
  <c r="A27" i="20"/>
  <c r="B26" i="20"/>
  <c r="A26" i="20"/>
  <c r="B25" i="20"/>
  <c r="A25" i="20"/>
  <c r="B24" i="20"/>
  <c r="A24" i="20"/>
  <c r="F1307" i="20"/>
  <c r="F1308" i="20"/>
  <c r="F1309" i="20"/>
  <c r="F1310" i="20"/>
  <c r="F1306" i="20"/>
  <c r="D1666" i="42"/>
  <c r="F1666" i="42" s="1"/>
  <c r="U1661" i="42"/>
  <c r="O1661" i="42"/>
  <c r="N1661" i="42"/>
  <c r="M1661" i="42"/>
  <c r="L1661" i="42"/>
  <c r="K1661" i="42"/>
  <c r="J1661" i="42"/>
  <c r="A1671" i="42"/>
  <c r="A1672" i="42" s="1"/>
  <c r="A1673" i="42" s="1"/>
  <c r="AE1575" i="42"/>
  <c r="R1575" i="42"/>
  <c r="Q1575" i="42"/>
  <c r="P1575" i="42"/>
  <c r="O1575" i="42"/>
  <c r="N1575" i="42"/>
  <c r="B26" i="42"/>
  <c r="A26" i="42"/>
  <c r="F1511" i="42"/>
  <c r="F1510" i="42"/>
  <c r="F1509" i="42"/>
  <c r="F1507" i="42"/>
  <c r="F1506" i="42"/>
  <c r="F1505" i="42"/>
  <c r="E1511" i="42"/>
  <c r="E1510" i="42"/>
  <c r="E1509" i="42"/>
  <c r="E1508" i="42"/>
  <c r="E1507" i="42"/>
  <c r="E1506" i="42"/>
  <c r="E1505" i="42"/>
  <c r="E1504" i="42"/>
  <c r="AE1497" i="42"/>
  <c r="R1497" i="42"/>
  <c r="Q1497" i="42"/>
  <c r="P1497" i="42"/>
  <c r="O1497" i="42"/>
  <c r="N1497" i="42"/>
  <c r="AM1488" i="42"/>
  <c r="Z1488" i="42"/>
  <c r="Y1488" i="42"/>
  <c r="X1488" i="42"/>
  <c r="W1488" i="42"/>
  <c r="V1488" i="42"/>
  <c r="U1488" i="42"/>
  <c r="T1488" i="42"/>
  <c r="S1488" i="42"/>
  <c r="R1488" i="42"/>
  <c r="B25" i="42"/>
  <c r="A25" i="42"/>
  <c r="H1507" i="42" l="1"/>
  <c r="G1556" i="42" s="1"/>
  <c r="H1509" i="42"/>
  <c r="G1558" i="42" s="1"/>
  <c r="J1668" i="42"/>
  <c r="N1668" i="42" s="1"/>
  <c r="H1504" i="42"/>
  <c r="G1536" i="42" s="1"/>
  <c r="B65" i="46"/>
  <c r="B96" i="46"/>
  <c r="G1511" i="42"/>
  <c r="F1543" i="42" s="1"/>
  <c r="J1543" i="42" s="1"/>
  <c r="H1505" i="42"/>
  <c r="G1537" i="42" s="1"/>
  <c r="H1506" i="42"/>
  <c r="G1522" i="42" s="1"/>
  <c r="H1510" i="42"/>
  <c r="G1526" i="42" s="1"/>
  <c r="H1508" i="42"/>
  <c r="G1540" i="42" s="1"/>
  <c r="H1511" i="42"/>
  <c r="G1527" i="42" s="1"/>
  <c r="G1504" i="42"/>
  <c r="F1520" i="42" s="1"/>
  <c r="J1520" i="42" s="1"/>
  <c r="G1505" i="42"/>
  <c r="F1521" i="42" s="1"/>
  <c r="J1521" i="42" s="1"/>
  <c r="G1506" i="42"/>
  <c r="F1522" i="42" s="1"/>
  <c r="J1522" i="42" s="1"/>
  <c r="G1507" i="42"/>
  <c r="F1523" i="42" s="1"/>
  <c r="J1523" i="42" s="1"/>
  <c r="G1508" i="42"/>
  <c r="F1524" i="42" s="1"/>
  <c r="J1524" i="42" s="1"/>
  <c r="G1509" i="42"/>
  <c r="F1525" i="42" s="1"/>
  <c r="J1525" i="42" s="1"/>
  <c r="G1510" i="42"/>
  <c r="F1526" i="42" s="1"/>
  <c r="J1526" i="42" s="1"/>
  <c r="C1179" i="20"/>
  <c r="B1179" i="20"/>
  <c r="A1179" i="20"/>
  <c r="A1184" i="20" s="1"/>
  <c r="C1178" i="20"/>
  <c r="B1178" i="20"/>
  <c r="A1178" i="20"/>
  <c r="A1183" i="20" s="1"/>
  <c r="C1177" i="20"/>
  <c r="B1177" i="20"/>
  <c r="A1177" i="20"/>
  <c r="A1310" i="20" s="1"/>
  <c r="C1176" i="20"/>
  <c r="B1176" i="20"/>
  <c r="A1176" i="20"/>
  <c r="A1309" i="20" s="1"/>
  <c r="C1175" i="20"/>
  <c r="B1175" i="20"/>
  <c r="A1175" i="20"/>
  <c r="A1308" i="20" s="1"/>
  <c r="C1174" i="20"/>
  <c r="B1174" i="20"/>
  <c r="A1174" i="20"/>
  <c r="A1307" i="20" s="1"/>
  <c r="C1173" i="20"/>
  <c r="B1173" i="20"/>
  <c r="A1173" i="20"/>
  <c r="A1306" i="20" s="1"/>
  <c r="B23" i="20"/>
  <c r="A23" i="20"/>
  <c r="A1166" i="20"/>
  <c r="B1166" i="20"/>
  <c r="C1166" i="20"/>
  <c r="A1167" i="20"/>
  <c r="B1167" i="20"/>
  <c r="C1167" i="20"/>
  <c r="A1168" i="20"/>
  <c r="B1168" i="20"/>
  <c r="C1168" i="20"/>
  <c r="A1169" i="20"/>
  <c r="B1169" i="20"/>
  <c r="C1169" i="20"/>
  <c r="B1165" i="20"/>
  <c r="C1165" i="20"/>
  <c r="A1165" i="20"/>
  <c r="B22" i="45"/>
  <c r="A22" i="45"/>
  <c r="K1157" i="20"/>
  <c r="H1157" i="20"/>
  <c r="E1157" i="20"/>
  <c r="K1156" i="20"/>
  <c r="H1156" i="20"/>
  <c r="E1156" i="20"/>
  <c r="K1155" i="20"/>
  <c r="H1155" i="20"/>
  <c r="E1155" i="20"/>
  <c r="K1154" i="20"/>
  <c r="H1154" i="20"/>
  <c r="E1154" i="20"/>
  <c r="K1153" i="20"/>
  <c r="H1153" i="20"/>
  <c r="E1153" i="20"/>
  <c r="K1152" i="20"/>
  <c r="H1152" i="20"/>
  <c r="E1152" i="20"/>
  <c r="K1151" i="20"/>
  <c r="H1151" i="20"/>
  <c r="E1151" i="20"/>
  <c r="K1150" i="20"/>
  <c r="H1150" i="20"/>
  <c r="E1150" i="20"/>
  <c r="K1149" i="20"/>
  <c r="H1149" i="20"/>
  <c r="E1149" i="20"/>
  <c r="K1148" i="20"/>
  <c r="H1148" i="20"/>
  <c r="E1148" i="20"/>
  <c r="K1147" i="20"/>
  <c r="H1147" i="20"/>
  <c r="E1147" i="20"/>
  <c r="K1146" i="20"/>
  <c r="H1146" i="20"/>
  <c r="E1146" i="20"/>
  <c r="U1139" i="20"/>
  <c r="O1139" i="20"/>
  <c r="N1139" i="20"/>
  <c r="M1139" i="20"/>
  <c r="L1139" i="20"/>
  <c r="K1139" i="20"/>
  <c r="J1139" i="20"/>
  <c r="U1138" i="20"/>
  <c r="O1138" i="20"/>
  <c r="N1138" i="20"/>
  <c r="M1138" i="20"/>
  <c r="L1138" i="20"/>
  <c r="K1138" i="20"/>
  <c r="J1138" i="20"/>
  <c r="U1137" i="20"/>
  <c r="O1137" i="20"/>
  <c r="N1137" i="20"/>
  <c r="M1137" i="20"/>
  <c r="L1137" i="20"/>
  <c r="K1137" i="20"/>
  <c r="J1137" i="20"/>
  <c r="U1132" i="20"/>
  <c r="O1132" i="20"/>
  <c r="N1132" i="20"/>
  <c r="M1132" i="20"/>
  <c r="L1132" i="20"/>
  <c r="K1132" i="20"/>
  <c r="J1132" i="20"/>
  <c r="U1127" i="20"/>
  <c r="O1127" i="20"/>
  <c r="N1127" i="20"/>
  <c r="M1127" i="20"/>
  <c r="L1127" i="20"/>
  <c r="K1127" i="20"/>
  <c r="J1127" i="20"/>
  <c r="B22" i="20"/>
  <c r="A22" i="20"/>
  <c r="S1176" i="20" l="1"/>
  <c r="S1177" i="20"/>
  <c r="S1173" i="20"/>
  <c r="S1174" i="20"/>
  <c r="S1175" i="20"/>
  <c r="G1523" i="42"/>
  <c r="G1542" i="42"/>
  <c r="G1525" i="42"/>
  <c r="G1539" i="42"/>
  <c r="G1541" i="42"/>
  <c r="G1520" i="42"/>
  <c r="G1553" i="42"/>
  <c r="O1668" i="42"/>
  <c r="O1673" i="42"/>
  <c r="O1672" i="42"/>
  <c r="O1671" i="42"/>
  <c r="O1674" i="42"/>
  <c r="O1669" i="42"/>
  <c r="O1670" i="42"/>
  <c r="F1555" i="42"/>
  <c r="J1555" i="42" s="1"/>
  <c r="G1555" i="42"/>
  <c r="F1560" i="42"/>
  <c r="J1560" i="42" s="1"/>
  <c r="G1560" i="42"/>
  <c r="G1559" i="42"/>
  <c r="F1559" i="42"/>
  <c r="J1559" i="42" s="1"/>
  <c r="G1521" i="42"/>
  <c r="F1554" i="42"/>
  <c r="J1554" i="42" s="1"/>
  <c r="F1558" i="42"/>
  <c r="J1558" i="42" s="1"/>
  <c r="G1554" i="42"/>
  <c r="F1557" i="42"/>
  <c r="J1557" i="42" s="1"/>
  <c r="F1553" i="42"/>
  <c r="J1553" i="42" s="1"/>
  <c r="G1557" i="42"/>
  <c r="F1556" i="42"/>
  <c r="J1556" i="42" s="1"/>
  <c r="F1537" i="42"/>
  <c r="J1537" i="42" s="1"/>
  <c r="G1538" i="42"/>
  <c r="F1527" i="42"/>
  <c r="J1527" i="42" s="1"/>
  <c r="G1543" i="42"/>
  <c r="F1542" i="42"/>
  <c r="J1542" i="42" s="1"/>
  <c r="F1539" i="42"/>
  <c r="J1539" i="42" s="1"/>
  <c r="G1524" i="42"/>
  <c r="F1536" i="42"/>
  <c r="J1536" i="42" s="1"/>
  <c r="F1540" i="42"/>
  <c r="J1540" i="42" s="1"/>
  <c r="F1541" i="42"/>
  <c r="J1541" i="42" s="1"/>
  <c r="F1538" i="42"/>
  <c r="J1538" i="42" s="1"/>
  <c r="N1152" i="20"/>
  <c r="F1174" i="20" s="1"/>
  <c r="N1156" i="20"/>
  <c r="F1178" i="20" s="1"/>
  <c r="M1156" i="20"/>
  <c r="E1178" i="20" s="1"/>
  <c r="M1155" i="20"/>
  <c r="E1177" i="20" s="1"/>
  <c r="N1155" i="20"/>
  <c r="F1177" i="20" s="1"/>
  <c r="M1154" i="20"/>
  <c r="E1176" i="20" s="1"/>
  <c r="N1149" i="20"/>
  <c r="H1168" i="20" s="1"/>
  <c r="M1147" i="20"/>
  <c r="G1166" i="20" s="1"/>
  <c r="M1151" i="20"/>
  <c r="E1173" i="20" s="1"/>
  <c r="M1148" i="20"/>
  <c r="G1167" i="20" s="1"/>
  <c r="M1152" i="20"/>
  <c r="E1174" i="20" s="1"/>
  <c r="M1146" i="20"/>
  <c r="G1165" i="20" s="1"/>
  <c r="M1150" i="20"/>
  <c r="G1169" i="20" s="1"/>
  <c r="M1157" i="20"/>
  <c r="E1179" i="20" s="1"/>
  <c r="N1150" i="20"/>
  <c r="H1169" i="20" s="1"/>
  <c r="N1157" i="20"/>
  <c r="F1179" i="20" s="1"/>
  <c r="N1147" i="20"/>
  <c r="H1166" i="20" s="1"/>
  <c r="N1154" i="20"/>
  <c r="F1176" i="20" s="1"/>
  <c r="N1151" i="20"/>
  <c r="F1173" i="20" s="1"/>
  <c r="M1153" i="20"/>
  <c r="E1175" i="20" s="1"/>
  <c r="N1146" i="20"/>
  <c r="H1165" i="20" s="1"/>
  <c r="N1148" i="20"/>
  <c r="H1167" i="20" s="1"/>
  <c r="N1153" i="20"/>
  <c r="F1175" i="20" s="1"/>
  <c r="M1149" i="20"/>
  <c r="G1168" i="20" s="1"/>
  <c r="G1175" i="20" l="1"/>
  <c r="G1177" i="20"/>
  <c r="G1176" i="20"/>
  <c r="G1174" i="20"/>
  <c r="G1178" i="20"/>
  <c r="G1179" i="20"/>
  <c r="B21" i="20" l="1"/>
  <c r="A21" i="20"/>
  <c r="H1106" i="20"/>
  <c r="H1107" i="20"/>
  <c r="H1108" i="20"/>
  <c r="H1109" i="20"/>
  <c r="H1110" i="20"/>
  <c r="H1111" i="20"/>
  <c r="H1112" i="20"/>
  <c r="H1113" i="20"/>
  <c r="H1114" i="20"/>
  <c r="H1115" i="20"/>
  <c r="H1116" i="20"/>
  <c r="H1105" i="20"/>
  <c r="A1106" i="20"/>
  <c r="B1106" i="20"/>
  <c r="A1107" i="20"/>
  <c r="B1107" i="20"/>
  <c r="A1108" i="20"/>
  <c r="B1108" i="20"/>
  <c r="A1109" i="20"/>
  <c r="B1109" i="20"/>
  <c r="A1110" i="20"/>
  <c r="B1110" i="20"/>
  <c r="A1111" i="20"/>
  <c r="B1111" i="20"/>
  <c r="A1112" i="20"/>
  <c r="B1112" i="20"/>
  <c r="A1113" i="20"/>
  <c r="B1113" i="20"/>
  <c r="A1114" i="20"/>
  <c r="B1114" i="20"/>
  <c r="A1115" i="20"/>
  <c r="B1115" i="20"/>
  <c r="A1116" i="20"/>
  <c r="B1116" i="20"/>
  <c r="A1117" i="20"/>
  <c r="B1117" i="20"/>
  <c r="A1118" i="20"/>
  <c r="B1118" i="20"/>
  <c r="B1105" i="20"/>
  <c r="A1105" i="20"/>
  <c r="G807" i="45"/>
  <c r="C1106" i="20" s="1"/>
  <c r="F1105" i="20" s="1"/>
  <c r="I1105" i="20" s="1"/>
  <c r="G808" i="45"/>
  <c r="C1107" i="20" s="1"/>
  <c r="F1113" i="20" s="1"/>
  <c r="I1112" i="20" s="1"/>
  <c r="G809" i="45"/>
  <c r="C1108" i="20" s="1"/>
  <c r="F1106" i="20" s="1"/>
  <c r="I1106" i="20" s="1"/>
  <c r="G810" i="45"/>
  <c r="C1109" i="20" s="1"/>
  <c r="F1114" i="20" s="1"/>
  <c r="I1113" i="20" s="1"/>
  <c r="G811" i="45"/>
  <c r="C1110" i="20" s="1"/>
  <c r="F1107" i="20" s="1"/>
  <c r="G812" i="45"/>
  <c r="C1111" i="20" s="1"/>
  <c r="F1115" i="20" s="1"/>
  <c r="I1114" i="20" s="1"/>
  <c r="G813" i="45"/>
  <c r="C1112" i="20" s="1"/>
  <c r="F1108" i="20" s="1"/>
  <c r="I1107" i="20" s="1"/>
  <c r="G814" i="45"/>
  <c r="C1113" i="20" s="1"/>
  <c r="F1116" i="20" s="1"/>
  <c r="I1115" i="20" s="1"/>
  <c r="G815" i="45"/>
  <c r="C1114" i="20" s="1"/>
  <c r="F1109" i="20" s="1"/>
  <c r="I1108" i="20" s="1"/>
  <c r="G816" i="45"/>
  <c r="C1115" i="20" s="1"/>
  <c r="F1117" i="20" s="1"/>
  <c r="I1116" i="20" s="1"/>
  <c r="G817" i="45"/>
  <c r="C1116" i="20" s="1"/>
  <c r="F1110" i="20" s="1"/>
  <c r="I1109" i="20" s="1"/>
  <c r="G818" i="45"/>
  <c r="C1117" i="20" s="1"/>
  <c r="F1118" i="20" s="1"/>
  <c r="G819" i="45"/>
  <c r="C1118" i="20" s="1"/>
  <c r="F1111" i="20" s="1"/>
  <c r="I1110" i="20" s="1"/>
  <c r="G806" i="45"/>
  <c r="C1105" i="20" s="1"/>
  <c r="F1112" i="20" s="1"/>
  <c r="I1111" i="20" s="1"/>
  <c r="A1088" i="20" l="1"/>
  <c r="B1088" i="20"/>
  <c r="A1089" i="20"/>
  <c r="B1089" i="20"/>
  <c r="A1090" i="20"/>
  <c r="B1090" i="20"/>
  <c r="A1091" i="20"/>
  <c r="B1091" i="20"/>
  <c r="A1092" i="20"/>
  <c r="B1092" i="20"/>
  <c r="A1093" i="20"/>
  <c r="B1093" i="20"/>
  <c r="A1094" i="20"/>
  <c r="B1094" i="20"/>
  <c r="A1095" i="20"/>
  <c r="B1095" i="20"/>
  <c r="A1096" i="20"/>
  <c r="B1096" i="20"/>
  <c r="A1097" i="20"/>
  <c r="B1097" i="20"/>
  <c r="A1098" i="20"/>
  <c r="B1098" i="20"/>
  <c r="A1099" i="20"/>
  <c r="B1099" i="20"/>
  <c r="A1100" i="20"/>
  <c r="B1100" i="20"/>
  <c r="B1087" i="20"/>
  <c r="A1087" i="20"/>
  <c r="K670" i="45"/>
  <c r="C1100" i="20" s="1"/>
  <c r="F1093" i="20" s="1"/>
  <c r="K669" i="45"/>
  <c r="C1099" i="20" s="1"/>
  <c r="F1100" i="20" s="1"/>
  <c r="K668" i="45"/>
  <c r="C1098" i="20" s="1"/>
  <c r="F1092" i="20" s="1"/>
  <c r="K667" i="45"/>
  <c r="C1097" i="20" s="1"/>
  <c r="F1099" i="20" s="1"/>
  <c r="K666" i="45"/>
  <c r="C1096" i="20" s="1"/>
  <c r="F1091" i="20" s="1"/>
  <c r="K665" i="45"/>
  <c r="C1095" i="20" s="1"/>
  <c r="F1098" i="20" s="1"/>
  <c r="K664" i="45"/>
  <c r="C1094" i="20" s="1"/>
  <c r="F1090" i="20" s="1"/>
  <c r="K663" i="45"/>
  <c r="C1093" i="20" s="1"/>
  <c r="F1097" i="20" s="1"/>
  <c r="K662" i="45"/>
  <c r="C1092" i="20" s="1"/>
  <c r="F1089" i="20" s="1"/>
  <c r="K661" i="45"/>
  <c r="C1091" i="20" s="1"/>
  <c r="F1096" i="20" s="1"/>
  <c r="K660" i="45"/>
  <c r="C1090" i="20" s="1"/>
  <c r="F1088" i="20" s="1"/>
  <c r="K659" i="45"/>
  <c r="C1089" i="20" s="1"/>
  <c r="F1095" i="20" s="1"/>
  <c r="K658" i="45"/>
  <c r="C1088" i="20" s="1"/>
  <c r="F1087" i="20" s="1"/>
  <c r="K657" i="45"/>
  <c r="C1087" i="20" s="1"/>
  <c r="F1094" i="20" s="1"/>
  <c r="B20" i="20"/>
  <c r="A20" i="20"/>
  <c r="D1078" i="20"/>
  <c r="B1078" i="20"/>
  <c r="A1078" i="20"/>
  <c r="C1077" i="20"/>
  <c r="B1077" i="20"/>
  <c r="A1077" i="20"/>
  <c r="B24" i="42"/>
  <c r="A24" i="42"/>
  <c r="A899" i="42"/>
  <c r="D874" i="42"/>
  <c r="D875" i="42"/>
  <c r="D873" i="42"/>
  <c r="A874" i="42"/>
  <c r="A875" i="42"/>
  <c r="A873" i="42"/>
  <c r="D866" i="42"/>
  <c r="D867" i="42"/>
  <c r="D868" i="42"/>
  <c r="D869" i="42"/>
  <c r="D865" i="42"/>
  <c r="A866" i="42"/>
  <c r="A867" i="42"/>
  <c r="A868" i="42"/>
  <c r="A869" i="42"/>
  <c r="A865" i="42"/>
  <c r="A854" i="42"/>
  <c r="A855" i="42"/>
  <c r="A853" i="42"/>
  <c r="A851" i="42"/>
  <c r="A852" i="42"/>
  <c r="A850" i="42"/>
  <c r="B839" i="42"/>
  <c r="A839" i="42"/>
  <c r="A837" i="42"/>
  <c r="A838" i="42"/>
  <c r="A836" i="42"/>
  <c r="A834" i="42"/>
  <c r="A835" i="42"/>
  <c r="A833" i="42"/>
  <c r="B837" i="42"/>
  <c r="B838" i="42"/>
  <c r="B833" i="42"/>
  <c r="B834" i="42"/>
  <c r="B835" i="42"/>
  <c r="B836" i="42"/>
  <c r="O764" i="42"/>
  <c r="N764" i="42"/>
  <c r="M764" i="42"/>
  <c r="O763" i="42"/>
  <c r="N763" i="42"/>
  <c r="M763" i="42"/>
  <c r="O762" i="42"/>
  <c r="N762" i="42"/>
  <c r="M762" i="42"/>
  <c r="L764" i="42"/>
  <c r="K764" i="42"/>
  <c r="J764" i="42"/>
  <c r="L763" i="42"/>
  <c r="K763" i="42"/>
  <c r="J763" i="42"/>
  <c r="L762" i="42"/>
  <c r="K762" i="42"/>
  <c r="J762" i="42"/>
  <c r="I726" i="42"/>
  <c r="H726" i="42"/>
  <c r="G726" i="42"/>
  <c r="F726" i="42"/>
  <c r="E726" i="42"/>
  <c r="D726" i="42"/>
  <c r="U726" i="42"/>
  <c r="O726" i="42"/>
  <c r="N726" i="42"/>
  <c r="M726" i="42"/>
  <c r="C1063" i="20"/>
  <c r="B1063" i="20"/>
  <c r="A1063" i="20"/>
  <c r="A1068" i="20" s="1"/>
  <c r="C1062" i="20"/>
  <c r="B1062" i="20"/>
  <c r="A1062" i="20"/>
  <c r="A1067" i="20" s="1"/>
  <c r="C1061" i="20"/>
  <c r="B1061" i="20"/>
  <c r="A1061" i="20"/>
  <c r="A1305" i="20" s="1"/>
  <c r="A1392" i="20" s="1"/>
  <c r="C1060" i="20"/>
  <c r="B1060" i="20"/>
  <c r="A1060" i="20"/>
  <c r="A1304" i="20" s="1"/>
  <c r="A1391" i="20" s="1"/>
  <c r="C1059" i="20"/>
  <c r="B1059" i="20"/>
  <c r="A1059" i="20"/>
  <c r="A1303" i="20" s="1"/>
  <c r="A1390" i="20" s="1"/>
  <c r="C1058" i="20"/>
  <c r="B1058" i="20"/>
  <c r="A1058" i="20"/>
  <c r="A1302" i="20" s="1"/>
  <c r="A1389" i="20" s="1"/>
  <c r="C1057" i="20"/>
  <c r="B1057" i="20"/>
  <c r="A1057" i="20"/>
  <c r="A1301" i="20" s="1"/>
  <c r="A1388" i="20" s="1"/>
  <c r="C1056" i="20"/>
  <c r="B1056" i="20"/>
  <c r="A1056" i="20"/>
  <c r="A1300" i="20" s="1"/>
  <c r="A1387" i="20" s="1"/>
  <c r="C1055" i="20"/>
  <c r="B1055" i="20"/>
  <c r="A1055" i="20"/>
  <c r="A1299" i="20" s="1"/>
  <c r="A1386" i="20" s="1"/>
  <c r="C1054" i="20"/>
  <c r="B1054" i="20"/>
  <c r="A1054" i="20"/>
  <c r="A1298" i="20" s="1"/>
  <c r="A1385" i="20" s="1"/>
  <c r="C1053" i="20"/>
  <c r="B1053" i="20"/>
  <c r="A1053" i="20"/>
  <c r="A1297" i="20" s="1"/>
  <c r="A1384" i="20" s="1"/>
  <c r="C1052" i="20"/>
  <c r="B1052" i="20"/>
  <c r="A1052" i="20"/>
  <c r="A1296" i="20" s="1"/>
  <c r="A1383" i="20" s="1"/>
  <c r="C1051" i="20"/>
  <c r="B1051" i="20"/>
  <c r="A1051" i="20"/>
  <c r="C1050" i="20"/>
  <c r="B1050" i="20"/>
  <c r="A1050" i="20"/>
  <c r="C1049" i="20"/>
  <c r="B1049" i="20"/>
  <c r="A1049" i="20"/>
  <c r="C1048" i="20"/>
  <c r="B1048" i="20"/>
  <c r="A1048" i="20"/>
  <c r="C1047" i="20"/>
  <c r="B1047" i="20"/>
  <c r="A1047" i="20"/>
  <c r="C1046" i="20"/>
  <c r="B1046" i="20"/>
  <c r="A1046" i="20"/>
  <c r="C1045" i="20"/>
  <c r="B1045" i="20"/>
  <c r="A1045" i="20"/>
  <c r="C1044" i="20"/>
  <c r="B1044" i="20"/>
  <c r="A1044" i="20"/>
  <c r="C1043" i="20"/>
  <c r="B1043" i="20"/>
  <c r="A1043" i="20"/>
  <c r="C1042" i="20"/>
  <c r="B1042" i="20"/>
  <c r="A1042" i="20"/>
  <c r="C1041" i="20"/>
  <c r="B1041" i="20"/>
  <c r="A1041" i="20"/>
  <c r="C1040" i="20"/>
  <c r="B1040" i="20"/>
  <c r="A1040" i="20"/>
  <c r="C1039" i="20"/>
  <c r="B1039" i="20"/>
  <c r="A1039" i="20"/>
  <c r="C1038" i="20"/>
  <c r="B1038" i="20"/>
  <c r="A1038" i="20"/>
  <c r="C1068" i="20"/>
  <c r="C1027" i="20"/>
  <c r="C990" i="20"/>
  <c r="B990" i="20"/>
  <c r="A990" i="20"/>
  <c r="A995" i="20" s="1"/>
  <c r="C989" i="20"/>
  <c r="B989" i="20"/>
  <c r="A989" i="20"/>
  <c r="A994" i="20" s="1"/>
  <c r="C988" i="20"/>
  <c r="B988" i="20"/>
  <c r="A988" i="20"/>
  <c r="A1279" i="20" s="1"/>
  <c r="A1336" i="20" s="1"/>
  <c r="C987" i="20"/>
  <c r="B987" i="20"/>
  <c r="A987" i="20"/>
  <c r="A1278" i="20" s="1"/>
  <c r="A1335" i="20" s="1"/>
  <c r="C986" i="20"/>
  <c r="B986" i="20"/>
  <c r="A986" i="20"/>
  <c r="A1277" i="20" s="1"/>
  <c r="A1334" i="20" s="1"/>
  <c r="C985" i="20"/>
  <c r="B985" i="20"/>
  <c r="A985" i="20"/>
  <c r="A1276" i="20" s="1"/>
  <c r="A1333" i="20" s="1"/>
  <c r="C984" i="20"/>
  <c r="B984" i="20"/>
  <c r="A984" i="20"/>
  <c r="A1275" i="20" s="1"/>
  <c r="A1332" i="20" s="1"/>
  <c r="C983" i="20"/>
  <c r="B983" i="20"/>
  <c r="A983" i="20"/>
  <c r="A1274" i="20" s="1"/>
  <c r="A1331" i="20" s="1"/>
  <c r="C982" i="20"/>
  <c r="B982" i="20"/>
  <c r="A982" i="20"/>
  <c r="A1273" i="20" s="1"/>
  <c r="A1330" i="20" s="1"/>
  <c r="C981" i="20"/>
  <c r="B981" i="20"/>
  <c r="A981" i="20"/>
  <c r="A1272" i="20" s="1"/>
  <c r="A1329" i="20" s="1"/>
  <c r="C980" i="20"/>
  <c r="B980" i="20"/>
  <c r="A980" i="20"/>
  <c r="A1271" i="20" s="1"/>
  <c r="A1328" i="20" s="1"/>
  <c r="C979" i="20"/>
  <c r="B979" i="20"/>
  <c r="A979" i="20"/>
  <c r="A1270" i="20" s="1"/>
  <c r="A1327" i="20" s="1"/>
  <c r="C978" i="20"/>
  <c r="B978" i="20"/>
  <c r="A978" i="20"/>
  <c r="C977" i="20"/>
  <c r="B977" i="20"/>
  <c r="A977" i="20"/>
  <c r="C976" i="20"/>
  <c r="B976" i="20"/>
  <c r="A976" i="20"/>
  <c r="C975" i="20"/>
  <c r="B975" i="20"/>
  <c r="A975" i="20"/>
  <c r="C974" i="20"/>
  <c r="B974" i="20"/>
  <c r="A974" i="20"/>
  <c r="C973" i="20"/>
  <c r="B973" i="20"/>
  <c r="A973" i="20"/>
  <c r="C972" i="20"/>
  <c r="B972" i="20"/>
  <c r="A972" i="20"/>
  <c r="C971" i="20"/>
  <c r="B971" i="20"/>
  <c r="A971" i="20"/>
  <c r="C970" i="20"/>
  <c r="B970" i="20"/>
  <c r="A970" i="20"/>
  <c r="C969" i="20"/>
  <c r="B969" i="20"/>
  <c r="A969" i="20"/>
  <c r="C968" i="20"/>
  <c r="B968" i="20"/>
  <c r="A968" i="20"/>
  <c r="C967" i="20"/>
  <c r="B967" i="20"/>
  <c r="A967" i="20"/>
  <c r="C966" i="20"/>
  <c r="B966" i="20"/>
  <c r="A966" i="20"/>
  <c r="C995" i="20"/>
  <c r="Q815" i="20"/>
  <c r="P815" i="20"/>
  <c r="O815" i="20"/>
  <c r="Q814" i="20"/>
  <c r="P814" i="20"/>
  <c r="O814" i="20"/>
  <c r="Q813" i="20"/>
  <c r="P813" i="20"/>
  <c r="O813" i="20"/>
  <c r="Q812" i="20"/>
  <c r="P812" i="20"/>
  <c r="O812" i="20"/>
  <c r="L812" i="20"/>
  <c r="M812" i="20"/>
  <c r="N812" i="20"/>
  <c r="Z815" i="20"/>
  <c r="N815" i="20"/>
  <c r="M815" i="20"/>
  <c r="L815" i="20"/>
  <c r="Z814" i="20"/>
  <c r="N814" i="20"/>
  <c r="M814" i="20"/>
  <c r="L814" i="20"/>
  <c r="Z813" i="20"/>
  <c r="N813" i="20"/>
  <c r="M813" i="20"/>
  <c r="L813" i="20"/>
  <c r="Z812" i="20"/>
  <c r="U806" i="20"/>
  <c r="T806" i="20"/>
  <c r="S806" i="20"/>
  <c r="R806" i="20"/>
  <c r="AD806" i="20"/>
  <c r="Q806" i="20"/>
  <c r="P806" i="20"/>
  <c r="O806" i="20"/>
  <c r="N806" i="20"/>
  <c r="N800" i="20"/>
  <c r="O800" i="20"/>
  <c r="M800" i="20"/>
  <c r="U800" i="20"/>
  <c r="L800" i="20"/>
  <c r="K800" i="20"/>
  <c r="J800" i="20"/>
  <c r="O788" i="20"/>
  <c r="P788" i="20"/>
  <c r="O789" i="20"/>
  <c r="P789" i="20"/>
  <c r="O790" i="20"/>
  <c r="P790" i="20"/>
  <c r="O791" i="20"/>
  <c r="P791" i="20"/>
  <c r="O792" i="20"/>
  <c r="P792" i="20"/>
  <c r="O793" i="20"/>
  <c r="P793" i="20"/>
  <c r="P787" i="20"/>
  <c r="O787" i="20"/>
  <c r="Z793" i="20"/>
  <c r="N793" i="20"/>
  <c r="M793" i="20"/>
  <c r="L793" i="20"/>
  <c r="Z792" i="20"/>
  <c r="N792" i="20"/>
  <c r="M792" i="20"/>
  <c r="L792" i="20"/>
  <c r="Z791" i="20"/>
  <c r="N791" i="20"/>
  <c r="M791" i="20"/>
  <c r="L791" i="20"/>
  <c r="Z790" i="20"/>
  <c r="N790" i="20"/>
  <c r="M790" i="20"/>
  <c r="L790" i="20"/>
  <c r="Z789" i="20"/>
  <c r="N789" i="20"/>
  <c r="M789" i="20"/>
  <c r="L789" i="20"/>
  <c r="Z788" i="20"/>
  <c r="N788" i="20"/>
  <c r="M788" i="20"/>
  <c r="L788" i="20"/>
  <c r="Z787" i="20"/>
  <c r="N787" i="20"/>
  <c r="M787" i="20"/>
  <c r="L787" i="20"/>
  <c r="S781" i="20"/>
  <c r="T781" i="20"/>
  <c r="N781" i="20"/>
  <c r="O781" i="20"/>
  <c r="P781" i="20"/>
  <c r="Q781" i="20"/>
  <c r="F1054" i="20" l="1"/>
  <c r="G1054" i="20" s="1"/>
  <c r="F1061" i="20"/>
  <c r="G1061" i="20" s="1"/>
  <c r="F1053" i="20"/>
  <c r="G1053" i="20" s="1"/>
  <c r="F1059" i="20"/>
  <c r="G1059" i="20" s="1"/>
  <c r="F1044" i="20"/>
  <c r="F1046" i="20"/>
  <c r="F1057" i="20"/>
  <c r="G1057" i="20" s="1"/>
  <c r="F1050" i="20"/>
  <c r="F1055" i="20"/>
  <c r="G1055" i="20" s="1"/>
  <c r="F1051" i="20"/>
  <c r="F1062" i="20"/>
  <c r="G1062" i="20" s="1"/>
  <c r="F1047" i="20"/>
  <c r="F1052" i="20"/>
  <c r="G1052" i="20" s="1"/>
  <c r="F1048" i="20"/>
  <c r="F1049" i="20"/>
  <c r="D837" i="42"/>
  <c r="C834" i="42"/>
  <c r="D834" i="42"/>
  <c r="C837" i="42"/>
  <c r="L726" i="42"/>
  <c r="K726" i="42"/>
  <c r="J726" i="42"/>
  <c r="F1045" i="20"/>
  <c r="C1480" i="42" s="1"/>
  <c r="F1056" i="20"/>
  <c r="G1056" i="20" s="1"/>
  <c r="F1063" i="20"/>
  <c r="G1063" i="20" s="1"/>
  <c r="F1058" i="20"/>
  <c r="G1058" i="20" s="1"/>
  <c r="F1060" i="20"/>
  <c r="G1060" i="20" s="1"/>
  <c r="F988" i="20"/>
  <c r="F976" i="20"/>
  <c r="G976" i="20" s="1"/>
  <c r="F980" i="20"/>
  <c r="F986" i="20"/>
  <c r="F985" i="20"/>
  <c r="F987" i="20"/>
  <c r="F981" i="20"/>
  <c r="F982" i="20"/>
  <c r="F984" i="20"/>
  <c r="F979" i="20"/>
  <c r="F977" i="20"/>
  <c r="G977" i="20" s="1"/>
  <c r="F978" i="20"/>
  <c r="G978" i="20" s="1"/>
  <c r="F974" i="20"/>
  <c r="G974" i="20" s="1"/>
  <c r="F990" i="20"/>
  <c r="G990" i="20" s="1"/>
  <c r="F983" i="20"/>
  <c r="F975" i="20"/>
  <c r="G975" i="20" s="1"/>
  <c r="F972" i="20"/>
  <c r="F973" i="20"/>
  <c r="F989" i="20"/>
  <c r="G989" i="20" s="1"/>
  <c r="R781" i="20"/>
  <c r="AD781" i="20"/>
  <c r="N773" i="20"/>
  <c r="O773" i="20"/>
  <c r="M773" i="20"/>
  <c r="U773" i="20"/>
  <c r="L773" i="20"/>
  <c r="K773" i="20"/>
  <c r="J773" i="20"/>
  <c r="C755" i="20"/>
  <c r="C751" i="20"/>
  <c r="B751" i="20"/>
  <c r="A751" i="20"/>
  <c r="A755" i="20" s="1"/>
  <c r="C750" i="20"/>
  <c r="B750" i="20"/>
  <c r="A750" i="20"/>
  <c r="A1218" i="20" s="1"/>
  <c r="C749" i="20"/>
  <c r="B749" i="20"/>
  <c r="A749" i="20"/>
  <c r="A1217" i="20" s="1"/>
  <c r="C748" i="20"/>
  <c r="B748" i="20"/>
  <c r="A748" i="20"/>
  <c r="A1216" i="20" s="1"/>
  <c r="C747" i="20"/>
  <c r="B747" i="20"/>
  <c r="A747" i="20"/>
  <c r="A1215" i="20" s="1"/>
  <c r="C746" i="20"/>
  <c r="B746" i="20"/>
  <c r="A746" i="20"/>
  <c r="A1214" i="20" s="1"/>
  <c r="C745" i="20"/>
  <c r="B745" i="20"/>
  <c r="A745" i="20"/>
  <c r="C744" i="20"/>
  <c r="B744" i="20"/>
  <c r="A744" i="20"/>
  <c r="C743" i="20"/>
  <c r="B743" i="20"/>
  <c r="A743" i="20"/>
  <c r="C742" i="20"/>
  <c r="B742" i="20"/>
  <c r="A742" i="20"/>
  <c r="C741" i="20"/>
  <c r="B741" i="20"/>
  <c r="A741" i="20"/>
  <c r="C740" i="20"/>
  <c r="B740" i="20"/>
  <c r="A740" i="20"/>
  <c r="C739" i="20"/>
  <c r="B739" i="20"/>
  <c r="A739" i="20"/>
  <c r="C738" i="20"/>
  <c r="B738" i="20"/>
  <c r="A738" i="20"/>
  <c r="C737" i="20"/>
  <c r="B737" i="20"/>
  <c r="A737" i="20"/>
  <c r="C736" i="20"/>
  <c r="B736" i="20"/>
  <c r="A736" i="20"/>
  <c r="C735" i="20"/>
  <c r="B735" i="20"/>
  <c r="A735" i="20"/>
  <c r="C734" i="20"/>
  <c r="B734" i="20"/>
  <c r="A734" i="20"/>
  <c r="C724" i="20"/>
  <c r="C707" i="20"/>
  <c r="B707" i="20"/>
  <c r="A707" i="20"/>
  <c r="C719" i="20"/>
  <c r="B719" i="20"/>
  <c r="A719" i="20"/>
  <c r="A724" i="20" s="1"/>
  <c r="C718" i="20"/>
  <c r="B718" i="20"/>
  <c r="A718" i="20"/>
  <c r="A723" i="20" s="1"/>
  <c r="C717" i="20"/>
  <c r="B717" i="20"/>
  <c r="A717" i="20"/>
  <c r="A1295" i="20" s="1"/>
  <c r="A1382" i="20" s="1"/>
  <c r="C716" i="20"/>
  <c r="B716" i="20"/>
  <c r="A716" i="20"/>
  <c r="A1294" i="20" s="1"/>
  <c r="A1381" i="20" s="1"/>
  <c r="C715" i="20"/>
  <c r="B715" i="20"/>
  <c r="A715" i="20"/>
  <c r="A1293" i="20" s="1"/>
  <c r="A1380" i="20" s="1"/>
  <c r="C714" i="20"/>
  <c r="B714" i="20"/>
  <c r="A714" i="20"/>
  <c r="A1292" i="20" s="1"/>
  <c r="A1379" i="20" s="1"/>
  <c r="C713" i="20"/>
  <c r="B713" i="20"/>
  <c r="A713" i="20"/>
  <c r="A1291" i="20" s="1"/>
  <c r="A1378" i="20" s="1"/>
  <c r="C712" i="20"/>
  <c r="B712" i="20"/>
  <c r="A712" i="20"/>
  <c r="A1290" i="20" s="1"/>
  <c r="A1377" i="20" s="1"/>
  <c r="C711" i="20"/>
  <c r="B711" i="20"/>
  <c r="A711" i="20"/>
  <c r="A1289" i="20" s="1"/>
  <c r="A1376" i="20" s="1"/>
  <c r="C710" i="20"/>
  <c r="B710" i="20"/>
  <c r="A710" i="20"/>
  <c r="A1288" i="20" s="1"/>
  <c r="A1375" i="20" s="1"/>
  <c r="C709" i="20"/>
  <c r="B709" i="20"/>
  <c r="A709" i="20"/>
  <c r="A1287" i="20" s="1"/>
  <c r="A1374" i="20" s="1"/>
  <c r="C708" i="20"/>
  <c r="B708" i="20"/>
  <c r="A708" i="20"/>
  <c r="A1286" i="20" s="1"/>
  <c r="A1373" i="20" s="1"/>
  <c r="C706" i="20"/>
  <c r="B706" i="20"/>
  <c r="A706" i="20"/>
  <c r="C705" i="20"/>
  <c r="B705" i="20"/>
  <c r="A705" i="20"/>
  <c r="C704" i="20"/>
  <c r="B704" i="20"/>
  <c r="A704" i="20"/>
  <c r="C703" i="20"/>
  <c r="B703" i="20"/>
  <c r="A703" i="20"/>
  <c r="C702" i="20"/>
  <c r="B702" i="20"/>
  <c r="A702" i="20"/>
  <c r="C701" i="20"/>
  <c r="B701" i="20"/>
  <c r="A701" i="20"/>
  <c r="C700" i="20"/>
  <c r="B700" i="20"/>
  <c r="A700" i="20"/>
  <c r="C699" i="20"/>
  <c r="B699" i="20"/>
  <c r="A699" i="20"/>
  <c r="C698" i="20"/>
  <c r="B698" i="20"/>
  <c r="A698" i="20"/>
  <c r="C697" i="20"/>
  <c r="B697" i="20"/>
  <c r="A697" i="20"/>
  <c r="C696" i="20"/>
  <c r="B696" i="20"/>
  <c r="A696" i="20"/>
  <c r="C695" i="20"/>
  <c r="B695" i="20"/>
  <c r="A695" i="20"/>
  <c r="C694" i="20"/>
  <c r="B694" i="20"/>
  <c r="A694" i="20"/>
  <c r="C684" i="20"/>
  <c r="C679" i="20"/>
  <c r="B679" i="20"/>
  <c r="A679" i="20"/>
  <c r="A684" i="20" s="1"/>
  <c r="C678" i="20"/>
  <c r="B678" i="20"/>
  <c r="A678" i="20"/>
  <c r="A683" i="20" s="1"/>
  <c r="C677" i="20"/>
  <c r="B677" i="20"/>
  <c r="A677" i="20"/>
  <c r="A1269" i="20" s="1"/>
  <c r="A1326" i="20" s="1"/>
  <c r="C676" i="20"/>
  <c r="B676" i="20"/>
  <c r="A676" i="20"/>
  <c r="A1268" i="20" s="1"/>
  <c r="A1325" i="20" s="1"/>
  <c r="C675" i="20"/>
  <c r="B675" i="20"/>
  <c r="A675" i="20"/>
  <c r="A1267" i="20" s="1"/>
  <c r="A1324" i="20" s="1"/>
  <c r="C674" i="20"/>
  <c r="B674" i="20"/>
  <c r="A674" i="20"/>
  <c r="A1266" i="20" s="1"/>
  <c r="A1323" i="20" s="1"/>
  <c r="C673" i="20"/>
  <c r="B673" i="20"/>
  <c r="A673" i="20"/>
  <c r="A1265" i="20" s="1"/>
  <c r="A1322" i="20" s="1"/>
  <c r="C672" i="20"/>
  <c r="B672" i="20"/>
  <c r="A672" i="20"/>
  <c r="A1264" i="20" s="1"/>
  <c r="A1321" i="20" s="1"/>
  <c r="C671" i="20"/>
  <c r="B671" i="20"/>
  <c r="A671" i="20"/>
  <c r="A1263" i="20" s="1"/>
  <c r="A1320" i="20" s="1"/>
  <c r="C670" i="20"/>
  <c r="B670" i="20"/>
  <c r="A670" i="20"/>
  <c r="A1262" i="20" s="1"/>
  <c r="A1319" i="20" s="1"/>
  <c r="C669" i="20"/>
  <c r="B669" i="20"/>
  <c r="A669" i="20"/>
  <c r="A1261" i="20" s="1"/>
  <c r="A1318" i="20" s="1"/>
  <c r="C668" i="20"/>
  <c r="B668" i="20"/>
  <c r="A668" i="20"/>
  <c r="A1260" i="20" s="1"/>
  <c r="A1317" i="20" s="1"/>
  <c r="C667" i="20"/>
  <c r="B667" i="20"/>
  <c r="A667" i="20"/>
  <c r="C666" i="20"/>
  <c r="B666" i="20"/>
  <c r="A666" i="20"/>
  <c r="C665" i="20"/>
  <c r="B665" i="20"/>
  <c r="A665" i="20"/>
  <c r="C664" i="20"/>
  <c r="B664" i="20"/>
  <c r="A664" i="20"/>
  <c r="C663" i="20"/>
  <c r="B663" i="20"/>
  <c r="A663" i="20"/>
  <c r="C662" i="20"/>
  <c r="B662" i="20"/>
  <c r="A662" i="20"/>
  <c r="C661" i="20"/>
  <c r="B661" i="20"/>
  <c r="A661" i="20"/>
  <c r="C660" i="20"/>
  <c r="B660" i="20"/>
  <c r="A660" i="20"/>
  <c r="C659" i="20"/>
  <c r="B659" i="20"/>
  <c r="A659" i="20"/>
  <c r="C658" i="20"/>
  <c r="B658" i="20"/>
  <c r="A658" i="20"/>
  <c r="C657" i="20"/>
  <c r="B657" i="20"/>
  <c r="A657" i="20"/>
  <c r="C656" i="20"/>
  <c r="B656" i="20"/>
  <c r="A656" i="20"/>
  <c r="B655" i="20"/>
  <c r="C655" i="20"/>
  <c r="A655" i="20"/>
  <c r="P726" i="42" a="1"/>
  <c r="C1481" i="42" l="1"/>
  <c r="G1048" i="20"/>
  <c r="G1047" i="20"/>
  <c r="G1051" i="20"/>
  <c r="G1046" i="20"/>
  <c r="G1049" i="20"/>
  <c r="G1050" i="20"/>
  <c r="D841" i="42"/>
  <c r="C841" i="42"/>
  <c r="P726" i="42"/>
  <c r="G981" i="20"/>
  <c r="G979" i="20"/>
  <c r="G987" i="20"/>
  <c r="G986" i="20"/>
  <c r="G985" i="20"/>
  <c r="G984" i="20"/>
  <c r="G983" i="20"/>
  <c r="G988" i="20"/>
  <c r="G982" i="20"/>
  <c r="G980" i="20"/>
  <c r="F707" i="20"/>
  <c r="F747" i="20"/>
  <c r="G747" i="20" s="1"/>
  <c r="F748" i="20"/>
  <c r="G748" i="20" s="1"/>
  <c r="F742" i="20"/>
  <c r="F751" i="20"/>
  <c r="G751" i="20" s="1"/>
  <c r="F741" i="20"/>
  <c r="F750" i="20"/>
  <c r="G750" i="20" s="1"/>
  <c r="F743" i="20"/>
  <c r="F749" i="20"/>
  <c r="G749" i="20" s="1"/>
  <c r="F744" i="20"/>
  <c r="F745" i="20"/>
  <c r="F740" i="20"/>
  <c r="F739" i="20"/>
  <c r="F746" i="20"/>
  <c r="G746" i="20" s="1"/>
  <c r="F711" i="20"/>
  <c r="G711" i="20" s="1"/>
  <c r="F713" i="20"/>
  <c r="G713" i="20" s="1"/>
  <c r="F701" i="20"/>
  <c r="F708" i="20"/>
  <c r="G708" i="20" s="1"/>
  <c r="F718" i="20"/>
  <c r="G718" i="20" s="1"/>
  <c r="F719" i="20"/>
  <c r="G719" i="20" s="1"/>
  <c r="F712" i="20"/>
  <c r="G712" i="20" s="1"/>
  <c r="F709" i="20"/>
  <c r="G709" i="20" s="1"/>
  <c r="F714" i="20"/>
  <c r="G714" i="20" s="1"/>
  <c r="F703" i="20"/>
  <c r="F715" i="20"/>
  <c r="G715" i="20" s="1"/>
  <c r="F710" i="20"/>
  <c r="G710" i="20" s="1"/>
  <c r="F717" i="20"/>
  <c r="G717" i="20" s="1"/>
  <c r="F702" i="20"/>
  <c r="F704" i="20"/>
  <c r="F716" i="20"/>
  <c r="G716" i="20" s="1"/>
  <c r="F705" i="20"/>
  <c r="F700" i="20"/>
  <c r="F706" i="20"/>
  <c r="F664" i="20"/>
  <c r="F661" i="20"/>
  <c r="F662" i="20"/>
  <c r="F674" i="20"/>
  <c r="G674" i="20" s="1"/>
  <c r="F671" i="20"/>
  <c r="G671" i="20" s="1"/>
  <c r="F666" i="20"/>
  <c r="F677" i="20"/>
  <c r="G677" i="20" s="1"/>
  <c r="F667" i="20"/>
  <c r="F678" i="20"/>
  <c r="G678" i="20" s="1"/>
  <c r="F673" i="20"/>
  <c r="G673" i="20" s="1"/>
  <c r="F663" i="20"/>
  <c r="F665" i="20"/>
  <c r="F669" i="20"/>
  <c r="G669" i="20" s="1"/>
  <c r="F668" i="20"/>
  <c r="G668" i="20" s="1"/>
  <c r="F675" i="20"/>
  <c r="G675" i="20" s="1"/>
  <c r="F670" i="20"/>
  <c r="G670" i="20" s="1"/>
  <c r="F679" i="20"/>
  <c r="G679" i="20" s="1"/>
  <c r="F676" i="20"/>
  <c r="G676" i="20" s="1"/>
  <c r="F672" i="20"/>
  <c r="G672" i="20" s="1"/>
  <c r="G742" i="20" l="1"/>
  <c r="G741" i="20"/>
  <c r="G745" i="20"/>
  <c r="G744" i="20"/>
  <c r="G743" i="20"/>
  <c r="G707" i="20"/>
  <c r="G702" i="20"/>
  <c r="G705" i="20"/>
  <c r="G704" i="20"/>
  <c r="G706" i="20"/>
  <c r="G703" i="20"/>
  <c r="G663" i="20"/>
  <c r="G664" i="20"/>
  <c r="G667" i="20"/>
  <c r="G665" i="20"/>
  <c r="G666" i="20"/>
  <c r="C644" i="20"/>
  <c r="D311" i="9"/>
  <c r="C311" i="9"/>
  <c r="E303" i="9" a="1"/>
  <c r="E303" i="9" s="1"/>
  <c r="C640" i="20"/>
  <c r="B640" i="20"/>
  <c r="A640" i="20"/>
  <c r="A644" i="20" s="1"/>
  <c r="C639" i="20"/>
  <c r="B639" i="20"/>
  <c r="A639" i="20"/>
  <c r="A1213" i="20" s="1"/>
  <c r="C638" i="20"/>
  <c r="B638" i="20"/>
  <c r="A638" i="20"/>
  <c r="A1212" i="20" s="1"/>
  <c r="C637" i="20"/>
  <c r="B637" i="20"/>
  <c r="A637" i="20"/>
  <c r="A1211" i="20" s="1"/>
  <c r="C636" i="20"/>
  <c r="B636" i="20"/>
  <c r="A636" i="20"/>
  <c r="A1210" i="20" s="1"/>
  <c r="C635" i="20"/>
  <c r="B635" i="20"/>
  <c r="A635" i="20"/>
  <c r="A1209" i="20" s="1"/>
  <c r="C634" i="20"/>
  <c r="B634" i="20"/>
  <c r="A634" i="20"/>
  <c r="A1208" i="20" s="1"/>
  <c r="C633" i="20"/>
  <c r="B633" i="20"/>
  <c r="A633" i="20"/>
  <c r="A1207" i="20" s="1"/>
  <c r="C632" i="20"/>
  <c r="B632" i="20"/>
  <c r="A632" i="20"/>
  <c r="A1206" i="20" s="1"/>
  <c r="C631" i="20"/>
  <c r="B631" i="20"/>
  <c r="A631" i="20"/>
  <c r="A1205" i="20" s="1"/>
  <c r="C630" i="20"/>
  <c r="B630" i="20"/>
  <c r="A630" i="20"/>
  <c r="A1204" i="20" s="1"/>
  <c r="C629" i="20"/>
  <c r="B629" i="20"/>
  <c r="A629" i="20"/>
  <c r="C628" i="20"/>
  <c r="B628" i="20"/>
  <c r="A628" i="20"/>
  <c r="C627" i="20"/>
  <c r="B627" i="20"/>
  <c r="A627" i="20"/>
  <c r="C626" i="20"/>
  <c r="B626" i="20"/>
  <c r="A626" i="20"/>
  <c r="C625" i="20"/>
  <c r="B625" i="20"/>
  <c r="A625" i="20"/>
  <c r="C624" i="20"/>
  <c r="B624" i="20"/>
  <c r="A624" i="20"/>
  <c r="C623" i="20"/>
  <c r="B623" i="20"/>
  <c r="A623" i="20"/>
  <c r="C622" i="20"/>
  <c r="B622" i="20"/>
  <c r="A622" i="20"/>
  <c r="C621" i="20"/>
  <c r="B621" i="20"/>
  <c r="A621" i="20"/>
  <c r="C620" i="20"/>
  <c r="B620" i="20"/>
  <c r="A620" i="20"/>
  <c r="C619" i="20"/>
  <c r="B619" i="20"/>
  <c r="A619" i="20"/>
  <c r="C618" i="20"/>
  <c r="B618" i="20"/>
  <c r="A618" i="20"/>
  <c r="C310" i="9" a="1"/>
  <c r="I311" i="9" l="1"/>
  <c r="F630" i="20"/>
  <c r="F640" i="20"/>
  <c r="G640" i="20" s="1"/>
  <c r="F625" i="20"/>
  <c r="F628" i="20"/>
  <c r="F639" i="20"/>
  <c r="C310" i="9"/>
  <c r="H311" i="9" s="1"/>
  <c r="F637" i="20"/>
  <c r="F632" i="20"/>
  <c r="F638" i="20"/>
  <c r="F633" i="20"/>
  <c r="F634" i="20"/>
  <c r="F629" i="20"/>
  <c r="F626" i="20"/>
  <c r="F627" i="20"/>
  <c r="F623" i="20"/>
  <c r="F635" i="20"/>
  <c r="F631" i="20"/>
  <c r="F636" i="20"/>
  <c r="F624" i="20"/>
  <c r="C607" i="20"/>
  <c r="G628" i="20" l="1"/>
  <c r="G629" i="20"/>
  <c r="G627" i="20"/>
  <c r="G625" i="20"/>
  <c r="G626" i="20"/>
  <c r="B48" i="20"/>
  <c r="H1175" i="20" l="1"/>
  <c r="H1178" i="20"/>
  <c r="H1176" i="20"/>
  <c r="H1174" i="20"/>
  <c r="H1177" i="20"/>
  <c r="H1179" i="20"/>
  <c r="A12" i="45"/>
  <c r="M516" i="20"/>
  <c r="N516" i="20"/>
  <c r="M517" i="20"/>
  <c r="N517" i="20"/>
  <c r="M518" i="20"/>
  <c r="N518" i="20"/>
  <c r="M519" i="20"/>
  <c r="N519" i="20"/>
  <c r="N515" i="20"/>
  <c r="M515" i="20"/>
  <c r="U519" i="20"/>
  <c r="L519" i="20"/>
  <c r="K519" i="20"/>
  <c r="J519" i="20"/>
  <c r="U518" i="20"/>
  <c r="L518" i="20"/>
  <c r="K518" i="20"/>
  <c r="J518" i="20"/>
  <c r="U517" i="20"/>
  <c r="L517" i="20"/>
  <c r="K517" i="20"/>
  <c r="J517" i="20"/>
  <c r="U516" i="20"/>
  <c r="L516" i="20"/>
  <c r="K516" i="20"/>
  <c r="J516" i="20"/>
  <c r="U515" i="20"/>
  <c r="L515" i="20"/>
  <c r="K515" i="20"/>
  <c r="J515" i="20"/>
  <c r="N509" i="20"/>
  <c r="M509" i="20"/>
  <c r="U509" i="20"/>
  <c r="L509" i="20"/>
  <c r="K509" i="20"/>
  <c r="J509" i="20"/>
  <c r="N501" i="20"/>
  <c r="O501" i="20"/>
  <c r="M501" i="20"/>
  <c r="U501" i="20"/>
  <c r="L501" i="20"/>
  <c r="K501" i="20"/>
  <c r="J501" i="20"/>
  <c r="M454" i="20"/>
  <c r="N454" i="20"/>
  <c r="M455" i="20"/>
  <c r="N455" i="20"/>
  <c r="M456" i="20"/>
  <c r="N456" i="20"/>
  <c r="M457" i="20"/>
  <c r="N457" i="20"/>
  <c r="M458" i="20"/>
  <c r="N458" i="20"/>
  <c r="N453" i="20"/>
  <c r="M453" i="20"/>
  <c r="U458" i="20"/>
  <c r="L458" i="20"/>
  <c r="K458" i="20"/>
  <c r="J458" i="20"/>
  <c r="U457" i="20"/>
  <c r="L457" i="20"/>
  <c r="K457" i="20"/>
  <c r="J457" i="20"/>
  <c r="U456" i="20"/>
  <c r="L456" i="20"/>
  <c r="K456" i="20"/>
  <c r="J456" i="20"/>
  <c r="U455" i="20"/>
  <c r="L455" i="20"/>
  <c r="K455" i="20"/>
  <c r="J455" i="20"/>
  <c r="U454" i="20"/>
  <c r="L454" i="20"/>
  <c r="K454" i="20"/>
  <c r="J454" i="20"/>
  <c r="U453" i="20"/>
  <c r="L453" i="20"/>
  <c r="K453" i="20"/>
  <c r="J453" i="20"/>
  <c r="N447" i="20"/>
  <c r="M447" i="20"/>
  <c r="U447" i="20"/>
  <c r="L447" i="20"/>
  <c r="K447" i="20"/>
  <c r="J447" i="20"/>
  <c r="O439" i="20"/>
  <c r="N439" i="20"/>
  <c r="M439" i="20"/>
  <c r="U439" i="20"/>
  <c r="L439" i="20"/>
  <c r="K439" i="20"/>
  <c r="J439" i="20"/>
  <c r="O323" i="20"/>
  <c r="P323" i="20"/>
  <c r="Q323" i="20"/>
  <c r="O324" i="20"/>
  <c r="P324" i="20"/>
  <c r="Q324" i="20"/>
  <c r="O325" i="20"/>
  <c r="P325" i="20"/>
  <c r="Q325" i="20"/>
  <c r="Q322" i="20"/>
  <c r="P322" i="20"/>
  <c r="O322" i="20"/>
  <c r="Z325" i="20"/>
  <c r="N325" i="20"/>
  <c r="M325" i="20"/>
  <c r="L325" i="20"/>
  <c r="Z324" i="20"/>
  <c r="N324" i="20"/>
  <c r="M324" i="20"/>
  <c r="L324" i="20"/>
  <c r="Z323" i="20"/>
  <c r="N323" i="20"/>
  <c r="M323" i="20"/>
  <c r="L323" i="20"/>
  <c r="Z322" i="20"/>
  <c r="N322" i="20"/>
  <c r="M322" i="20"/>
  <c r="L322" i="20"/>
  <c r="U316" i="20"/>
  <c r="T316" i="20"/>
  <c r="S316" i="20"/>
  <c r="R316" i="20"/>
  <c r="AD316" i="20"/>
  <c r="Q316" i="20"/>
  <c r="P316" i="20"/>
  <c r="O316" i="20"/>
  <c r="N316" i="20"/>
  <c r="O310" i="20"/>
  <c r="N310" i="20"/>
  <c r="M310" i="20"/>
  <c r="U310" i="20"/>
  <c r="L310" i="20"/>
  <c r="K310" i="20"/>
  <c r="J310" i="20"/>
  <c r="Q298" i="20"/>
  <c r="R298" i="20"/>
  <c r="Q299" i="20"/>
  <c r="R299" i="20"/>
  <c r="Q300" i="20"/>
  <c r="R300" i="20"/>
  <c r="Q301" i="20"/>
  <c r="R301" i="20"/>
  <c r="Q302" i="20"/>
  <c r="R302" i="20"/>
  <c r="R297" i="20"/>
  <c r="Q297" i="20"/>
  <c r="AE302" i="20"/>
  <c r="P302" i="20"/>
  <c r="O302" i="20"/>
  <c r="N302" i="20"/>
  <c r="AE301" i="20"/>
  <c r="P301" i="20"/>
  <c r="O301" i="20"/>
  <c r="N301" i="20"/>
  <c r="AE300" i="20"/>
  <c r="P300" i="20"/>
  <c r="O300" i="20"/>
  <c r="N300" i="20"/>
  <c r="AE299" i="20"/>
  <c r="P299" i="20"/>
  <c r="O299" i="20"/>
  <c r="N299" i="20"/>
  <c r="AE298" i="20"/>
  <c r="P298" i="20"/>
  <c r="O298" i="20"/>
  <c r="N298" i="20"/>
  <c r="AE297" i="20"/>
  <c r="P297" i="20"/>
  <c r="O297" i="20"/>
  <c r="N297" i="20"/>
  <c r="X289" i="20"/>
  <c r="Y289" i="20"/>
  <c r="Z289" i="20"/>
  <c r="W289" i="20"/>
  <c r="AM289" i="20"/>
  <c r="V289" i="20"/>
  <c r="U289" i="20"/>
  <c r="T289" i="20"/>
  <c r="S289" i="20"/>
  <c r="R289" i="20"/>
  <c r="N281" i="20"/>
  <c r="O281" i="20"/>
  <c r="M281" i="20"/>
  <c r="U281" i="20"/>
  <c r="L281" i="20"/>
  <c r="K281" i="20"/>
  <c r="J281" i="20"/>
  <c r="B15" i="20"/>
  <c r="A15" i="20"/>
  <c r="D253" i="20"/>
  <c r="E253" i="20" s="1"/>
  <c r="D252" i="20"/>
  <c r="E252" i="20" s="1"/>
  <c r="D251" i="20"/>
  <c r="E251" i="20" s="1"/>
  <c r="D250" i="20"/>
  <c r="E250" i="20" s="1"/>
  <c r="D249" i="20"/>
  <c r="E249" i="20" s="1"/>
  <c r="D248" i="20"/>
  <c r="E248" i="20" s="1"/>
  <c r="D247" i="20"/>
  <c r="E247" i="20" s="1"/>
  <c r="D246" i="20"/>
  <c r="E246" i="20" s="1"/>
  <c r="D245" i="20"/>
  <c r="E245" i="20" s="1"/>
  <c r="D244" i="20"/>
  <c r="E244" i="20" s="1"/>
  <c r="A237" i="20" l="1"/>
  <c r="A236" i="20"/>
  <c r="A42" i="20" l="1"/>
  <c r="B7" i="20"/>
  <c r="A7" i="20"/>
  <c r="B488" i="44" l="1"/>
  <c r="B485" i="44"/>
  <c r="B194" i="44"/>
  <c r="B56" i="46" s="1"/>
  <c r="B67" i="46" s="1"/>
  <c r="B681" i="45" l="1"/>
  <c r="B682" i="45"/>
  <c r="C682" i="45" s="1"/>
  <c r="C680" i="45"/>
  <c r="A463" i="45"/>
  <c r="B362" i="45"/>
  <c r="B363" i="45"/>
  <c r="B364" i="45"/>
  <c r="C362" i="45"/>
  <c r="B59" i="45"/>
  <c r="B11" i="9"/>
  <c r="A11" i="9"/>
  <c r="B10" i="9"/>
  <c r="A10" i="9"/>
  <c r="G285" i="9"/>
  <c r="E285" i="9"/>
  <c r="G284" i="9"/>
  <c r="E284" i="9"/>
  <c r="G283" i="9"/>
  <c r="E283" i="9"/>
  <c r="G282" i="9"/>
  <c r="E282" i="9"/>
  <c r="G281" i="9"/>
  <c r="E281" i="9"/>
  <c r="G277" i="9"/>
  <c r="C277" i="9"/>
  <c r="G276" i="9"/>
  <c r="C276" i="9"/>
  <c r="G275" i="9"/>
  <c r="C275" i="9"/>
  <c r="G274" i="9"/>
  <c r="C274" i="9"/>
  <c r="G273" i="9"/>
  <c r="C273" i="9"/>
  <c r="G272" i="9"/>
  <c r="C272" i="9"/>
  <c r="G271" i="9"/>
  <c r="C271" i="9"/>
  <c r="G264" i="9"/>
  <c r="D264" i="9"/>
  <c r="E264" i="9" s="1"/>
  <c r="G263" i="9"/>
  <c r="D263" i="9"/>
  <c r="E263" i="9" s="1"/>
  <c r="G262" i="9"/>
  <c r="D262" i="9"/>
  <c r="E262" i="9" s="1"/>
  <c r="G261" i="9"/>
  <c r="D261" i="9"/>
  <c r="E261" i="9" s="1"/>
  <c r="G260" i="9"/>
  <c r="D260" i="9"/>
  <c r="E260" i="9" s="1"/>
  <c r="H256" i="9"/>
  <c r="E256" i="9"/>
  <c r="F256" i="9" s="1"/>
  <c r="H255" i="9"/>
  <c r="E255" i="9"/>
  <c r="F255" i="9" s="1"/>
  <c r="H254" i="9"/>
  <c r="E254" i="9"/>
  <c r="F254" i="9" s="1"/>
  <c r="H253" i="9"/>
  <c r="E253" i="9"/>
  <c r="F253" i="9" s="1"/>
  <c r="H252" i="9"/>
  <c r="E252" i="9"/>
  <c r="F252" i="9" s="1"/>
  <c r="H251" i="9"/>
  <c r="E251" i="9"/>
  <c r="F251" i="9" s="1"/>
  <c r="H250" i="9"/>
  <c r="F250" i="9"/>
  <c r="E250" i="9"/>
  <c r="H282" i="9" a="1"/>
  <c r="K262" i="9" a="1"/>
  <c r="K264" i="9" a="1"/>
  <c r="K284" i="9" a="1"/>
  <c r="H283" i="9" a="1"/>
  <c r="K283" i="9" a="1"/>
  <c r="L283" i="9" a="1"/>
  <c r="L282" i="9" a="1"/>
  <c r="H263" i="9" a="1"/>
  <c r="K282" i="9" a="1"/>
  <c r="L284" i="9" a="1"/>
  <c r="L260" i="9" a="1"/>
  <c r="H264" i="9" a="1"/>
  <c r="L281" i="9" a="1"/>
  <c r="K261" i="9" a="1"/>
  <c r="L264" i="9" a="1"/>
  <c r="H260" i="9" a="1"/>
  <c r="L285" i="9" a="1"/>
  <c r="K263" i="9" a="1"/>
  <c r="L261" i="9" a="1"/>
  <c r="H262" i="9" a="1"/>
  <c r="L263" i="9" a="1"/>
  <c r="L262" i="9" a="1"/>
  <c r="K260" i="9" a="1"/>
  <c r="H281" i="9" a="1"/>
  <c r="K281" i="9" a="1"/>
  <c r="K285" i="9" a="1"/>
  <c r="H261" i="9" a="1"/>
  <c r="H285" i="9" a="1"/>
  <c r="H284" i="9" a="1"/>
  <c r="D681" i="45" l="1"/>
  <c r="E681" i="45" s="1"/>
  <c r="E684" i="45" s="1"/>
  <c r="D363" i="45"/>
  <c r="E363" i="45" s="1"/>
  <c r="E366" i="45" s="1"/>
  <c r="C363" i="45"/>
  <c r="M283" i="9"/>
  <c r="L283" i="9"/>
  <c r="M282" i="9"/>
  <c r="L282" i="9"/>
  <c r="M284" i="9"/>
  <c r="L284" i="9"/>
  <c r="M285" i="9"/>
  <c r="L285" i="9"/>
  <c r="L281" i="9"/>
  <c r="M281" i="9"/>
  <c r="K282" i="9"/>
  <c r="K283" i="9"/>
  <c r="K284" i="9"/>
  <c r="K285" i="9"/>
  <c r="K281" i="9"/>
  <c r="I284" i="9"/>
  <c r="H284" i="9"/>
  <c r="I283" i="9"/>
  <c r="H283" i="9"/>
  <c r="H285" i="9"/>
  <c r="I285" i="9"/>
  <c r="I282" i="9"/>
  <c r="H282" i="9"/>
  <c r="H281" i="9"/>
  <c r="I281" i="9"/>
  <c r="L260" i="9"/>
  <c r="M260" i="9"/>
  <c r="M261" i="9"/>
  <c r="L261" i="9"/>
  <c r="M263" i="9"/>
  <c r="L263" i="9"/>
  <c r="M264" i="9"/>
  <c r="L264" i="9"/>
  <c r="M262" i="9"/>
  <c r="L262" i="9"/>
  <c r="I263" i="9"/>
  <c r="H263" i="9"/>
  <c r="K262" i="9"/>
  <c r="I261" i="9"/>
  <c r="H261" i="9"/>
  <c r="I264" i="9"/>
  <c r="H264" i="9"/>
  <c r="K263" i="9"/>
  <c r="K261" i="9"/>
  <c r="H262" i="9"/>
  <c r="I262" i="9"/>
  <c r="K264" i="9"/>
  <c r="K260" i="9"/>
  <c r="H260" i="9"/>
  <c r="I260" i="9"/>
  <c r="J262" i="9" l="1"/>
  <c r="N260" i="9"/>
  <c r="J260" i="9"/>
  <c r="O263" i="9"/>
  <c r="O284" i="9"/>
  <c r="J285" i="9"/>
  <c r="O262" i="9"/>
  <c r="O282" i="9"/>
  <c r="J263" i="9"/>
  <c r="O260" i="9" a="1"/>
  <c r="O260" i="9" s="1"/>
  <c r="J283" i="9"/>
  <c r="O283" i="9"/>
  <c r="N285" i="9"/>
  <c r="J282" i="9"/>
  <c r="N283" i="9"/>
  <c r="O264" i="9"/>
  <c r="O285" i="9"/>
  <c r="N284" i="9"/>
  <c r="N282" i="9"/>
  <c r="J284" i="9"/>
  <c r="P283" i="9"/>
  <c r="P282" i="9"/>
  <c r="P285" i="9"/>
  <c r="P284" i="9"/>
  <c r="O281" i="9"/>
  <c r="N281" i="9"/>
  <c r="J281" i="9"/>
  <c r="P281" i="9"/>
  <c r="N263" i="9"/>
  <c r="N261" i="9"/>
  <c r="O261" i="9"/>
  <c r="N262" i="9"/>
  <c r="N264" i="9"/>
  <c r="J264" i="9"/>
  <c r="P263" i="9"/>
  <c r="J261" i="9"/>
  <c r="P264" i="9"/>
  <c r="P262" i="9"/>
  <c r="P261" i="9"/>
  <c r="P260" i="9"/>
  <c r="B9" i="9" l="1"/>
  <c r="A9" i="9"/>
  <c r="B202" i="9" a="1"/>
  <c r="B202" i="9" s="1"/>
  <c r="E196" i="9"/>
  <c r="E195" i="9"/>
  <c r="E194" i="9"/>
  <c r="E193" i="9"/>
  <c r="E191" i="9"/>
  <c r="C191" i="9"/>
  <c r="E190" i="9"/>
  <c r="C190" i="9"/>
  <c r="E189" i="9"/>
  <c r="C189" i="9"/>
  <c r="E188" i="9"/>
  <c r="C188" i="9"/>
  <c r="E187" i="9"/>
  <c r="C187" i="9"/>
  <c r="B223" i="9" a="1"/>
  <c r="B194" i="9" a="1"/>
  <c r="B193" i="9" a="1"/>
  <c r="B234" i="9" l="1"/>
  <c r="B232" i="9"/>
  <c r="B193" i="9"/>
  <c r="B223" i="9"/>
  <c r="B213" i="9"/>
  <c r="B214" i="9"/>
  <c r="B194" i="9"/>
  <c r="B215" i="9"/>
  <c r="B218" i="9"/>
  <c r="B195" i="9"/>
  <c r="A234" i="9" l="1"/>
  <c r="A233" i="9"/>
  <c r="A232" i="9"/>
  <c r="B224" i="9"/>
  <c r="C195" i="9"/>
  <c r="B233" i="9" s="1"/>
  <c r="C224" i="9" l="1"/>
  <c r="C226" i="9" s="1"/>
  <c r="B226" i="9"/>
  <c r="B8" i="9" l="1"/>
  <c r="A8" i="9"/>
  <c r="U171" i="9"/>
  <c r="S171" i="9"/>
  <c r="Q171" i="9"/>
  <c r="O162" i="9"/>
  <c r="I152" i="9"/>
  <c r="M162" i="9" s="1"/>
  <c r="I151" i="9" a="1"/>
  <c r="M161" i="9" a="1"/>
  <c r="Q170" i="9" a="1"/>
  <c r="S172" i="9" l="1"/>
  <c r="U172" i="9"/>
  <c r="N161" i="9"/>
  <c r="N165" i="9" s="1"/>
  <c r="I151" i="9"/>
  <c r="I155" i="9" s="1"/>
  <c r="J151" i="9"/>
  <c r="J155" i="9" s="1"/>
  <c r="U174" i="9"/>
  <c r="T174" i="9"/>
  <c r="Q170" i="9"/>
  <c r="Q174" i="9" s="1"/>
  <c r="S174" i="9"/>
  <c r="V174" i="9"/>
  <c r="M161" i="9"/>
  <c r="M165" i="9" s="1"/>
  <c r="P161" i="9"/>
  <c r="P165" i="9" s="1"/>
  <c r="R171" i="9"/>
  <c r="R172" i="9" s="1"/>
  <c r="T171" i="9"/>
  <c r="T172" i="9" s="1"/>
  <c r="P162" i="9"/>
  <c r="V171" i="9"/>
  <c r="V172" i="9" s="1"/>
  <c r="O161" i="9"/>
  <c r="O165" i="9" s="1"/>
  <c r="J152" i="9"/>
  <c r="R174" i="9"/>
  <c r="P163" i="9" l="1"/>
  <c r="O163" i="9"/>
  <c r="Q172" i="9"/>
  <c r="J153" i="9"/>
  <c r="N162" i="9"/>
  <c r="N163" i="9" s="1"/>
  <c r="I153" i="9"/>
  <c r="M163" i="9"/>
  <c r="B7" i="9" l="1"/>
  <c r="A7" i="9"/>
  <c r="Q132" i="9"/>
  <c r="O132" i="9"/>
  <c r="P132" i="9" s="1"/>
  <c r="M132" i="9"/>
  <c r="M122" i="9"/>
  <c r="N122" i="9" s="1"/>
  <c r="K122" i="9"/>
  <c r="L122" i="9" s="1"/>
  <c r="I112" i="9"/>
  <c r="K121" i="9" a="1"/>
  <c r="M131" i="9" a="1"/>
  <c r="I111" i="9" a="1"/>
  <c r="I111" i="9" l="1"/>
  <c r="I115" i="9" s="1"/>
  <c r="J111" i="9"/>
  <c r="J115" i="9" s="1"/>
  <c r="N121" i="9"/>
  <c r="N125" i="9" s="1"/>
  <c r="Q131" i="9"/>
  <c r="Q135" i="9" s="1"/>
  <c r="N132" i="9"/>
  <c r="J112" i="9"/>
  <c r="R132" i="9"/>
  <c r="R131" i="9"/>
  <c r="R135" i="9" s="1"/>
  <c r="K121" i="9"/>
  <c r="L121" i="9"/>
  <c r="L125" i="9" s="1"/>
  <c r="M131" i="9"/>
  <c r="M135" i="9" s="1"/>
  <c r="M121" i="9"/>
  <c r="M125" i="9" s="1"/>
  <c r="N131" i="9"/>
  <c r="N135" i="9" s="1"/>
  <c r="O131" i="9"/>
  <c r="P131" i="9"/>
  <c r="P135" i="9" s="1"/>
  <c r="Q133" i="9" l="1"/>
  <c r="N123" i="9"/>
  <c r="I113" i="9"/>
  <c r="R133" i="9"/>
  <c r="P133" i="9"/>
  <c r="M123" i="9"/>
  <c r="J113" i="9"/>
  <c r="M133" i="9"/>
  <c r="L123" i="9"/>
  <c r="K123" i="9"/>
  <c r="K125" i="9"/>
  <c r="O135" i="9"/>
  <c r="O133" i="9"/>
  <c r="N133" i="9"/>
  <c r="P65" i="20" l="1"/>
  <c r="O65" i="20"/>
  <c r="N65" i="20"/>
  <c r="M65" i="20"/>
  <c r="P64" i="20"/>
  <c r="O64" i="20"/>
  <c r="N64" i="20"/>
  <c r="M64" i="20"/>
  <c r="P63" i="20"/>
  <c r="O63" i="20"/>
  <c r="N63" i="20"/>
  <c r="M63" i="20"/>
  <c r="P62" i="20"/>
  <c r="O62" i="20"/>
  <c r="N62" i="20"/>
  <c r="M62" i="20"/>
  <c r="P61" i="20"/>
  <c r="O61" i="20"/>
  <c r="N61" i="20"/>
  <c r="M61" i="20"/>
  <c r="P60" i="20"/>
  <c r="O60" i="20"/>
  <c r="N60" i="20"/>
  <c r="M60" i="20"/>
  <c r="P59" i="20"/>
  <c r="O59" i="20"/>
  <c r="N59" i="20"/>
  <c r="M59" i="20"/>
  <c r="P58" i="20"/>
  <c r="O58" i="20"/>
  <c r="N58" i="20"/>
  <c r="M58" i="20"/>
  <c r="P57" i="20"/>
  <c r="O57" i="20"/>
  <c r="N57" i="20"/>
  <c r="M57" i="20"/>
  <c r="P56" i="20"/>
  <c r="O56" i="20"/>
  <c r="N56" i="20"/>
  <c r="M56" i="20"/>
  <c r="P55" i="20"/>
  <c r="O55" i="20"/>
  <c r="N55" i="20"/>
  <c r="M55" i="20"/>
  <c r="B6" i="9" l="1"/>
  <c r="A6" i="9"/>
  <c r="D73" i="9" l="1"/>
  <c r="C73" i="9"/>
  <c r="B73" i="9"/>
  <c r="A73" i="9"/>
  <c r="K73" i="9" a="1"/>
  <c r="P73" i="9" l="1"/>
  <c r="K73" i="9"/>
  <c r="M73" i="9"/>
  <c r="N73" i="9"/>
  <c r="Q73" i="9"/>
  <c r="L73" i="9"/>
  <c r="O73" i="9"/>
  <c r="B5" i="9"/>
  <c r="A5" i="9"/>
  <c r="B21" i="45"/>
  <c r="A21" i="45"/>
  <c r="M761" i="45" l="1"/>
  <c r="D1009" i="20" s="1"/>
  <c r="J761" i="45"/>
  <c r="A1009" i="20" s="1"/>
  <c r="M760" i="45"/>
  <c r="D1023" i="20" s="1"/>
  <c r="J760" i="45"/>
  <c r="A1023" i="20" s="1"/>
  <c r="A1027" i="20" s="1"/>
  <c r="M759" i="45"/>
  <c r="D1008" i="20" s="1"/>
  <c r="J759" i="45"/>
  <c r="A1008" i="20" s="1"/>
  <c r="M758" i="45"/>
  <c r="D1022" i="20" s="1"/>
  <c r="F1228" i="20" s="1"/>
  <c r="F1364" i="20" s="1"/>
  <c r="J758" i="45"/>
  <c r="A1022" i="20" s="1"/>
  <c r="A1228" i="20" s="1"/>
  <c r="A1364" i="20" s="1"/>
  <c r="M757" i="45"/>
  <c r="D1021" i="20" s="1"/>
  <c r="F1227" i="20" s="1"/>
  <c r="F1363" i="20" s="1"/>
  <c r="J757" i="45"/>
  <c r="A1021" i="20" s="1"/>
  <c r="A1227" i="20" s="1"/>
  <c r="A1363" i="20" s="1"/>
  <c r="M756" i="45"/>
  <c r="D1020" i="20" s="1"/>
  <c r="F1226" i="20" s="1"/>
  <c r="F1362" i="20" s="1"/>
  <c r="J756" i="45"/>
  <c r="A1020" i="20" s="1"/>
  <c r="A1226" i="20" s="1"/>
  <c r="A1362" i="20" s="1"/>
  <c r="M755" i="45"/>
  <c r="D1019" i="20" s="1"/>
  <c r="F1225" i="20" s="1"/>
  <c r="F1361" i="20" s="1"/>
  <c r="J755" i="45"/>
  <c r="A1019" i="20" s="1"/>
  <c r="A1225" i="20" s="1"/>
  <c r="A1361" i="20" s="1"/>
  <c r="M754" i="45"/>
  <c r="D1018" i="20" s="1"/>
  <c r="F1224" i="20" s="1"/>
  <c r="F1360" i="20" s="1"/>
  <c r="J754" i="45"/>
  <c r="A1018" i="20" s="1"/>
  <c r="A1224" i="20" s="1"/>
  <c r="A1360" i="20" s="1"/>
  <c r="M753" i="45"/>
  <c r="D1017" i="20" s="1"/>
  <c r="F1223" i="20" s="1"/>
  <c r="F1359" i="20" s="1"/>
  <c r="J753" i="45"/>
  <c r="A1017" i="20" s="1"/>
  <c r="A1223" i="20" s="1"/>
  <c r="A1359" i="20" s="1"/>
  <c r="M752" i="45"/>
  <c r="D1016" i="20" s="1"/>
  <c r="F1222" i="20" s="1"/>
  <c r="F1358" i="20" s="1"/>
  <c r="J752" i="45"/>
  <c r="A1016" i="20" s="1"/>
  <c r="A1222" i="20" s="1"/>
  <c r="A1358" i="20" s="1"/>
  <c r="M751" i="45"/>
  <c r="D1015" i="20" s="1"/>
  <c r="F1221" i="20" s="1"/>
  <c r="F1357" i="20" s="1"/>
  <c r="J751" i="45"/>
  <c r="A1015" i="20" s="1"/>
  <c r="A1221" i="20" s="1"/>
  <c r="A1357" i="20" s="1"/>
  <c r="M750" i="45"/>
  <c r="D1014" i="20" s="1"/>
  <c r="F1220" i="20" s="1"/>
  <c r="F1356" i="20" s="1"/>
  <c r="J750" i="45"/>
  <c r="A1014" i="20" s="1"/>
  <c r="A1220" i="20" s="1"/>
  <c r="A1356" i="20" s="1"/>
  <c r="M749" i="45"/>
  <c r="D1013" i="20" s="1"/>
  <c r="F1219" i="20" s="1"/>
  <c r="F1355" i="20" s="1"/>
  <c r="J749" i="45"/>
  <c r="A1013" i="20" s="1"/>
  <c r="A1219" i="20" s="1"/>
  <c r="A1355" i="20" s="1"/>
  <c r="M748" i="45"/>
  <c r="D1007" i="20" s="1"/>
  <c r="J748" i="45"/>
  <c r="A1007" i="20" s="1"/>
  <c r="M747" i="45"/>
  <c r="D1006" i="20" s="1"/>
  <c r="J747" i="45"/>
  <c r="A1006" i="20" s="1"/>
  <c r="M746" i="45"/>
  <c r="D1005" i="20" s="1"/>
  <c r="J746" i="45"/>
  <c r="A1005" i="20" s="1"/>
  <c r="M745" i="45"/>
  <c r="D1004" i="20" s="1"/>
  <c r="J745" i="45"/>
  <c r="A1004" i="20" s="1"/>
  <c r="G805" i="45"/>
  <c r="G804" i="45"/>
  <c r="G803" i="45"/>
  <c r="G802" i="45"/>
  <c r="G801" i="45"/>
  <c r="G800" i="45"/>
  <c r="G799" i="45"/>
  <c r="G798" i="45"/>
  <c r="G797" i="45"/>
  <c r="G796" i="45"/>
  <c r="G795" i="45"/>
  <c r="G794" i="45"/>
  <c r="G793" i="45"/>
  <c r="G792" i="45"/>
  <c r="G791" i="45"/>
  <c r="G790" i="45"/>
  <c r="G789" i="45"/>
  <c r="G783" i="45"/>
  <c r="G782" i="45"/>
  <c r="G781" i="45"/>
  <c r="G780" i="45"/>
  <c r="G779" i="45"/>
  <c r="G778" i="45"/>
  <c r="G777" i="45"/>
  <c r="G776" i="45"/>
  <c r="G775" i="45"/>
  <c r="G774" i="45"/>
  <c r="G773" i="45"/>
  <c r="G772" i="45"/>
  <c r="G771" i="45"/>
  <c r="G770" i="45"/>
  <c r="G769" i="45"/>
  <c r="G768" i="45"/>
  <c r="G767" i="45"/>
  <c r="G746" i="45"/>
  <c r="G747" i="45"/>
  <c r="G748" i="45"/>
  <c r="G749" i="45"/>
  <c r="G750" i="45"/>
  <c r="G751" i="45"/>
  <c r="G752" i="45"/>
  <c r="G753" i="45"/>
  <c r="G754" i="45"/>
  <c r="G755" i="45"/>
  <c r="G832" i="45" s="1"/>
  <c r="G756" i="45"/>
  <c r="G757" i="45"/>
  <c r="G758" i="45"/>
  <c r="G759" i="45"/>
  <c r="K759" i="45" s="1"/>
  <c r="B1008" i="20" s="1"/>
  <c r="G760" i="45"/>
  <c r="G761" i="45"/>
  <c r="K761" i="45" s="1"/>
  <c r="B1009" i="20" s="1"/>
  <c r="G745" i="45"/>
  <c r="A822" i="45"/>
  <c r="B20" i="45"/>
  <c r="A20" i="45"/>
  <c r="B19" i="45"/>
  <c r="A19" i="45"/>
  <c r="K753" i="45" l="1"/>
  <c r="B1017" i="20" s="1"/>
  <c r="K758" i="45"/>
  <c r="B1022" i="20" s="1"/>
  <c r="K756" i="45"/>
  <c r="B1020" i="20" s="1"/>
  <c r="K754" i="45"/>
  <c r="B1018" i="20" s="1"/>
  <c r="K752" i="45"/>
  <c r="B1016" i="20" s="1"/>
  <c r="K751" i="45"/>
  <c r="B1015" i="20" s="1"/>
  <c r="K750" i="45"/>
  <c r="B1014" i="20" s="1"/>
  <c r="K748" i="45"/>
  <c r="B1007" i="20" s="1"/>
  <c r="K747" i="45"/>
  <c r="B1006" i="20" s="1"/>
  <c r="K745" i="45"/>
  <c r="B1004" i="20" s="1"/>
  <c r="K749" i="45"/>
  <c r="B1013" i="20" s="1"/>
  <c r="K757" i="45"/>
  <c r="B1021" i="20" s="1"/>
  <c r="G830" i="45"/>
  <c r="K746" i="45"/>
  <c r="B1005" i="20" s="1"/>
  <c r="G827" i="45"/>
  <c r="K755" i="45"/>
  <c r="B1019" i="20" s="1"/>
  <c r="S1019" i="20" s="1"/>
  <c r="G822" i="45"/>
  <c r="G838" i="45"/>
  <c r="K760" i="45"/>
  <c r="B1023" i="20" s="1"/>
  <c r="G828" i="45"/>
  <c r="G823" i="45"/>
  <c r="G837" i="45"/>
  <c r="G836" i="45"/>
  <c r="G835" i="45"/>
  <c r="G834" i="45"/>
  <c r="G833" i="45"/>
  <c r="G831" i="45"/>
  <c r="G829" i="45"/>
  <c r="G826" i="45"/>
  <c r="G825" i="45"/>
  <c r="G824" i="45"/>
  <c r="G839" i="45"/>
  <c r="H793" i="45" s="1"/>
  <c r="S1014" i="20" l="1"/>
  <c r="S1020" i="20"/>
  <c r="S1021" i="20"/>
  <c r="S1016" i="20"/>
  <c r="S1022" i="20"/>
  <c r="S1013" i="20"/>
  <c r="S1015" i="20"/>
  <c r="S1018" i="20"/>
  <c r="S1017" i="20"/>
  <c r="H754" i="45"/>
  <c r="H757" i="45"/>
  <c r="H778" i="45"/>
  <c r="H797" i="45"/>
  <c r="H745" i="45"/>
  <c r="H748" i="45"/>
  <c r="H782" i="45"/>
  <c r="H776" i="45"/>
  <c r="H795" i="45"/>
  <c r="H803" i="45"/>
  <c r="H746" i="45"/>
  <c r="H771" i="45"/>
  <c r="H774" i="45"/>
  <c r="H768" i="45"/>
  <c r="H799" i="45"/>
  <c r="H792" i="45"/>
  <c r="H760" i="45"/>
  <c r="H756" i="45"/>
  <c r="H772" i="45"/>
  <c r="H801" i="45"/>
  <c r="H804" i="45"/>
  <c r="H783" i="45"/>
  <c r="H767" i="45"/>
  <c r="H761" i="45"/>
  <c r="L761" i="45" s="1"/>
  <c r="C1009" i="20" s="1"/>
  <c r="H802" i="45"/>
  <c r="H781" i="45"/>
  <c r="H747" i="45"/>
  <c r="H800" i="45"/>
  <c r="H779" i="45"/>
  <c r="H777" i="45"/>
  <c r="H798" i="45"/>
  <c r="H751" i="45"/>
  <c r="L751" i="45" s="1"/>
  <c r="C1015" i="20" s="1"/>
  <c r="H794" i="45"/>
  <c r="H773" i="45"/>
  <c r="H755" i="45"/>
  <c r="H759" i="45"/>
  <c r="H769" i="45"/>
  <c r="H790" i="45"/>
  <c r="H752" i="45"/>
  <c r="H780" i="45"/>
  <c r="H770" i="45"/>
  <c r="H775" i="45"/>
  <c r="H758" i="45"/>
  <c r="L758" i="45" s="1"/>
  <c r="C1022" i="20" s="1"/>
  <c r="H750" i="45"/>
  <c r="L750" i="45" s="1"/>
  <c r="C1014" i="20" s="1"/>
  <c r="H753" i="45"/>
  <c r="L753" i="45" s="1"/>
  <c r="C1017" i="20" s="1"/>
  <c r="H749" i="45"/>
  <c r="L749" i="45" s="1"/>
  <c r="C1013" i="20" s="1"/>
  <c r="H791" i="45"/>
  <c r="H796" i="45"/>
  <c r="H789" i="45"/>
  <c r="H805" i="45"/>
  <c r="L747" i="45" l="1"/>
  <c r="C1006" i="20" s="1"/>
  <c r="L748" i="45"/>
  <c r="C1007" i="20" s="1"/>
  <c r="L745" i="45"/>
  <c r="C1004" i="20" s="1"/>
  <c r="L746" i="45"/>
  <c r="C1005" i="20" s="1"/>
  <c r="L752" i="45"/>
  <c r="C1016" i="20" s="1"/>
  <c r="L759" i="45"/>
  <c r="C1008" i="20" s="1"/>
  <c r="L755" i="45"/>
  <c r="C1019" i="20" s="1"/>
  <c r="L756" i="45"/>
  <c r="C1020" i="20" s="1"/>
  <c r="L757" i="45"/>
  <c r="C1021" i="20" s="1"/>
  <c r="L760" i="45"/>
  <c r="C1023" i="20" s="1"/>
  <c r="L754" i="45"/>
  <c r="C1018" i="20" s="1"/>
  <c r="Q612" i="45"/>
  <c r="D936" i="20" s="1"/>
  <c r="N612" i="45"/>
  <c r="A936" i="20" s="1"/>
  <c r="Q611" i="45"/>
  <c r="D951" i="20" s="1"/>
  <c r="N611" i="45"/>
  <c r="A951" i="20" s="1"/>
  <c r="A956" i="20" s="1"/>
  <c r="Q610" i="45"/>
  <c r="D950" i="20" s="1"/>
  <c r="N610" i="45"/>
  <c r="A950" i="20" s="1"/>
  <c r="A955" i="20" s="1"/>
  <c r="Q609" i="45"/>
  <c r="D949" i="20" s="1"/>
  <c r="F1252" i="20" s="1"/>
  <c r="N609" i="45"/>
  <c r="A949" i="20" s="1"/>
  <c r="A1252" i="20" s="1"/>
  <c r="Q608" i="45"/>
  <c r="D948" i="20" s="1"/>
  <c r="F1251" i="20" s="1"/>
  <c r="N608" i="45"/>
  <c r="A948" i="20" s="1"/>
  <c r="A1251" i="20" s="1"/>
  <c r="Q607" i="45"/>
  <c r="D947" i="20" s="1"/>
  <c r="F1250" i="20" s="1"/>
  <c r="N607" i="45"/>
  <c r="A947" i="20" s="1"/>
  <c r="A1250" i="20" s="1"/>
  <c r="Q606" i="45"/>
  <c r="D946" i="20" s="1"/>
  <c r="F1249" i="20" s="1"/>
  <c r="N606" i="45"/>
  <c r="A946" i="20" s="1"/>
  <c r="A1249" i="20" s="1"/>
  <c r="Q605" i="45"/>
  <c r="D945" i="20" s="1"/>
  <c r="F1248" i="20" s="1"/>
  <c r="N605" i="45"/>
  <c r="A945" i="20" s="1"/>
  <c r="A1248" i="20" s="1"/>
  <c r="Q604" i="45"/>
  <c r="D944" i="20" s="1"/>
  <c r="F1247" i="20" s="1"/>
  <c r="N604" i="45"/>
  <c r="A944" i="20" s="1"/>
  <c r="A1247" i="20" s="1"/>
  <c r="Q603" i="45"/>
  <c r="D943" i="20" s="1"/>
  <c r="F1246" i="20" s="1"/>
  <c r="N603" i="45"/>
  <c r="A943" i="20" s="1"/>
  <c r="A1246" i="20" s="1"/>
  <c r="Q602" i="45"/>
  <c r="D942" i="20" s="1"/>
  <c r="F1245" i="20" s="1"/>
  <c r="N602" i="45"/>
  <c r="A942" i="20" s="1"/>
  <c r="A1245" i="20" s="1"/>
  <c r="Q601" i="45"/>
  <c r="D941" i="20" s="1"/>
  <c r="F1244" i="20" s="1"/>
  <c r="N601" i="45"/>
  <c r="A941" i="20" s="1"/>
  <c r="A1244" i="20" s="1"/>
  <c r="Q600" i="45"/>
  <c r="D940" i="20" s="1"/>
  <c r="F1243" i="20" s="1"/>
  <c r="N600" i="45"/>
  <c r="A940" i="20" s="1"/>
  <c r="A1243" i="20" s="1"/>
  <c r="Q599" i="45"/>
  <c r="D935" i="20" s="1"/>
  <c r="N599" i="45"/>
  <c r="A935" i="20" s="1"/>
  <c r="Q598" i="45"/>
  <c r="D934" i="20" s="1"/>
  <c r="N598" i="45"/>
  <c r="A934" i="20" s="1"/>
  <c r="Q597" i="45"/>
  <c r="D933" i="20" s="1"/>
  <c r="N597" i="45"/>
  <c r="A933" i="20" s="1"/>
  <c r="Q596" i="45"/>
  <c r="D932" i="20" s="1"/>
  <c r="N596" i="45"/>
  <c r="A932" i="20" s="1"/>
  <c r="I656" i="45" l="1"/>
  <c r="I655" i="45"/>
  <c r="I654" i="45"/>
  <c r="I653" i="45"/>
  <c r="I652" i="45"/>
  <c r="I651" i="45"/>
  <c r="I650" i="45"/>
  <c r="I649" i="45"/>
  <c r="I648" i="45"/>
  <c r="I647" i="45"/>
  <c r="I646" i="45"/>
  <c r="I645" i="45"/>
  <c r="I644" i="45"/>
  <c r="I643" i="45"/>
  <c r="I642" i="45"/>
  <c r="I641" i="45"/>
  <c r="I640" i="45"/>
  <c r="I634" i="45"/>
  <c r="I633" i="45"/>
  <c r="I632" i="45"/>
  <c r="I631" i="45"/>
  <c r="I630" i="45"/>
  <c r="I629" i="45"/>
  <c r="I628" i="45"/>
  <c r="I627" i="45"/>
  <c r="I626" i="45"/>
  <c r="I625" i="45"/>
  <c r="I624" i="45"/>
  <c r="I623" i="45"/>
  <c r="I622" i="45"/>
  <c r="I621" i="45"/>
  <c r="J621" i="45" s="1"/>
  <c r="I620" i="45"/>
  <c r="I619" i="45"/>
  <c r="I618" i="45"/>
  <c r="I612" i="45"/>
  <c r="I611" i="45"/>
  <c r="I610" i="45"/>
  <c r="I687" i="45" s="1"/>
  <c r="I609" i="45"/>
  <c r="I686" i="45" s="1"/>
  <c r="I608" i="45"/>
  <c r="I685" i="45" s="1"/>
  <c r="I607" i="45"/>
  <c r="I684" i="45" s="1"/>
  <c r="I606" i="45"/>
  <c r="I605" i="45"/>
  <c r="I604" i="45"/>
  <c r="I603" i="45"/>
  <c r="I602" i="45"/>
  <c r="I601" i="45"/>
  <c r="I600" i="45"/>
  <c r="I599" i="45"/>
  <c r="J599" i="45" s="1"/>
  <c r="I598" i="45"/>
  <c r="I597" i="45"/>
  <c r="I596" i="45"/>
  <c r="D702" i="45"/>
  <c r="C702" i="45"/>
  <c r="B702" i="45"/>
  <c r="D695" i="45"/>
  <c r="C695" i="45"/>
  <c r="B695" i="45"/>
  <c r="D688" i="45"/>
  <c r="C688" i="45"/>
  <c r="B688" i="45"/>
  <c r="B18" i="45"/>
  <c r="A18" i="45"/>
  <c r="B19" i="20"/>
  <c r="A19" i="20"/>
  <c r="Q65" i="20"/>
  <c r="S65" i="20"/>
  <c r="U65" i="20"/>
  <c r="U64" i="20"/>
  <c r="S64" i="20"/>
  <c r="Q64" i="20"/>
  <c r="U63" i="20"/>
  <c r="S63" i="20"/>
  <c r="Q63" i="20"/>
  <c r="U62" i="20"/>
  <c r="S62" i="20"/>
  <c r="Q62" i="20"/>
  <c r="U61" i="20"/>
  <c r="S61" i="20"/>
  <c r="Q61" i="20"/>
  <c r="B924" i="20"/>
  <c r="B923" i="20"/>
  <c r="B922" i="20"/>
  <c r="B921" i="20"/>
  <c r="B920" i="20"/>
  <c r="B919" i="20"/>
  <c r="B918" i="20"/>
  <c r="B917" i="20"/>
  <c r="B916" i="20"/>
  <c r="B915" i="20"/>
  <c r="B914" i="20"/>
  <c r="B913" i="20"/>
  <c r="B912" i="20"/>
  <c r="B911" i="20"/>
  <c r="B910" i="20"/>
  <c r="B909" i="20"/>
  <c r="B908" i="20"/>
  <c r="B907" i="20"/>
  <c r="B906" i="20"/>
  <c r="B905" i="20"/>
  <c r="B904" i="20"/>
  <c r="B903" i="20"/>
  <c r="B902" i="20"/>
  <c r="B901" i="20"/>
  <c r="M925" i="20"/>
  <c r="J925" i="20"/>
  <c r="G925" i="20"/>
  <c r="M924" i="20"/>
  <c r="J924" i="20"/>
  <c r="G924" i="20"/>
  <c r="M923" i="20"/>
  <c r="J923" i="20"/>
  <c r="G923" i="20"/>
  <c r="M922" i="20"/>
  <c r="J922" i="20"/>
  <c r="G922" i="20"/>
  <c r="M921" i="20"/>
  <c r="J921" i="20"/>
  <c r="G921" i="20"/>
  <c r="M920" i="20"/>
  <c r="J920" i="20"/>
  <c r="G920" i="20"/>
  <c r="M919" i="20"/>
  <c r="J919" i="20"/>
  <c r="G919" i="20"/>
  <c r="M918" i="20"/>
  <c r="J918" i="20"/>
  <c r="G918" i="20"/>
  <c r="M917" i="20"/>
  <c r="J917" i="20"/>
  <c r="G917" i="20"/>
  <c r="M916" i="20"/>
  <c r="J916" i="20"/>
  <c r="G916" i="20"/>
  <c r="M915" i="20"/>
  <c r="J915" i="20"/>
  <c r="G915" i="20"/>
  <c r="M914" i="20"/>
  <c r="J914" i="20"/>
  <c r="G914" i="20"/>
  <c r="M913" i="20"/>
  <c r="J913" i="20"/>
  <c r="G913" i="20"/>
  <c r="M912" i="20"/>
  <c r="J912" i="20"/>
  <c r="G912" i="20"/>
  <c r="M911" i="20"/>
  <c r="J911" i="20"/>
  <c r="G911" i="20"/>
  <c r="M910" i="20"/>
  <c r="J910" i="20"/>
  <c r="G910" i="20"/>
  <c r="M909" i="20"/>
  <c r="J909" i="20"/>
  <c r="G909" i="20"/>
  <c r="M908" i="20"/>
  <c r="J908" i="20"/>
  <c r="G908" i="20"/>
  <c r="B882" i="20"/>
  <c r="B881" i="20"/>
  <c r="B880" i="20"/>
  <c r="B879" i="20"/>
  <c r="B878" i="20"/>
  <c r="B877" i="20"/>
  <c r="B876" i="20"/>
  <c r="B875" i="20"/>
  <c r="B874" i="20"/>
  <c r="B873" i="20"/>
  <c r="B872" i="20"/>
  <c r="B871" i="20"/>
  <c r="B870" i="20"/>
  <c r="B869" i="20"/>
  <c r="B868" i="20"/>
  <c r="B867" i="20"/>
  <c r="B866" i="20"/>
  <c r="B865" i="20"/>
  <c r="B864" i="20"/>
  <c r="B863" i="20"/>
  <c r="B862" i="20"/>
  <c r="B861" i="20"/>
  <c r="B860" i="20"/>
  <c r="B859" i="20"/>
  <c r="M882" i="20"/>
  <c r="J882" i="20"/>
  <c r="G882" i="20"/>
  <c r="M881" i="20"/>
  <c r="J881" i="20"/>
  <c r="G881" i="20"/>
  <c r="M880" i="20"/>
  <c r="J880" i="20"/>
  <c r="G880" i="20"/>
  <c r="M879" i="20"/>
  <c r="J879" i="20"/>
  <c r="G879" i="20"/>
  <c r="M878" i="20"/>
  <c r="J878" i="20"/>
  <c r="G878" i="20"/>
  <c r="M877" i="20"/>
  <c r="J877" i="20"/>
  <c r="G877" i="20"/>
  <c r="M876" i="20"/>
  <c r="J876" i="20"/>
  <c r="G876" i="20"/>
  <c r="M875" i="20"/>
  <c r="J875" i="20"/>
  <c r="G875" i="20"/>
  <c r="M874" i="20"/>
  <c r="J874" i="20"/>
  <c r="G874" i="20"/>
  <c r="M873" i="20"/>
  <c r="J873" i="20"/>
  <c r="G873" i="20"/>
  <c r="M872" i="20"/>
  <c r="J872" i="20"/>
  <c r="G872" i="20"/>
  <c r="M871" i="20"/>
  <c r="J871" i="20"/>
  <c r="G871" i="20"/>
  <c r="M870" i="20"/>
  <c r="J870" i="20"/>
  <c r="G870" i="20"/>
  <c r="M869" i="20"/>
  <c r="J869" i="20"/>
  <c r="G869" i="20"/>
  <c r="M868" i="20"/>
  <c r="J868" i="20"/>
  <c r="G868" i="20"/>
  <c r="M867" i="20"/>
  <c r="J867" i="20"/>
  <c r="G867" i="20"/>
  <c r="M866" i="20"/>
  <c r="J866" i="20"/>
  <c r="G866" i="20"/>
  <c r="B844" i="20"/>
  <c r="B843" i="20"/>
  <c r="B842" i="20"/>
  <c r="B841" i="20"/>
  <c r="B840" i="20"/>
  <c r="B839" i="20"/>
  <c r="B838" i="20"/>
  <c r="B837" i="20"/>
  <c r="B836" i="20"/>
  <c r="B835" i="20"/>
  <c r="B834" i="20"/>
  <c r="B833" i="20"/>
  <c r="B832" i="20"/>
  <c r="B831" i="20"/>
  <c r="B830" i="20"/>
  <c r="B829" i="20"/>
  <c r="B828" i="20"/>
  <c r="B827" i="20"/>
  <c r="B826" i="20"/>
  <c r="B825" i="20"/>
  <c r="B824" i="20"/>
  <c r="B823" i="20"/>
  <c r="M844" i="20"/>
  <c r="J844" i="20"/>
  <c r="G844" i="20"/>
  <c r="M843" i="20"/>
  <c r="J843" i="20"/>
  <c r="G843" i="20"/>
  <c r="M842" i="20"/>
  <c r="J842" i="20"/>
  <c r="G842" i="20"/>
  <c r="M841" i="20"/>
  <c r="J841" i="20"/>
  <c r="G841" i="20"/>
  <c r="M840" i="20"/>
  <c r="J840" i="20"/>
  <c r="G840" i="20"/>
  <c r="M839" i="20"/>
  <c r="J839" i="20"/>
  <c r="G839" i="20"/>
  <c r="M838" i="20"/>
  <c r="J838" i="20"/>
  <c r="G838" i="20"/>
  <c r="M837" i="20"/>
  <c r="J837" i="20"/>
  <c r="G837" i="20"/>
  <c r="M836" i="20"/>
  <c r="J836" i="20"/>
  <c r="G836" i="20"/>
  <c r="M835" i="20"/>
  <c r="J835" i="20"/>
  <c r="G835" i="20"/>
  <c r="M834" i="20"/>
  <c r="J834" i="20"/>
  <c r="G834" i="20"/>
  <c r="M833" i="20"/>
  <c r="J833" i="20"/>
  <c r="G833" i="20"/>
  <c r="M832" i="20"/>
  <c r="J832" i="20"/>
  <c r="G832" i="20"/>
  <c r="M831" i="20"/>
  <c r="J831" i="20"/>
  <c r="G831" i="20"/>
  <c r="M830" i="20"/>
  <c r="J830" i="20"/>
  <c r="G830" i="20"/>
  <c r="M829" i="20"/>
  <c r="J829" i="20"/>
  <c r="G829" i="20"/>
  <c r="M828" i="20"/>
  <c r="J828" i="20"/>
  <c r="G828" i="20"/>
  <c r="M827" i="20"/>
  <c r="J827" i="20"/>
  <c r="G827" i="20"/>
  <c r="M826" i="20"/>
  <c r="J826" i="20"/>
  <c r="G826" i="20"/>
  <c r="M825" i="20"/>
  <c r="J825" i="20"/>
  <c r="G825" i="20"/>
  <c r="W61" i="20" a="1"/>
  <c r="W63" i="20" a="1"/>
  <c r="W65" i="20" a="1"/>
  <c r="W64" i="20" a="1"/>
  <c r="W62" i="20" a="1"/>
  <c r="W62" i="20" l="1"/>
  <c r="AC62" i="20"/>
  <c r="X62" i="20"/>
  <c r="AA62" i="20"/>
  <c r="AB62" i="20"/>
  <c r="Z62" i="20"/>
  <c r="Y62" i="20"/>
  <c r="AA63" i="20"/>
  <c r="AB63" i="20"/>
  <c r="W63" i="20"/>
  <c r="AC63" i="20"/>
  <c r="X63" i="20"/>
  <c r="Y63" i="20"/>
  <c r="Z63" i="20"/>
  <c r="AB64" i="20"/>
  <c r="W64" i="20"/>
  <c r="X64" i="20"/>
  <c r="Y64" i="20"/>
  <c r="Z64" i="20"/>
  <c r="AA64" i="20"/>
  <c r="AC64" i="20"/>
  <c r="AB65" i="20"/>
  <c r="AC65" i="20"/>
  <c r="W65" i="20"/>
  <c r="X65" i="20"/>
  <c r="Y65" i="20"/>
  <c r="AA65" i="20"/>
  <c r="Z65" i="20"/>
  <c r="Z61" i="20"/>
  <c r="X61" i="20"/>
  <c r="Y61" i="20"/>
  <c r="AA61" i="20"/>
  <c r="AB61" i="20"/>
  <c r="AC61" i="20"/>
  <c r="W61" i="20"/>
  <c r="I688" i="45"/>
  <c r="J642" i="45"/>
  <c r="K642" i="45" s="1"/>
  <c r="J643" i="45"/>
  <c r="K643" i="45" s="1"/>
  <c r="I673" i="45"/>
  <c r="I689" i="45"/>
  <c r="I674" i="45"/>
  <c r="J596" i="45"/>
  <c r="K596" i="45" s="1"/>
  <c r="I675" i="45"/>
  <c r="K599" i="45"/>
  <c r="I676" i="45"/>
  <c r="J598" i="45"/>
  <c r="K598" i="45" s="1"/>
  <c r="I677" i="45"/>
  <c r="J597" i="45"/>
  <c r="K597" i="45" s="1"/>
  <c r="C681" i="45"/>
  <c r="I678" i="45"/>
  <c r="J612" i="45"/>
  <c r="K612" i="45" s="1"/>
  <c r="D682" i="45"/>
  <c r="E682" i="45" s="1"/>
  <c r="I679" i="45"/>
  <c r="J618" i="45"/>
  <c r="K618" i="45" s="1"/>
  <c r="I680" i="45"/>
  <c r="I681" i="45"/>
  <c r="J619" i="45"/>
  <c r="K619" i="45" s="1"/>
  <c r="J634" i="45"/>
  <c r="K634" i="45" s="1"/>
  <c r="I682" i="45"/>
  <c r="J620" i="45"/>
  <c r="K620" i="45" s="1"/>
  <c r="J640" i="45"/>
  <c r="K640" i="45"/>
  <c r="E695" i="45"/>
  <c r="I683" i="45"/>
  <c r="K621" i="45"/>
  <c r="J641" i="45"/>
  <c r="K641" i="45" s="1"/>
  <c r="J656" i="45"/>
  <c r="K656" i="45" s="1"/>
  <c r="E702" i="45"/>
  <c r="E688" i="45"/>
  <c r="O870" i="20"/>
  <c r="D978" i="20" s="1"/>
  <c r="P877" i="20"/>
  <c r="E985" i="20" s="1"/>
  <c r="P922" i="20"/>
  <c r="E1061" i="20" s="1"/>
  <c r="P910" i="20"/>
  <c r="E1048" i="20" s="1"/>
  <c r="O868" i="20"/>
  <c r="D976" i="20" s="1"/>
  <c r="P834" i="20"/>
  <c r="O879" i="20"/>
  <c r="D987" i="20" s="1"/>
  <c r="O912" i="20"/>
  <c r="D1050" i="20" s="1"/>
  <c r="O924" i="20"/>
  <c r="D1063" i="20" s="1"/>
  <c r="O874" i="20"/>
  <c r="D982" i="20" s="1"/>
  <c r="P923" i="20"/>
  <c r="E1062" i="20" s="1"/>
  <c r="O914" i="20"/>
  <c r="D1053" i="20" s="1"/>
  <c r="O838" i="20"/>
  <c r="P880" i="20"/>
  <c r="E988" i="20" s="1"/>
  <c r="O876" i="20"/>
  <c r="D984" i="20" s="1"/>
  <c r="P914" i="20"/>
  <c r="E1053" i="20" s="1"/>
  <c r="O925" i="20"/>
  <c r="D1051" i="20" s="1"/>
  <c r="O908" i="20"/>
  <c r="D1046" i="20" s="1"/>
  <c r="P909" i="20"/>
  <c r="E1047" i="20" s="1"/>
  <c r="O915" i="20"/>
  <c r="D1054" i="20" s="1"/>
  <c r="P913" i="20"/>
  <c r="E1052" i="20" s="1"/>
  <c r="O832" i="20"/>
  <c r="O867" i="20"/>
  <c r="D975" i="20" s="1"/>
  <c r="O840" i="20"/>
  <c r="O827" i="20"/>
  <c r="P833" i="20"/>
  <c r="P912" i="20"/>
  <c r="E1050" i="20" s="1"/>
  <c r="P917" i="20"/>
  <c r="E1056" i="20" s="1"/>
  <c r="P918" i="20"/>
  <c r="E1057" i="20" s="1"/>
  <c r="P911" i="20"/>
  <c r="E1049" i="20" s="1"/>
  <c r="O920" i="20"/>
  <c r="D1059" i="20" s="1"/>
  <c r="O916" i="20"/>
  <c r="D1055" i="20" s="1"/>
  <c r="O923" i="20"/>
  <c r="D1062" i="20" s="1"/>
  <c r="P915" i="20"/>
  <c r="E1054" i="20" s="1"/>
  <c r="P924" i="20"/>
  <c r="E1063" i="20" s="1"/>
  <c r="P916" i="20"/>
  <c r="E1055" i="20" s="1"/>
  <c r="O921" i="20"/>
  <c r="D1060" i="20" s="1"/>
  <c r="P925" i="20"/>
  <c r="E1051" i="20" s="1"/>
  <c r="O910" i="20"/>
  <c r="D1048" i="20" s="1"/>
  <c r="O911" i="20"/>
  <c r="D1049" i="20" s="1"/>
  <c r="P920" i="20"/>
  <c r="E1059" i="20" s="1"/>
  <c r="P921" i="20"/>
  <c r="E1060" i="20" s="1"/>
  <c r="P919" i="20"/>
  <c r="E1058" i="20" s="1"/>
  <c r="O917" i="20"/>
  <c r="D1056" i="20" s="1"/>
  <c r="P908" i="20"/>
  <c r="E1046" i="20" s="1"/>
  <c r="O913" i="20"/>
  <c r="D1052" i="20" s="1"/>
  <c r="O922" i="20"/>
  <c r="D1061" i="20" s="1"/>
  <c r="O919" i="20"/>
  <c r="D1058" i="20" s="1"/>
  <c r="O909" i="20"/>
  <c r="D1047" i="20" s="1"/>
  <c r="O918" i="20"/>
  <c r="D1057" i="20" s="1"/>
  <c r="O841" i="20"/>
  <c r="E950" i="20" s="1"/>
  <c r="P866" i="20"/>
  <c r="E974" i="20" s="1"/>
  <c r="P876" i="20"/>
  <c r="E984" i="20" s="1"/>
  <c r="O826" i="20"/>
  <c r="P882" i="20"/>
  <c r="E990" i="20" s="1"/>
  <c r="P869" i="20"/>
  <c r="E977" i="20" s="1"/>
  <c r="O875" i="20"/>
  <c r="D983" i="20" s="1"/>
  <c r="P881" i="20"/>
  <c r="E989" i="20" s="1"/>
  <c r="P873" i="20"/>
  <c r="E981" i="20" s="1"/>
  <c r="O871" i="20"/>
  <c r="D979" i="20" s="1"/>
  <c r="O878" i="20"/>
  <c r="D986" i="20" s="1"/>
  <c r="P868" i="20"/>
  <c r="E976" i="20" s="1"/>
  <c r="O873" i="20"/>
  <c r="D981" i="20" s="1"/>
  <c r="O877" i="20"/>
  <c r="D985" i="20" s="1"/>
  <c r="O882" i="20"/>
  <c r="D990" i="20" s="1"/>
  <c r="O872" i="20"/>
  <c r="D980" i="20" s="1"/>
  <c r="O869" i="20"/>
  <c r="D977" i="20" s="1"/>
  <c r="P878" i="20"/>
  <c r="E986" i="20" s="1"/>
  <c r="P874" i="20"/>
  <c r="E982" i="20" s="1"/>
  <c r="P867" i="20"/>
  <c r="E975" i="20" s="1"/>
  <c r="O881" i="20"/>
  <c r="D989" i="20" s="1"/>
  <c r="O866" i="20"/>
  <c r="D974" i="20" s="1"/>
  <c r="P879" i="20"/>
  <c r="E987" i="20" s="1"/>
  <c r="P872" i="20"/>
  <c r="E980" i="20" s="1"/>
  <c r="P870" i="20"/>
  <c r="E978" i="20" s="1"/>
  <c r="P875" i="20"/>
  <c r="E983" i="20" s="1"/>
  <c r="O880" i="20"/>
  <c r="D988" i="20" s="1"/>
  <c r="P871" i="20"/>
  <c r="E979" i="20" s="1"/>
  <c r="O844" i="20"/>
  <c r="G1009" i="20" s="1"/>
  <c r="O830" i="20"/>
  <c r="P835" i="20"/>
  <c r="P825" i="20"/>
  <c r="P841" i="20"/>
  <c r="F950" i="20" s="1"/>
  <c r="P843" i="20"/>
  <c r="P829" i="20"/>
  <c r="P837" i="20"/>
  <c r="P840" i="20"/>
  <c r="P832" i="20"/>
  <c r="P826" i="20"/>
  <c r="O842" i="20"/>
  <c r="P830" i="20"/>
  <c r="P831" i="20"/>
  <c r="P827" i="20"/>
  <c r="O833" i="20"/>
  <c r="P842" i="20"/>
  <c r="P828" i="20"/>
  <c r="P838" i="20"/>
  <c r="P836" i="20"/>
  <c r="O834" i="20"/>
  <c r="P839" i="20"/>
  <c r="P844" i="20"/>
  <c r="H1009" i="20" s="1"/>
  <c r="O836" i="20"/>
  <c r="O828" i="20"/>
  <c r="O837" i="20"/>
  <c r="O829" i="20"/>
  <c r="O839" i="20"/>
  <c r="O831" i="20"/>
  <c r="O825" i="20"/>
  <c r="O835" i="20"/>
  <c r="O843" i="20"/>
  <c r="H980" i="20" l="1"/>
  <c r="H1051" i="20"/>
  <c r="H1047" i="20"/>
  <c r="H979" i="20"/>
  <c r="H1046" i="20"/>
  <c r="H1057" i="20"/>
  <c r="Y1057" i="20" s="1"/>
  <c r="H1062" i="20"/>
  <c r="I1062" i="20" s="1"/>
  <c r="J1062" i="20" s="1"/>
  <c r="H1053" i="20"/>
  <c r="Y1053" i="20" s="1"/>
  <c r="H1052" i="20"/>
  <c r="Y1052" i="20" s="1"/>
  <c r="H1060" i="20"/>
  <c r="H1058" i="20"/>
  <c r="Y1058" i="20" s="1"/>
  <c r="H1059" i="20"/>
  <c r="Y1059" i="20" s="1"/>
  <c r="H1055" i="20"/>
  <c r="Y1055" i="20" s="1"/>
  <c r="H1063" i="20"/>
  <c r="I1063" i="20" s="1"/>
  <c r="J1063" i="20" s="1"/>
  <c r="H1061" i="20"/>
  <c r="Y1061" i="20" s="1"/>
  <c r="H1054" i="20"/>
  <c r="Y1054" i="20" s="1"/>
  <c r="H1048" i="20"/>
  <c r="H1049" i="20"/>
  <c r="H1056" i="20"/>
  <c r="Y1056" i="20" s="1"/>
  <c r="H1050" i="20"/>
  <c r="G934" i="20"/>
  <c r="G1006" i="20"/>
  <c r="H933" i="20"/>
  <c r="H1005" i="20"/>
  <c r="G935" i="20"/>
  <c r="G1007" i="20"/>
  <c r="G936" i="20"/>
  <c r="G1008" i="20"/>
  <c r="E942" i="20"/>
  <c r="E1015" i="20"/>
  <c r="E944" i="20"/>
  <c r="E1017" i="20"/>
  <c r="H932" i="20"/>
  <c r="H1004" i="20"/>
  <c r="F940" i="20"/>
  <c r="F1013" i="20"/>
  <c r="E940" i="20"/>
  <c r="E1013" i="20"/>
  <c r="H935" i="20"/>
  <c r="H1007" i="20"/>
  <c r="E948" i="20"/>
  <c r="E1021" i="20"/>
  <c r="E951" i="20"/>
  <c r="E1023" i="20"/>
  <c r="F942" i="20"/>
  <c r="F1015" i="20"/>
  <c r="G932" i="20"/>
  <c r="G1004" i="20"/>
  <c r="E946" i="20"/>
  <c r="E1019" i="20"/>
  <c r="F941" i="20"/>
  <c r="F1014" i="20"/>
  <c r="E949" i="20"/>
  <c r="E1022" i="20"/>
  <c r="G933" i="20"/>
  <c r="G1005" i="20"/>
  <c r="F949" i="20"/>
  <c r="F1022" i="20"/>
  <c r="F943" i="20"/>
  <c r="F1016" i="20"/>
  <c r="H934" i="20"/>
  <c r="H1006" i="20"/>
  <c r="E945" i="20"/>
  <c r="E1018" i="20"/>
  <c r="E941" i="20"/>
  <c r="E1014" i="20"/>
  <c r="E943" i="20"/>
  <c r="E1016" i="20"/>
  <c r="F945" i="20"/>
  <c r="F1018" i="20"/>
  <c r="F946" i="20"/>
  <c r="F1019" i="20"/>
  <c r="F948" i="20"/>
  <c r="F1021" i="20"/>
  <c r="H936" i="20"/>
  <c r="H1008" i="20"/>
  <c r="F947" i="20"/>
  <c r="F1020" i="20"/>
  <c r="F944" i="20"/>
  <c r="F1017" i="20"/>
  <c r="F951" i="20"/>
  <c r="F1023" i="20"/>
  <c r="E947" i="20"/>
  <c r="E1020" i="20"/>
  <c r="H978" i="20"/>
  <c r="H990" i="20"/>
  <c r="I990" i="20" s="1"/>
  <c r="J990" i="20" s="1"/>
  <c r="H989" i="20"/>
  <c r="I989" i="20" s="1"/>
  <c r="J989" i="20" s="1"/>
  <c r="H987" i="20"/>
  <c r="H984" i="20"/>
  <c r="H986" i="20"/>
  <c r="H985" i="20"/>
  <c r="H975" i="20"/>
  <c r="H974" i="20"/>
  <c r="H982" i="20"/>
  <c r="H976" i="20"/>
  <c r="H983" i="20"/>
  <c r="Y983" i="20" s="1"/>
  <c r="H981" i="20"/>
  <c r="H977" i="20"/>
  <c r="H988" i="20"/>
  <c r="G950" i="20"/>
  <c r="H950" i="20" s="1"/>
  <c r="O598" i="45"/>
  <c r="B934" i="20" s="1"/>
  <c r="O596" i="45"/>
  <c r="B932" i="20" s="1"/>
  <c r="O612" i="45"/>
  <c r="B936" i="20" s="1"/>
  <c r="O599" i="45"/>
  <c r="B935" i="20" s="1"/>
  <c r="O597" i="45"/>
  <c r="B933" i="20" s="1"/>
  <c r="K673" i="45" s="1"/>
  <c r="I690" i="45"/>
  <c r="E703" i="45"/>
  <c r="E704" i="45" s="1"/>
  <c r="E696" i="45"/>
  <c r="E697" i="45" s="1"/>
  <c r="E689" i="45"/>
  <c r="E690" i="45" s="1"/>
  <c r="B18" i="20"/>
  <c r="A18" i="20"/>
  <c r="A17" i="20"/>
  <c r="Y1060" i="20" l="1"/>
  <c r="K675" i="45"/>
  <c r="K674" i="45"/>
  <c r="K689" i="45" s="1"/>
  <c r="Y986" i="20"/>
  <c r="Y982" i="20"/>
  <c r="Y984" i="20"/>
  <c r="Y985" i="20"/>
  <c r="Y979" i="20"/>
  <c r="Y987" i="20"/>
  <c r="Y988" i="20"/>
  <c r="Y981" i="20"/>
  <c r="Y980" i="20"/>
  <c r="G1023" i="20"/>
  <c r="H1023" i="20" s="1"/>
  <c r="G951" i="20"/>
  <c r="H951" i="20" s="1"/>
  <c r="G948" i="20"/>
  <c r="H948" i="20" s="1"/>
  <c r="G1017" i="20"/>
  <c r="H1017" i="20" s="1"/>
  <c r="G1021" i="20"/>
  <c r="H1021" i="20" s="1"/>
  <c r="G942" i="20"/>
  <c r="H942" i="20" s="1"/>
  <c r="G941" i="20"/>
  <c r="H941" i="20" s="1"/>
  <c r="G946" i="20"/>
  <c r="H946" i="20" s="1"/>
  <c r="G945" i="20"/>
  <c r="H945" i="20" s="1"/>
  <c r="G1022" i="20"/>
  <c r="H1022" i="20" s="1"/>
  <c r="G949" i="20"/>
  <c r="H949" i="20" s="1"/>
  <c r="G1014" i="20"/>
  <c r="H1014" i="20" s="1"/>
  <c r="G1013" i="20"/>
  <c r="H1013" i="20" s="1"/>
  <c r="G944" i="20"/>
  <c r="G1015" i="20"/>
  <c r="H1015" i="20" s="1"/>
  <c r="G947" i="20"/>
  <c r="G943" i="20"/>
  <c r="G1020" i="20"/>
  <c r="G1016" i="20"/>
  <c r="G1019" i="20"/>
  <c r="G1018" i="20"/>
  <c r="E691" i="45"/>
  <c r="H630" i="45"/>
  <c r="J630" i="45" s="1"/>
  <c r="K630" i="45" s="1"/>
  <c r="H604" i="45"/>
  <c r="J604" i="45" s="1"/>
  <c r="K604" i="45" s="1"/>
  <c r="H629" i="45"/>
  <c r="J629" i="45" s="1"/>
  <c r="K629" i="45" s="1"/>
  <c r="H603" i="45"/>
  <c r="J603" i="45" s="1"/>
  <c r="K603" i="45" s="1"/>
  <c r="H628" i="45"/>
  <c r="J628" i="45" s="1"/>
  <c r="K628" i="45" s="1"/>
  <c r="H602" i="45"/>
  <c r="J602" i="45" s="1"/>
  <c r="K602" i="45" s="1"/>
  <c r="H653" i="45"/>
  <c r="J653" i="45" s="1"/>
  <c r="K653" i="45" s="1"/>
  <c r="H627" i="45"/>
  <c r="J627" i="45" s="1"/>
  <c r="K627" i="45" s="1"/>
  <c r="H601" i="45"/>
  <c r="J601" i="45" s="1"/>
  <c r="K601" i="45" s="1"/>
  <c r="H606" i="45"/>
  <c r="J606" i="45" s="1"/>
  <c r="K606" i="45" s="1"/>
  <c r="H631" i="45"/>
  <c r="J631" i="45" s="1"/>
  <c r="K631" i="45" s="1"/>
  <c r="H652" i="45"/>
  <c r="J652" i="45" s="1"/>
  <c r="K652" i="45" s="1"/>
  <c r="H626" i="45"/>
  <c r="J626" i="45" s="1"/>
  <c r="K626" i="45" s="1"/>
  <c r="H600" i="45"/>
  <c r="J600" i="45" s="1"/>
  <c r="K600" i="45" s="1"/>
  <c r="H651" i="45"/>
  <c r="J651" i="45" s="1"/>
  <c r="K651" i="45" s="1"/>
  <c r="H625" i="45"/>
  <c r="J625" i="45" s="1"/>
  <c r="K625" i="45" s="1"/>
  <c r="H650" i="45"/>
  <c r="J650" i="45" s="1"/>
  <c r="K650" i="45" s="1"/>
  <c r="H624" i="45"/>
  <c r="J624" i="45" s="1"/>
  <c r="K624" i="45" s="1"/>
  <c r="H649" i="45"/>
  <c r="J649" i="45" s="1"/>
  <c r="K649" i="45" s="1"/>
  <c r="H623" i="45"/>
  <c r="J623" i="45" s="1"/>
  <c r="K623" i="45" s="1"/>
  <c r="H648" i="45"/>
  <c r="J648" i="45" s="1"/>
  <c r="K648" i="45" s="1"/>
  <c r="H622" i="45"/>
  <c r="J622" i="45" s="1"/>
  <c r="K622" i="45" s="1"/>
  <c r="H647" i="45"/>
  <c r="J647" i="45" s="1"/>
  <c r="K647" i="45" s="1"/>
  <c r="H646" i="45"/>
  <c r="J646" i="45" s="1"/>
  <c r="K646" i="45" s="1"/>
  <c r="H605" i="45"/>
  <c r="J605" i="45" s="1"/>
  <c r="K605" i="45" s="1"/>
  <c r="H645" i="45"/>
  <c r="J645" i="45" s="1"/>
  <c r="K645" i="45" s="1"/>
  <c r="H609" i="45"/>
  <c r="J609" i="45" s="1"/>
  <c r="K609" i="45" s="1"/>
  <c r="H644" i="45"/>
  <c r="J644" i="45" s="1"/>
  <c r="K644" i="45" s="1"/>
  <c r="H608" i="45"/>
  <c r="J608" i="45" s="1"/>
  <c r="K608" i="45" s="1"/>
  <c r="H607" i="45"/>
  <c r="J607" i="45" s="1"/>
  <c r="K607" i="45" s="1"/>
  <c r="E698" i="45"/>
  <c r="H654" i="45"/>
  <c r="J654" i="45" s="1"/>
  <c r="K654" i="45" s="1"/>
  <c r="H632" i="45"/>
  <c r="J632" i="45" s="1"/>
  <c r="K632" i="45" s="1"/>
  <c r="H610" i="45"/>
  <c r="J610" i="45" s="1"/>
  <c r="K610" i="45" s="1"/>
  <c r="E705" i="45"/>
  <c r="H655" i="45"/>
  <c r="J655" i="45" s="1"/>
  <c r="K655" i="45" s="1"/>
  <c r="H611" i="45"/>
  <c r="J611" i="45" s="1"/>
  <c r="K611" i="45" s="1"/>
  <c r="H633" i="45"/>
  <c r="J633" i="45" s="1"/>
  <c r="K633" i="45" s="1"/>
  <c r="B17" i="45"/>
  <c r="A17" i="45"/>
  <c r="B17" i="20"/>
  <c r="H826" i="45" l="1"/>
  <c r="H830" i="45"/>
  <c r="H831" i="45"/>
  <c r="H943" i="20"/>
  <c r="H824" i="45"/>
  <c r="H822" i="45"/>
  <c r="H944" i="20"/>
  <c r="H823" i="45"/>
  <c r="H947" i="20"/>
  <c r="H1018" i="20"/>
  <c r="H827" i="45"/>
  <c r="H1016" i="20"/>
  <c r="H825" i="45"/>
  <c r="H1020" i="20"/>
  <c r="H829" i="45"/>
  <c r="H1019" i="20"/>
  <c r="H828" i="45"/>
  <c r="O610" i="45"/>
  <c r="B950" i="20" s="1"/>
  <c r="O606" i="45"/>
  <c r="B946" i="20" s="1"/>
  <c r="O601" i="45"/>
  <c r="B941" i="20" s="1"/>
  <c r="O602" i="45"/>
  <c r="B942" i="20" s="1"/>
  <c r="O611" i="45"/>
  <c r="B951" i="20" s="1"/>
  <c r="O600" i="45"/>
  <c r="B940" i="20" s="1"/>
  <c r="S940" i="20" s="1"/>
  <c r="O603" i="45"/>
  <c r="B943" i="20" s="1"/>
  <c r="O605" i="45"/>
  <c r="B945" i="20" s="1"/>
  <c r="O607" i="45"/>
  <c r="B947" i="20" s="1"/>
  <c r="O604" i="45"/>
  <c r="B944" i="20" s="1"/>
  <c r="O609" i="45"/>
  <c r="B949" i="20" s="1"/>
  <c r="O608" i="45"/>
  <c r="B948" i="20" s="1"/>
  <c r="B16" i="45"/>
  <c r="A16" i="45"/>
  <c r="B15" i="45"/>
  <c r="A15" i="45"/>
  <c r="A6" i="20"/>
  <c r="B6" i="20"/>
  <c r="J677" i="45" l="1"/>
  <c r="S944" i="20"/>
  <c r="J678" i="45"/>
  <c r="S945" i="20"/>
  <c r="J680" i="45"/>
  <c r="S947" i="20"/>
  <c r="J676" i="45"/>
  <c r="S943" i="20"/>
  <c r="J682" i="45"/>
  <c r="S949" i="20"/>
  <c r="J675" i="45"/>
  <c r="S942" i="20"/>
  <c r="J674" i="45"/>
  <c r="S941" i="20"/>
  <c r="J679" i="45"/>
  <c r="S946" i="20"/>
  <c r="J681" i="45"/>
  <c r="S948" i="20"/>
  <c r="H839" i="45"/>
  <c r="B14" i="45" l="1"/>
  <c r="A14" i="45"/>
  <c r="G630" i="20" l="1"/>
  <c r="G637" i="20"/>
  <c r="G633" i="20"/>
  <c r="G635" i="20"/>
  <c r="G638" i="20"/>
  <c r="G632" i="20"/>
  <c r="G639" i="20"/>
  <c r="G631" i="20"/>
  <c r="G636" i="20"/>
  <c r="G634" i="20"/>
  <c r="M400" i="45"/>
  <c r="D584" i="20" s="1"/>
  <c r="M401" i="45"/>
  <c r="D585" i="20" s="1"/>
  <c r="M402" i="45"/>
  <c r="D586" i="20" s="1"/>
  <c r="M403" i="45"/>
  <c r="D587" i="20" s="1"/>
  <c r="M404" i="45"/>
  <c r="D593" i="20" s="1"/>
  <c r="F1194" i="20" s="1"/>
  <c r="F1345" i="20" s="1"/>
  <c r="M405" i="45"/>
  <c r="D594" i="20" s="1"/>
  <c r="F1195" i="20" s="1"/>
  <c r="F1346" i="20" s="1"/>
  <c r="M406" i="45"/>
  <c r="D595" i="20" s="1"/>
  <c r="F1196" i="20" s="1"/>
  <c r="F1347" i="20" s="1"/>
  <c r="M407" i="45"/>
  <c r="D596" i="20" s="1"/>
  <c r="F1197" i="20" s="1"/>
  <c r="F1348" i="20" s="1"/>
  <c r="M408" i="45"/>
  <c r="D597" i="20" s="1"/>
  <c r="F1198" i="20" s="1"/>
  <c r="F1349" i="20" s="1"/>
  <c r="M409" i="45"/>
  <c r="D598" i="20" s="1"/>
  <c r="F1199" i="20" s="1"/>
  <c r="F1350" i="20" s="1"/>
  <c r="M410" i="45"/>
  <c r="D599" i="20" s="1"/>
  <c r="F1200" i="20" s="1"/>
  <c r="F1351" i="20" s="1"/>
  <c r="M411" i="45"/>
  <c r="D600" i="20" s="1"/>
  <c r="F1201" i="20" s="1"/>
  <c r="F1352" i="20" s="1"/>
  <c r="M412" i="45"/>
  <c r="D601" i="20" s="1"/>
  <c r="F1202" i="20" s="1"/>
  <c r="F1353" i="20" s="1"/>
  <c r="M413" i="45"/>
  <c r="D602" i="20" s="1"/>
  <c r="F1203" i="20" s="1"/>
  <c r="F1354" i="20" s="1"/>
  <c r="M414" i="45"/>
  <c r="D588" i="20" s="1"/>
  <c r="M415" i="45"/>
  <c r="D603" i="20" s="1"/>
  <c r="M416" i="45"/>
  <c r="D589" i="20" s="1"/>
  <c r="J401" i="45"/>
  <c r="A585" i="20" s="1"/>
  <c r="J402" i="45"/>
  <c r="A586" i="20" s="1"/>
  <c r="J403" i="45"/>
  <c r="A587" i="20" s="1"/>
  <c r="J404" i="45"/>
  <c r="A593" i="20" s="1"/>
  <c r="A1194" i="20" s="1"/>
  <c r="A1345" i="20" s="1"/>
  <c r="J405" i="45"/>
  <c r="A594" i="20" s="1"/>
  <c r="A1195" i="20" s="1"/>
  <c r="A1346" i="20" s="1"/>
  <c r="J406" i="45"/>
  <c r="A595" i="20" s="1"/>
  <c r="A1196" i="20" s="1"/>
  <c r="A1347" i="20" s="1"/>
  <c r="J407" i="45"/>
  <c r="A596" i="20" s="1"/>
  <c r="A1197" i="20" s="1"/>
  <c r="A1348" i="20" s="1"/>
  <c r="J408" i="45"/>
  <c r="A597" i="20" s="1"/>
  <c r="A1198" i="20" s="1"/>
  <c r="A1349" i="20" s="1"/>
  <c r="J409" i="45"/>
  <c r="A598" i="20" s="1"/>
  <c r="A1199" i="20" s="1"/>
  <c r="A1350" i="20" s="1"/>
  <c r="J410" i="45"/>
  <c r="A599" i="20" s="1"/>
  <c r="A1200" i="20" s="1"/>
  <c r="A1351" i="20" s="1"/>
  <c r="J411" i="45"/>
  <c r="A600" i="20" s="1"/>
  <c r="A1201" i="20" s="1"/>
  <c r="A1352" i="20" s="1"/>
  <c r="J412" i="45"/>
  <c r="A601" i="20" s="1"/>
  <c r="A1202" i="20" s="1"/>
  <c r="A1353" i="20" s="1"/>
  <c r="J413" i="45"/>
  <c r="A602" i="20" s="1"/>
  <c r="A1203" i="20" s="1"/>
  <c r="A1354" i="20" s="1"/>
  <c r="J414" i="45"/>
  <c r="A588" i="20" s="1"/>
  <c r="J415" i="45"/>
  <c r="A603" i="20" s="1"/>
  <c r="A607" i="20" s="1"/>
  <c r="J416" i="45"/>
  <c r="A589" i="20" s="1"/>
  <c r="J400" i="45"/>
  <c r="A584" i="20" s="1"/>
  <c r="G460" i="45"/>
  <c r="G459" i="45"/>
  <c r="G458" i="45"/>
  <c r="G457" i="45"/>
  <c r="G456" i="45"/>
  <c r="G455" i="45"/>
  <c r="G454" i="45"/>
  <c r="G453" i="45"/>
  <c r="G452" i="45"/>
  <c r="G451" i="45"/>
  <c r="G450" i="45"/>
  <c r="G449" i="45"/>
  <c r="G448" i="45"/>
  <c r="G447" i="45"/>
  <c r="G446" i="45"/>
  <c r="G445" i="45"/>
  <c r="G444" i="45"/>
  <c r="G438" i="45"/>
  <c r="G437" i="45"/>
  <c r="G436" i="45"/>
  <c r="G435" i="45"/>
  <c r="G434" i="45"/>
  <c r="G433" i="45"/>
  <c r="G432" i="45"/>
  <c r="G431" i="45"/>
  <c r="G430" i="45"/>
  <c r="G429" i="45"/>
  <c r="G428" i="45"/>
  <c r="G427" i="45"/>
  <c r="G426" i="45"/>
  <c r="G425" i="45"/>
  <c r="G424" i="45"/>
  <c r="G423" i="45"/>
  <c r="G422" i="45"/>
  <c r="G401" i="45"/>
  <c r="G402" i="45"/>
  <c r="G403" i="45"/>
  <c r="G404" i="45"/>
  <c r="G405" i="45"/>
  <c r="G406" i="45"/>
  <c r="G407" i="45"/>
  <c r="G408" i="45"/>
  <c r="G409" i="45"/>
  <c r="G410" i="45"/>
  <c r="G411" i="45"/>
  <c r="G412" i="45"/>
  <c r="G413" i="45"/>
  <c r="G414" i="45"/>
  <c r="G415" i="45"/>
  <c r="G416" i="45"/>
  <c r="G400" i="45"/>
  <c r="B13" i="45"/>
  <c r="A13" i="45"/>
  <c r="K416" i="45" l="1"/>
  <c r="B589" i="20" s="1"/>
  <c r="K413" i="45"/>
  <c r="B602" i="20" s="1"/>
  <c r="K400" i="45"/>
  <c r="B584" i="20" s="1"/>
  <c r="G469" i="45"/>
  <c r="G472" i="45"/>
  <c r="K404" i="45"/>
  <c r="B593" i="20" s="1"/>
  <c r="G464" i="45"/>
  <c r="K415" i="45"/>
  <c r="B603" i="20" s="1"/>
  <c r="K401" i="45"/>
  <c r="B585" i="20" s="1"/>
  <c r="G467" i="45"/>
  <c r="K414" i="45"/>
  <c r="B588" i="20" s="1"/>
  <c r="K412" i="45"/>
  <c r="B601" i="20" s="1"/>
  <c r="K410" i="45"/>
  <c r="B599" i="20" s="1"/>
  <c r="K406" i="45"/>
  <c r="B595" i="20" s="1"/>
  <c r="K405" i="45"/>
  <c r="B594" i="20" s="1"/>
  <c r="S594" i="20" s="1"/>
  <c r="K411" i="45"/>
  <c r="B600" i="20" s="1"/>
  <c r="S600" i="20" s="1"/>
  <c r="G466" i="45"/>
  <c r="G465" i="45"/>
  <c r="G477" i="45"/>
  <c r="G479" i="45"/>
  <c r="K409" i="45"/>
  <c r="B598" i="20" s="1"/>
  <c r="G463" i="45"/>
  <c r="G478" i="45"/>
  <c r="K403" i="45"/>
  <c r="B587" i="20" s="1"/>
  <c r="G476" i="45"/>
  <c r="K408" i="45"/>
  <c r="B597" i="20" s="1"/>
  <c r="G475" i="45"/>
  <c r="G474" i="45"/>
  <c r="K402" i="45"/>
  <c r="B586" i="20" s="1"/>
  <c r="G473" i="45"/>
  <c r="K407" i="45"/>
  <c r="B596" i="20" s="1"/>
  <c r="S596" i="20" s="1"/>
  <c r="G471" i="45"/>
  <c r="G470" i="45"/>
  <c r="G468" i="45"/>
  <c r="S595" i="20" l="1"/>
  <c r="S601" i="20"/>
  <c r="S597" i="20"/>
  <c r="S593" i="20"/>
  <c r="S602" i="20"/>
  <c r="S599" i="20"/>
  <c r="S598" i="20"/>
  <c r="G480" i="45"/>
  <c r="Q293" i="45"/>
  <c r="D551" i="20" s="1"/>
  <c r="Q294" i="45"/>
  <c r="D552" i="20" s="1"/>
  <c r="Q295" i="45"/>
  <c r="D553" i="20" s="1"/>
  <c r="Q296" i="45"/>
  <c r="D558" i="20" s="1"/>
  <c r="Q297" i="45"/>
  <c r="D559" i="20" s="1"/>
  <c r="F1235" i="20" s="1"/>
  <c r="Q298" i="45"/>
  <c r="D560" i="20" s="1"/>
  <c r="F1236" i="20" s="1"/>
  <c r="Q299" i="45"/>
  <c r="D561" i="20" s="1"/>
  <c r="F1237" i="20" s="1"/>
  <c r="Q300" i="45"/>
  <c r="D562" i="20" s="1"/>
  <c r="F1238" i="20" s="1"/>
  <c r="Q301" i="45"/>
  <c r="D563" i="20" s="1"/>
  <c r="F1239" i="20" s="1"/>
  <c r="Q302" i="45"/>
  <c r="D564" i="20" s="1"/>
  <c r="F1240" i="20" s="1"/>
  <c r="Q303" i="45"/>
  <c r="D565" i="20" s="1"/>
  <c r="F1241" i="20" s="1"/>
  <c r="Q304" i="45"/>
  <c r="D566" i="20" s="1"/>
  <c r="F1242" i="20" s="1"/>
  <c r="Q305" i="45"/>
  <c r="D567" i="20" s="1"/>
  <c r="Q306" i="45"/>
  <c r="D568" i="20" s="1"/>
  <c r="Q307" i="45"/>
  <c r="D569" i="20" s="1"/>
  <c r="Q308" i="45"/>
  <c r="D554" i="20" s="1"/>
  <c r="Q292" i="45"/>
  <c r="D550" i="20" s="1"/>
  <c r="N293" i="45"/>
  <c r="A551" i="20" s="1"/>
  <c r="N294" i="45"/>
  <c r="A552" i="20" s="1"/>
  <c r="N295" i="45"/>
  <c r="A553" i="20" s="1"/>
  <c r="N296" i="45"/>
  <c r="A558" i="20" s="1"/>
  <c r="N297" i="45"/>
  <c r="A559" i="20" s="1"/>
  <c r="A1235" i="20" s="1"/>
  <c r="N298" i="45"/>
  <c r="A560" i="20" s="1"/>
  <c r="A1236" i="20" s="1"/>
  <c r="N299" i="45"/>
  <c r="A561" i="20" s="1"/>
  <c r="A1237" i="20" s="1"/>
  <c r="N300" i="45"/>
  <c r="A562" i="20" s="1"/>
  <c r="A1238" i="20" s="1"/>
  <c r="N301" i="45"/>
  <c r="A563" i="20" s="1"/>
  <c r="A1239" i="20" s="1"/>
  <c r="N302" i="45"/>
  <c r="A564" i="20" s="1"/>
  <c r="A1240" i="20" s="1"/>
  <c r="N303" i="45"/>
  <c r="A565" i="20" s="1"/>
  <c r="A1241" i="20" s="1"/>
  <c r="N304" i="45"/>
  <c r="A566" i="20" s="1"/>
  <c r="A1242" i="20" s="1"/>
  <c r="N305" i="45"/>
  <c r="A567" i="20" s="1"/>
  <c r="N306" i="45"/>
  <c r="A568" i="20" s="1"/>
  <c r="A574" i="20" s="1"/>
  <c r="N307" i="45"/>
  <c r="A569" i="20" s="1"/>
  <c r="A575" i="20" s="1"/>
  <c r="N308" i="45"/>
  <c r="A554" i="20" s="1"/>
  <c r="N292" i="45"/>
  <c r="A550" i="20" s="1"/>
  <c r="I352" i="45"/>
  <c r="J352" i="45" s="1"/>
  <c r="I351" i="45"/>
  <c r="I350" i="45"/>
  <c r="I349" i="45"/>
  <c r="I348" i="45"/>
  <c r="I347" i="45"/>
  <c r="I346" i="45"/>
  <c r="I345" i="45"/>
  <c r="I344" i="45"/>
  <c r="I343" i="45"/>
  <c r="I342" i="45"/>
  <c r="I341" i="45"/>
  <c r="I340" i="45"/>
  <c r="I339" i="45"/>
  <c r="J339" i="45" s="1"/>
  <c r="K339" i="45" s="1"/>
  <c r="I338" i="45"/>
  <c r="I337" i="45"/>
  <c r="I336" i="45"/>
  <c r="I330" i="45"/>
  <c r="I329" i="45"/>
  <c r="I328" i="45"/>
  <c r="I327" i="45"/>
  <c r="I326" i="45"/>
  <c r="I325" i="45"/>
  <c r="I324" i="45"/>
  <c r="I323" i="45"/>
  <c r="I322" i="45"/>
  <c r="I321" i="45"/>
  <c r="I320" i="45"/>
  <c r="I319" i="45"/>
  <c r="I318" i="45"/>
  <c r="I317" i="45"/>
  <c r="J317" i="45" s="1"/>
  <c r="I316" i="45"/>
  <c r="J316" i="45" s="1"/>
  <c r="I315" i="45"/>
  <c r="J315" i="45" s="1"/>
  <c r="I314" i="45"/>
  <c r="J314" i="45" s="1"/>
  <c r="I308" i="45"/>
  <c r="J308" i="45" s="1"/>
  <c r="I307" i="45"/>
  <c r="I306" i="45"/>
  <c r="I305" i="45"/>
  <c r="I304" i="45"/>
  <c r="I303" i="45"/>
  <c r="I302" i="45"/>
  <c r="I301" i="45"/>
  <c r="I300" i="45"/>
  <c r="I299" i="45"/>
  <c r="I298" i="45"/>
  <c r="I297" i="45"/>
  <c r="I296" i="45"/>
  <c r="I295" i="45"/>
  <c r="I294" i="45"/>
  <c r="I293" i="45"/>
  <c r="I292" i="45"/>
  <c r="D384" i="45"/>
  <c r="C384" i="45"/>
  <c r="B384" i="45"/>
  <c r="D377" i="45"/>
  <c r="C377" i="45"/>
  <c r="B377" i="45"/>
  <c r="D370" i="45"/>
  <c r="C370" i="45"/>
  <c r="B370" i="45"/>
  <c r="C364" i="45"/>
  <c r="I355" i="45" l="1"/>
  <c r="H456" i="45"/>
  <c r="H407" i="45"/>
  <c r="H431" i="45"/>
  <c r="H445" i="45"/>
  <c r="H401" i="45"/>
  <c r="L401" i="45" s="1"/>
  <c r="C585" i="20" s="1"/>
  <c r="H453" i="45"/>
  <c r="H432" i="45"/>
  <c r="H446" i="45"/>
  <c r="H429" i="45"/>
  <c r="H455" i="45"/>
  <c r="H436" i="45"/>
  <c r="H447" i="45"/>
  <c r="H449" i="45"/>
  <c r="H450" i="45"/>
  <c r="H415" i="45"/>
  <c r="H402" i="45"/>
  <c r="H444" i="45"/>
  <c r="H423" i="45"/>
  <c r="H404" i="45"/>
  <c r="H434" i="45"/>
  <c r="H405" i="45"/>
  <c r="H457" i="45"/>
  <c r="H448" i="45"/>
  <c r="H406" i="45"/>
  <c r="H412" i="45"/>
  <c r="H437" i="45"/>
  <c r="H452" i="45"/>
  <c r="H454" i="45"/>
  <c r="H414" i="45"/>
  <c r="H403" i="45"/>
  <c r="H413" i="45"/>
  <c r="H458" i="45"/>
  <c r="H416" i="45"/>
  <c r="H426" i="45"/>
  <c r="H411" i="45"/>
  <c r="H424" i="45"/>
  <c r="H433" i="45"/>
  <c r="H459" i="45"/>
  <c r="H400" i="45"/>
  <c r="H428" i="45"/>
  <c r="H460" i="45"/>
  <c r="H410" i="45"/>
  <c r="H451" i="45"/>
  <c r="H427" i="45"/>
  <c r="H408" i="45"/>
  <c r="H409" i="45"/>
  <c r="H430" i="45"/>
  <c r="H422" i="45"/>
  <c r="H438" i="45"/>
  <c r="H435" i="45"/>
  <c r="H425" i="45"/>
  <c r="I368" i="45"/>
  <c r="I359" i="45"/>
  <c r="I356" i="45"/>
  <c r="I369" i="45"/>
  <c r="I370" i="45"/>
  <c r="I357" i="45"/>
  <c r="E377" i="45"/>
  <c r="I358" i="45"/>
  <c r="I371" i="45"/>
  <c r="I360" i="45"/>
  <c r="I361" i="45"/>
  <c r="K330" i="45"/>
  <c r="I367" i="45"/>
  <c r="K352" i="45"/>
  <c r="I366" i="45"/>
  <c r="I365" i="45"/>
  <c r="I364" i="45"/>
  <c r="K308" i="45"/>
  <c r="I363" i="45"/>
  <c r="K314" i="45"/>
  <c r="I362" i="45"/>
  <c r="J292" i="45"/>
  <c r="K292" i="45" s="1"/>
  <c r="K315" i="45"/>
  <c r="J295" i="45"/>
  <c r="K295" i="45" s="1"/>
  <c r="J330" i="45"/>
  <c r="K316" i="45"/>
  <c r="J294" i="45"/>
  <c r="K294" i="45" s="1"/>
  <c r="J336" i="45"/>
  <c r="K336" i="45" s="1"/>
  <c r="K317" i="45"/>
  <c r="J293" i="45"/>
  <c r="K293" i="45" s="1"/>
  <c r="J337" i="45"/>
  <c r="K337" i="45" s="1"/>
  <c r="J338" i="45"/>
  <c r="K338" i="45" s="1"/>
  <c r="E384" i="45"/>
  <c r="D364" i="45"/>
  <c r="E364" i="45" s="1"/>
  <c r="E370" i="45"/>
  <c r="E371" i="45" s="1"/>
  <c r="B12" i="45"/>
  <c r="L410" i="45" l="1"/>
  <c r="C599" i="20" s="1"/>
  <c r="L411" i="45"/>
  <c r="C600" i="20" s="1"/>
  <c r="L412" i="45"/>
  <c r="C601" i="20" s="1"/>
  <c r="L404" i="45"/>
  <c r="C593" i="20" s="1"/>
  <c r="L402" i="45"/>
  <c r="C586" i="20" s="1"/>
  <c r="L406" i="45"/>
  <c r="C595" i="20" s="1"/>
  <c r="L400" i="45"/>
  <c r="C584" i="20" s="1"/>
  <c r="L409" i="45"/>
  <c r="C598" i="20" s="1"/>
  <c r="L403" i="45"/>
  <c r="C587" i="20" s="1"/>
  <c r="L408" i="45"/>
  <c r="C597" i="20" s="1"/>
  <c r="L414" i="45"/>
  <c r="C588" i="20" s="1"/>
  <c r="L407" i="45"/>
  <c r="C596" i="20" s="1"/>
  <c r="L416" i="45"/>
  <c r="C589" i="20" s="1"/>
  <c r="L405" i="45"/>
  <c r="C594" i="20" s="1"/>
  <c r="L413" i="45"/>
  <c r="C602" i="20" s="1"/>
  <c r="L415" i="45"/>
  <c r="C603" i="20" s="1"/>
  <c r="I372" i="45"/>
  <c r="E385" i="45"/>
  <c r="E386" i="45" s="1"/>
  <c r="E372" i="45"/>
  <c r="O294" i="45"/>
  <c r="B552" i="20" s="1"/>
  <c r="O293" i="45"/>
  <c r="B551" i="20" s="1"/>
  <c r="O308" i="45"/>
  <c r="B554" i="20" s="1"/>
  <c r="O292" i="45"/>
  <c r="B550" i="20" s="1"/>
  <c r="O295" i="45"/>
  <c r="B553" i="20" s="1"/>
  <c r="E378" i="45"/>
  <c r="E379" i="45" s="1"/>
  <c r="E373" i="45" l="1"/>
  <c r="H346" i="45"/>
  <c r="J346" i="45" s="1"/>
  <c r="K346" i="45" s="1"/>
  <c r="H320" i="45"/>
  <c r="J320" i="45" s="1"/>
  <c r="K320" i="45" s="1"/>
  <c r="H319" i="45"/>
  <c r="J319" i="45" s="1"/>
  <c r="K319" i="45" s="1"/>
  <c r="H344" i="45"/>
  <c r="J344" i="45" s="1"/>
  <c r="K344" i="45" s="1"/>
  <c r="H318" i="45"/>
  <c r="J318" i="45" s="1"/>
  <c r="K318" i="45" s="1"/>
  <c r="H343" i="45"/>
  <c r="J343" i="45" s="1"/>
  <c r="K343" i="45" s="1"/>
  <c r="H342" i="45"/>
  <c r="J342" i="45" s="1"/>
  <c r="K342" i="45" s="1"/>
  <c r="H341" i="45"/>
  <c r="J341" i="45" s="1"/>
  <c r="K341" i="45" s="1"/>
  <c r="H297" i="45"/>
  <c r="J297" i="45" s="1"/>
  <c r="K297" i="45" s="1"/>
  <c r="H340" i="45"/>
  <c r="J340" i="45" s="1"/>
  <c r="K340" i="45" s="1"/>
  <c r="H298" i="45"/>
  <c r="J298" i="45" s="1"/>
  <c r="K298" i="45" s="1"/>
  <c r="H299" i="45"/>
  <c r="J299" i="45" s="1"/>
  <c r="K299" i="45" s="1"/>
  <c r="H300" i="45"/>
  <c r="J300" i="45" s="1"/>
  <c r="K300" i="45" s="1"/>
  <c r="H327" i="45"/>
  <c r="J327" i="45" s="1"/>
  <c r="K327" i="45" s="1"/>
  <c r="H301" i="45"/>
  <c r="J301" i="45" s="1"/>
  <c r="K301" i="45" s="1"/>
  <c r="H347" i="45"/>
  <c r="J347" i="45" s="1"/>
  <c r="K347" i="45" s="1"/>
  <c r="H326" i="45"/>
  <c r="J326" i="45" s="1"/>
  <c r="K326" i="45" s="1"/>
  <c r="H302" i="45"/>
  <c r="J302" i="45" s="1"/>
  <c r="K302" i="45" s="1"/>
  <c r="H325" i="45"/>
  <c r="J325" i="45" s="1"/>
  <c r="K325" i="45" s="1"/>
  <c r="H303" i="45"/>
  <c r="J303" i="45" s="1"/>
  <c r="K303" i="45" s="1"/>
  <c r="H324" i="45"/>
  <c r="J324" i="45" s="1"/>
  <c r="K324" i="45" s="1"/>
  <c r="H304" i="45"/>
  <c r="J304" i="45" s="1"/>
  <c r="K304" i="45" s="1"/>
  <c r="H349" i="45"/>
  <c r="J349" i="45" s="1"/>
  <c r="K349" i="45" s="1"/>
  <c r="H323" i="45"/>
  <c r="J323" i="45" s="1"/>
  <c r="K323" i="45" s="1"/>
  <c r="H305" i="45"/>
  <c r="J305" i="45" s="1"/>
  <c r="K305" i="45" s="1"/>
  <c r="H321" i="45"/>
  <c r="J321" i="45" s="1"/>
  <c r="K321" i="45" s="1"/>
  <c r="H345" i="45"/>
  <c r="J345" i="45" s="1"/>
  <c r="K345" i="45" s="1"/>
  <c r="H348" i="45"/>
  <c r="J348" i="45" s="1"/>
  <c r="K348" i="45" s="1"/>
  <c r="H322" i="45"/>
  <c r="J322" i="45" s="1"/>
  <c r="K322" i="45" s="1"/>
  <c r="H296" i="45"/>
  <c r="J296" i="45" s="1"/>
  <c r="K296" i="45" s="1"/>
  <c r="H307" i="45"/>
  <c r="J307" i="45" s="1"/>
  <c r="K307" i="45" s="1"/>
  <c r="E387" i="45"/>
  <c r="H329" i="45"/>
  <c r="J329" i="45" s="1"/>
  <c r="K329" i="45" s="1"/>
  <c r="H351" i="45"/>
  <c r="J351" i="45" s="1"/>
  <c r="K351" i="45" s="1"/>
  <c r="E380" i="45"/>
  <c r="H306" i="45"/>
  <c r="J306" i="45" s="1"/>
  <c r="K306" i="45" s="1"/>
  <c r="H328" i="45"/>
  <c r="J328" i="45" s="1"/>
  <c r="K328" i="45" s="1"/>
  <c r="H350" i="45"/>
  <c r="J350" i="45" s="1"/>
  <c r="K350" i="45" s="1"/>
  <c r="Q58" i="20"/>
  <c r="S58" i="20"/>
  <c r="U58" i="20"/>
  <c r="Q59" i="20"/>
  <c r="S59" i="20"/>
  <c r="U59" i="20"/>
  <c r="Q60" i="20"/>
  <c r="S60" i="20"/>
  <c r="U60" i="20"/>
  <c r="M543" i="20"/>
  <c r="J543" i="20"/>
  <c r="G543" i="20"/>
  <c r="M542" i="20"/>
  <c r="J542" i="20"/>
  <c r="G542" i="20"/>
  <c r="M541" i="20"/>
  <c r="J541" i="20"/>
  <c r="G541" i="20"/>
  <c r="M540" i="20"/>
  <c r="J540" i="20"/>
  <c r="G540" i="20"/>
  <c r="M539" i="20"/>
  <c r="J539" i="20"/>
  <c r="G539" i="20"/>
  <c r="M538" i="20"/>
  <c r="J538" i="20"/>
  <c r="G538" i="20"/>
  <c r="M537" i="20"/>
  <c r="J537" i="20"/>
  <c r="G537" i="20"/>
  <c r="M536" i="20"/>
  <c r="J536" i="20"/>
  <c r="G536" i="20"/>
  <c r="M535" i="20"/>
  <c r="J535" i="20"/>
  <c r="G535" i="20"/>
  <c r="M534" i="20"/>
  <c r="J534" i="20"/>
  <c r="G534" i="20"/>
  <c r="M533" i="20"/>
  <c r="J533" i="20"/>
  <c r="G533" i="20"/>
  <c r="M489" i="20"/>
  <c r="J489" i="20"/>
  <c r="G489" i="20"/>
  <c r="M336" i="20"/>
  <c r="J336" i="20"/>
  <c r="G336" i="20"/>
  <c r="M335" i="20"/>
  <c r="J335" i="20"/>
  <c r="G335" i="20"/>
  <c r="B14" i="20"/>
  <c r="A14" i="20"/>
  <c r="B354" i="20"/>
  <c r="G354" i="20"/>
  <c r="J354" i="20"/>
  <c r="M354" i="20"/>
  <c r="B488" i="20"/>
  <c r="B487" i="20"/>
  <c r="B486" i="20"/>
  <c r="B485" i="20"/>
  <c r="B484" i="20"/>
  <c r="B483" i="20"/>
  <c r="B482" i="20"/>
  <c r="B481" i="20"/>
  <c r="B480" i="20"/>
  <c r="B479" i="20"/>
  <c r="B478" i="20"/>
  <c r="B477" i="20"/>
  <c r="B476" i="20"/>
  <c r="B475" i="20"/>
  <c r="B474" i="20"/>
  <c r="B473" i="20"/>
  <c r="B472" i="20"/>
  <c r="B471" i="20"/>
  <c r="B470" i="20"/>
  <c r="B469" i="20"/>
  <c r="B468" i="20"/>
  <c r="B467" i="20"/>
  <c r="B466" i="20"/>
  <c r="B465" i="20"/>
  <c r="M488" i="20"/>
  <c r="J488" i="20"/>
  <c r="G488" i="20"/>
  <c r="M487" i="20"/>
  <c r="J487" i="20"/>
  <c r="G487" i="20"/>
  <c r="M486" i="20"/>
  <c r="J486" i="20"/>
  <c r="G486" i="20"/>
  <c r="M485" i="20"/>
  <c r="J485" i="20"/>
  <c r="G485" i="20"/>
  <c r="M484" i="20"/>
  <c r="J484" i="20"/>
  <c r="G484" i="20"/>
  <c r="M483" i="20"/>
  <c r="J483" i="20"/>
  <c r="G483" i="20"/>
  <c r="M482" i="20"/>
  <c r="J482" i="20"/>
  <c r="G482" i="20"/>
  <c r="M481" i="20"/>
  <c r="J481" i="20"/>
  <c r="G481" i="20"/>
  <c r="M480" i="20"/>
  <c r="J480" i="20"/>
  <c r="G480" i="20"/>
  <c r="M479" i="20"/>
  <c r="J479" i="20"/>
  <c r="G479" i="20"/>
  <c r="M478" i="20"/>
  <c r="J478" i="20"/>
  <c r="G478" i="20"/>
  <c r="M477" i="20"/>
  <c r="J477" i="20"/>
  <c r="G477" i="20"/>
  <c r="M476" i="20"/>
  <c r="J476" i="20"/>
  <c r="G476" i="20"/>
  <c r="M475" i="20"/>
  <c r="J475" i="20"/>
  <c r="G475" i="20"/>
  <c r="M474" i="20"/>
  <c r="J474" i="20"/>
  <c r="G474" i="20"/>
  <c r="M473" i="20"/>
  <c r="J473" i="20"/>
  <c r="G473" i="20"/>
  <c r="M472" i="20"/>
  <c r="J472" i="20"/>
  <c r="G472" i="20"/>
  <c r="B420" i="20"/>
  <c r="B419" i="20"/>
  <c r="B418" i="20"/>
  <c r="B417" i="20"/>
  <c r="B416" i="20"/>
  <c r="B415" i="20"/>
  <c r="B414" i="20"/>
  <c r="B413" i="20"/>
  <c r="B412" i="20"/>
  <c r="B411" i="20"/>
  <c r="B410" i="20"/>
  <c r="B409" i="20"/>
  <c r="B408" i="20"/>
  <c r="B407" i="20"/>
  <c r="B406" i="20"/>
  <c r="B405" i="20"/>
  <c r="B404" i="20"/>
  <c r="B403" i="20"/>
  <c r="B402" i="20"/>
  <c r="B401" i="20"/>
  <c r="B400" i="20"/>
  <c r="B399" i="20"/>
  <c r="B398" i="20"/>
  <c r="B397" i="20"/>
  <c r="B387" i="20"/>
  <c r="B543" i="20" s="1"/>
  <c r="B386" i="20"/>
  <c r="B385" i="20"/>
  <c r="B384" i="20"/>
  <c r="B383" i="20"/>
  <c r="B382" i="20"/>
  <c r="B381" i="20"/>
  <c r="B542" i="20" s="1"/>
  <c r="B380" i="20"/>
  <c r="B541" i="20" s="1"/>
  <c r="B379" i="20"/>
  <c r="B540" i="20" s="1"/>
  <c r="B378" i="20"/>
  <c r="B539" i="20" s="1"/>
  <c r="B377" i="20"/>
  <c r="B538" i="20" s="1"/>
  <c r="B376" i="20"/>
  <c r="B537" i="20" s="1"/>
  <c r="B375" i="20"/>
  <c r="B536" i="20" s="1"/>
  <c r="B374" i="20"/>
  <c r="B535" i="20" s="1"/>
  <c r="B373" i="20"/>
  <c r="B534" i="20" s="1"/>
  <c r="B372" i="20"/>
  <c r="B533" i="20" s="1"/>
  <c r="B371" i="20"/>
  <c r="B532" i="20" s="1"/>
  <c r="B370" i="20"/>
  <c r="B531" i="20" s="1"/>
  <c r="B369" i="20"/>
  <c r="B530" i="20" s="1"/>
  <c r="B368" i="20"/>
  <c r="B529" i="20" s="1"/>
  <c r="B367" i="20"/>
  <c r="B528" i="20" s="1"/>
  <c r="B366" i="20"/>
  <c r="B527" i="20" s="1"/>
  <c r="B353" i="20"/>
  <c r="B352" i="20"/>
  <c r="B351" i="20"/>
  <c r="B350" i="20"/>
  <c r="B349" i="20"/>
  <c r="B348" i="20"/>
  <c r="B347" i="20"/>
  <c r="B346" i="20"/>
  <c r="B345" i="20"/>
  <c r="B344" i="20"/>
  <c r="B343" i="20"/>
  <c r="B342" i="20"/>
  <c r="B341" i="20"/>
  <c r="B340" i="20"/>
  <c r="B339" i="20"/>
  <c r="B338" i="20"/>
  <c r="B337" i="20"/>
  <c r="B336" i="20"/>
  <c r="B335" i="20"/>
  <c r="B334" i="20"/>
  <c r="B333" i="20"/>
  <c r="M420" i="20"/>
  <c r="J420" i="20"/>
  <c r="G420" i="20"/>
  <c r="M419" i="20"/>
  <c r="J419" i="20"/>
  <c r="G419" i="20"/>
  <c r="M418" i="20"/>
  <c r="J418" i="20"/>
  <c r="G418" i="20"/>
  <c r="M417" i="20"/>
  <c r="J417" i="20"/>
  <c r="G417" i="20"/>
  <c r="M416" i="20"/>
  <c r="J416" i="20"/>
  <c r="G416" i="20"/>
  <c r="M415" i="20"/>
  <c r="J415" i="20"/>
  <c r="G415" i="20"/>
  <c r="M414" i="20"/>
  <c r="J414" i="20"/>
  <c r="G414" i="20"/>
  <c r="M413" i="20"/>
  <c r="J413" i="20"/>
  <c r="G413" i="20"/>
  <c r="M412" i="20"/>
  <c r="J412" i="20"/>
  <c r="G412" i="20"/>
  <c r="M411" i="20"/>
  <c r="J411" i="20"/>
  <c r="G411" i="20"/>
  <c r="M410" i="20"/>
  <c r="J410" i="20"/>
  <c r="G410" i="20"/>
  <c r="M409" i="20"/>
  <c r="J409" i="20"/>
  <c r="G409" i="20"/>
  <c r="M408" i="20"/>
  <c r="J408" i="20"/>
  <c r="G408" i="20"/>
  <c r="M407" i="20"/>
  <c r="J407" i="20"/>
  <c r="G407" i="20"/>
  <c r="M406" i="20"/>
  <c r="J406" i="20"/>
  <c r="G406" i="20"/>
  <c r="M405" i="20"/>
  <c r="J405" i="20"/>
  <c r="G405" i="20"/>
  <c r="M404" i="20"/>
  <c r="J404" i="20"/>
  <c r="G404" i="20"/>
  <c r="G385" i="20"/>
  <c r="J385" i="20"/>
  <c r="M385" i="20"/>
  <c r="G386" i="20"/>
  <c r="J386" i="20"/>
  <c r="M386" i="20"/>
  <c r="G387" i="20"/>
  <c r="J387" i="20"/>
  <c r="M387" i="20"/>
  <c r="M384" i="20"/>
  <c r="J384" i="20"/>
  <c r="G384" i="20"/>
  <c r="M383" i="20"/>
  <c r="J383" i="20"/>
  <c r="G383" i="20"/>
  <c r="M382" i="20"/>
  <c r="J382" i="20"/>
  <c r="G382" i="20"/>
  <c r="M381" i="20"/>
  <c r="J381" i="20"/>
  <c r="G381" i="20"/>
  <c r="M380" i="20"/>
  <c r="J380" i="20"/>
  <c r="G380" i="20"/>
  <c r="M379" i="20"/>
  <c r="J379" i="20"/>
  <c r="G379" i="20"/>
  <c r="M378" i="20"/>
  <c r="J378" i="20"/>
  <c r="G378" i="20"/>
  <c r="M377" i="20"/>
  <c r="J377" i="20"/>
  <c r="G377" i="20"/>
  <c r="M376" i="20"/>
  <c r="J376" i="20"/>
  <c r="G376" i="20"/>
  <c r="M375" i="20"/>
  <c r="J375" i="20"/>
  <c r="G375" i="20"/>
  <c r="M374" i="20"/>
  <c r="J374" i="20"/>
  <c r="G374" i="20"/>
  <c r="M373" i="20"/>
  <c r="J373" i="20"/>
  <c r="G373" i="20"/>
  <c r="M372" i="20"/>
  <c r="J372" i="20"/>
  <c r="G372" i="20"/>
  <c r="M340" i="20"/>
  <c r="J340" i="20"/>
  <c r="G340" i="20"/>
  <c r="M339" i="20"/>
  <c r="J339" i="20"/>
  <c r="G339" i="20"/>
  <c r="M338" i="20"/>
  <c r="J338" i="20"/>
  <c r="G338" i="20"/>
  <c r="M337" i="20"/>
  <c r="J337" i="20"/>
  <c r="G337" i="20"/>
  <c r="M353" i="20"/>
  <c r="J353" i="20"/>
  <c r="G353" i="20"/>
  <c r="M352" i="20"/>
  <c r="J352" i="20"/>
  <c r="G352" i="20"/>
  <c r="M351" i="20"/>
  <c r="J351" i="20"/>
  <c r="G351" i="20"/>
  <c r="M350" i="20"/>
  <c r="J350" i="20"/>
  <c r="G350" i="20"/>
  <c r="M349" i="20"/>
  <c r="J349" i="20"/>
  <c r="G349" i="20"/>
  <c r="M348" i="20"/>
  <c r="J348" i="20"/>
  <c r="G348" i="20"/>
  <c r="M347" i="20"/>
  <c r="J347" i="20"/>
  <c r="G347" i="20"/>
  <c r="M346" i="20"/>
  <c r="J346" i="20"/>
  <c r="G346" i="20"/>
  <c r="M345" i="20"/>
  <c r="J345" i="20"/>
  <c r="G345" i="20"/>
  <c r="M344" i="20"/>
  <c r="J344" i="20"/>
  <c r="G344" i="20"/>
  <c r="M343" i="20"/>
  <c r="J343" i="20"/>
  <c r="G343" i="20"/>
  <c r="M342" i="20"/>
  <c r="J342" i="20"/>
  <c r="G342" i="20"/>
  <c r="M341" i="20"/>
  <c r="J341" i="20"/>
  <c r="G341" i="20"/>
  <c r="W59" i="20" a="1"/>
  <c r="W58" i="20" a="1"/>
  <c r="W60" i="20" a="1"/>
  <c r="AB60" i="20" l="1"/>
  <c r="W60" i="20"/>
  <c r="X60" i="20"/>
  <c r="Y60" i="20"/>
  <c r="Z60" i="20"/>
  <c r="AA60" i="20"/>
  <c r="AC60" i="20"/>
  <c r="W59" i="20"/>
  <c r="AB59" i="20"/>
  <c r="X59" i="20"/>
  <c r="Y59" i="20"/>
  <c r="Z59" i="20"/>
  <c r="AA59" i="20"/>
  <c r="AC59" i="20"/>
  <c r="W58" i="20"/>
  <c r="Y58" i="20"/>
  <c r="Z58" i="20"/>
  <c r="AB58" i="20"/>
  <c r="X58" i="20"/>
  <c r="AA58" i="20"/>
  <c r="AC58" i="20"/>
  <c r="O301" i="45"/>
  <c r="B563" i="20" s="1"/>
  <c r="S563" i="20" s="1"/>
  <c r="O296" i="45"/>
  <c r="B558" i="20" s="1"/>
  <c r="S558" i="20" s="1"/>
  <c r="O300" i="45"/>
  <c r="B562" i="20" s="1"/>
  <c r="S562" i="20" s="1"/>
  <c r="O299" i="45"/>
  <c r="B561" i="20" s="1"/>
  <c r="S561" i="20" s="1"/>
  <c r="O298" i="45"/>
  <c r="B560" i="20" s="1"/>
  <c r="S560" i="20" s="1"/>
  <c r="O305" i="45"/>
  <c r="B567" i="20" s="1"/>
  <c r="S567" i="20" s="1"/>
  <c r="O297" i="45"/>
  <c r="B559" i="20" s="1"/>
  <c r="O306" i="45"/>
  <c r="B568" i="20" s="1"/>
  <c r="O304" i="45"/>
  <c r="B566" i="20" s="1"/>
  <c r="S566" i="20" s="1"/>
  <c r="O303" i="45"/>
  <c r="B565" i="20" s="1"/>
  <c r="S565" i="20" s="1"/>
  <c r="O302" i="45"/>
  <c r="B564" i="20" s="1"/>
  <c r="S564" i="20" s="1"/>
  <c r="O307" i="45"/>
  <c r="B569" i="20" s="1"/>
  <c r="O543" i="20"/>
  <c r="D751" i="20" s="1"/>
  <c r="P535" i="20"/>
  <c r="E743" i="20" s="1"/>
  <c r="P539" i="20"/>
  <c r="E747" i="20" s="1"/>
  <c r="O541" i="20"/>
  <c r="D749" i="20" s="1"/>
  <c r="P533" i="20"/>
  <c r="E741" i="20" s="1"/>
  <c r="P541" i="20"/>
  <c r="E749" i="20" s="1"/>
  <c r="O535" i="20"/>
  <c r="D743" i="20" s="1"/>
  <c r="O539" i="20"/>
  <c r="D747" i="20" s="1"/>
  <c r="P543" i="20"/>
  <c r="E751" i="20" s="1"/>
  <c r="O533" i="20"/>
  <c r="D741" i="20" s="1"/>
  <c r="O537" i="20"/>
  <c r="D745" i="20" s="1"/>
  <c r="P537" i="20"/>
  <c r="E745" i="20" s="1"/>
  <c r="P534" i="20"/>
  <c r="E742" i="20" s="1"/>
  <c r="P538" i="20"/>
  <c r="E746" i="20" s="1"/>
  <c r="P542" i="20"/>
  <c r="E750" i="20" s="1"/>
  <c r="O534" i="20"/>
  <c r="D742" i="20" s="1"/>
  <c r="O538" i="20"/>
  <c r="D746" i="20" s="1"/>
  <c r="O542" i="20"/>
  <c r="D750" i="20" s="1"/>
  <c r="O536" i="20"/>
  <c r="D744" i="20" s="1"/>
  <c r="O540" i="20"/>
  <c r="D748" i="20" s="1"/>
  <c r="P536" i="20"/>
  <c r="E744" i="20" s="1"/>
  <c r="P540" i="20"/>
  <c r="E748" i="20" s="1"/>
  <c r="P489" i="20"/>
  <c r="E707" i="20" s="1"/>
  <c r="O489" i="20"/>
  <c r="D707" i="20" s="1"/>
  <c r="P336" i="20"/>
  <c r="P335" i="20"/>
  <c r="O336" i="20"/>
  <c r="O335" i="20"/>
  <c r="O354" i="20"/>
  <c r="P354" i="20"/>
  <c r="P375" i="20"/>
  <c r="O385" i="20"/>
  <c r="O475" i="20"/>
  <c r="D705" i="20" s="1"/>
  <c r="O483" i="20"/>
  <c r="D714" i="20" s="1"/>
  <c r="P480" i="20"/>
  <c r="E711" i="20" s="1"/>
  <c r="P379" i="20"/>
  <c r="P416" i="20"/>
  <c r="O478" i="20"/>
  <c r="D709" i="20" s="1"/>
  <c r="P478" i="20"/>
  <c r="E709" i="20" s="1"/>
  <c r="P487" i="20"/>
  <c r="E718" i="20" s="1"/>
  <c r="O473" i="20"/>
  <c r="D703" i="20" s="1"/>
  <c r="O487" i="20"/>
  <c r="D718" i="20" s="1"/>
  <c r="P485" i="20"/>
  <c r="E716" i="20" s="1"/>
  <c r="P482" i="20"/>
  <c r="E713" i="20" s="1"/>
  <c r="O482" i="20"/>
  <c r="D713" i="20" s="1"/>
  <c r="O485" i="20"/>
  <c r="D716" i="20" s="1"/>
  <c r="P475" i="20"/>
  <c r="E705" i="20" s="1"/>
  <c r="O481" i="20"/>
  <c r="D712" i="20" s="1"/>
  <c r="P418" i="20"/>
  <c r="P406" i="20"/>
  <c r="P413" i="20"/>
  <c r="O418" i="20"/>
  <c r="O409" i="20"/>
  <c r="O416" i="20"/>
  <c r="P474" i="20"/>
  <c r="E704" i="20" s="1"/>
  <c r="P484" i="20"/>
  <c r="E715" i="20" s="1"/>
  <c r="P486" i="20"/>
  <c r="E717" i="20" s="1"/>
  <c r="P472" i="20"/>
  <c r="E702" i="20" s="1"/>
  <c r="O479" i="20"/>
  <c r="D710" i="20" s="1"/>
  <c r="O477" i="20"/>
  <c r="D708" i="20" s="1"/>
  <c r="O474" i="20"/>
  <c r="D704" i="20" s="1"/>
  <c r="P488" i="20"/>
  <c r="E719" i="20" s="1"/>
  <c r="P479" i="20"/>
  <c r="E710" i="20" s="1"/>
  <c r="O484" i="20"/>
  <c r="D715" i="20" s="1"/>
  <c r="O480" i="20"/>
  <c r="D711" i="20" s="1"/>
  <c r="O476" i="20"/>
  <c r="D706" i="20" s="1"/>
  <c r="P476" i="20"/>
  <c r="E706" i="20" s="1"/>
  <c r="O472" i="20"/>
  <c r="D702" i="20" s="1"/>
  <c r="O486" i="20"/>
  <c r="D717" i="20" s="1"/>
  <c r="P477" i="20"/>
  <c r="E708" i="20" s="1"/>
  <c r="P481" i="20"/>
  <c r="E712" i="20" s="1"/>
  <c r="P473" i="20"/>
  <c r="E703" i="20" s="1"/>
  <c r="P483" i="20"/>
  <c r="E714" i="20" s="1"/>
  <c r="O488" i="20"/>
  <c r="D719" i="20" s="1"/>
  <c r="O413" i="20"/>
  <c r="O414" i="20"/>
  <c r="P378" i="20"/>
  <c r="P414" i="20"/>
  <c r="O419" i="20"/>
  <c r="O410" i="20"/>
  <c r="P410" i="20"/>
  <c r="P420" i="20"/>
  <c r="O411" i="20"/>
  <c r="O417" i="20"/>
  <c r="P381" i="20"/>
  <c r="O404" i="20"/>
  <c r="P404" i="20"/>
  <c r="P409" i="20"/>
  <c r="O407" i="20"/>
  <c r="O405" i="20"/>
  <c r="P405" i="20"/>
  <c r="O406" i="20"/>
  <c r="O415" i="20"/>
  <c r="P419" i="20"/>
  <c r="P415" i="20"/>
  <c r="P411" i="20"/>
  <c r="O420" i="20"/>
  <c r="P407" i="20"/>
  <c r="O372" i="20"/>
  <c r="O408" i="20"/>
  <c r="P412" i="20"/>
  <c r="P417" i="20"/>
  <c r="O412" i="20"/>
  <c r="P408" i="20"/>
  <c r="O377" i="20"/>
  <c r="P382" i="20"/>
  <c r="O387" i="20"/>
  <c r="P377" i="20"/>
  <c r="P372" i="20"/>
  <c r="O378" i="20"/>
  <c r="O379" i="20"/>
  <c r="O386" i="20"/>
  <c r="P347" i="20"/>
  <c r="O375" i="20"/>
  <c r="P376" i="20"/>
  <c r="O380" i="20"/>
  <c r="O376" i="20"/>
  <c r="P387" i="20"/>
  <c r="O383" i="20"/>
  <c r="P373" i="20"/>
  <c r="P386" i="20"/>
  <c r="P385" i="20"/>
  <c r="O338" i="20"/>
  <c r="O374" i="20"/>
  <c r="P383" i="20"/>
  <c r="P374" i="20"/>
  <c r="O384" i="20"/>
  <c r="P384" i="20"/>
  <c r="P380" i="20"/>
  <c r="O381" i="20"/>
  <c r="O337" i="20"/>
  <c r="O373" i="20"/>
  <c r="O382" i="20"/>
  <c r="P339" i="20"/>
  <c r="P340" i="20"/>
  <c r="O339" i="20"/>
  <c r="O340" i="20"/>
  <c r="P337" i="20"/>
  <c r="P338" i="20"/>
  <c r="O350" i="20"/>
  <c r="O347" i="20"/>
  <c r="O351" i="20"/>
  <c r="P349" i="20"/>
  <c r="O349" i="20"/>
  <c r="P345" i="20"/>
  <c r="O345" i="20"/>
  <c r="O344" i="20"/>
  <c r="O352" i="20"/>
  <c r="O346" i="20"/>
  <c r="P342" i="20"/>
  <c r="P346" i="20"/>
  <c r="P344" i="20"/>
  <c r="P352" i="20"/>
  <c r="P353" i="20"/>
  <c r="H588" i="20" s="1"/>
  <c r="O341" i="20"/>
  <c r="O343" i="20"/>
  <c r="P350" i="20"/>
  <c r="P351" i="20"/>
  <c r="P341" i="20"/>
  <c r="O353" i="20"/>
  <c r="G588" i="20" s="1"/>
  <c r="P343" i="20"/>
  <c r="O348" i="20"/>
  <c r="P348" i="20"/>
  <c r="O342" i="20"/>
  <c r="S559" i="20" l="1"/>
  <c r="H746" i="20"/>
  <c r="H750" i="20"/>
  <c r="H705" i="20"/>
  <c r="H717" i="20"/>
  <c r="H719" i="20"/>
  <c r="I719" i="20" s="1"/>
  <c r="J719" i="20" s="1"/>
  <c r="H714" i="20"/>
  <c r="H748" i="20"/>
  <c r="H702" i="20"/>
  <c r="H744" i="20"/>
  <c r="H751" i="20"/>
  <c r="I751" i="20" s="1"/>
  <c r="J751" i="20" s="1"/>
  <c r="H710" i="20"/>
  <c r="H749" i="20"/>
  <c r="Y749" i="20" s="1"/>
  <c r="H742" i="20"/>
  <c r="H712" i="20"/>
  <c r="H715" i="20"/>
  <c r="H706" i="20"/>
  <c r="H711" i="20"/>
  <c r="H709" i="20"/>
  <c r="H703" i="20"/>
  <c r="H745" i="20"/>
  <c r="H741" i="20"/>
  <c r="H747" i="20"/>
  <c r="H743" i="20"/>
  <c r="H713" i="20"/>
  <c r="H716" i="20"/>
  <c r="H718" i="20"/>
  <c r="I718" i="20" s="1"/>
  <c r="J718" i="20" s="1"/>
  <c r="H707" i="20"/>
  <c r="H708" i="20"/>
  <c r="H704" i="20"/>
  <c r="D678" i="20"/>
  <c r="E678" i="20"/>
  <c r="D664" i="20"/>
  <c r="E674" i="20"/>
  <c r="E664" i="20"/>
  <c r="E667" i="20"/>
  <c r="E676" i="20"/>
  <c r="D663" i="20"/>
  <c r="D675" i="20"/>
  <c r="E668" i="20"/>
  <c r="E671" i="20"/>
  <c r="D668" i="20"/>
  <c r="E675" i="20"/>
  <c r="D673" i="20"/>
  <c r="D671" i="20"/>
  <c r="D667" i="20"/>
  <c r="D676" i="20"/>
  <c r="D677" i="20"/>
  <c r="D665" i="20"/>
  <c r="D666" i="20"/>
  <c r="D670" i="20"/>
  <c r="E672" i="20"/>
  <c r="E673" i="20"/>
  <c r="E666" i="20"/>
  <c r="E679" i="20"/>
  <c r="E665" i="20"/>
  <c r="D674" i="20"/>
  <c r="E663" i="20"/>
  <c r="D679" i="20"/>
  <c r="E669" i="20"/>
  <c r="E677" i="20"/>
  <c r="D672" i="20"/>
  <c r="E670" i="20"/>
  <c r="D669" i="20"/>
  <c r="E631" i="20"/>
  <c r="E638" i="20"/>
  <c r="D637" i="20"/>
  <c r="D630" i="20"/>
  <c r="E636" i="20"/>
  <c r="D635" i="20"/>
  <c r="E635" i="20"/>
  <c r="D633" i="20"/>
  <c r="E632" i="20"/>
  <c r="E630" i="20"/>
  <c r="E629" i="20"/>
  <c r="E639" i="20"/>
  <c r="E634" i="20"/>
  <c r="D628" i="20"/>
  <c r="D632" i="20"/>
  <c r="D631" i="20"/>
  <c r="D636" i="20"/>
  <c r="D634" i="20"/>
  <c r="E628" i="20"/>
  <c r="D629" i="20"/>
  <c r="E633" i="20"/>
  <c r="E637" i="20"/>
  <c r="D639" i="20"/>
  <c r="D638" i="20"/>
  <c r="E627" i="20"/>
  <c r="D627" i="20"/>
  <c r="D640" i="20"/>
  <c r="E640" i="20"/>
  <c r="E625" i="20"/>
  <c r="E626" i="20"/>
  <c r="D625" i="20"/>
  <c r="D626" i="20"/>
  <c r="E595" i="20"/>
  <c r="H585" i="20"/>
  <c r="F593" i="20"/>
  <c r="H584" i="20"/>
  <c r="F603" i="20"/>
  <c r="E568" i="20"/>
  <c r="F568" i="20"/>
  <c r="F602" i="20"/>
  <c r="F601" i="20"/>
  <c r="E599" i="20"/>
  <c r="G585" i="20"/>
  <c r="G587" i="20"/>
  <c r="F596" i="20"/>
  <c r="H587" i="20"/>
  <c r="F594" i="20"/>
  <c r="G586" i="20"/>
  <c r="E602" i="20"/>
  <c r="E596" i="20"/>
  <c r="H586" i="20"/>
  <c r="E598" i="20"/>
  <c r="E603" i="20"/>
  <c r="F600" i="20"/>
  <c r="E597" i="20"/>
  <c r="E593" i="20"/>
  <c r="E594" i="20"/>
  <c r="G584" i="20"/>
  <c r="E600" i="20"/>
  <c r="F595" i="20"/>
  <c r="F597" i="20"/>
  <c r="F599" i="20"/>
  <c r="F598" i="20"/>
  <c r="E601" i="20"/>
  <c r="G589" i="20"/>
  <c r="H589" i="20"/>
  <c r="F560" i="20"/>
  <c r="F566" i="20"/>
  <c r="E567" i="20"/>
  <c r="E558" i="20"/>
  <c r="F564" i="20"/>
  <c r="G553" i="20"/>
  <c r="F562" i="20"/>
  <c r="E566" i="20"/>
  <c r="F558" i="20"/>
  <c r="E560" i="20"/>
  <c r="G551" i="20"/>
  <c r="G552" i="20"/>
  <c r="F567" i="20"/>
  <c r="F561" i="20"/>
  <c r="H553" i="20"/>
  <c r="E562" i="20"/>
  <c r="H554" i="20"/>
  <c r="H552" i="20"/>
  <c r="E565" i="20"/>
  <c r="E564" i="20"/>
  <c r="F569" i="20"/>
  <c r="G554" i="20"/>
  <c r="H551" i="20"/>
  <c r="H550" i="20"/>
  <c r="E563" i="20"/>
  <c r="E559" i="20"/>
  <c r="E569" i="20"/>
  <c r="F563" i="20"/>
  <c r="F559" i="20"/>
  <c r="F565" i="20"/>
  <c r="E561" i="20"/>
  <c r="G550" i="20"/>
  <c r="D70" i="20"/>
  <c r="B70" i="20"/>
  <c r="C70" i="20"/>
  <c r="K357" i="45" l="1"/>
  <c r="K355" i="45"/>
  <c r="K356" i="45"/>
  <c r="Y715" i="20"/>
  <c r="Y712" i="20"/>
  <c r="Y710" i="20"/>
  <c r="Y716" i="20"/>
  <c r="Y713" i="20"/>
  <c r="Y748" i="20"/>
  <c r="Y747" i="20"/>
  <c r="Y714" i="20"/>
  <c r="Y717" i="20"/>
  <c r="Y708" i="20"/>
  <c r="Y709" i="20"/>
  <c r="Y750" i="20"/>
  <c r="Y711" i="20"/>
  <c r="Y746" i="20"/>
  <c r="K1520" i="42"/>
  <c r="K1523" i="42"/>
  <c r="K1522" i="42"/>
  <c r="K1521" i="42"/>
  <c r="K1554" i="42"/>
  <c r="K1555" i="42"/>
  <c r="K1537" i="42"/>
  <c r="K1539" i="42"/>
  <c r="K1536" i="42"/>
  <c r="K1553" i="42"/>
  <c r="K1556" i="42"/>
  <c r="K1538" i="42"/>
  <c r="I1046" i="20"/>
  <c r="J1046" i="20" s="1"/>
  <c r="I1051" i="20"/>
  <c r="J1051" i="20" s="1"/>
  <c r="I1047" i="20"/>
  <c r="J1047" i="20" s="1"/>
  <c r="I1048" i="20"/>
  <c r="J1048" i="20" s="1"/>
  <c r="I1049" i="20"/>
  <c r="J1049" i="20" s="1"/>
  <c r="I1050" i="20"/>
  <c r="J1050" i="20" s="1"/>
  <c r="I744" i="20"/>
  <c r="J744" i="20" s="1"/>
  <c r="I978" i="20"/>
  <c r="J978" i="20" s="1"/>
  <c r="I977" i="20"/>
  <c r="J977" i="20" s="1"/>
  <c r="I976" i="20"/>
  <c r="J976" i="20" s="1"/>
  <c r="I974" i="20"/>
  <c r="J974" i="20" s="1"/>
  <c r="I975" i="20"/>
  <c r="J975" i="20" s="1"/>
  <c r="H678" i="20"/>
  <c r="I678" i="20" s="1"/>
  <c r="J678" i="20" s="1"/>
  <c r="H670" i="20"/>
  <c r="H665" i="20"/>
  <c r="I665" i="20" s="1"/>
  <c r="J665" i="20" s="1"/>
  <c r="H666" i="20"/>
  <c r="I666" i="20" s="1"/>
  <c r="J666" i="20" s="1"/>
  <c r="H676" i="20"/>
  <c r="I743" i="20"/>
  <c r="J743" i="20" s="1"/>
  <c r="I741" i="20"/>
  <c r="J741" i="20" s="1"/>
  <c r="H664" i="20"/>
  <c r="I664" i="20" s="1"/>
  <c r="J664" i="20" s="1"/>
  <c r="I745" i="20"/>
  <c r="J745" i="20" s="1"/>
  <c r="I742" i="20"/>
  <c r="J742" i="20" s="1"/>
  <c r="I704" i="20"/>
  <c r="J704" i="20" s="1"/>
  <c r="H669" i="20"/>
  <c r="H675" i="20"/>
  <c r="I706" i="20"/>
  <c r="J706" i="20" s="1"/>
  <c r="I707" i="20"/>
  <c r="J707" i="20" s="1"/>
  <c r="I702" i="20"/>
  <c r="J702" i="20" s="1"/>
  <c r="I703" i="20"/>
  <c r="J703" i="20" s="1"/>
  <c r="H677" i="20"/>
  <c r="H671" i="20"/>
  <c r="I705" i="20"/>
  <c r="J705" i="20" s="1"/>
  <c r="H631" i="20"/>
  <c r="H635" i="20"/>
  <c r="H638" i="20"/>
  <c r="H673" i="20"/>
  <c r="H672" i="20"/>
  <c r="H674" i="20"/>
  <c r="H667" i="20"/>
  <c r="I667" i="20" s="1"/>
  <c r="J667" i="20" s="1"/>
  <c r="H634" i="20"/>
  <c r="H663" i="20"/>
  <c r="I663" i="20" s="1"/>
  <c r="J663" i="20" s="1"/>
  <c r="H630" i="20"/>
  <c r="H668" i="20"/>
  <c r="H679" i="20"/>
  <c r="I679" i="20" s="1"/>
  <c r="J679" i="20" s="1"/>
  <c r="H628" i="20"/>
  <c r="I628" i="20" s="1"/>
  <c r="J628" i="20" s="1"/>
  <c r="H639" i="20"/>
  <c r="H636" i="20"/>
  <c r="H632" i="20"/>
  <c r="G601" i="20"/>
  <c r="H471" i="45" s="1"/>
  <c r="G598" i="20"/>
  <c r="H598" i="20" s="1"/>
  <c r="G568" i="20"/>
  <c r="H568" i="20" s="1"/>
  <c r="G595" i="20"/>
  <c r="H595" i="20" s="1"/>
  <c r="G600" i="20"/>
  <c r="H470" i="45" s="1"/>
  <c r="G594" i="20"/>
  <c r="H594" i="20" s="1"/>
  <c r="G596" i="20"/>
  <c r="H596" i="20" s="1"/>
  <c r="G593" i="20"/>
  <c r="H463" i="45" s="1"/>
  <c r="G602" i="20"/>
  <c r="H472" i="45" s="1"/>
  <c r="H625" i="20"/>
  <c r="I625" i="20" s="1"/>
  <c r="J625" i="20" s="1"/>
  <c r="G597" i="20"/>
  <c r="H597" i="20" s="1"/>
  <c r="H633" i="20"/>
  <c r="H640" i="20"/>
  <c r="I640" i="20" s="1"/>
  <c r="J640" i="20" s="1"/>
  <c r="G603" i="20"/>
  <c r="H603" i="20" s="1"/>
  <c r="H627" i="20"/>
  <c r="I627" i="20" s="1"/>
  <c r="J627" i="20" s="1"/>
  <c r="H629" i="20"/>
  <c r="I629" i="20" s="1"/>
  <c r="J629" i="20" s="1"/>
  <c r="H626" i="20"/>
  <c r="I626" i="20" s="1"/>
  <c r="J626" i="20" s="1"/>
  <c r="G599" i="20"/>
  <c r="H637" i="20"/>
  <c r="G565" i="20"/>
  <c r="H565" i="20" s="1"/>
  <c r="G567" i="20"/>
  <c r="J364" i="45" s="1"/>
  <c r="G569" i="20"/>
  <c r="H569" i="20" s="1"/>
  <c r="G563" i="20"/>
  <c r="G559" i="20"/>
  <c r="G561" i="20"/>
  <c r="G562" i="20"/>
  <c r="G564" i="20"/>
  <c r="G566" i="20"/>
  <c r="G558" i="20"/>
  <c r="G560" i="20"/>
  <c r="A222" i="20"/>
  <c r="Q222" i="20"/>
  <c r="R222" i="20"/>
  <c r="S222" i="20"/>
  <c r="T222" i="20"/>
  <c r="U222" i="20"/>
  <c r="B13" i="20"/>
  <c r="A13" i="20"/>
  <c r="U221" i="20"/>
  <c r="T221" i="20"/>
  <c r="S221" i="20"/>
  <c r="R221" i="20"/>
  <c r="Q221" i="20"/>
  <c r="A221" i="20"/>
  <c r="Y676" i="20" l="1"/>
  <c r="Y671" i="20"/>
  <c r="Y632" i="20"/>
  <c r="K371" i="45"/>
  <c r="K690" i="45" s="1"/>
  <c r="Y674" i="20"/>
  <c r="Y672" i="20"/>
  <c r="Y673" i="20"/>
  <c r="Y637" i="20"/>
  <c r="Y638" i="20"/>
  <c r="Y636" i="20"/>
  <c r="Y635" i="20"/>
  <c r="Y631" i="20"/>
  <c r="Y639" i="20"/>
  <c r="Y677" i="20"/>
  <c r="Y670" i="20"/>
  <c r="Y668" i="20"/>
  <c r="Y630" i="20"/>
  <c r="Y675" i="20"/>
  <c r="Y633" i="20"/>
  <c r="Y634" i="20"/>
  <c r="Y669" i="20"/>
  <c r="H601" i="20"/>
  <c r="H467" i="45"/>
  <c r="H602" i="20"/>
  <c r="H593" i="20"/>
  <c r="H465" i="45"/>
  <c r="H468" i="45"/>
  <c r="H600" i="20"/>
  <c r="H464" i="45"/>
  <c r="H466" i="45"/>
  <c r="H599" i="20"/>
  <c r="H469" i="45"/>
  <c r="J362" i="45"/>
  <c r="H567" i="20"/>
  <c r="H566" i="20"/>
  <c r="J363" i="45"/>
  <c r="H562" i="20"/>
  <c r="J359" i="45"/>
  <c r="H560" i="20"/>
  <c r="J357" i="45"/>
  <c r="H559" i="20"/>
  <c r="J356" i="45"/>
  <c r="H561" i="20"/>
  <c r="J358" i="45"/>
  <c r="H563" i="20"/>
  <c r="J360" i="45"/>
  <c r="H564" i="20"/>
  <c r="J361" i="45"/>
  <c r="H558" i="20"/>
  <c r="J355" i="45"/>
  <c r="D236" i="20"/>
  <c r="D237" i="20"/>
  <c r="X221" i="20"/>
  <c r="X222" i="20"/>
  <c r="K372" i="45" l="1"/>
  <c r="L330" i="45" s="1"/>
  <c r="L598" i="45"/>
  <c r="L634" i="45"/>
  <c r="L642" i="45"/>
  <c r="L599" i="45"/>
  <c r="L641" i="45"/>
  <c r="L640" i="45"/>
  <c r="L620" i="45"/>
  <c r="L619" i="45"/>
  <c r="L597" i="45"/>
  <c r="L643" i="45"/>
  <c r="L621" i="45"/>
  <c r="L596" i="45"/>
  <c r="L618" i="45"/>
  <c r="L656" i="45"/>
  <c r="L612" i="45"/>
  <c r="H480" i="45"/>
  <c r="H237" i="20"/>
  <c r="C994" i="20" s="1"/>
  <c r="G237" i="20"/>
  <c r="B994" i="20" s="1"/>
  <c r="F237" i="20"/>
  <c r="C955" i="20" s="1"/>
  <c r="E237" i="20"/>
  <c r="B955" i="20" s="1"/>
  <c r="J237" i="20"/>
  <c r="I237" i="20"/>
  <c r="J236" i="20"/>
  <c r="C723" i="20" s="1"/>
  <c r="I236" i="20"/>
  <c r="B723" i="20" s="1"/>
  <c r="H236" i="20"/>
  <c r="C683" i="20" s="1"/>
  <c r="G236" i="20"/>
  <c r="B683" i="20" s="1"/>
  <c r="F236" i="20"/>
  <c r="C574" i="20" s="1"/>
  <c r="E236" i="20"/>
  <c r="B574" i="20" s="1"/>
  <c r="L293" i="45" l="1"/>
  <c r="L308" i="45"/>
  <c r="L314" i="45"/>
  <c r="L317" i="45"/>
  <c r="L315" i="45"/>
  <c r="L295" i="45"/>
  <c r="L316" i="45"/>
  <c r="L336" i="45"/>
  <c r="L337" i="45"/>
  <c r="L352" i="45"/>
  <c r="L292" i="45"/>
  <c r="L294" i="45"/>
  <c r="L339" i="45"/>
  <c r="L338" i="45"/>
  <c r="B1067" i="20"/>
  <c r="B1183" i="20"/>
  <c r="B1184" i="20" s="1"/>
  <c r="C1067" i="20"/>
  <c r="C1183" i="20"/>
  <c r="C1184" i="20" s="1"/>
  <c r="B16" i="20"/>
  <c r="A16" i="20"/>
  <c r="B12" i="20"/>
  <c r="A12" i="20"/>
  <c r="A198" i="20"/>
  <c r="A211" i="20" s="1"/>
  <c r="A194" i="20"/>
  <c r="B10" i="45"/>
  <c r="A10" i="45"/>
  <c r="A190" i="20"/>
  <c r="C162" i="20"/>
  <c r="A162" i="20"/>
  <c r="C176" i="20"/>
  <c r="A176" i="20"/>
  <c r="D1488" i="42" s="1"/>
  <c r="B55" i="46" l="1"/>
  <c r="B59" i="46" s="1"/>
  <c r="B60" i="46" s="1"/>
  <c r="C77" i="46" s="1"/>
  <c r="B86" i="46"/>
  <c r="B97" i="46" s="1"/>
  <c r="B883" i="42"/>
  <c r="B764" i="42"/>
  <c r="B763" i="42"/>
  <c r="B762" i="42"/>
  <c r="D316" i="20"/>
  <c r="D806" i="20"/>
  <c r="D289" i="20"/>
  <c r="B781" i="20"/>
  <c r="A214" i="20"/>
  <c r="B1717" i="42" s="1"/>
  <c r="A208" i="20"/>
  <c r="A205" i="20"/>
  <c r="P762" i="42" a="1"/>
  <c r="P764" i="42" a="1"/>
  <c r="P763" i="42" a="1"/>
  <c r="B66" i="46" l="1"/>
  <c r="E147" i="46"/>
  <c r="D155" i="46"/>
  <c r="P762" i="42"/>
  <c r="E865" i="42" s="1"/>
  <c r="F865" i="42"/>
  <c r="F866" i="42"/>
  <c r="P763" i="42"/>
  <c r="F869" i="42"/>
  <c r="P764" i="42"/>
  <c r="E869" i="42" s="1"/>
  <c r="C183" i="20"/>
  <c r="A183" i="20"/>
  <c r="B1127" i="20" s="1"/>
  <c r="E1329" i="42"/>
  <c r="D1329" i="42"/>
  <c r="C1329" i="42"/>
  <c r="B1329" i="42"/>
  <c r="A1329" i="42"/>
  <c r="E1328" i="42"/>
  <c r="D1328" i="42"/>
  <c r="C1328" i="42"/>
  <c r="B1328" i="42"/>
  <c r="A1328" i="42"/>
  <c r="E1327" i="42"/>
  <c r="D1327" i="42"/>
  <c r="C1327" i="42"/>
  <c r="B1327" i="42"/>
  <c r="A1327" i="42"/>
  <c r="E1326" i="42"/>
  <c r="D1326" i="42"/>
  <c r="C1326" i="42"/>
  <c r="B1326" i="42"/>
  <c r="A1326" i="42"/>
  <c r="E1325" i="42"/>
  <c r="D1325" i="42"/>
  <c r="C1325" i="42"/>
  <c r="B1325" i="42"/>
  <c r="A1325" i="42"/>
  <c r="E1324" i="42"/>
  <c r="D1324" i="42"/>
  <c r="C1324" i="42"/>
  <c r="B1324" i="42"/>
  <c r="A1324" i="42"/>
  <c r="E1323" i="42"/>
  <c r="D1323" i="42"/>
  <c r="C1323" i="42"/>
  <c r="B1323" i="42"/>
  <c r="A1323" i="42"/>
  <c r="E1322" i="42"/>
  <c r="D1322" i="42"/>
  <c r="C1322" i="42"/>
  <c r="B1322" i="42"/>
  <c r="A1322" i="42"/>
  <c r="E1321" i="42"/>
  <c r="D1321" i="42"/>
  <c r="C1321" i="42"/>
  <c r="B1321" i="42"/>
  <c r="A1321" i="42"/>
  <c r="E1320" i="42"/>
  <c r="D1320" i="42"/>
  <c r="C1320" i="42"/>
  <c r="B1320" i="42"/>
  <c r="A1320" i="42"/>
  <c r="E1319" i="42"/>
  <c r="D1319" i="42"/>
  <c r="G1343" i="42" s="1"/>
  <c r="C1319" i="42"/>
  <c r="B1319" i="42"/>
  <c r="F1343" i="42" s="1"/>
  <c r="A1319" i="42"/>
  <c r="E1318" i="42"/>
  <c r="D1318" i="42"/>
  <c r="C1343" i="42" s="1"/>
  <c r="C1318" i="42"/>
  <c r="B1318" i="42"/>
  <c r="B1343" i="42" s="1"/>
  <c r="A1318" i="42"/>
  <c r="E1317" i="42"/>
  <c r="D1317" i="42"/>
  <c r="G1342" i="42" s="1"/>
  <c r="C1317" i="42"/>
  <c r="B1317" i="42"/>
  <c r="F1342" i="42" s="1"/>
  <c r="A1317" i="42"/>
  <c r="E1316" i="42"/>
  <c r="D1316" i="42"/>
  <c r="C1342" i="42" s="1"/>
  <c r="C1316" i="42"/>
  <c r="B1316" i="42"/>
  <c r="B1342" i="42" s="1"/>
  <c r="A1316" i="42"/>
  <c r="E1315" i="42"/>
  <c r="D1315" i="42"/>
  <c r="G1341" i="42" s="1"/>
  <c r="C1315" i="42"/>
  <c r="B1315" i="42"/>
  <c r="F1341" i="42" s="1"/>
  <c r="A1315" i="42"/>
  <c r="E1314" i="42"/>
  <c r="D1314" i="42"/>
  <c r="C1341" i="42" s="1"/>
  <c r="C1314" i="42"/>
  <c r="B1314" i="42"/>
  <c r="B1341" i="42" s="1"/>
  <c r="A1314" i="42"/>
  <c r="E1313" i="42"/>
  <c r="D1313" i="42"/>
  <c r="C1313" i="42"/>
  <c r="B1313" i="42"/>
  <c r="A1313" i="42"/>
  <c r="B11" i="45"/>
  <c r="A11" i="45"/>
  <c r="F1307" i="42"/>
  <c r="C1426" i="42" s="1"/>
  <c r="E1307" i="42"/>
  <c r="B1426" i="42" s="1"/>
  <c r="B1432" i="42" s="1"/>
  <c r="F1306" i="42"/>
  <c r="C1425" i="42" s="1"/>
  <c r="E1306" i="42"/>
  <c r="B1425" i="42" s="1"/>
  <c r="B1431" i="42" s="1"/>
  <c r="F1305" i="42"/>
  <c r="E1305" i="42"/>
  <c r="F1304" i="42"/>
  <c r="E1304" i="42"/>
  <c r="F1303" i="42"/>
  <c r="E1303" i="42"/>
  <c r="F1302" i="42"/>
  <c r="E1302" i="42"/>
  <c r="F1301" i="42"/>
  <c r="E1301" i="42"/>
  <c r="B23" i="42"/>
  <c r="A23" i="42"/>
  <c r="P1127" i="20" a="1"/>
  <c r="B1364" i="42" l="1"/>
  <c r="B117" i="46"/>
  <c r="C1132" i="20"/>
  <c r="P1127" i="20"/>
  <c r="B1132" i="20" s="1"/>
  <c r="E866" i="42"/>
  <c r="E868" i="42" s="1"/>
  <c r="B1241" i="42"/>
  <c r="F867" i="42"/>
  <c r="F868" i="42"/>
  <c r="B773" i="20"/>
  <c r="B281" i="20"/>
  <c r="B439" i="20"/>
  <c r="E1432" i="42"/>
  <c r="F1432" i="42" s="1"/>
  <c r="E1385" i="42"/>
  <c r="E1389" i="42"/>
  <c r="E1386" i="42"/>
  <c r="E1431" i="42"/>
  <c r="F1431" i="42" s="1"/>
  <c r="E1388" i="42"/>
  <c r="E1425" i="42"/>
  <c r="F1425" i="42" s="1"/>
  <c r="D1425" i="42"/>
  <c r="C1431" i="42"/>
  <c r="D1431" i="42" s="1"/>
  <c r="D1426" i="42"/>
  <c r="C1432" i="42"/>
  <c r="D1432" i="42" s="1"/>
  <c r="E1387" i="42"/>
  <c r="E1409" i="42"/>
  <c r="C1409" i="42"/>
  <c r="E1406" i="42"/>
  <c r="C1406" i="42"/>
  <c r="C1385" i="42"/>
  <c r="C1389" i="42"/>
  <c r="C1408" i="42"/>
  <c r="E1408" i="42"/>
  <c r="C1388" i="42"/>
  <c r="C1387" i="42"/>
  <c r="C1386" i="42"/>
  <c r="E1405" i="42"/>
  <c r="C1405" i="42"/>
  <c r="E1407" i="42"/>
  <c r="C1407" i="42"/>
  <c r="E1426" i="42"/>
  <c r="F1426" i="42" s="1"/>
  <c r="B1375" i="42"/>
  <c r="B1376" i="42" s="1"/>
  <c r="C1352" i="42"/>
  <c r="C1349" i="42"/>
  <c r="B1365" i="42"/>
  <c r="C1356" i="42"/>
  <c r="B1355" i="42"/>
  <c r="B1356" i="42"/>
  <c r="C1355" i="42"/>
  <c r="B1333" i="42"/>
  <c r="B1349" i="42" s="1"/>
  <c r="B1334" i="42"/>
  <c r="B1352" i="42" s="1"/>
  <c r="P439" i="20" a="1"/>
  <c r="P1132" i="20" a="1"/>
  <c r="P773" i="20" a="1"/>
  <c r="P281" i="20" a="1"/>
  <c r="G1425" i="42" a="1"/>
  <c r="G1426" i="42" a="1"/>
  <c r="G1426" i="42" l="1"/>
  <c r="H1426" i="42"/>
  <c r="G1425" i="42"/>
  <c r="H1425" i="42"/>
  <c r="B121" i="46"/>
  <c r="B122" i="46" s="1"/>
  <c r="C139" i="46" s="1"/>
  <c r="B128" i="46"/>
  <c r="G1488" i="42"/>
  <c r="C1661" i="42" s="1"/>
  <c r="C1137" i="20"/>
  <c r="P1132" i="20"/>
  <c r="B1137" i="20" s="1"/>
  <c r="E867" i="42"/>
  <c r="E781" i="20"/>
  <c r="P773" i="20"/>
  <c r="F1488" i="42" s="1"/>
  <c r="B1661" i="42" s="1"/>
  <c r="D781" i="20"/>
  <c r="C447" i="20"/>
  <c r="P439" i="20"/>
  <c r="G289" i="20"/>
  <c r="P281" i="20"/>
  <c r="F289" i="20" s="1"/>
  <c r="C1357" i="42"/>
  <c r="B1357" i="42"/>
  <c r="B1358" i="42" s="1"/>
  <c r="P1137" i="20" a="1"/>
  <c r="P1661" i="42" a="1"/>
  <c r="E149" i="46" l="1"/>
  <c r="D157" i="46"/>
  <c r="P1661" i="42"/>
  <c r="F1165" i="20"/>
  <c r="P1137" i="20"/>
  <c r="E1165" i="20" s="1"/>
  <c r="B1139" i="20"/>
  <c r="B1138" i="20"/>
  <c r="C1139" i="20"/>
  <c r="C1138" i="20"/>
  <c r="B447" i="20"/>
  <c r="C1358" i="42"/>
  <c r="J259" i="45"/>
  <c r="B825" i="42" s="1"/>
  <c r="G247" i="45"/>
  <c r="J253" i="45" s="1"/>
  <c r="B819" i="42" s="1"/>
  <c r="G248" i="45"/>
  <c r="J247" i="45" s="1"/>
  <c r="B813" i="42" s="1"/>
  <c r="G249" i="45"/>
  <c r="J254" i="45" s="1"/>
  <c r="B820" i="42" s="1"/>
  <c r="G250" i="45"/>
  <c r="J248" i="45" s="1"/>
  <c r="B814" i="42" s="1"/>
  <c r="G251" i="45"/>
  <c r="J255" i="45" s="1"/>
  <c r="B821" i="42" s="1"/>
  <c r="G252" i="45"/>
  <c r="J249" i="45" s="1"/>
  <c r="B815" i="42" s="1"/>
  <c r="G253" i="45"/>
  <c r="J256" i="45" s="1"/>
  <c r="B822" i="42" s="1"/>
  <c r="G254" i="45"/>
  <c r="J250" i="45" s="1"/>
  <c r="B816" i="42" s="1"/>
  <c r="G255" i="45"/>
  <c r="J257" i="45" s="1"/>
  <c r="B823" i="42" s="1"/>
  <c r="G256" i="45"/>
  <c r="J251" i="45" s="1"/>
  <c r="B817" i="42" s="1"/>
  <c r="G257" i="45"/>
  <c r="J258" i="45" s="1"/>
  <c r="B824" i="42" s="1"/>
  <c r="G258" i="45"/>
  <c r="J252" i="45" s="1"/>
  <c r="B818" i="42" s="1"/>
  <c r="G259" i="45"/>
  <c r="G246" i="45"/>
  <c r="J246" i="45" s="1"/>
  <c r="B812" i="42" s="1"/>
  <c r="B11" i="20"/>
  <c r="A11" i="20"/>
  <c r="R151" i="20"/>
  <c r="R150" i="20"/>
  <c r="R149" i="20"/>
  <c r="R148" i="20"/>
  <c r="R147" i="20"/>
  <c r="J151" i="20"/>
  <c r="F148" i="20"/>
  <c r="F149" i="20"/>
  <c r="F150" i="20"/>
  <c r="F147" i="20"/>
  <c r="J148" i="20"/>
  <c r="J149" i="20"/>
  <c r="J150" i="20"/>
  <c r="J147" i="20"/>
  <c r="B10" i="20"/>
  <c r="B9" i="20"/>
  <c r="A10" i="20"/>
  <c r="A9" i="20"/>
  <c r="H72" i="20"/>
  <c r="P1138" i="20" a="1"/>
  <c r="P1139" i="20" a="1"/>
  <c r="K1674" i="42" l="1"/>
  <c r="K1673" i="42"/>
  <c r="K1672" i="42"/>
  <c r="K1671" i="42"/>
  <c r="K1669" i="42"/>
  <c r="K1670" i="42"/>
  <c r="K1668" i="42"/>
  <c r="F1166" i="20"/>
  <c r="F1169" i="20"/>
  <c r="P1138" i="20"/>
  <c r="E1166" i="20" s="1"/>
  <c r="P1139" i="20"/>
  <c r="E1169" i="20" s="1"/>
  <c r="I1169" i="20" s="1"/>
  <c r="B8" i="20"/>
  <c r="A8" i="20"/>
  <c r="U57" i="20"/>
  <c r="S57" i="20"/>
  <c r="Q57" i="20"/>
  <c r="U56" i="20"/>
  <c r="S56" i="20"/>
  <c r="Q56" i="20"/>
  <c r="U55" i="20"/>
  <c r="S55" i="20"/>
  <c r="Q55" i="20"/>
  <c r="B51" i="42"/>
  <c r="B44" i="20" s="1"/>
  <c r="S1575" i="42" s="1"/>
  <c r="B48" i="42"/>
  <c r="B47" i="42"/>
  <c r="B6" i="42"/>
  <c r="A6" i="42"/>
  <c r="W57" i="20" a="1"/>
  <c r="W55" i="20" a="1"/>
  <c r="W56" i="20" a="1"/>
  <c r="AA1488" i="42" l="1"/>
  <c r="S1497" i="42"/>
  <c r="J1169" i="20"/>
  <c r="E1168" i="20"/>
  <c r="E1167" i="20"/>
  <c r="F1168" i="20"/>
  <c r="F1167" i="20"/>
  <c r="Q787" i="20"/>
  <c r="O454" i="20"/>
  <c r="O453" i="20"/>
  <c r="Q790" i="20"/>
  <c r="O457" i="20"/>
  <c r="O458" i="20"/>
  <c r="Q791" i="20"/>
  <c r="O456" i="20"/>
  <c r="Q792" i="20"/>
  <c r="Q793" i="20"/>
  <c r="S302" i="20"/>
  <c r="S301" i="20"/>
  <c r="S298" i="20"/>
  <c r="S299" i="20"/>
  <c r="S297" i="20"/>
  <c r="O515" i="20"/>
  <c r="Q788" i="20"/>
  <c r="AA289" i="20"/>
  <c r="S300" i="20"/>
  <c r="O518" i="20"/>
  <c r="O516" i="20"/>
  <c r="O447" i="20"/>
  <c r="O455" i="20"/>
  <c r="Q789" i="20"/>
  <c r="O517" i="20"/>
  <c r="O519" i="20"/>
  <c r="U781" i="20"/>
  <c r="O509" i="20"/>
  <c r="AB55" i="20"/>
  <c r="AC55" i="20"/>
  <c r="W55" i="20"/>
  <c r="X55" i="20"/>
  <c r="Y55" i="20"/>
  <c r="Z55" i="20"/>
  <c r="AA55" i="20"/>
  <c r="AA57" i="20"/>
  <c r="AB57" i="20"/>
  <c r="AC57" i="20"/>
  <c r="W57" i="20"/>
  <c r="X57" i="20"/>
  <c r="Y57" i="20"/>
  <c r="Z57" i="20"/>
  <c r="X56" i="20"/>
  <c r="Y56" i="20"/>
  <c r="Z56" i="20"/>
  <c r="W56" i="20"/>
  <c r="AA56" i="20"/>
  <c r="AB56" i="20"/>
  <c r="AC56" i="20"/>
  <c r="B49" i="42"/>
  <c r="J223" i="45"/>
  <c r="J224" i="45"/>
  <c r="J225" i="45"/>
  <c r="J226" i="45"/>
  <c r="J227" i="45"/>
  <c r="J228" i="45"/>
  <c r="J229" i="45"/>
  <c r="J230" i="45"/>
  <c r="J231" i="45"/>
  <c r="J232" i="45"/>
  <c r="J233" i="45"/>
  <c r="J234" i="45"/>
  <c r="J235" i="45"/>
  <c r="J236" i="45"/>
  <c r="J237" i="45"/>
  <c r="J238" i="45"/>
  <c r="J239" i="45"/>
  <c r="J240" i="45"/>
  <c r="J222" i="45"/>
  <c r="J204" i="45"/>
  <c r="J205" i="45"/>
  <c r="J206" i="45"/>
  <c r="J207" i="45"/>
  <c r="J208" i="45"/>
  <c r="J209" i="45"/>
  <c r="J210" i="45"/>
  <c r="J211" i="45"/>
  <c r="J212" i="45"/>
  <c r="J213" i="45"/>
  <c r="J214" i="45"/>
  <c r="J215" i="45"/>
  <c r="J216" i="45"/>
  <c r="J217" i="45"/>
  <c r="J218" i="45"/>
  <c r="J219" i="45"/>
  <c r="J220" i="45"/>
  <c r="J221" i="45"/>
  <c r="J203" i="45"/>
  <c r="J185" i="45"/>
  <c r="J186" i="45"/>
  <c r="J187" i="45"/>
  <c r="J188" i="45"/>
  <c r="J189" i="45"/>
  <c r="J190" i="45"/>
  <c r="J191" i="45"/>
  <c r="J192" i="45"/>
  <c r="J193" i="45"/>
  <c r="J194" i="45"/>
  <c r="J195" i="45"/>
  <c r="J196" i="45"/>
  <c r="J197" i="45"/>
  <c r="J198" i="45"/>
  <c r="J199" i="45"/>
  <c r="J200" i="45"/>
  <c r="J201" i="45"/>
  <c r="J202" i="45"/>
  <c r="J184" i="45"/>
  <c r="J166" i="45"/>
  <c r="J167" i="45"/>
  <c r="J168" i="45"/>
  <c r="J169" i="45"/>
  <c r="J170" i="45"/>
  <c r="J171" i="45"/>
  <c r="J172" i="45"/>
  <c r="J173" i="45"/>
  <c r="J174" i="45"/>
  <c r="J175" i="45"/>
  <c r="J176" i="45"/>
  <c r="J177" i="45"/>
  <c r="J178" i="45"/>
  <c r="J179" i="45"/>
  <c r="J180" i="45"/>
  <c r="J181" i="45"/>
  <c r="J182" i="45"/>
  <c r="J183" i="45"/>
  <c r="J165" i="45"/>
  <c r="J147" i="45"/>
  <c r="J148" i="45"/>
  <c r="J149" i="45"/>
  <c r="J150" i="45"/>
  <c r="J151" i="45"/>
  <c r="J152" i="45"/>
  <c r="J153" i="45"/>
  <c r="J154" i="45"/>
  <c r="J155" i="45"/>
  <c r="J156" i="45"/>
  <c r="J157" i="45"/>
  <c r="J158" i="45"/>
  <c r="J159" i="45"/>
  <c r="J160" i="45"/>
  <c r="J161" i="45"/>
  <c r="J162" i="45"/>
  <c r="J163" i="45"/>
  <c r="J164" i="45"/>
  <c r="J146" i="45"/>
  <c r="I240" i="45"/>
  <c r="R164" i="45" s="1"/>
  <c r="I239" i="45"/>
  <c r="R163" i="45" s="1"/>
  <c r="I238" i="45"/>
  <c r="R162" i="45" s="1"/>
  <c r="I237" i="45"/>
  <c r="R161" i="45" s="1"/>
  <c r="I236" i="45"/>
  <c r="R160" i="45" s="1"/>
  <c r="I235" i="45"/>
  <c r="R159" i="45" s="1"/>
  <c r="I234" i="45"/>
  <c r="R158" i="45" s="1"/>
  <c r="I233" i="45"/>
  <c r="R157" i="45" s="1"/>
  <c r="I232" i="45"/>
  <c r="R156" i="45" s="1"/>
  <c r="I231" i="45"/>
  <c r="R155" i="45" s="1"/>
  <c r="I230" i="45"/>
  <c r="R154" i="45" s="1"/>
  <c r="I229" i="45"/>
  <c r="R153" i="45" s="1"/>
  <c r="I228" i="45"/>
  <c r="R152" i="45" s="1"/>
  <c r="I227" i="45"/>
  <c r="R151" i="45" s="1"/>
  <c r="I226" i="45"/>
  <c r="R150" i="45" s="1"/>
  <c r="I225" i="45"/>
  <c r="R149" i="45" s="1"/>
  <c r="I224" i="45"/>
  <c r="R148" i="45" s="1"/>
  <c r="I223" i="45"/>
  <c r="R147" i="45" s="1"/>
  <c r="I222" i="45"/>
  <c r="R146" i="45" s="1"/>
  <c r="I221" i="45"/>
  <c r="Q164" i="45" s="1"/>
  <c r="I220" i="45"/>
  <c r="Q163" i="45" s="1"/>
  <c r="I219" i="45"/>
  <c r="Q162" i="45" s="1"/>
  <c r="I218" i="45"/>
  <c r="Q161" i="45" s="1"/>
  <c r="I217" i="45"/>
  <c r="Q160" i="45" s="1"/>
  <c r="I216" i="45"/>
  <c r="Q159" i="45" s="1"/>
  <c r="I215" i="45"/>
  <c r="Q158" i="45" s="1"/>
  <c r="I214" i="45"/>
  <c r="Q157" i="45" s="1"/>
  <c r="I213" i="45"/>
  <c r="Q156" i="45" s="1"/>
  <c r="I212" i="45"/>
  <c r="Q155" i="45" s="1"/>
  <c r="I211" i="45"/>
  <c r="Q154" i="45" s="1"/>
  <c r="I210" i="45"/>
  <c r="Q153" i="45" s="1"/>
  <c r="I209" i="45"/>
  <c r="Q152" i="45" s="1"/>
  <c r="I208" i="45"/>
  <c r="Q151" i="45" s="1"/>
  <c r="I207" i="45"/>
  <c r="Q150" i="45" s="1"/>
  <c r="I206" i="45"/>
  <c r="Q149" i="45" s="1"/>
  <c r="I205" i="45"/>
  <c r="Q148" i="45" s="1"/>
  <c r="I204" i="45"/>
  <c r="Q147" i="45" s="1"/>
  <c r="I203" i="45"/>
  <c r="Q146" i="45" s="1"/>
  <c r="I202" i="45"/>
  <c r="P164" i="45" s="1"/>
  <c r="I201" i="45"/>
  <c r="P163" i="45" s="1"/>
  <c r="I200" i="45"/>
  <c r="P162" i="45" s="1"/>
  <c r="I199" i="45"/>
  <c r="P161" i="45" s="1"/>
  <c r="I198" i="45"/>
  <c r="P160" i="45" s="1"/>
  <c r="I197" i="45"/>
  <c r="P159" i="45" s="1"/>
  <c r="I196" i="45"/>
  <c r="P158" i="45" s="1"/>
  <c r="I195" i="45"/>
  <c r="P157" i="45" s="1"/>
  <c r="I194" i="45"/>
  <c r="P156" i="45" s="1"/>
  <c r="I193" i="45"/>
  <c r="P155" i="45" s="1"/>
  <c r="I192" i="45"/>
  <c r="P154" i="45" s="1"/>
  <c r="I191" i="45"/>
  <c r="P153" i="45" s="1"/>
  <c r="I190" i="45"/>
  <c r="P152" i="45" s="1"/>
  <c r="I189" i="45"/>
  <c r="P151" i="45" s="1"/>
  <c r="I188" i="45"/>
  <c r="P150" i="45" s="1"/>
  <c r="I187" i="45"/>
  <c r="P149" i="45" s="1"/>
  <c r="I186" i="45"/>
  <c r="P148" i="45" s="1"/>
  <c r="I185" i="45"/>
  <c r="P147" i="45" s="1"/>
  <c r="I184" i="45"/>
  <c r="P146" i="45" s="1"/>
  <c r="I183" i="45"/>
  <c r="O164" i="45" s="1"/>
  <c r="I182" i="45"/>
  <c r="O163" i="45" s="1"/>
  <c r="I181" i="45"/>
  <c r="O162" i="45" s="1"/>
  <c r="I180" i="45"/>
  <c r="O161" i="45" s="1"/>
  <c r="I179" i="45"/>
  <c r="O160" i="45" s="1"/>
  <c r="I178" i="45"/>
  <c r="O159" i="45" s="1"/>
  <c r="I177" i="45"/>
  <c r="O158" i="45" s="1"/>
  <c r="I176" i="45"/>
  <c r="O157" i="45" s="1"/>
  <c r="I175" i="45"/>
  <c r="O156" i="45" s="1"/>
  <c r="I174" i="45"/>
  <c r="O155" i="45" s="1"/>
  <c r="I173" i="45"/>
  <c r="O154" i="45" s="1"/>
  <c r="I172" i="45"/>
  <c r="O153" i="45" s="1"/>
  <c r="I171" i="45"/>
  <c r="O152" i="45" s="1"/>
  <c r="I170" i="45"/>
  <c r="O151" i="45" s="1"/>
  <c r="I169" i="45"/>
  <c r="O150" i="45" s="1"/>
  <c r="I168" i="45"/>
  <c r="O149" i="45" s="1"/>
  <c r="I167" i="45"/>
  <c r="O148" i="45" s="1"/>
  <c r="I166" i="45"/>
  <c r="O147" i="45" s="1"/>
  <c r="I165" i="45"/>
  <c r="O146" i="45" s="1"/>
  <c r="I164" i="45"/>
  <c r="N164" i="45" s="1"/>
  <c r="I163" i="45"/>
  <c r="N163" i="45" s="1"/>
  <c r="I162" i="45"/>
  <c r="N162" i="45" s="1"/>
  <c r="I161" i="45"/>
  <c r="N161" i="45" s="1"/>
  <c r="I160" i="45"/>
  <c r="N160" i="45" s="1"/>
  <c r="I159" i="45"/>
  <c r="N159" i="45" s="1"/>
  <c r="I158" i="45"/>
  <c r="N158" i="45" s="1"/>
  <c r="I157" i="45"/>
  <c r="N157" i="45" s="1"/>
  <c r="I156" i="45"/>
  <c r="N156" i="45" s="1"/>
  <c r="I155" i="45"/>
  <c r="N155" i="45" s="1"/>
  <c r="I154" i="45"/>
  <c r="N154" i="45" s="1"/>
  <c r="I153" i="45"/>
  <c r="N153" i="45" s="1"/>
  <c r="I152" i="45"/>
  <c r="N152" i="45" s="1"/>
  <c r="I151" i="45"/>
  <c r="N151" i="45" s="1"/>
  <c r="I150" i="45"/>
  <c r="N150" i="45" s="1"/>
  <c r="I149" i="45"/>
  <c r="N149" i="45" s="1"/>
  <c r="I148" i="45"/>
  <c r="N148" i="45" s="1"/>
  <c r="I147" i="45"/>
  <c r="N147" i="45" s="1"/>
  <c r="I146" i="45"/>
  <c r="N146" i="45" s="1"/>
  <c r="B9" i="45"/>
  <c r="A9" i="45"/>
  <c r="D753" i="42"/>
  <c r="D752" i="42"/>
  <c r="D742" i="42"/>
  <c r="D741" i="42"/>
  <c r="D740" i="42"/>
  <c r="D719" i="42"/>
  <c r="D718" i="42"/>
  <c r="B22" i="42"/>
  <c r="A22" i="42"/>
  <c r="B1162" i="42"/>
  <c r="A1162" i="42"/>
  <c r="D1016" i="42"/>
  <c r="D1017" i="42"/>
  <c r="D1018" i="42"/>
  <c r="D1019" i="42"/>
  <c r="D1020" i="42"/>
  <c r="D1021" i="42"/>
  <c r="D1022" i="42"/>
  <c r="D1023" i="42"/>
  <c r="D1024" i="42"/>
  <c r="D1025" i="42"/>
  <c r="D1026" i="42"/>
  <c r="D1027" i="42"/>
  <c r="D1028" i="42"/>
  <c r="D1029" i="42"/>
  <c r="D1030" i="42"/>
  <c r="D1031" i="42"/>
  <c r="D1032" i="42"/>
  <c r="D1033" i="42"/>
  <c r="D1034" i="42"/>
  <c r="D1035" i="42"/>
  <c r="D1036" i="42"/>
  <c r="D1037" i="42"/>
  <c r="D1038" i="42"/>
  <c r="D1039" i="42"/>
  <c r="D1040" i="42"/>
  <c r="D1041" i="42"/>
  <c r="D1042" i="42"/>
  <c r="D1043" i="42"/>
  <c r="D1044" i="42"/>
  <c r="D1045" i="42"/>
  <c r="D1046" i="42"/>
  <c r="D1047" i="42"/>
  <c r="D1048" i="42"/>
  <c r="D1049" i="42"/>
  <c r="D1050" i="42"/>
  <c r="D1051" i="42"/>
  <c r="D1052" i="42"/>
  <c r="D1053" i="42"/>
  <c r="D1054" i="42"/>
  <c r="D1055" i="42"/>
  <c r="D1056" i="42"/>
  <c r="D1057" i="42"/>
  <c r="D1058" i="42"/>
  <c r="D1059" i="42"/>
  <c r="D1060" i="42"/>
  <c r="D1061" i="42"/>
  <c r="D1062" i="42"/>
  <c r="D1063" i="42"/>
  <c r="D1064" i="42"/>
  <c r="D1065" i="42"/>
  <c r="D1066" i="42"/>
  <c r="D1067" i="42"/>
  <c r="D1068" i="42"/>
  <c r="D1069" i="42"/>
  <c r="D1070" i="42"/>
  <c r="D1071" i="42"/>
  <c r="D1072" i="42"/>
  <c r="D1073" i="42"/>
  <c r="D1074" i="42"/>
  <c r="D1075" i="42"/>
  <c r="D1076" i="42"/>
  <c r="D1077" i="42"/>
  <c r="D1078" i="42"/>
  <c r="D1079" i="42"/>
  <c r="D1080" i="42"/>
  <c r="D1081" i="42"/>
  <c r="D1082" i="42"/>
  <c r="D1083" i="42"/>
  <c r="D1084" i="42"/>
  <c r="D1085" i="42"/>
  <c r="D1086" i="42"/>
  <c r="D1087" i="42"/>
  <c r="D1088" i="42"/>
  <c r="D1089" i="42"/>
  <c r="D1090" i="42"/>
  <c r="D1091" i="42"/>
  <c r="D1092" i="42"/>
  <c r="D1093" i="42"/>
  <c r="D1094" i="42"/>
  <c r="D1095" i="42"/>
  <c r="D1096" i="42"/>
  <c r="D1097" i="42"/>
  <c r="D1098" i="42"/>
  <c r="D1099" i="42"/>
  <c r="D1100" i="42"/>
  <c r="D1101" i="42"/>
  <c r="D1102" i="42"/>
  <c r="D1103" i="42"/>
  <c r="D1104" i="42"/>
  <c r="D1105" i="42"/>
  <c r="D1106" i="42"/>
  <c r="D1107" i="42"/>
  <c r="D1108" i="42"/>
  <c r="D1109" i="42"/>
  <c r="D1110" i="42"/>
  <c r="D1111" i="42"/>
  <c r="D1112" i="42"/>
  <c r="D1113" i="42"/>
  <c r="D1114" i="42"/>
  <c r="D1115" i="42"/>
  <c r="D1116" i="42"/>
  <c r="D1117" i="42"/>
  <c r="D1118" i="42"/>
  <c r="D1119" i="42"/>
  <c r="D1120" i="42"/>
  <c r="D1121" i="42"/>
  <c r="D1122" i="42"/>
  <c r="D1123" i="42"/>
  <c r="D1124" i="42"/>
  <c r="D1125" i="42"/>
  <c r="D1126" i="42"/>
  <c r="D1127" i="42"/>
  <c r="D1128" i="42"/>
  <c r="D1129" i="42"/>
  <c r="D1130" i="42"/>
  <c r="D1131" i="42"/>
  <c r="D1132" i="42"/>
  <c r="D1133" i="42"/>
  <c r="D1134" i="42"/>
  <c r="D1135" i="42"/>
  <c r="D1136" i="42"/>
  <c r="D1137" i="42"/>
  <c r="D1138" i="42"/>
  <c r="D1139" i="42"/>
  <c r="D1140" i="42"/>
  <c r="D1141" i="42"/>
  <c r="D1142" i="42"/>
  <c r="D1143" i="42"/>
  <c r="D1015" i="42"/>
  <c r="D912" i="42"/>
  <c r="D913" i="42"/>
  <c r="D914" i="42"/>
  <c r="D915" i="42"/>
  <c r="D916" i="42"/>
  <c r="D917" i="42"/>
  <c r="D918" i="42"/>
  <c r="D919" i="42"/>
  <c r="D920" i="42"/>
  <c r="D921" i="42"/>
  <c r="D922" i="42"/>
  <c r="D923" i="42"/>
  <c r="D924" i="42"/>
  <c r="D925" i="42"/>
  <c r="D926" i="42"/>
  <c r="D927" i="42"/>
  <c r="D928" i="42"/>
  <c r="D929" i="42"/>
  <c r="D930" i="42"/>
  <c r="D931" i="42"/>
  <c r="D932" i="42"/>
  <c r="D933" i="42"/>
  <c r="D934" i="42"/>
  <c r="D935" i="42"/>
  <c r="D936" i="42"/>
  <c r="D937" i="42"/>
  <c r="D938" i="42"/>
  <c r="D939" i="42"/>
  <c r="D940" i="42"/>
  <c r="D941" i="42"/>
  <c r="D942" i="42"/>
  <c r="D943" i="42"/>
  <c r="D944" i="42"/>
  <c r="D945" i="42"/>
  <c r="D946" i="42"/>
  <c r="D947" i="42"/>
  <c r="D948" i="42"/>
  <c r="D949" i="42"/>
  <c r="D950" i="42"/>
  <c r="D951" i="42"/>
  <c r="D952" i="42"/>
  <c r="D953" i="42"/>
  <c r="D954" i="42"/>
  <c r="D955" i="42"/>
  <c r="D956" i="42"/>
  <c r="D957" i="42"/>
  <c r="D958" i="42"/>
  <c r="D959" i="42"/>
  <c r="D960" i="42"/>
  <c r="D961" i="42"/>
  <c r="D962" i="42"/>
  <c r="D963" i="42"/>
  <c r="D964" i="42"/>
  <c r="D965" i="42"/>
  <c r="D966" i="42"/>
  <c r="D967" i="42"/>
  <c r="D968" i="42"/>
  <c r="D969" i="42"/>
  <c r="D970" i="42"/>
  <c r="D971" i="42"/>
  <c r="D972" i="42"/>
  <c r="D973" i="42"/>
  <c r="D974" i="42"/>
  <c r="D975" i="42"/>
  <c r="D976" i="42"/>
  <c r="D977" i="42"/>
  <c r="D978" i="42"/>
  <c r="D979" i="42"/>
  <c r="D980" i="42"/>
  <c r="D981" i="42"/>
  <c r="D982" i="42"/>
  <c r="D983" i="42"/>
  <c r="D984" i="42"/>
  <c r="D985" i="42"/>
  <c r="D986" i="42"/>
  <c r="D987" i="42"/>
  <c r="D988" i="42"/>
  <c r="D989" i="42"/>
  <c r="D990" i="42"/>
  <c r="D991" i="42"/>
  <c r="D992" i="42"/>
  <c r="D993" i="42"/>
  <c r="D994" i="42"/>
  <c r="D995" i="42"/>
  <c r="D996" i="42"/>
  <c r="D997" i="42"/>
  <c r="D998" i="42"/>
  <c r="D999" i="42"/>
  <c r="D1000" i="42"/>
  <c r="D1001" i="42"/>
  <c r="D1002" i="42"/>
  <c r="D1003" i="42"/>
  <c r="D1004" i="42"/>
  <c r="D1005" i="42"/>
  <c r="D1006" i="42"/>
  <c r="D1007" i="42"/>
  <c r="D911" i="42"/>
  <c r="E786" i="42"/>
  <c r="H786" i="42"/>
  <c r="K786" i="42"/>
  <c r="E787" i="42"/>
  <c r="H787" i="42"/>
  <c r="K787" i="42"/>
  <c r="E788" i="42"/>
  <c r="H788" i="42"/>
  <c r="K788" i="42"/>
  <c r="K785" i="42"/>
  <c r="H785" i="42"/>
  <c r="E785" i="42"/>
  <c r="K784" i="42"/>
  <c r="H784" i="42"/>
  <c r="E784" i="42"/>
  <c r="K783" i="42"/>
  <c r="H783" i="42"/>
  <c r="E783" i="42"/>
  <c r="K782" i="42"/>
  <c r="H782" i="42"/>
  <c r="E782" i="42"/>
  <c r="K781" i="42"/>
  <c r="H781" i="42"/>
  <c r="E781" i="42"/>
  <c r="K780" i="42"/>
  <c r="H780" i="42"/>
  <c r="E780" i="42"/>
  <c r="K779" i="42"/>
  <c r="H779" i="42"/>
  <c r="E779" i="42"/>
  <c r="K778" i="42"/>
  <c r="H778" i="42"/>
  <c r="E778" i="42"/>
  <c r="K777" i="42"/>
  <c r="H777" i="42"/>
  <c r="E777" i="42"/>
  <c r="K776" i="42"/>
  <c r="H776" i="42"/>
  <c r="E776" i="42"/>
  <c r="K775" i="42"/>
  <c r="H775" i="42"/>
  <c r="E775" i="42"/>
  <c r="K774" i="42"/>
  <c r="H774" i="42"/>
  <c r="E774" i="42"/>
  <c r="K773" i="42"/>
  <c r="H773" i="42"/>
  <c r="E773" i="42"/>
  <c r="K772" i="42"/>
  <c r="H772" i="42"/>
  <c r="E772" i="42"/>
  <c r="D751" i="42"/>
  <c r="D739" i="42"/>
  <c r="D717" i="42"/>
  <c r="A707" i="42"/>
  <c r="B709" i="42"/>
  <c r="B21" i="42"/>
  <c r="A21" i="42"/>
  <c r="B689" i="42"/>
  <c r="V781" i="20" a="1"/>
  <c r="P447" i="20" a="1"/>
  <c r="B69" i="20" l="1"/>
  <c r="B47" i="46" s="1"/>
  <c r="E787" i="20"/>
  <c r="V781" i="20"/>
  <c r="B787" i="20" s="1"/>
  <c r="D787" i="20"/>
  <c r="C787" i="20"/>
  <c r="C453" i="20"/>
  <c r="P447" i="20"/>
  <c r="B453" i="20" s="1"/>
  <c r="B454" i="20" s="1"/>
  <c r="D720" i="42"/>
  <c r="B1231" i="42" s="1"/>
  <c r="B1240" i="42" s="1"/>
  <c r="B1389" i="42" s="1"/>
  <c r="D1389" i="42" s="1"/>
  <c r="C69" i="20"/>
  <c r="T158" i="45"/>
  <c r="S158" i="45"/>
  <c r="B869" i="42" s="1"/>
  <c r="T159" i="45"/>
  <c r="S159" i="45"/>
  <c r="B873" i="42" s="1"/>
  <c r="T161" i="45"/>
  <c r="S161" i="45"/>
  <c r="B875" i="42" s="1"/>
  <c r="S146" i="45"/>
  <c r="T146" i="45"/>
  <c r="T156" i="45"/>
  <c r="S156" i="45"/>
  <c r="B867" i="42" s="1"/>
  <c r="T160" i="45"/>
  <c r="S160" i="45"/>
  <c r="B874" i="42" s="1"/>
  <c r="S147" i="45"/>
  <c r="T147" i="45"/>
  <c r="S163" i="45"/>
  <c r="B854" i="42" s="1"/>
  <c r="T163" i="45"/>
  <c r="C854" i="42" s="1"/>
  <c r="S149" i="45"/>
  <c r="T149" i="45"/>
  <c r="S164" i="45"/>
  <c r="B855" i="42" s="1"/>
  <c r="T164" i="45"/>
  <c r="C855" i="42" s="1"/>
  <c r="T150" i="45"/>
  <c r="S150" i="45"/>
  <c r="S148" i="45"/>
  <c r="T148" i="45"/>
  <c r="T151" i="45"/>
  <c r="C850" i="42" s="1"/>
  <c r="S151" i="45"/>
  <c r="B850" i="42" s="1"/>
  <c r="T153" i="45"/>
  <c r="C852" i="42" s="1"/>
  <c r="S153" i="45"/>
  <c r="B852" i="42" s="1"/>
  <c r="T157" i="45"/>
  <c r="S157" i="45"/>
  <c r="B868" i="42" s="1"/>
  <c r="T154" i="45"/>
  <c r="S154" i="45"/>
  <c r="B865" i="42" s="1"/>
  <c r="T162" i="45"/>
  <c r="C853" i="42" s="1"/>
  <c r="T152" i="45"/>
  <c r="C851" i="42" s="1"/>
  <c r="S152" i="45"/>
  <c r="B851" i="42" s="1"/>
  <c r="T155" i="45"/>
  <c r="S155" i="45"/>
  <c r="B866" i="42" s="1"/>
  <c r="S162" i="45"/>
  <c r="B853" i="42" s="1"/>
  <c r="M782" i="42"/>
  <c r="F875" i="42" s="1"/>
  <c r="M787" i="42"/>
  <c r="L786" i="42"/>
  <c r="L787" i="42"/>
  <c r="M785" i="42"/>
  <c r="L788" i="42"/>
  <c r="M778" i="42"/>
  <c r="M786" i="42"/>
  <c r="L773" i="42"/>
  <c r="G866" i="42" s="1"/>
  <c r="M788" i="42"/>
  <c r="L785" i="42"/>
  <c r="L778" i="42"/>
  <c r="L783" i="42"/>
  <c r="L776" i="42"/>
  <c r="G869" i="42" s="1"/>
  <c r="I869" i="42" s="1"/>
  <c r="L784" i="42"/>
  <c r="L777" i="42"/>
  <c r="M783" i="42"/>
  <c r="M784" i="42"/>
  <c r="L780" i="42"/>
  <c r="E873" i="42" s="1"/>
  <c r="M777" i="42"/>
  <c r="M772" i="42"/>
  <c r="H865" i="42" s="1"/>
  <c r="L772" i="42"/>
  <c r="G865" i="42" s="1"/>
  <c r="M781" i="42"/>
  <c r="F874" i="42" s="1"/>
  <c r="M776" i="42"/>
  <c r="H869" i="42" s="1"/>
  <c r="L775" i="42"/>
  <c r="G868" i="42" s="1"/>
  <c r="M775" i="42"/>
  <c r="H868" i="42" s="1"/>
  <c r="M773" i="42"/>
  <c r="H866" i="42" s="1"/>
  <c r="L779" i="42"/>
  <c r="L774" i="42"/>
  <c r="G867" i="42" s="1"/>
  <c r="M779" i="42"/>
  <c r="M774" i="42"/>
  <c r="H867" i="42" s="1"/>
  <c r="M780" i="42"/>
  <c r="F873" i="42" s="1"/>
  <c r="L781" i="42"/>
  <c r="E874" i="42" s="1"/>
  <c r="L782" i="42"/>
  <c r="E875" i="42" s="1"/>
  <c r="B20" i="42"/>
  <c r="A20" i="42"/>
  <c r="A686" i="42"/>
  <c r="B681" i="42"/>
  <c r="I41" i="44"/>
  <c r="H41" i="44"/>
  <c r="G41" i="44"/>
  <c r="I49" i="44"/>
  <c r="I48" i="44"/>
  <c r="I47" i="44"/>
  <c r="I46" i="44"/>
  <c r="I45" i="44"/>
  <c r="I44" i="44"/>
  <c r="F41" i="44"/>
  <c r="E41" i="44"/>
  <c r="D41" i="44"/>
  <c r="F45" i="44"/>
  <c r="F46" i="44"/>
  <c r="F47" i="44"/>
  <c r="F48" i="44"/>
  <c r="F49" i="44"/>
  <c r="F44" i="44"/>
  <c r="B39" i="44"/>
  <c r="B7" i="44"/>
  <c r="A7" i="44"/>
  <c r="B140" i="45"/>
  <c r="B113" i="45"/>
  <c r="B86" i="45"/>
  <c r="B638" i="44"/>
  <c r="B635" i="44"/>
  <c r="F139" i="45"/>
  <c r="G558" i="44" s="1"/>
  <c r="F138" i="45"/>
  <c r="G557" i="44" s="1"/>
  <c r="F137" i="45"/>
  <c r="G556" i="44" s="1"/>
  <c r="F136" i="45"/>
  <c r="G555" i="44" s="1"/>
  <c r="F135" i="45"/>
  <c r="G554" i="44" s="1"/>
  <c r="F134" i="45"/>
  <c r="G553" i="44" s="1"/>
  <c r="F133" i="45"/>
  <c r="G552" i="44" s="1"/>
  <c r="F132" i="45"/>
  <c r="G551" i="44" s="1"/>
  <c r="F131" i="45"/>
  <c r="G550" i="44" s="1"/>
  <c r="F130" i="45"/>
  <c r="G549" i="44" s="1"/>
  <c r="F129" i="45"/>
  <c r="G548" i="44" s="1"/>
  <c r="F128" i="45"/>
  <c r="G547" i="44" s="1"/>
  <c r="F127" i="45"/>
  <c r="G546" i="44" s="1"/>
  <c r="F126" i="45"/>
  <c r="G545" i="44" s="1"/>
  <c r="F125" i="45"/>
  <c r="G544" i="44" s="1"/>
  <c r="F124" i="45"/>
  <c r="G543" i="44" s="1"/>
  <c r="F123" i="45"/>
  <c r="G542" i="44" s="1"/>
  <c r="F122" i="45"/>
  <c r="G541" i="44" s="1"/>
  <c r="F121" i="45"/>
  <c r="G540" i="44" s="1"/>
  <c r="F120" i="45"/>
  <c r="G539" i="44" s="1"/>
  <c r="B8" i="45"/>
  <c r="A8" i="45"/>
  <c r="A7" i="45"/>
  <c r="R787" i="20" a="1"/>
  <c r="P453" i="20" a="1"/>
  <c r="B140" i="46" l="1"/>
  <c r="B109" i="46"/>
  <c r="B78" i="46"/>
  <c r="C16" i="46"/>
  <c r="E16" i="46" s="1"/>
  <c r="B132" i="46" s="1"/>
  <c r="B133" i="46" s="1"/>
  <c r="B134" i="46" s="1"/>
  <c r="K1525" i="42"/>
  <c r="K1526" i="42"/>
  <c r="K1524" i="42"/>
  <c r="K1543" i="42"/>
  <c r="K1559" i="42"/>
  <c r="K1527" i="42"/>
  <c r="K1557" i="42"/>
  <c r="K1540" i="42"/>
  <c r="K1541" i="42"/>
  <c r="K1558" i="42"/>
  <c r="K1542" i="42"/>
  <c r="K1560" i="42"/>
  <c r="D855" i="42"/>
  <c r="D850" i="42"/>
  <c r="D851" i="42"/>
  <c r="I868" i="42"/>
  <c r="J868" i="42" s="1"/>
  <c r="I867" i="42"/>
  <c r="I866" i="42"/>
  <c r="J866" i="42" s="1"/>
  <c r="G875" i="42"/>
  <c r="H875" i="42" s="1"/>
  <c r="J869" i="42"/>
  <c r="G874" i="42"/>
  <c r="H874" i="42" s="1"/>
  <c r="I865" i="42"/>
  <c r="J865" i="42" s="1"/>
  <c r="G873" i="42"/>
  <c r="H873" i="42" s="1"/>
  <c r="D854" i="42"/>
  <c r="D853" i="42"/>
  <c r="D852" i="42"/>
  <c r="F851" i="42" s="1"/>
  <c r="M702" i="20"/>
  <c r="P453" i="20"/>
  <c r="L702" i="20" s="1"/>
  <c r="E788" i="20"/>
  <c r="C788" i="20"/>
  <c r="D788" i="20"/>
  <c r="R787" i="20"/>
  <c r="B788" i="20" s="1"/>
  <c r="B789" i="20" s="1"/>
  <c r="C454" i="20"/>
  <c r="I1052" i="20"/>
  <c r="I1057" i="20"/>
  <c r="J1057" i="20" s="1"/>
  <c r="I1053" i="20"/>
  <c r="J1053" i="20" s="1"/>
  <c r="I1056" i="20"/>
  <c r="J1056" i="20" s="1"/>
  <c r="I1054" i="20"/>
  <c r="J1054" i="20" s="1"/>
  <c r="I1058" i="20"/>
  <c r="J1058" i="20" s="1"/>
  <c r="I1060" i="20"/>
  <c r="J1060" i="20" s="1"/>
  <c r="I1061" i="20"/>
  <c r="J1061" i="20" s="1"/>
  <c r="I1055" i="20"/>
  <c r="J1055" i="20" s="1"/>
  <c r="I1059" i="20"/>
  <c r="J1059" i="20" s="1"/>
  <c r="I988" i="20"/>
  <c r="J988" i="20" s="1"/>
  <c r="I983" i="20"/>
  <c r="J983" i="20" s="1"/>
  <c r="I984" i="20"/>
  <c r="J984" i="20" s="1"/>
  <c r="I982" i="20"/>
  <c r="J982" i="20" s="1"/>
  <c r="I985" i="20"/>
  <c r="J985" i="20" s="1"/>
  <c r="I986" i="20"/>
  <c r="J986" i="20" s="1"/>
  <c r="I981" i="20"/>
  <c r="J981" i="20" s="1"/>
  <c r="I987" i="20"/>
  <c r="J987" i="20" s="1"/>
  <c r="I979" i="20"/>
  <c r="I980" i="20"/>
  <c r="J980" i="20" s="1"/>
  <c r="I746" i="20"/>
  <c r="I748" i="20"/>
  <c r="I749" i="20"/>
  <c r="I750" i="20"/>
  <c r="I747" i="20"/>
  <c r="I712" i="20"/>
  <c r="J712" i="20" s="1"/>
  <c r="I711" i="20"/>
  <c r="J711" i="20" s="1"/>
  <c r="I714" i="20"/>
  <c r="J714" i="20" s="1"/>
  <c r="I717" i="20"/>
  <c r="J717" i="20" s="1"/>
  <c r="I715" i="20"/>
  <c r="J715" i="20" s="1"/>
  <c r="I709" i="20"/>
  <c r="J709" i="20" s="1"/>
  <c r="I710" i="20"/>
  <c r="J710" i="20" s="1"/>
  <c r="I708" i="20"/>
  <c r="I716" i="20"/>
  <c r="J716" i="20" s="1"/>
  <c r="I713" i="20"/>
  <c r="J713" i="20" s="1"/>
  <c r="I673" i="20"/>
  <c r="J673" i="20" s="1"/>
  <c r="I674" i="20"/>
  <c r="J674" i="20" s="1"/>
  <c r="I668" i="20"/>
  <c r="I669" i="20"/>
  <c r="J669" i="20" s="1"/>
  <c r="I676" i="20"/>
  <c r="J676" i="20" s="1"/>
  <c r="I677" i="20"/>
  <c r="J677" i="20" s="1"/>
  <c r="I672" i="20"/>
  <c r="J672" i="20" s="1"/>
  <c r="I675" i="20"/>
  <c r="J675" i="20" s="1"/>
  <c r="I671" i="20"/>
  <c r="J671" i="20" s="1"/>
  <c r="I670" i="20"/>
  <c r="J670" i="20" s="1"/>
  <c r="I630" i="20"/>
  <c r="I634" i="20"/>
  <c r="I639" i="20"/>
  <c r="I638" i="20"/>
  <c r="I635" i="20"/>
  <c r="I636" i="20"/>
  <c r="I632" i="20"/>
  <c r="I631" i="20"/>
  <c r="I633" i="20"/>
  <c r="I637" i="20"/>
  <c r="B455" i="20"/>
  <c r="F69" i="20"/>
  <c r="F70" i="20"/>
  <c r="A411" i="44"/>
  <c r="A566" i="44"/>
  <c r="J44" i="44"/>
  <c r="K44" i="44" s="1"/>
  <c r="J45" i="44"/>
  <c r="K45" i="44" s="1"/>
  <c r="J46" i="44"/>
  <c r="K46" i="44" s="1"/>
  <c r="J47" i="44"/>
  <c r="K47" i="44" s="1"/>
  <c r="J48" i="44"/>
  <c r="K48" i="44" s="1"/>
  <c r="J49" i="44"/>
  <c r="K49" i="44" s="1"/>
  <c r="B153" i="20"/>
  <c r="B149" i="20" s="1"/>
  <c r="N153" i="20"/>
  <c r="U149" i="45"/>
  <c r="U163" i="45"/>
  <c r="U164" i="45"/>
  <c r="B1409" i="42"/>
  <c r="D1409" i="42" s="1"/>
  <c r="B1249" i="42"/>
  <c r="B1388" i="42" s="1"/>
  <c r="D1388" i="42" s="1"/>
  <c r="B1267" i="42"/>
  <c r="B1386" i="42" s="1"/>
  <c r="D1386" i="42" s="1"/>
  <c r="B1276" i="42"/>
  <c r="B1385" i="42" s="1"/>
  <c r="D1385" i="42" s="1"/>
  <c r="B1285" i="42"/>
  <c r="B1363" i="42" s="1"/>
  <c r="B1366" i="42" s="1"/>
  <c r="B1258" i="42"/>
  <c r="B1387" i="42" s="1"/>
  <c r="D1387" i="42" s="1"/>
  <c r="U152" i="45"/>
  <c r="U148" i="45"/>
  <c r="U146" i="45"/>
  <c r="U154" i="45"/>
  <c r="V154" i="45"/>
  <c r="C865" i="42" s="1"/>
  <c r="U147" i="45"/>
  <c r="V157" i="45"/>
  <c r="C868" i="42" s="1"/>
  <c r="U157" i="45"/>
  <c r="U153" i="45"/>
  <c r="V160" i="45"/>
  <c r="C874" i="42" s="1"/>
  <c r="U160" i="45"/>
  <c r="U151" i="45"/>
  <c r="V156" i="45"/>
  <c r="C867" i="42" s="1"/>
  <c r="U156" i="45"/>
  <c r="U150" i="45"/>
  <c r="V161" i="45"/>
  <c r="C875" i="42" s="1"/>
  <c r="U161" i="45"/>
  <c r="V155" i="45"/>
  <c r="C866" i="42" s="1"/>
  <c r="U155" i="45"/>
  <c r="V159" i="45"/>
  <c r="C873" i="42" s="1"/>
  <c r="U159" i="45"/>
  <c r="U162" i="45"/>
  <c r="V158" i="45"/>
  <c r="C869" i="42" s="1"/>
  <c r="U158" i="45"/>
  <c r="A687" i="42"/>
  <c r="B690" i="42"/>
  <c r="B14" i="44"/>
  <c r="A14" i="44"/>
  <c r="B7" i="45"/>
  <c r="F112" i="45"/>
  <c r="G403" i="44" s="1"/>
  <c r="F111" i="45"/>
  <c r="G402" i="44" s="1"/>
  <c r="F110" i="45"/>
  <c r="G401" i="44" s="1"/>
  <c r="F109" i="45"/>
  <c r="G400" i="44" s="1"/>
  <c r="F108" i="45"/>
  <c r="G399" i="44" s="1"/>
  <c r="F107" i="45"/>
  <c r="G398" i="44" s="1"/>
  <c r="F106" i="45"/>
  <c r="G397" i="44" s="1"/>
  <c r="F105" i="45"/>
  <c r="G396" i="44" s="1"/>
  <c r="F104" i="45"/>
  <c r="G395" i="44" s="1"/>
  <c r="F103" i="45"/>
  <c r="G394" i="44" s="1"/>
  <c r="F102" i="45"/>
  <c r="G393" i="44" s="1"/>
  <c r="F101" i="45"/>
  <c r="G392" i="44" s="1"/>
  <c r="F100" i="45"/>
  <c r="G391" i="44" s="1"/>
  <c r="F99" i="45"/>
  <c r="G390" i="44" s="1"/>
  <c r="F98" i="45"/>
  <c r="G389" i="44" s="1"/>
  <c r="F97" i="45"/>
  <c r="G388" i="44" s="1"/>
  <c r="F96" i="45"/>
  <c r="G387" i="44" s="1"/>
  <c r="F95" i="45"/>
  <c r="G386" i="44" s="1"/>
  <c r="F94" i="45"/>
  <c r="G385" i="44" s="1"/>
  <c r="F93" i="45"/>
  <c r="G384" i="44" s="1"/>
  <c r="B12" i="44"/>
  <c r="A12" i="44"/>
  <c r="B340" i="44"/>
  <c r="B337" i="44"/>
  <c r="F67" i="45"/>
  <c r="G242" i="44" s="1"/>
  <c r="F68" i="45"/>
  <c r="G243" i="44" s="1"/>
  <c r="F69" i="45"/>
  <c r="G244" i="44" s="1"/>
  <c r="F70" i="45"/>
  <c r="G245" i="44" s="1"/>
  <c r="F71" i="45"/>
  <c r="G246" i="44" s="1"/>
  <c r="F72" i="45"/>
  <c r="G247" i="44" s="1"/>
  <c r="F73" i="45"/>
  <c r="G248" i="44" s="1"/>
  <c r="F74" i="45"/>
  <c r="G249" i="44" s="1"/>
  <c r="F75" i="45"/>
  <c r="G250" i="44" s="1"/>
  <c r="F76" i="45"/>
  <c r="G251" i="44" s="1"/>
  <c r="F77" i="45"/>
  <c r="G252" i="44" s="1"/>
  <c r="F78" i="45"/>
  <c r="G253" i="44" s="1"/>
  <c r="F79" i="45"/>
  <c r="G254" i="44" s="1"/>
  <c r="F80" i="45"/>
  <c r="G255" i="44" s="1"/>
  <c r="F81" i="45"/>
  <c r="G256" i="44" s="1"/>
  <c r="F82" i="45"/>
  <c r="G257" i="44" s="1"/>
  <c r="F83" i="45"/>
  <c r="G258" i="44" s="1"/>
  <c r="F84" i="45"/>
  <c r="G259" i="44" s="1"/>
  <c r="F85" i="45"/>
  <c r="G260" i="44" s="1"/>
  <c r="F66" i="45"/>
  <c r="G241" i="44" s="1"/>
  <c r="B6" i="45"/>
  <c r="A6" i="45"/>
  <c r="B197" i="44"/>
  <c r="A125" i="44" s="1"/>
  <c r="L873" i="42"/>
  <c r="P454" i="20" a="1"/>
  <c r="I873" i="42" a="1"/>
  <c r="I875" i="42" a="1"/>
  <c r="I874" i="42" a="1"/>
  <c r="R788" i="20" a="1"/>
  <c r="L874" i="42"/>
  <c r="L875" i="42"/>
  <c r="B1368" i="42" l="1"/>
  <c r="B1367" i="42"/>
  <c r="B1369" i="42" s="1"/>
  <c r="K751" i="20"/>
  <c r="K744" i="20"/>
  <c r="K743" i="20"/>
  <c r="K742" i="20"/>
  <c r="K741" i="20"/>
  <c r="K745" i="20"/>
  <c r="C140" i="46"/>
  <c r="C149" i="46" s="1"/>
  <c r="B39" i="46"/>
  <c r="B101" i="46"/>
  <c r="B70" i="46"/>
  <c r="B71" i="46" s="1"/>
  <c r="B72" i="46" s="1"/>
  <c r="C78" i="46" s="1"/>
  <c r="C147" i="46" s="1"/>
  <c r="R453" i="20"/>
  <c r="I873" i="42"/>
  <c r="J873" i="42"/>
  <c r="I874" i="42"/>
  <c r="J874" i="42"/>
  <c r="I875" i="42"/>
  <c r="J875" i="42"/>
  <c r="J867" i="42"/>
  <c r="E851" i="42"/>
  <c r="E854" i="42"/>
  <c r="F854" i="42"/>
  <c r="F857" i="42" s="1"/>
  <c r="P454" i="20"/>
  <c r="L703" i="20" s="1"/>
  <c r="M703" i="20"/>
  <c r="L1046" i="20"/>
  <c r="M1046" i="20"/>
  <c r="W788" i="20"/>
  <c r="M974" i="20"/>
  <c r="R788" i="20"/>
  <c r="L974" i="20" s="1"/>
  <c r="C455" i="20"/>
  <c r="D789" i="20"/>
  <c r="D790" i="20"/>
  <c r="D793" i="20"/>
  <c r="D791" i="20"/>
  <c r="D792" i="20"/>
  <c r="C789" i="20"/>
  <c r="C792" i="20"/>
  <c r="C790" i="20"/>
  <c r="C791" i="20"/>
  <c r="C793" i="20"/>
  <c r="E792" i="20"/>
  <c r="E791" i="20"/>
  <c r="E793" i="20"/>
  <c r="E790" i="20"/>
  <c r="E789" i="20"/>
  <c r="B793" i="20"/>
  <c r="B792" i="20"/>
  <c r="B791" i="20"/>
  <c r="B790" i="20"/>
  <c r="K1059" i="20"/>
  <c r="K1060" i="20"/>
  <c r="K1058" i="20"/>
  <c r="K1061" i="20"/>
  <c r="K1054" i="20"/>
  <c r="K1056" i="20"/>
  <c r="K1055" i="20"/>
  <c r="K1053" i="20"/>
  <c r="K1057" i="20"/>
  <c r="J1052" i="20"/>
  <c r="K1062" i="20"/>
  <c r="K1063" i="20"/>
  <c r="K1050" i="20"/>
  <c r="K1049" i="20"/>
  <c r="K1048" i="20"/>
  <c r="K1047" i="20"/>
  <c r="K1051" i="20"/>
  <c r="K1046" i="20"/>
  <c r="K980" i="20"/>
  <c r="J979" i="20"/>
  <c r="K989" i="20"/>
  <c r="K990" i="20"/>
  <c r="K975" i="20"/>
  <c r="K976" i="20"/>
  <c r="K977" i="20"/>
  <c r="K978" i="20"/>
  <c r="K974" i="20"/>
  <c r="K987" i="20"/>
  <c r="K981" i="20"/>
  <c r="K986" i="20"/>
  <c r="K985" i="20"/>
  <c r="K982" i="20"/>
  <c r="K984" i="20"/>
  <c r="K983" i="20"/>
  <c r="K988" i="20"/>
  <c r="K713" i="20"/>
  <c r="K716" i="20"/>
  <c r="J708" i="20"/>
  <c r="K719" i="20"/>
  <c r="K704" i="20"/>
  <c r="K718" i="20"/>
  <c r="K705" i="20"/>
  <c r="K706" i="20"/>
  <c r="K703" i="20"/>
  <c r="K702" i="20"/>
  <c r="K707" i="20"/>
  <c r="K710" i="20"/>
  <c r="K709" i="20"/>
  <c r="K715" i="20"/>
  <c r="K717" i="20"/>
  <c r="K714" i="20"/>
  <c r="K711" i="20"/>
  <c r="K712" i="20"/>
  <c r="K670" i="20"/>
  <c r="K671" i="20"/>
  <c r="K675" i="20"/>
  <c r="K672" i="20"/>
  <c r="K677" i="20"/>
  <c r="K676" i="20"/>
  <c r="K669" i="20"/>
  <c r="J668" i="20"/>
  <c r="K679" i="20"/>
  <c r="K664" i="20"/>
  <c r="K665" i="20"/>
  <c r="K666" i="20"/>
  <c r="K678" i="20"/>
  <c r="K667" i="20"/>
  <c r="K663" i="20"/>
  <c r="K674" i="20"/>
  <c r="K673" i="20"/>
  <c r="K626" i="20"/>
  <c r="K627" i="20"/>
  <c r="K629" i="20"/>
  <c r="K640" i="20"/>
  <c r="K625" i="20"/>
  <c r="K628" i="20"/>
  <c r="B456" i="20"/>
  <c r="B1277" i="42"/>
  <c r="B1405" i="42" s="1"/>
  <c r="D1405" i="42" s="1"/>
  <c r="B1259" i="42"/>
  <c r="B1407" i="42" s="1"/>
  <c r="D1407" i="42" s="1"/>
  <c r="A55" i="44"/>
  <c r="A52" i="44"/>
  <c r="A268" i="44"/>
  <c r="B1250" i="42"/>
  <c r="B1408" i="42" s="1"/>
  <c r="D1408" i="42" s="1"/>
  <c r="B1268" i="42"/>
  <c r="B1406" i="42" s="1"/>
  <c r="D1406" i="42" s="1"/>
  <c r="B1286" i="42"/>
  <c r="B1374" i="42" s="1"/>
  <c r="B1377" i="42" s="1"/>
  <c r="B148" i="20"/>
  <c r="B150" i="20"/>
  <c r="B147" i="20"/>
  <c r="N148" i="20"/>
  <c r="N149" i="20"/>
  <c r="N147" i="20"/>
  <c r="N150" i="20"/>
  <c r="B10" i="44"/>
  <c r="A10" i="44"/>
  <c r="E33" i="44"/>
  <c r="E32" i="44"/>
  <c r="F32" i="44" s="1"/>
  <c r="E31" i="44"/>
  <c r="F31" i="44" s="1"/>
  <c r="E30" i="44"/>
  <c r="E29" i="44"/>
  <c r="E28" i="44"/>
  <c r="F28" i="44" s="1"/>
  <c r="E27" i="44"/>
  <c r="F27" i="44" s="1"/>
  <c r="E26" i="44"/>
  <c r="F26" i="44" s="1"/>
  <c r="E25" i="44"/>
  <c r="E24" i="44"/>
  <c r="H39" i="45"/>
  <c r="H40" i="45"/>
  <c r="H41" i="45"/>
  <c r="H42" i="45"/>
  <c r="H43" i="45"/>
  <c r="H44" i="45"/>
  <c r="H45" i="45"/>
  <c r="H46" i="45"/>
  <c r="H47" i="45"/>
  <c r="H48" i="45"/>
  <c r="H49" i="45"/>
  <c r="H50" i="45"/>
  <c r="H51" i="45"/>
  <c r="H52" i="45"/>
  <c r="H53" i="45"/>
  <c r="H54" i="45"/>
  <c r="H55" i="45"/>
  <c r="H56" i="45"/>
  <c r="H57" i="45"/>
  <c r="H38" i="45"/>
  <c r="G39" i="45"/>
  <c r="G40" i="45"/>
  <c r="G41" i="45"/>
  <c r="G42" i="45"/>
  <c r="G43" i="45"/>
  <c r="G44" i="45"/>
  <c r="G45" i="45"/>
  <c r="G46" i="45"/>
  <c r="G47" i="45"/>
  <c r="G48" i="45"/>
  <c r="G49" i="45"/>
  <c r="G50" i="45"/>
  <c r="G51" i="45"/>
  <c r="G52" i="45"/>
  <c r="G53" i="45"/>
  <c r="G54" i="45"/>
  <c r="G55" i="45"/>
  <c r="G56" i="45"/>
  <c r="G57" i="45"/>
  <c r="G38" i="45"/>
  <c r="B5" i="45"/>
  <c r="A5" i="45"/>
  <c r="B33" i="44"/>
  <c r="B32" i="44"/>
  <c r="B31" i="44"/>
  <c r="B30" i="44"/>
  <c r="B29" i="44"/>
  <c r="B28" i="44"/>
  <c r="B27" i="44"/>
  <c r="B26" i="44"/>
  <c r="B25" i="44"/>
  <c r="B24" i="44"/>
  <c r="E23" i="44"/>
  <c r="B8" i="44"/>
  <c r="A8" i="44"/>
  <c r="D88" i="44"/>
  <c r="C88" i="44"/>
  <c r="B88" i="44"/>
  <c r="A88" i="44"/>
  <c r="D87" i="44"/>
  <c r="C87" i="44"/>
  <c r="B87" i="44"/>
  <c r="A87" i="44"/>
  <c r="D86" i="44"/>
  <c r="C86" i="44"/>
  <c r="B86" i="44"/>
  <c r="A86" i="44"/>
  <c r="D85" i="44"/>
  <c r="C85" i="44"/>
  <c r="B85" i="44"/>
  <c r="A85" i="44"/>
  <c r="D84" i="44"/>
  <c r="C84" i="44"/>
  <c r="B84" i="44"/>
  <c r="A84" i="44"/>
  <c r="D83" i="44"/>
  <c r="C83" i="44"/>
  <c r="B83" i="44"/>
  <c r="A83" i="44"/>
  <c r="D82" i="44"/>
  <c r="C82" i="44"/>
  <c r="B82" i="44"/>
  <c r="A82" i="44"/>
  <c r="D81" i="44"/>
  <c r="C81" i="44"/>
  <c r="B81" i="44"/>
  <c r="A81" i="44"/>
  <c r="D80" i="44"/>
  <c r="C80" i="44"/>
  <c r="B80" i="44"/>
  <c r="A80" i="44"/>
  <c r="D79" i="44"/>
  <c r="C79" i="44"/>
  <c r="B79" i="44"/>
  <c r="A79" i="44"/>
  <c r="D78" i="44"/>
  <c r="C78" i="44"/>
  <c r="B78" i="44"/>
  <c r="A78" i="44"/>
  <c r="D77" i="44"/>
  <c r="C77" i="44"/>
  <c r="B77" i="44"/>
  <c r="A77" i="44"/>
  <c r="D76" i="44"/>
  <c r="C76" i="44"/>
  <c r="B76" i="44"/>
  <c r="A76" i="44"/>
  <c r="D75" i="44"/>
  <c r="C75" i="44"/>
  <c r="B75" i="44"/>
  <c r="A75" i="44"/>
  <c r="D74" i="44"/>
  <c r="C74" i="44"/>
  <c r="B74" i="44"/>
  <c r="A74" i="44"/>
  <c r="D73" i="44"/>
  <c r="C73" i="44"/>
  <c r="B73" i="44"/>
  <c r="A73" i="44"/>
  <c r="D72" i="44"/>
  <c r="C72" i="44"/>
  <c r="B72" i="44"/>
  <c r="A72" i="44"/>
  <c r="D71" i="44"/>
  <c r="C71" i="44"/>
  <c r="B71" i="44"/>
  <c r="A71" i="44"/>
  <c r="D70" i="44"/>
  <c r="C70" i="44"/>
  <c r="B70" i="44"/>
  <c r="A70" i="44"/>
  <c r="D69" i="44"/>
  <c r="C69" i="44"/>
  <c r="B69" i="44"/>
  <c r="A69" i="44"/>
  <c r="D68" i="44"/>
  <c r="C68" i="44"/>
  <c r="B68" i="44"/>
  <c r="A68" i="44"/>
  <c r="D67" i="44"/>
  <c r="C67" i="44"/>
  <c r="B67" i="44"/>
  <c r="A67" i="44"/>
  <c r="D66" i="44"/>
  <c r="C66" i="44"/>
  <c r="B66" i="44"/>
  <c r="A66" i="44"/>
  <c r="D65" i="44"/>
  <c r="C65" i="44"/>
  <c r="B65" i="44"/>
  <c r="A65" i="44"/>
  <c r="B9" i="44"/>
  <c r="A9" i="44"/>
  <c r="B15" i="44"/>
  <c r="A15" i="44"/>
  <c r="F558" i="44"/>
  <c r="E558" i="44"/>
  <c r="F557" i="44"/>
  <c r="E557" i="44"/>
  <c r="F556" i="44"/>
  <c r="E556" i="44"/>
  <c r="F555" i="44"/>
  <c r="E555" i="44"/>
  <c r="F554" i="44"/>
  <c r="E554" i="44"/>
  <c r="F553" i="44"/>
  <c r="E553" i="44"/>
  <c r="F552" i="44"/>
  <c r="E552" i="44"/>
  <c r="F551" i="44"/>
  <c r="E551" i="44"/>
  <c r="F550" i="44"/>
  <c r="E550" i="44"/>
  <c r="F549" i="44"/>
  <c r="E549" i="44"/>
  <c r="F548" i="44"/>
  <c r="E548" i="44"/>
  <c r="F547" i="44"/>
  <c r="E547" i="44"/>
  <c r="F546" i="44"/>
  <c r="E546" i="44"/>
  <c r="F545" i="44"/>
  <c r="E545" i="44"/>
  <c r="F544" i="44"/>
  <c r="E544" i="44"/>
  <c r="F543" i="44"/>
  <c r="E543" i="44"/>
  <c r="F542" i="44"/>
  <c r="E542" i="44"/>
  <c r="F541" i="44"/>
  <c r="E541" i="44"/>
  <c r="F540" i="44"/>
  <c r="E540" i="44"/>
  <c r="F539" i="44"/>
  <c r="E539" i="44"/>
  <c r="F538" i="44"/>
  <c r="E538" i="44"/>
  <c r="F537" i="44"/>
  <c r="E537" i="44"/>
  <c r="B13" i="44"/>
  <c r="A13" i="44"/>
  <c r="F403" i="44"/>
  <c r="E403" i="44"/>
  <c r="F402" i="44"/>
  <c r="E402" i="44"/>
  <c r="F401" i="44"/>
  <c r="E401" i="44"/>
  <c r="F400" i="44"/>
  <c r="E400" i="44"/>
  <c r="F399" i="44"/>
  <c r="E399" i="44"/>
  <c r="F398" i="44"/>
  <c r="E398" i="44"/>
  <c r="F397" i="44"/>
  <c r="E397" i="44"/>
  <c r="F396" i="44"/>
  <c r="E396" i="44"/>
  <c r="F395" i="44"/>
  <c r="E395" i="44"/>
  <c r="F394" i="44"/>
  <c r="E394" i="44"/>
  <c r="F393" i="44"/>
  <c r="E393" i="44"/>
  <c r="F392" i="44"/>
  <c r="E392" i="44"/>
  <c r="F391" i="44"/>
  <c r="E391" i="44"/>
  <c r="F390" i="44"/>
  <c r="E390" i="44"/>
  <c r="F389" i="44"/>
  <c r="E389" i="44"/>
  <c r="F388" i="44"/>
  <c r="E388" i="44"/>
  <c r="F387" i="44"/>
  <c r="E387" i="44"/>
  <c r="F386" i="44"/>
  <c r="E386" i="44"/>
  <c r="F385" i="44"/>
  <c r="E385" i="44"/>
  <c r="F384" i="44"/>
  <c r="E384" i="44"/>
  <c r="F383" i="44"/>
  <c r="E383" i="44"/>
  <c r="F382" i="44"/>
  <c r="E382" i="44"/>
  <c r="B11" i="44"/>
  <c r="A11" i="44"/>
  <c r="F260" i="44"/>
  <c r="F259" i="44"/>
  <c r="F258" i="44"/>
  <c r="F257" i="44"/>
  <c r="F256" i="44"/>
  <c r="F255" i="44"/>
  <c r="F254" i="44"/>
  <c r="F253" i="44"/>
  <c r="F252" i="44"/>
  <c r="F251" i="44"/>
  <c r="F250" i="44"/>
  <c r="F249" i="44"/>
  <c r="F248" i="44"/>
  <c r="F247" i="44"/>
  <c r="F246" i="44"/>
  <c r="F245" i="44"/>
  <c r="F244" i="44"/>
  <c r="F243" i="44"/>
  <c r="F242" i="44"/>
  <c r="F241" i="44"/>
  <c r="F240" i="44"/>
  <c r="F239" i="44"/>
  <c r="E260" i="44"/>
  <c r="E259" i="44"/>
  <c r="E258" i="44"/>
  <c r="E257" i="44"/>
  <c r="E256" i="44"/>
  <c r="E255" i="44"/>
  <c r="E254" i="44"/>
  <c r="E253" i="44"/>
  <c r="E252" i="44"/>
  <c r="E251" i="44"/>
  <c r="E250" i="44"/>
  <c r="E249" i="44"/>
  <c r="E248" i="44"/>
  <c r="E247" i="44"/>
  <c r="E246" i="44"/>
  <c r="E245" i="44"/>
  <c r="E244" i="44"/>
  <c r="E243" i="44"/>
  <c r="E242" i="44"/>
  <c r="E241" i="44"/>
  <c r="E240" i="44"/>
  <c r="E239" i="44"/>
  <c r="M875" i="42" a="1"/>
  <c r="M874" i="42" a="1"/>
  <c r="M873" i="42" a="1"/>
  <c r="R790" i="20" a="1"/>
  <c r="G1431" i="42" a="1"/>
  <c r="R792" i="20" a="1"/>
  <c r="G1432" i="42" a="1"/>
  <c r="R793" i="20" a="1"/>
  <c r="P455" i="20" a="1"/>
  <c r="R789" i="20" a="1"/>
  <c r="R791" i="20" a="1"/>
  <c r="B1378" i="42" l="1"/>
  <c r="B1380" i="42" s="1"/>
  <c r="B1379" i="42"/>
  <c r="J876" i="42"/>
  <c r="M873" i="42"/>
  <c r="P873" i="42" s="1"/>
  <c r="N873" i="42"/>
  <c r="E857" i="42"/>
  <c r="H1432" i="42"/>
  <c r="G1432" i="42"/>
  <c r="G1431" i="42"/>
  <c r="H1431" i="42"/>
  <c r="N875" i="42"/>
  <c r="Q875" i="42" s="1"/>
  <c r="M875" i="42"/>
  <c r="P875" i="42" s="1"/>
  <c r="N874" i="42"/>
  <c r="Q874" i="42" s="1"/>
  <c r="M874" i="42"/>
  <c r="P874" i="42" s="1"/>
  <c r="K875" i="42"/>
  <c r="K874" i="42"/>
  <c r="K873" i="42"/>
  <c r="I876" i="42"/>
  <c r="V788" i="20"/>
  <c r="R454" i="20"/>
  <c r="M976" i="20"/>
  <c r="M1048" i="20"/>
  <c r="L1048" i="20"/>
  <c r="W790" i="20"/>
  <c r="R790" i="20"/>
  <c r="V790" i="20" s="1"/>
  <c r="P455" i="20"/>
  <c r="L704" i="20" s="1"/>
  <c r="M704" i="20"/>
  <c r="W793" i="20"/>
  <c r="R793" i="20"/>
  <c r="M1051" i="20"/>
  <c r="L1051" i="20"/>
  <c r="M977" i="20"/>
  <c r="L1049" i="20"/>
  <c r="M1049" i="20"/>
  <c r="W791" i="20"/>
  <c r="R791" i="20"/>
  <c r="L977" i="20" s="1"/>
  <c r="M1050" i="20"/>
  <c r="M978" i="20"/>
  <c r="L1050" i="20"/>
  <c r="W792" i="20"/>
  <c r="R792" i="20"/>
  <c r="L978" i="20" s="1"/>
  <c r="M1047" i="20"/>
  <c r="L1047" i="20"/>
  <c r="M975" i="20"/>
  <c r="W789" i="20"/>
  <c r="R789" i="20"/>
  <c r="C456" i="20"/>
  <c r="K1052" i="20"/>
  <c r="K979" i="20"/>
  <c r="K708" i="20"/>
  <c r="K668" i="20"/>
  <c r="B457" i="20"/>
  <c r="I1425" i="42"/>
  <c r="I1426" i="42"/>
  <c r="B420" i="44"/>
  <c r="B575" i="44"/>
  <c r="B421" i="44"/>
  <c r="B576" i="44"/>
  <c r="B422" i="44"/>
  <c r="B577" i="44"/>
  <c r="B423" i="44"/>
  <c r="B578" i="44"/>
  <c r="B424" i="44"/>
  <c r="B579" i="44"/>
  <c r="B415" i="44"/>
  <c r="B570" i="44"/>
  <c r="B416" i="44"/>
  <c r="B571" i="44"/>
  <c r="B417" i="44"/>
  <c r="B572" i="44"/>
  <c r="B418" i="44"/>
  <c r="B573" i="44"/>
  <c r="B419" i="44"/>
  <c r="B574" i="44"/>
  <c r="K45" i="45"/>
  <c r="G105" i="44" s="1"/>
  <c r="K43" i="45"/>
  <c r="G103" i="44" s="1"/>
  <c r="K46" i="45"/>
  <c r="G106" i="44" s="1"/>
  <c r="B135" i="44"/>
  <c r="B278" i="44"/>
  <c r="B136" i="44"/>
  <c r="B279" i="44"/>
  <c r="B134" i="44"/>
  <c r="B277" i="44"/>
  <c r="B138" i="44"/>
  <c r="B281" i="44"/>
  <c r="B133" i="44"/>
  <c r="B276" i="44"/>
  <c r="B137" i="44"/>
  <c r="B280" i="44"/>
  <c r="B129" i="44"/>
  <c r="B272" i="44"/>
  <c r="B130" i="44"/>
  <c r="B273" i="44"/>
  <c r="B131" i="44"/>
  <c r="B274" i="44"/>
  <c r="B132" i="44"/>
  <c r="B275" i="44"/>
  <c r="F24" i="44"/>
  <c r="F25" i="44"/>
  <c r="F29" i="44"/>
  <c r="F30" i="44"/>
  <c r="K47" i="45"/>
  <c r="G107" i="44" s="1"/>
  <c r="K48" i="45"/>
  <c r="G108" i="44" s="1"/>
  <c r="K50" i="45"/>
  <c r="G110" i="44" s="1"/>
  <c r="K49" i="45"/>
  <c r="G109" i="44" s="1"/>
  <c r="K51" i="45"/>
  <c r="G111" i="44" s="1"/>
  <c r="K52" i="45"/>
  <c r="G112" i="44" s="1"/>
  <c r="K53" i="45"/>
  <c r="G113" i="44" s="1"/>
  <c r="K38" i="45"/>
  <c r="G98" i="44" s="1"/>
  <c r="K54" i="45"/>
  <c r="G114" i="44" s="1"/>
  <c r="K39" i="45"/>
  <c r="G99" i="44" s="1"/>
  <c r="K55" i="45"/>
  <c r="G115" i="44" s="1"/>
  <c r="K40" i="45"/>
  <c r="G100" i="44" s="1"/>
  <c r="K56" i="45"/>
  <c r="G116" i="44" s="1"/>
  <c r="K41" i="45"/>
  <c r="G101" i="44" s="1"/>
  <c r="K57" i="45"/>
  <c r="G117" i="44" s="1"/>
  <c r="K42" i="45"/>
  <c r="G102" i="44" s="1"/>
  <c r="K44" i="45"/>
  <c r="G104" i="44" s="1"/>
  <c r="F33" i="44"/>
  <c r="H245" i="44"/>
  <c r="B316" i="44" s="1"/>
  <c r="B348" i="44" s="1"/>
  <c r="H397" i="44"/>
  <c r="C468" i="44" s="1"/>
  <c r="C500" i="44" s="1"/>
  <c r="H242" i="44"/>
  <c r="C314" i="44" s="1"/>
  <c r="C346" i="44" s="1"/>
  <c r="H558" i="44"/>
  <c r="C621" i="44" s="1"/>
  <c r="C653" i="44" s="1"/>
  <c r="H539" i="44"/>
  <c r="H396" i="44"/>
  <c r="B468" i="44" s="1"/>
  <c r="B500" i="44" s="1"/>
  <c r="H252" i="44"/>
  <c r="C319" i="44" s="1"/>
  <c r="C351" i="44" s="1"/>
  <c r="H552" i="44"/>
  <c r="C618" i="44" s="1"/>
  <c r="C650" i="44" s="1"/>
  <c r="H259" i="44"/>
  <c r="B323" i="44" s="1"/>
  <c r="B355" i="44" s="1"/>
  <c r="H545" i="44"/>
  <c r="H548" i="44"/>
  <c r="C616" i="44" s="1"/>
  <c r="C648" i="44" s="1"/>
  <c r="H240" i="44"/>
  <c r="H556" i="44"/>
  <c r="C620" i="44" s="1"/>
  <c r="C652" i="44" s="1"/>
  <c r="H387" i="44"/>
  <c r="C463" i="44" s="1"/>
  <c r="C495" i="44" s="1"/>
  <c r="H537" i="44"/>
  <c r="H382" i="44"/>
  <c r="H384" i="44"/>
  <c r="B462" i="44" s="1"/>
  <c r="B494" i="44" s="1"/>
  <c r="H392" i="44"/>
  <c r="B466" i="44" s="1"/>
  <c r="B498" i="44" s="1"/>
  <c r="H557" i="44"/>
  <c r="H385" i="44"/>
  <c r="C462" i="44" s="1"/>
  <c r="C494" i="44" s="1"/>
  <c r="H241" i="44"/>
  <c r="B314" i="44" s="1"/>
  <c r="B346" i="44" s="1"/>
  <c r="H243" i="44"/>
  <c r="B315" i="44" s="1"/>
  <c r="B347" i="44" s="1"/>
  <c r="H403" i="44"/>
  <c r="C471" i="44" s="1"/>
  <c r="C503" i="44" s="1"/>
  <c r="H398" i="44"/>
  <c r="B469" i="44" s="1"/>
  <c r="B501" i="44" s="1"/>
  <c r="H546" i="44"/>
  <c r="C615" i="44" s="1"/>
  <c r="C647" i="44" s="1"/>
  <c r="H553" i="44"/>
  <c r="H391" i="44"/>
  <c r="C465" i="44" s="1"/>
  <c r="C497" i="44" s="1"/>
  <c r="H554" i="44"/>
  <c r="C619" i="44" s="1"/>
  <c r="C651" i="44" s="1"/>
  <c r="H253" i="44"/>
  <c r="B320" i="44" s="1"/>
  <c r="B352" i="44" s="1"/>
  <c r="H400" i="44"/>
  <c r="B470" i="44" s="1"/>
  <c r="B502" i="44" s="1"/>
  <c r="H239" i="44"/>
  <c r="H255" i="44"/>
  <c r="B321" i="44" s="1"/>
  <c r="B353" i="44" s="1"/>
  <c r="H393" i="44"/>
  <c r="C466" i="44" s="1"/>
  <c r="C498" i="44" s="1"/>
  <c r="H401" i="44"/>
  <c r="C470" i="44" s="1"/>
  <c r="C502" i="44" s="1"/>
  <c r="H256" i="44"/>
  <c r="C321" i="44" s="1"/>
  <c r="C353" i="44" s="1"/>
  <c r="H541" i="44"/>
  <c r="H549" i="44"/>
  <c r="H258" i="44"/>
  <c r="C322" i="44" s="1"/>
  <c r="C354" i="44" s="1"/>
  <c r="H244" i="44"/>
  <c r="C315" i="44" s="1"/>
  <c r="C347" i="44" s="1"/>
  <c r="H551" i="44"/>
  <c r="H246" i="44"/>
  <c r="C316" i="44" s="1"/>
  <c r="C348" i="44" s="1"/>
  <c r="H389" i="44"/>
  <c r="C464" i="44" s="1"/>
  <c r="C496" i="44" s="1"/>
  <c r="H399" i="44"/>
  <c r="C469" i="44" s="1"/>
  <c r="C501" i="44" s="1"/>
  <c r="H538" i="44"/>
  <c r="H547" i="44"/>
  <c r="H386" i="44"/>
  <c r="B463" i="44" s="1"/>
  <c r="B495" i="44" s="1"/>
  <c r="H540" i="44"/>
  <c r="C612" i="44" s="1"/>
  <c r="C644" i="44" s="1"/>
  <c r="H254" i="44"/>
  <c r="C320" i="44" s="1"/>
  <c r="C352" i="44" s="1"/>
  <c r="H260" i="44"/>
  <c r="C323" i="44" s="1"/>
  <c r="C355" i="44" s="1"/>
  <c r="H394" i="44"/>
  <c r="B467" i="44" s="1"/>
  <c r="B499" i="44" s="1"/>
  <c r="H555" i="44"/>
  <c r="H402" i="44"/>
  <c r="B471" i="44" s="1"/>
  <c r="B503" i="44" s="1"/>
  <c r="H247" i="44"/>
  <c r="B317" i="44" s="1"/>
  <c r="B349" i="44" s="1"/>
  <c r="H388" i="44"/>
  <c r="B464" i="44" s="1"/>
  <c r="B496" i="44" s="1"/>
  <c r="H395" i="44"/>
  <c r="C467" i="44" s="1"/>
  <c r="C499" i="44" s="1"/>
  <c r="H542" i="44"/>
  <c r="C613" i="44" s="1"/>
  <c r="C645" i="44" s="1"/>
  <c r="H550" i="44"/>
  <c r="C617" i="44" s="1"/>
  <c r="C649" i="44" s="1"/>
  <c r="H248" i="44"/>
  <c r="C317" i="44" s="1"/>
  <c r="C349" i="44" s="1"/>
  <c r="H543" i="44"/>
  <c r="H257" i="44"/>
  <c r="B322" i="44" s="1"/>
  <c r="B354" i="44" s="1"/>
  <c r="H250" i="44"/>
  <c r="C318" i="44" s="1"/>
  <c r="C350" i="44" s="1"/>
  <c r="H544" i="44"/>
  <c r="C614" i="44" s="1"/>
  <c r="C646" i="44" s="1"/>
  <c r="H249" i="44"/>
  <c r="B318" i="44" s="1"/>
  <c r="B350" i="44" s="1"/>
  <c r="H251" i="44"/>
  <c r="B319" i="44" s="1"/>
  <c r="B351" i="44" s="1"/>
  <c r="H383" i="44"/>
  <c r="H390" i="44"/>
  <c r="B465" i="44" s="1"/>
  <c r="B497" i="44" s="1"/>
  <c r="F117" i="44"/>
  <c r="E117" i="44"/>
  <c r="F116" i="44"/>
  <c r="E116" i="44"/>
  <c r="F115" i="44"/>
  <c r="E115" i="44"/>
  <c r="F114" i="44"/>
  <c r="E114" i="44"/>
  <c r="F113" i="44"/>
  <c r="E113" i="44"/>
  <c r="F112" i="44"/>
  <c r="E112" i="44"/>
  <c r="F111" i="44"/>
  <c r="E111" i="44"/>
  <c r="F110" i="44"/>
  <c r="E110" i="44"/>
  <c r="F109" i="44"/>
  <c r="E109" i="44"/>
  <c r="F108" i="44"/>
  <c r="E108" i="44"/>
  <c r="F107" i="44"/>
  <c r="E107" i="44"/>
  <c r="F106" i="44"/>
  <c r="E106" i="44"/>
  <c r="F105" i="44"/>
  <c r="E105" i="44"/>
  <c r="F104" i="44"/>
  <c r="E104" i="44"/>
  <c r="F103" i="44"/>
  <c r="E103" i="44"/>
  <c r="F102" i="44"/>
  <c r="E102" i="44"/>
  <c r="F101" i="44"/>
  <c r="E101" i="44"/>
  <c r="F100" i="44"/>
  <c r="E100" i="44"/>
  <c r="F99" i="44"/>
  <c r="E99" i="44"/>
  <c r="F98" i="44"/>
  <c r="E98" i="44"/>
  <c r="F97" i="44"/>
  <c r="E97" i="44"/>
  <c r="F96" i="44"/>
  <c r="E96" i="44"/>
  <c r="A119" i="44"/>
  <c r="B664" i="42"/>
  <c r="B6" i="44"/>
  <c r="A6" i="44"/>
  <c r="A662" i="42"/>
  <c r="U1055" i="20" a="1"/>
  <c r="L1060" i="20" a="1"/>
  <c r="U1063" i="20" a="1"/>
  <c r="L1055" i="20" a="1"/>
  <c r="L1058" i="20" a="1"/>
  <c r="P1056" i="20" a="1"/>
  <c r="L1054" i="20" a="1"/>
  <c r="P1057" i="20" a="1"/>
  <c r="U1054" i="20" a="1"/>
  <c r="U1057" i="20" a="1"/>
  <c r="P456" i="20" a="1"/>
  <c r="U1056" i="20" a="1"/>
  <c r="P1063" i="20" a="1"/>
  <c r="L1053" i="20" a="1"/>
  <c r="P1053" i="20" a="1"/>
  <c r="P1054" i="20" a="1"/>
  <c r="P1059" i="20" a="1"/>
  <c r="U1062" i="20" a="1"/>
  <c r="P1052" i="20" a="1"/>
  <c r="U1053" i="20" a="1"/>
  <c r="L1056" i="20" a="1"/>
  <c r="U1059" i="20" a="1"/>
  <c r="U1052" i="20" a="1"/>
  <c r="L1052" i="20" a="1"/>
  <c r="U1058" i="20" a="1"/>
  <c r="L1063" i="20" a="1"/>
  <c r="P1062" i="20" a="1"/>
  <c r="P1055" i="20" a="1"/>
  <c r="P1058" i="20" a="1"/>
  <c r="L1059" i="20" a="1"/>
  <c r="L1062" i="20" a="1"/>
  <c r="L1061" i="20" a="1"/>
  <c r="P1061" i="20" a="1"/>
  <c r="P1060" i="20" a="1"/>
  <c r="L1057" i="20" a="1"/>
  <c r="U1061" i="20" a="1"/>
  <c r="U1060" i="20" a="1"/>
  <c r="D495" i="44" l="1"/>
  <c r="E495" i="44" s="1"/>
  <c r="B882" i="42"/>
  <c r="B884" i="42" s="1"/>
  <c r="C891" i="42" s="1"/>
  <c r="B891" i="42"/>
  <c r="B892" i="42" s="1"/>
  <c r="O873" i="42"/>
  <c r="O1061" i="20"/>
  <c r="I1167" i="20" s="1"/>
  <c r="J1167" i="20" s="1"/>
  <c r="Q873" i="42"/>
  <c r="K876" i="42"/>
  <c r="O874" i="42"/>
  <c r="O875" i="42"/>
  <c r="R455" i="20"/>
  <c r="L976" i="20"/>
  <c r="O1052" i="20"/>
  <c r="O1062" i="20"/>
  <c r="V792" i="20"/>
  <c r="M1063" i="20"/>
  <c r="E1068" i="20" s="1"/>
  <c r="L1063" i="20"/>
  <c r="U1063" i="20"/>
  <c r="V1063" i="20"/>
  <c r="P1063" i="20"/>
  <c r="Q1063" i="20"/>
  <c r="M705" i="20"/>
  <c r="P456" i="20"/>
  <c r="L705" i="20" s="1"/>
  <c r="U1059" i="20"/>
  <c r="M1061" i="20"/>
  <c r="C1305" i="20" s="1"/>
  <c r="L1061" i="20"/>
  <c r="U1060" i="20"/>
  <c r="U1061" i="20"/>
  <c r="U1054" i="20"/>
  <c r="U1056" i="20"/>
  <c r="M1055" i="20"/>
  <c r="C1299" i="20" s="1"/>
  <c r="L1055" i="20"/>
  <c r="U1058" i="20"/>
  <c r="L1054" i="20"/>
  <c r="M1054" i="20"/>
  <c r="C1298" i="20" s="1"/>
  <c r="L1056" i="20"/>
  <c r="M1056" i="20"/>
  <c r="C1300" i="20" s="1"/>
  <c r="U1055" i="20"/>
  <c r="U1053" i="20"/>
  <c r="U1052" i="20"/>
  <c r="U1062" i="20"/>
  <c r="L1053" i="20"/>
  <c r="M1053" i="20"/>
  <c r="C1297" i="20" s="1"/>
  <c r="L1058" i="20"/>
  <c r="M1058" i="20"/>
  <c r="C1302" i="20" s="1"/>
  <c r="U1057" i="20"/>
  <c r="L1059" i="20"/>
  <c r="M1059" i="20"/>
  <c r="C1303" i="20" s="1"/>
  <c r="L1057" i="20"/>
  <c r="M1057" i="20"/>
  <c r="C1301" i="20" s="1"/>
  <c r="M1060" i="20"/>
  <c r="C1304" i="20" s="1"/>
  <c r="L1060" i="20"/>
  <c r="L1062" i="20"/>
  <c r="D1067" i="20" s="1"/>
  <c r="M1062" i="20"/>
  <c r="E1067" i="20" s="1"/>
  <c r="Q1062" i="20"/>
  <c r="P1062" i="20"/>
  <c r="Q1058" i="20"/>
  <c r="P1058" i="20"/>
  <c r="P1061" i="20"/>
  <c r="Q1061" i="20"/>
  <c r="Q1054" i="20"/>
  <c r="P1054" i="20"/>
  <c r="P1055" i="20"/>
  <c r="Q1055" i="20"/>
  <c r="P1053" i="20"/>
  <c r="Q1053" i="20"/>
  <c r="P1059" i="20"/>
  <c r="Q1059" i="20"/>
  <c r="P1057" i="20"/>
  <c r="Q1057" i="20"/>
  <c r="P1060" i="20"/>
  <c r="Q1060" i="20"/>
  <c r="Q1056" i="20"/>
  <c r="P1056" i="20"/>
  <c r="O1053" i="20"/>
  <c r="O1056" i="20"/>
  <c r="C457" i="20"/>
  <c r="L975" i="20"/>
  <c r="V789" i="20"/>
  <c r="O1063" i="20" a="1"/>
  <c r="O1063" i="20" s="1"/>
  <c r="V791" i="20"/>
  <c r="O1057" i="20"/>
  <c r="O1055" i="20"/>
  <c r="O1060" i="20"/>
  <c r="O1059" i="20"/>
  <c r="I1165" i="20" s="1"/>
  <c r="J1165" i="20" s="1"/>
  <c r="O1058" i="20"/>
  <c r="O1054" i="20"/>
  <c r="P1052" i="20"/>
  <c r="Q1052" i="20"/>
  <c r="L1052" i="20"/>
  <c r="M1052" i="20"/>
  <c r="C1296" i="20" s="1"/>
  <c r="B458" i="20"/>
  <c r="I1431" i="42"/>
  <c r="I1432" i="42"/>
  <c r="D500" i="44"/>
  <c r="E500" i="44" s="1"/>
  <c r="D355" i="44"/>
  <c r="E355" i="44" s="1"/>
  <c r="D502" i="44"/>
  <c r="E502" i="44" s="1"/>
  <c r="D498" i="44"/>
  <c r="E498" i="44" s="1"/>
  <c r="D503" i="44"/>
  <c r="E503" i="44" s="1"/>
  <c r="D501" i="44"/>
  <c r="E501" i="44" s="1"/>
  <c r="D497" i="44"/>
  <c r="E497" i="44" s="1"/>
  <c r="D499" i="44"/>
  <c r="E499" i="44" s="1"/>
  <c r="D496" i="44"/>
  <c r="E496" i="44" s="1"/>
  <c r="D494" i="44"/>
  <c r="E494" i="44" s="1"/>
  <c r="D347" i="44"/>
  <c r="E347" i="44" s="1"/>
  <c r="D349" i="44"/>
  <c r="E349" i="44" s="1"/>
  <c r="D346" i="44"/>
  <c r="E346" i="44" s="1"/>
  <c r="D348" i="44"/>
  <c r="E348" i="44" s="1"/>
  <c r="D351" i="44"/>
  <c r="E351" i="44" s="1"/>
  <c r="D353" i="44"/>
  <c r="E353" i="44" s="1"/>
  <c r="D350" i="44"/>
  <c r="E350" i="44" s="1"/>
  <c r="D352" i="44"/>
  <c r="E352" i="44" s="1"/>
  <c r="D354" i="44"/>
  <c r="E354" i="44" s="1"/>
  <c r="J553" i="44"/>
  <c r="B619" i="44"/>
  <c r="B651" i="44" s="1"/>
  <c r="D651" i="44" s="1"/>
  <c r="E651" i="44" s="1"/>
  <c r="D577" i="44"/>
  <c r="J545" i="44"/>
  <c r="B615" i="44"/>
  <c r="B647" i="44" s="1"/>
  <c r="D647" i="44" s="1"/>
  <c r="E647" i="44" s="1"/>
  <c r="D573" i="44"/>
  <c r="J551" i="44"/>
  <c r="B618" i="44"/>
  <c r="B650" i="44" s="1"/>
  <c r="D650" i="44" s="1"/>
  <c r="E650" i="44" s="1"/>
  <c r="D576" i="44"/>
  <c r="J549" i="44"/>
  <c r="B617" i="44"/>
  <c r="B649" i="44" s="1"/>
  <c r="D649" i="44" s="1"/>
  <c r="E649" i="44" s="1"/>
  <c r="D575" i="44"/>
  <c r="J539" i="44"/>
  <c r="A565" i="44"/>
  <c r="D570" i="44"/>
  <c r="A564" i="44"/>
  <c r="B612" i="44"/>
  <c r="B644" i="44" s="1"/>
  <c r="D644" i="44" s="1"/>
  <c r="E644" i="44" s="1"/>
  <c r="J555" i="44"/>
  <c r="D578" i="44"/>
  <c r="B620" i="44"/>
  <c r="B652" i="44" s="1"/>
  <c r="D652" i="44" s="1"/>
  <c r="E652" i="44" s="1"/>
  <c r="J557" i="44"/>
  <c r="D579" i="44"/>
  <c r="B621" i="44"/>
  <c r="B653" i="44" s="1"/>
  <c r="D653" i="44" s="1"/>
  <c r="E653" i="44" s="1"/>
  <c r="J541" i="44"/>
  <c r="D571" i="44"/>
  <c r="B613" i="44"/>
  <c r="B645" i="44" s="1"/>
  <c r="D645" i="44" s="1"/>
  <c r="E645" i="44" s="1"/>
  <c r="J547" i="44"/>
  <c r="B616" i="44"/>
  <c r="B648" i="44" s="1"/>
  <c r="D648" i="44" s="1"/>
  <c r="E648" i="44" s="1"/>
  <c r="D574" i="44"/>
  <c r="B614" i="44"/>
  <c r="B646" i="44" s="1"/>
  <c r="D646" i="44" s="1"/>
  <c r="E646" i="44" s="1"/>
  <c r="D572" i="44"/>
  <c r="J543" i="44"/>
  <c r="J388" i="44"/>
  <c r="D417" i="44"/>
  <c r="E417" i="44" s="1"/>
  <c r="J396" i="44"/>
  <c r="D421" i="44"/>
  <c r="E421" i="44" s="1"/>
  <c r="J402" i="44"/>
  <c r="D424" i="44"/>
  <c r="E424" i="44" s="1"/>
  <c r="J392" i="44"/>
  <c r="D419" i="44"/>
  <c r="E419" i="44" s="1"/>
  <c r="A410" i="44"/>
  <c r="A409" i="44"/>
  <c r="J384" i="44"/>
  <c r="D415" i="44"/>
  <c r="E415" i="44" s="1"/>
  <c r="J386" i="44"/>
  <c r="D416" i="44"/>
  <c r="E416" i="44" s="1"/>
  <c r="J400" i="44"/>
  <c r="D423" i="44"/>
  <c r="E423" i="44" s="1"/>
  <c r="J390" i="44"/>
  <c r="D418" i="44"/>
  <c r="E418" i="44" s="1"/>
  <c r="J394" i="44"/>
  <c r="D420" i="44"/>
  <c r="E420" i="44" s="1"/>
  <c r="J398" i="44"/>
  <c r="D422" i="44"/>
  <c r="E422" i="44" s="1"/>
  <c r="D281" i="44"/>
  <c r="E281" i="44" s="1"/>
  <c r="D278" i="44"/>
  <c r="E278" i="44" s="1"/>
  <c r="J243" i="44"/>
  <c r="D273" i="44"/>
  <c r="E273" i="44" s="1"/>
  <c r="J247" i="44"/>
  <c r="D275" i="44"/>
  <c r="E275" i="44" s="1"/>
  <c r="D272" i="44"/>
  <c r="E272" i="44" s="1"/>
  <c r="J251" i="44"/>
  <c r="D277" i="44"/>
  <c r="E277" i="44" s="1"/>
  <c r="D279" i="44"/>
  <c r="E279" i="44" s="1"/>
  <c r="J245" i="44"/>
  <c r="D274" i="44"/>
  <c r="E274" i="44" s="1"/>
  <c r="J249" i="44"/>
  <c r="D276" i="44"/>
  <c r="E276" i="44" s="1"/>
  <c r="D280" i="44"/>
  <c r="E280" i="44" s="1"/>
  <c r="J241" i="44"/>
  <c r="A267" i="44"/>
  <c r="A266" i="44"/>
  <c r="J253" i="44"/>
  <c r="J257" i="44"/>
  <c r="J259" i="44"/>
  <c r="J255" i="44"/>
  <c r="H109" i="44"/>
  <c r="C176" i="44" s="1"/>
  <c r="C208" i="44" s="1"/>
  <c r="H101" i="44"/>
  <c r="C172" i="44" s="1"/>
  <c r="C204" i="44" s="1"/>
  <c r="H117" i="44"/>
  <c r="C180" i="44" s="1"/>
  <c r="C212" i="44" s="1"/>
  <c r="H102" i="44"/>
  <c r="B173" i="44" s="1"/>
  <c r="B205" i="44" s="1"/>
  <c r="H110" i="44"/>
  <c r="B177" i="44" s="1"/>
  <c r="B209" i="44" s="1"/>
  <c r="H103" i="44"/>
  <c r="C173" i="44" s="1"/>
  <c r="C205" i="44" s="1"/>
  <c r="H111" i="44"/>
  <c r="C177" i="44" s="1"/>
  <c r="C209" i="44" s="1"/>
  <c r="H105" i="44"/>
  <c r="C174" i="44" s="1"/>
  <c r="C206" i="44" s="1"/>
  <c r="H113" i="44"/>
  <c r="C178" i="44" s="1"/>
  <c r="C210" i="44" s="1"/>
  <c r="H106" i="44"/>
  <c r="B175" i="44" s="1"/>
  <c r="B207" i="44" s="1"/>
  <c r="H114" i="44"/>
  <c r="B179" i="44" s="1"/>
  <c r="B211" i="44" s="1"/>
  <c r="H115" i="44"/>
  <c r="C179" i="44" s="1"/>
  <c r="C211" i="44" s="1"/>
  <c r="H100" i="44"/>
  <c r="B172" i="44" s="1"/>
  <c r="B204" i="44" s="1"/>
  <c r="H116" i="44"/>
  <c r="B180" i="44" s="1"/>
  <c r="B212" i="44" s="1"/>
  <c r="H98" i="44"/>
  <c r="B171" i="44" s="1"/>
  <c r="B203" i="44" s="1"/>
  <c r="H107" i="44"/>
  <c r="C175" i="44" s="1"/>
  <c r="C207" i="44" s="1"/>
  <c r="H108" i="44"/>
  <c r="H99" i="44"/>
  <c r="C171" i="44" s="1"/>
  <c r="C203" i="44" s="1"/>
  <c r="H104" i="44"/>
  <c r="B174" i="44" s="1"/>
  <c r="B206" i="44" s="1"/>
  <c r="H112" i="44"/>
  <c r="B178" i="44" s="1"/>
  <c r="B210" i="44" s="1"/>
  <c r="A640" i="42"/>
  <c r="U979" i="20" a="1"/>
  <c r="P981" i="20" a="1"/>
  <c r="L986" i="20" a="1"/>
  <c r="L983" i="20" a="1"/>
  <c r="L981" i="20" a="1"/>
  <c r="P980" i="20" a="1"/>
  <c r="U986" i="20" a="1"/>
  <c r="L985" i="20" a="1"/>
  <c r="U982" i="20" a="1"/>
  <c r="P983" i="20" a="1"/>
  <c r="P982" i="20" a="1"/>
  <c r="P457" i="20" a="1"/>
  <c r="P987" i="20" a="1"/>
  <c r="L987" i="20" a="1"/>
  <c r="U987" i="20" a="1"/>
  <c r="L990" i="20" a="1"/>
  <c r="U981" i="20" a="1"/>
  <c r="L988" i="20" a="1"/>
  <c r="U980" i="20" a="1"/>
  <c r="L989" i="20" a="1"/>
  <c r="L980" i="20" a="1"/>
  <c r="L984" i="20" a="1"/>
  <c r="U985" i="20" a="1"/>
  <c r="P984" i="20" a="1"/>
  <c r="P989" i="20" a="1"/>
  <c r="U990" i="20" a="1"/>
  <c r="P985" i="20" a="1"/>
  <c r="P986" i="20" a="1"/>
  <c r="L982" i="20" a="1"/>
  <c r="U989" i="20" a="1"/>
  <c r="L979" i="20" a="1"/>
  <c r="P990" i="20" a="1"/>
  <c r="U988" i="20" a="1"/>
  <c r="U983" i="20" a="1"/>
  <c r="P988" i="20" a="1"/>
  <c r="P979" i="20" a="1"/>
  <c r="U984" i="20" a="1"/>
  <c r="I1067" i="20" l="1"/>
  <c r="I1301" i="20"/>
  <c r="C1388" i="20"/>
  <c r="I1388" i="20" s="1"/>
  <c r="I1303" i="20"/>
  <c r="C1390" i="20"/>
  <c r="I1390" i="20" s="1"/>
  <c r="I1298" i="20"/>
  <c r="C1385" i="20"/>
  <c r="I1385" i="20" s="1"/>
  <c r="I1302" i="20"/>
  <c r="C1389" i="20"/>
  <c r="I1389" i="20" s="1"/>
  <c r="I1296" i="20"/>
  <c r="C1383" i="20"/>
  <c r="I1383" i="20" s="1"/>
  <c r="I1297" i="20"/>
  <c r="C1384" i="20"/>
  <c r="I1384" i="20" s="1"/>
  <c r="I1305" i="20"/>
  <c r="C1392" i="20"/>
  <c r="I1392" i="20" s="1"/>
  <c r="I1304" i="20"/>
  <c r="C1391" i="20"/>
  <c r="I1391" i="20" s="1"/>
  <c r="I1299" i="20"/>
  <c r="C1386" i="20"/>
  <c r="I1386" i="20" s="1"/>
  <c r="I1300" i="20"/>
  <c r="C1387" i="20"/>
  <c r="I1387" i="20" s="1"/>
  <c r="B1299" i="20"/>
  <c r="X1055" i="20"/>
  <c r="B1301" i="20"/>
  <c r="X1057" i="20"/>
  <c r="B1303" i="20"/>
  <c r="X1059" i="20"/>
  <c r="B1296" i="20"/>
  <c r="B1383" i="20" s="1"/>
  <c r="H1383" i="20" s="1"/>
  <c r="X1052" i="20"/>
  <c r="B1297" i="20"/>
  <c r="X1053" i="20"/>
  <c r="B1305" i="20"/>
  <c r="X1061" i="20"/>
  <c r="B1304" i="20"/>
  <c r="X1060" i="20"/>
  <c r="B1302" i="20"/>
  <c r="X1058" i="20"/>
  <c r="B1300" i="20"/>
  <c r="X1056" i="20"/>
  <c r="B1298" i="20"/>
  <c r="X1054" i="20"/>
  <c r="C1277" i="20"/>
  <c r="C1275" i="20"/>
  <c r="C1273" i="20"/>
  <c r="C1279" i="20"/>
  <c r="C1274" i="20"/>
  <c r="C1271" i="20"/>
  <c r="C1278" i="20"/>
  <c r="C1272" i="20"/>
  <c r="C1270" i="20"/>
  <c r="C1276" i="20"/>
  <c r="I1166" i="20"/>
  <c r="J1166" i="20" s="1"/>
  <c r="G1173" i="20"/>
  <c r="H1173" i="20" s="1"/>
  <c r="I1168" i="20"/>
  <c r="A169" i="20"/>
  <c r="D899" i="42"/>
  <c r="L899" i="42" s="1"/>
  <c r="C892" i="42"/>
  <c r="R1059" i="20"/>
  <c r="R1063" i="20"/>
  <c r="N1056" i="20"/>
  <c r="O985" i="20"/>
  <c r="R1057" i="20"/>
  <c r="S1057" i="20"/>
  <c r="R1053" i="20"/>
  <c r="T1058" i="20"/>
  <c r="R1062" i="20"/>
  <c r="T1061" i="20"/>
  <c r="R1052" i="20"/>
  <c r="N1053" i="20"/>
  <c r="T1057" i="20"/>
  <c r="T1060" i="20"/>
  <c r="T1054" i="20"/>
  <c r="S1054" i="20"/>
  <c r="S1055" i="20"/>
  <c r="R456" i="20"/>
  <c r="R1055" i="20"/>
  <c r="S1063" i="20"/>
  <c r="T1063" i="20"/>
  <c r="W1054" i="20"/>
  <c r="W1055" i="20"/>
  <c r="W1058" i="20"/>
  <c r="S1053" i="20"/>
  <c r="N1061" i="20"/>
  <c r="R1054" i="20"/>
  <c r="R1058" i="20"/>
  <c r="N1054" i="20"/>
  <c r="N1057" i="20"/>
  <c r="W1060" i="20"/>
  <c r="W1056" i="20"/>
  <c r="R1060" i="20"/>
  <c r="T1056" i="20"/>
  <c r="W1061" i="20"/>
  <c r="N1063" i="20"/>
  <c r="T1062" i="20"/>
  <c r="W1053" i="20"/>
  <c r="R1061" i="20"/>
  <c r="N1058" i="20"/>
  <c r="T1053" i="20"/>
  <c r="R1056" i="20"/>
  <c r="N1060" i="20"/>
  <c r="S1056" i="20"/>
  <c r="D1068" i="20"/>
  <c r="I1068" i="20" s="1"/>
  <c r="S1060" i="20"/>
  <c r="S1061" i="20"/>
  <c r="W1059" i="20"/>
  <c r="N1055" i="20"/>
  <c r="W1057" i="20"/>
  <c r="L980" i="20"/>
  <c r="T980" i="20"/>
  <c r="U979" i="20"/>
  <c r="P982" i="20"/>
  <c r="R982" i="20" s="1"/>
  <c r="T982" i="20"/>
  <c r="L982" i="20"/>
  <c r="P983" i="20"/>
  <c r="R983" i="20" s="1"/>
  <c r="L987" i="20"/>
  <c r="T987" i="20"/>
  <c r="U985" i="20"/>
  <c r="U987" i="20"/>
  <c r="P990" i="20"/>
  <c r="R990" i="20" s="1"/>
  <c r="L985" i="20"/>
  <c r="T985" i="20"/>
  <c r="U989" i="20"/>
  <c r="U988" i="20"/>
  <c r="U983" i="20"/>
  <c r="L989" i="20"/>
  <c r="D994" i="20" s="1"/>
  <c r="E994" i="20"/>
  <c r="T989" i="20"/>
  <c r="T988" i="20"/>
  <c r="L988" i="20"/>
  <c r="T983" i="20"/>
  <c r="L983" i="20"/>
  <c r="L984" i="20"/>
  <c r="T984" i="20"/>
  <c r="L986" i="20"/>
  <c r="T986" i="20"/>
  <c r="U990" i="20"/>
  <c r="L981" i="20"/>
  <c r="T981" i="20"/>
  <c r="P986" i="20"/>
  <c r="R986" i="20" s="1"/>
  <c r="U980" i="20"/>
  <c r="P987" i="20"/>
  <c r="R987" i="20" s="1"/>
  <c r="U984" i="20"/>
  <c r="U982" i="20"/>
  <c r="P985" i="20"/>
  <c r="R985" i="20" s="1"/>
  <c r="U986" i="20"/>
  <c r="L979" i="20"/>
  <c r="T979" i="20"/>
  <c r="P981" i="20"/>
  <c r="R981" i="20" s="1"/>
  <c r="U981" i="20"/>
  <c r="T990" i="20"/>
  <c r="L990" i="20"/>
  <c r="D995" i="20" s="1"/>
  <c r="E995" i="20"/>
  <c r="P989" i="20"/>
  <c r="R989" i="20" s="1"/>
  <c r="P979" i="20"/>
  <c r="R979" i="20" s="1"/>
  <c r="P980" i="20"/>
  <c r="R980" i="20" s="1"/>
  <c r="P984" i="20"/>
  <c r="R984" i="20" s="1"/>
  <c r="P988" i="20"/>
  <c r="R988" i="20" s="1"/>
  <c r="M706" i="20"/>
  <c r="P457" i="20"/>
  <c r="L706" i="20" s="1"/>
  <c r="O715" i="20" s="1"/>
  <c r="O984" i="20"/>
  <c r="O982" i="20"/>
  <c r="O987" i="20"/>
  <c r="N1059" i="20"/>
  <c r="T1059" i="20"/>
  <c r="O988" i="20"/>
  <c r="S1059" i="20"/>
  <c r="N1062" i="20"/>
  <c r="W1062" i="20"/>
  <c r="O986" i="20"/>
  <c r="O989" i="20"/>
  <c r="O983" i="20"/>
  <c r="O990" i="20"/>
  <c r="T1055" i="20"/>
  <c r="C458" i="20"/>
  <c r="O979" i="20"/>
  <c r="W1063" i="20"/>
  <c r="O980" i="20"/>
  <c r="S1062" i="20"/>
  <c r="S1058" i="20"/>
  <c r="O981" i="20"/>
  <c r="K1067" i="20"/>
  <c r="H1067" i="20"/>
  <c r="L1067" i="20"/>
  <c r="J1067" i="20"/>
  <c r="G1067" i="20"/>
  <c r="T1052" i="20"/>
  <c r="N1052" i="20"/>
  <c r="S1052" i="20"/>
  <c r="W1052" i="20"/>
  <c r="D209" i="44"/>
  <c r="E209" i="44" s="1"/>
  <c r="D205" i="44"/>
  <c r="E205" i="44" s="1"/>
  <c r="D206" i="44"/>
  <c r="E206" i="44" s="1"/>
  <c r="D210" i="44"/>
  <c r="E210" i="44" s="1"/>
  <c r="D211" i="44"/>
  <c r="E211" i="44" s="1"/>
  <c r="D204" i="44"/>
  <c r="E204" i="44" s="1"/>
  <c r="D207" i="44"/>
  <c r="E207" i="44" s="1"/>
  <c r="D212" i="44"/>
  <c r="E212" i="44" s="1"/>
  <c r="D203" i="44"/>
  <c r="E203" i="44" s="1"/>
  <c r="E572" i="44"/>
  <c r="F572" i="44"/>
  <c r="E570" i="44"/>
  <c r="F570" i="44"/>
  <c r="B585" i="44" s="1"/>
  <c r="F574" i="44"/>
  <c r="G586" i="44" s="1"/>
  <c r="E574" i="44"/>
  <c r="E575" i="44"/>
  <c r="F575" i="44"/>
  <c r="B587" i="44" s="1"/>
  <c r="E571" i="44"/>
  <c r="F571" i="44"/>
  <c r="E576" i="44"/>
  <c r="F576" i="44"/>
  <c r="E579" i="44"/>
  <c r="F579" i="44"/>
  <c r="E573" i="44"/>
  <c r="F573" i="44"/>
  <c r="F578" i="44"/>
  <c r="E578" i="44"/>
  <c r="E577" i="44"/>
  <c r="F577" i="44"/>
  <c r="B588" i="44" s="1"/>
  <c r="F415" i="44"/>
  <c r="F419" i="44"/>
  <c r="F424" i="44"/>
  <c r="F416" i="44"/>
  <c r="F420" i="44"/>
  <c r="F421" i="44"/>
  <c r="F423" i="44"/>
  <c r="F418" i="44"/>
  <c r="F417" i="44"/>
  <c r="F422" i="44"/>
  <c r="F278" i="44"/>
  <c r="G278" i="44" s="1"/>
  <c r="F274" i="44"/>
  <c r="F280" i="44"/>
  <c r="F276" i="44"/>
  <c r="F272" i="44"/>
  <c r="F279" i="44"/>
  <c r="F277" i="44"/>
  <c r="F275" i="44"/>
  <c r="F273" i="44"/>
  <c r="F281" i="44"/>
  <c r="G290" i="44" s="1"/>
  <c r="J108" i="44"/>
  <c r="B176" i="44"/>
  <c r="B208" i="44" s="1"/>
  <c r="D208" i="44" s="1"/>
  <c r="E208" i="44" s="1"/>
  <c r="J114" i="44"/>
  <c r="J112" i="44"/>
  <c r="J102" i="44"/>
  <c r="J104" i="44"/>
  <c r="A124" i="44"/>
  <c r="J98" i="44"/>
  <c r="J106" i="44"/>
  <c r="D138" i="44"/>
  <c r="E138" i="44" s="1"/>
  <c r="J116" i="44"/>
  <c r="D130" i="44"/>
  <c r="E130" i="44" s="1"/>
  <c r="J100" i="44"/>
  <c r="J110" i="44"/>
  <c r="D129" i="44"/>
  <c r="E129" i="44" s="1"/>
  <c r="A123" i="44"/>
  <c r="D136" i="44"/>
  <c r="E136" i="44" s="1"/>
  <c r="D131" i="44"/>
  <c r="E131" i="44" s="1"/>
  <c r="D134" i="44"/>
  <c r="E134" i="44" s="1"/>
  <c r="D137" i="44"/>
  <c r="E137" i="44" s="1"/>
  <c r="D133" i="44"/>
  <c r="E133" i="44" s="1"/>
  <c r="D135" i="44"/>
  <c r="E135" i="44" s="1"/>
  <c r="D132" i="44"/>
  <c r="E132" i="44" s="1"/>
  <c r="B652" i="42"/>
  <c r="B651" i="42"/>
  <c r="B650" i="42"/>
  <c r="B649" i="42"/>
  <c r="B648" i="42"/>
  <c r="B647" i="42"/>
  <c r="B646" i="42"/>
  <c r="B645" i="42"/>
  <c r="B644" i="42"/>
  <c r="C647" i="42"/>
  <c r="C648" i="42"/>
  <c r="C649" i="42"/>
  <c r="C650" i="42"/>
  <c r="C651" i="42"/>
  <c r="C652" i="42"/>
  <c r="C646" i="42"/>
  <c r="A647" i="42"/>
  <c r="A648" i="42"/>
  <c r="A649" i="42"/>
  <c r="A650" i="42"/>
  <c r="A651" i="42"/>
  <c r="A652" i="42"/>
  <c r="A646" i="42"/>
  <c r="B19" i="42"/>
  <c r="A19" i="42"/>
  <c r="E43" i="33"/>
  <c r="F43" i="33" s="1"/>
  <c r="C30" i="44" s="1"/>
  <c r="E39" i="33"/>
  <c r="F39" i="33" s="1"/>
  <c r="C26" i="44" s="1"/>
  <c r="F38" i="33"/>
  <c r="C25" i="44" s="1"/>
  <c r="F40" i="33"/>
  <c r="C27" i="44" s="1"/>
  <c r="F41" i="33"/>
  <c r="C28" i="44" s="1"/>
  <c r="F42" i="33"/>
  <c r="C29" i="44" s="1"/>
  <c r="F44" i="33"/>
  <c r="C31" i="44" s="1"/>
  <c r="F45" i="33"/>
  <c r="C32" i="44" s="1"/>
  <c r="F46" i="33"/>
  <c r="C33" i="44" s="1"/>
  <c r="F37" i="33"/>
  <c r="C24" i="44" s="1"/>
  <c r="H435" i="33"/>
  <c r="H436" i="33"/>
  <c r="H437" i="33"/>
  <c r="H438" i="33"/>
  <c r="H439" i="33"/>
  <c r="H440" i="33"/>
  <c r="H441" i="33"/>
  <c r="H442" i="33"/>
  <c r="G24" i="44" s="1"/>
  <c r="H24" i="44" s="1"/>
  <c r="H443" i="33"/>
  <c r="H444" i="33"/>
  <c r="H445" i="33"/>
  <c r="H446" i="33"/>
  <c r="H447" i="33"/>
  <c r="H448" i="33"/>
  <c r="H449" i="33"/>
  <c r="H450" i="33"/>
  <c r="H451" i="33"/>
  <c r="H452" i="33"/>
  <c r="H453" i="33"/>
  <c r="H454" i="33"/>
  <c r="H455" i="33"/>
  <c r="H456" i="33"/>
  <c r="H457" i="33"/>
  <c r="H458" i="33"/>
  <c r="H459" i="33"/>
  <c r="H460" i="33"/>
  <c r="H461" i="33"/>
  <c r="H462" i="33"/>
  <c r="H463" i="33"/>
  <c r="H464" i="33"/>
  <c r="H465" i="33"/>
  <c r="H466" i="33"/>
  <c r="H467" i="33"/>
  <c r="H468" i="33"/>
  <c r="H469" i="33"/>
  <c r="H470" i="33"/>
  <c r="H471" i="33"/>
  <c r="H472" i="33"/>
  <c r="H473" i="33"/>
  <c r="H474" i="33"/>
  <c r="H475" i="33"/>
  <c r="H476" i="33"/>
  <c r="H477" i="33"/>
  <c r="H478" i="33"/>
  <c r="H479" i="33"/>
  <c r="H480" i="33"/>
  <c r="G25" i="44" s="1"/>
  <c r="H25" i="44" s="1"/>
  <c r="H481" i="33"/>
  <c r="H482" i="33"/>
  <c r="H483" i="33"/>
  <c r="H484" i="33"/>
  <c r="H485" i="33"/>
  <c r="F249" i="20" s="1"/>
  <c r="G249" i="20" s="1"/>
  <c r="H486" i="33"/>
  <c r="H487" i="33"/>
  <c r="H488" i="33"/>
  <c r="H489" i="33"/>
  <c r="H490" i="33"/>
  <c r="H491" i="33"/>
  <c r="H492" i="33"/>
  <c r="H493" i="33"/>
  <c r="H494" i="33"/>
  <c r="H495" i="33"/>
  <c r="H496" i="33"/>
  <c r="H497" i="33"/>
  <c r="H498" i="33"/>
  <c r="H499" i="33"/>
  <c r="H500" i="33"/>
  <c r="H501" i="33"/>
  <c r="H502" i="33"/>
  <c r="H503" i="33"/>
  <c r="H504" i="33"/>
  <c r="H505" i="33"/>
  <c r="H506" i="33"/>
  <c r="H507" i="33"/>
  <c r="H508" i="33"/>
  <c r="H509" i="33"/>
  <c r="H510" i="33"/>
  <c r="H511" i="33"/>
  <c r="F245" i="20" s="1"/>
  <c r="G245" i="20" s="1"/>
  <c r="H512" i="33"/>
  <c r="H513" i="33"/>
  <c r="H514" i="33"/>
  <c r="H515" i="33"/>
  <c r="H516" i="33"/>
  <c r="H517" i="33"/>
  <c r="H518" i="33"/>
  <c r="G26" i="44" s="1"/>
  <c r="H26" i="44" s="1"/>
  <c r="H519" i="33"/>
  <c r="H520" i="33"/>
  <c r="H521" i="33"/>
  <c r="H522" i="33"/>
  <c r="H523" i="33"/>
  <c r="H524" i="33"/>
  <c r="H525" i="33"/>
  <c r="H526" i="33"/>
  <c r="H527" i="33"/>
  <c r="H528" i="33"/>
  <c r="H529" i="33"/>
  <c r="H530" i="33"/>
  <c r="H531" i="33"/>
  <c r="H532" i="33"/>
  <c r="H533" i="33"/>
  <c r="H534" i="33"/>
  <c r="H535" i="33"/>
  <c r="H536" i="33"/>
  <c r="H537" i="33"/>
  <c r="F254" i="20" s="1"/>
  <c r="G254" i="20" s="1"/>
  <c r="H538" i="33"/>
  <c r="H539" i="33"/>
  <c r="H540" i="33"/>
  <c r="H541" i="33"/>
  <c r="H542" i="33"/>
  <c r="H543" i="33"/>
  <c r="H544" i="33"/>
  <c r="H545" i="33"/>
  <c r="H546" i="33"/>
  <c r="H547" i="33"/>
  <c r="H548" i="33"/>
  <c r="H549" i="33"/>
  <c r="H550" i="33"/>
  <c r="H551" i="33"/>
  <c r="H552" i="33"/>
  <c r="H553" i="33"/>
  <c r="H554" i="33"/>
  <c r="H555" i="33"/>
  <c r="H556" i="33"/>
  <c r="G27" i="44" s="1"/>
  <c r="H27" i="44" s="1"/>
  <c r="H557" i="33"/>
  <c r="H558" i="33"/>
  <c r="H559" i="33"/>
  <c r="H560" i="33"/>
  <c r="H561" i="33"/>
  <c r="H562" i="33"/>
  <c r="H563" i="33"/>
  <c r="F250" i="20" s="1"/>
  <c r="G250" i="20" s="1"/>
  <c r="H564" i="33"/>
  <c r="H565" i="33"/>
  <c r="H566" i="33"/>
  <c r="H567" i="33"/>
  <c r="H568" i="33"/>
  <c r="H569" i="33"/>
  <c r="H570" i="33"/>
  <c r="H571" i="33"/>
  <c r="H572" i="33"/>
  <c r="H573" i="33"/>
  <c r="H574" i="33"/>
  <c r="H575" i="33"/>
  <c r="H576" i="33"/>
  <c r="H577" i="33"/>
  <c r="H578" i="33"/>
  <c r="H579" i="33"/>
  <c r="H580" i="33"/>
  <c r="H581" i="33"/>
  <c r="H582" i="33"/>
  <c r="H583" i="33"/>
  <c r="H584" i="33"/>
  <c r="H585" i="33"/>
  <c r="H586" i="33"/>
  <c r="H587" i="33"/>
  <c r="H588" i="33"/>
  <c r="F246" i="20" s="1"/>
  <c r="G246" i="20" s="1"/>
  <c r="H589" i="33"/>
  <c r="H590" i="33"/>
  <c r="H591" i="33"/>
  <c r="H592" i="33"/>
  <c r="H593" i="33"/>
  <c r="H594" i="33"/>
  <c r="G28" i="44" s="1"/>
  <c r="H28" i="44" s="1"/>
  <c r="H595" i="33"/>
  <c r="H596" i="33"/>
  <c r="H597" i="33"/>
  <c r="H598" i="33"/>
  <c r="H599" i="33"/>
  <c r="H600" i="33"/>
  <c r="H601" i="33"/>
  <c r="H602" i="33"/>
  <c r="H603" i="33"/>
  <c r="H604" i="33"/>
  <c r="H605" i="33"/>
  <c r="H606" i="33"/>
  <c r="H607" i="33"/>
  <c r="H608" i="33"/>
  <c r="H609" i="33"/>
  <c r="H610" i="33"/>
  <c r="H611" i="33"/>
  <c r="H612" i="33"/>
  <c r="H613" i="33"/>
  <c r="H614" i="33"/>
  <c r="H615" i="33"/>
  <c r="H616" i="33"/>
  <c r="H617" i="33"/>
  <c r="H618" i="33"/>
  <c r="H619" i="33"/>
  <c r="H620" i="33"/>
  <c r="H621" i="33"/>
  <c r="H622" i="33"/>
  <c r="H623" i="33"/>
  <c r="H624" i="33"/>
  <c r="H625" i="33"/>
  <c r="H626" i="33"/>
  <c r="H627" i="33"/>
  <c r="H628" i="33"/>
  <c r="H629" i="33"/>
  <c r="H630" i="33"/>
  <c r="H631" i="33"/>
  <c r="H632" i="33"/>
  <c r="G29" i="44" s="1"/>
  <c r="H29" i="44" s="1"/>
  <c r="H633" i="33"/>
  <c r="H634" i="33"/>
  <c r="H635" i="33"/>
  <c r="H636" i="33"/>
  <c r="H637" i="33"/>
  <c r="H638" i="33"/>
  <c r="H639" i="33"/>
  <c r="H640" i="33"/>
  <c r="F251" i="20" s="1"/>
  <c r="G251" i="20" s="1"/>
  <c r="H641" i="33"/>
  <c r="H642" i="33"/>
  <c r="H643" i="33"/>
  <c r="H644" i="33"/>
  <c r="H645" i="33"/>
  <c r="H646" i="33"/>
  <c r="H647" i="33"/>
  <c r="H648" i="33"/>
  <c r="H649" i="33"/>
  <c r="H650" i="33"/>
  <c r="H651" i="33"/>
  <c r="H652" i="33"/>
  <c r="H653" i="33"/>
  <c r="H654" i="33"/>
  <c r="H655" i="33"/>
  <c r="H656" i="33"/>
  <c r="H657" i="33"/>
  <c r="H658" i="33"/>
  <c r="H659" i="33"/>
  <c r="H660" i="33"/>
  <c r="H661" i="33"/>
  <c r="H662" i="33"/>
  <c r="H663" i="33"/>
  <c r="H664" i="33"/>
  <c r="H665" i="33"/>
  <c r="F247" i="20" s="1"/>
  <c r="G247" i="20" s="1"/>
  <c r="H666" i="33"/>
  <c r="H667" i="33"/>
  <c r="H668" i="33"/>
  <c r="H669" i="33"/>
  <c r="H670" i="33"/>
  <c r="G30" i="44" s="1"/>
  <c r="H30" i="44" s="1"/>
  <c r="H671" i="33"/>
  <c r="H672" i="33"/>
  <c r="H673" i="33"/>
  <c r="H674" i="33"/>
  <c r="H675" i="33"/>
  <c r="H676" i="33"/>
  <c r="H677" i="33"/>
  <c r="H678" i="33"/>
  <c r="H679" i="33"/>
  <c r="H680" i="33"/>
  <c r="H681" i="33"/>
  <c r="H682" i="33"/>
  <c r="H683" i="33"/>
  <c r="H684" i="33"/>
  <c r="H685" i="33"/>
  <c r="H686" i="33"/>
  <c r="H687" i="33"/>
  <c r="H688" i="33"/>
  <c r="H689" i="33"/>
  <c r="H690" i="33"/>
  <c r="H691" i="33"/>
  <c r="F255" i="20" s="1"/>
  <c r="G255" i="20" s="1"/>
  <c r="H692" i="33"/>
  <c r="H693" i="33"/>
  <c r="H694" i="33"/>
  <c r="H695" i="33"/>
  <c r="H696" i="33"/>
  <c r="H697" i="33"/>
  <c r="H698" i="33"/>
  <c r="H699" i="33"/>
  <c r="H700" i="33"/>
  <c r="H701" i="33"/>
  <c r="H702" i="33"/>
  <c r="H703" i="33"/>
  <c r="H704" i="33"/>
  <c r="H705" i="33"/>
  <c r="H706" i="33"/>
  <c r="H707" i="33"/>
  <c r="H708" i="33"/>
  <c r="G31" i="44" s="1"/>
  <c r="H31" i="44" s="1"/>
  <c r="H709" i="33"/>
  <c r="H710" i="33"/>
  <c r="H711" i="33"/>
  <c r="H712" i="33"/>
  <c r="H713" i="33"/>
  <c r="H714" i="33"/>
  <c r="H715" i="33"/>
  <c r="H716" i="33"/>
  <c r="H717" i="33"/>
  <c r="F252" i="20" s="1"/>
  <c r="G252" i="20" s="1"/>
  <c r="H718" i="33"/>
  <c r="H719" i="33"/>
  <c r="H720" i="33"/>
  <c r="H721" i="33"/>
  <c r="H722" i="33"/>
  <c r="H723" i="33"/>
  <c r="H724" i="33"/>
  <c r="H725" i="33"/>
  <c r="H726" i="33"/>
  <c r="H727" i="33"/>
  <c r="H728" i="33"/>
  <c r="H729" i="33"/>
  <c r="H730" i="33"/>
  <c r="H731" i="33"/>
  <c r="H732" i="33"/>
  <c r="H733" i="33"/>
  <c r="H734" i="33"/>
  <c r="H735" i="33"/>
  <c r="H736" i="33"/>
  <c r="H737" i="33"/>
  <c r="H738" i="33"/>
  <c r="H739" i="33"/>
  <c r="H740" i="33"/>
  <c r="H741" i="33"/>
  <c r="H742" i="33"/>
  <c r="H743" i="33"/>
  <c r="F248" i="20" s="1"/>
  <c r="G248" i="20" s="1"/>
  <c r="H744" i="33"/>
  <c r="H745" i="33"/>
  <c r="H746" i="33"/>
  <c r="G32" i="44" s="1"/>
  <c r="H32" i="44" s="1"/>
  <c r="H747" i="33"/>
  <c r="H748" i="33"/>
  <c r="H749" i="33"/>
  <c r="H750" i="33"/>
  <c r="H751" i="33"/>
  <c r="H752" i="33"/>
  <c r="H753" i="33"/>
  <c r="H754" i="33"/>
  <c r="H755" i="33"/>
  <c r="H756" i="33"/>
  <c r="H757" i="33"/>
  <c r="H758" i="33"/>
  <c r="H759" i="33"/>
  <c r="H760" i="33"/>
  <c r="H761" i="33"/>
  <c r="H762" i="33"/>
  <c r="H763" i="33"/>
  <c r="H764" i="33"/>
  <c r="H765" i="33"/>
  <c r="H766" i="33"/>
  <c r="H767" i="33"/>
  <c r="H768" i="33"/>
  <c r="H769" i="33"/>
  <c r="H770" i="33"/>
  <c r="H771" i="33"/>
  <c r="H772" i="33"/>
  <c r="H773" i="33"/>
  <c r="H774" i="33"/>
  <c r="H775" i="33"/>
  <c r="H776" i="33"/>
  <c r="H777" i="33"/>
  <c r="H778" i="33"/>
  <c r="H779" i="33"/>
  <c r="H780" i="33"/>
  <c r="H781" i="33"/>
  <c r="H782" i="33"/>
  <c r="H783" i="33"/>
  <c r="H784" i="33"/>
  <c r="G33" i="44" s="1"/>
  <c r="H33" i="44" s="1"/>
  <c r="H785" i="33"/>
  <c r="H786" i="33"/>
  <c r="H787" i="33"/>
  <c r="H788" i="33"/>
  <c r="H789" i="33"/>
  <c r="H790" i="33"/>
  <c r="H791" i="33"/>
  <c r="H792" i="33"/>
  <c r="H793" i="33"/>
  <c r="F253" i="20" s="1"/>
  <c r="G253" i="20" s="1"/>
  <c r="H434" i="33"/>
  <c r="F244" i="20" s="1"/>
  <c r="G244" i="20" s="1"/>
  <c r="G435" i="33"/>
  <c r="G436" i="33"/>
  <c r="G437" i="33"/>
  <c r="G438" i="33"/>
  <c r="G439" i="33"/>
  <c r="G440" i="33"/>
  <c r="G441" i="33"/>
  <c r="G442" i="33"/>
  <c r="G443" i="33"/>
  <c r="G444" i="33"/>
  <c r="G445" i="33"/>
  <c r="G446" i="33"/>
  <c r="G447" i="33"/>
  <c r="G448" i="33"/>
  <c r="G449" i="33"/>
  <c r="G450" i="33"/>
  <c r="G451" i="33"/>
  <c r="G452" i="33"/>
  <c r="G453" i="33"/>
  <c r="G454" i="33"/>
  <c r="G455" i="33"/>
  <c r="G456" i="33"/>
  <c r="G457" i="33"/>
  <c r="G458" i="33"/>
  <c r="G459" i="33"/>
  <c r="G460" i="33"/>
  <c r="G461" i="33"/>
  <c r="G462" i="33"/>
  <c r="G463" i="33"/>
  <c r="G464" i="33"/>
  <c r="G465" i="33"/>
  <c r="G466" i="33"/>
  <c r="G467" i="33"/>
  <c r="G468" i="33"/>
  <c r="G469" i="33"/>
  <c r="G470" i="33"/>
  <c r="G471" i="33"/>
  <c r="G472" i="33"/>
  <c r="G473" i="33"/>
  <c r="G474" i="33"/>
  <c r="G475" i="33"/>
  <c r="G476" i="33"/>
  <c r="G477" i="33"/>
  <c r="G478" i="33"/>
  <c r="G479" i="33"/>
  <c r="G480" i="33"/>
  <c r="G481" i="33"/>
  <c r="G482" i="33"/>
  <c r="G483" i="33"/>
  <c r="G484" i="33"/>
  <c r="G485" i="33"/>
  <c r="G486" i="33"/>
  <c r="G487" i="33"/>
  <c r="G488" i="33"/>
  <c r="G489" i="33"/>
  <c r="G490" i="33"/>
  <c r="G491" i="33"/>
  <c r="G492" i="33"/>
  <c r="G493" i="33"/>
  <c r="G494" i="33"/>
  <c r="G495" i="33"/>
  <c r="G496" i="33"/>
  <c r="G497" i="33"/>
  <c r="G498" i="33"/>
  <c r="G499" i="33"/>
  <c r="G500" i="33"/>
  <c r="G501" i="33"/>
  <c r="G502" i="33"/>
  <c r="G503" i="33"/>
  <c r="G504" i="33"/>
  <c r="G505" i="33"/>
  <c r="G506" i="33"/>
  <c r="G507" i="33"/>
  <c r="G508" i="33"/>
  <c r="G509" i="33"/>
  <c r="G510" i="33"/>
  <c r="G511" i="33"/>
  <c r="G512" i="33"/>
  <c r="G513" i="33"/>
  <c r="G514" i="33"/>
  <c r="G515" i="33"/>
  <c r="G516" i="33"/>
  <c r="G517" i="33"/>
  <c r="G518" i="33"/>
  <c r="G519" i="33"/>
  <c r="G520" i="33"/>
  <c r="G521" i="33"/>
  <c r="G522" i="33"/>
  <c r="G523" i="33"/>
  <c r="G524" i="33"/>
  <c r="G525" i="33"/>
  <c r="G526" i="33"/>
  <c r="G527" i="33"/>
  <c r="G528" i="33"/>
  <c r="G529" i="33"/>
  <c r="G530" i="33"/>
  <c r="G531" i="33"/>
  <c r="G532" i="33"/>
  <c r="G533" i="33"/>
  <c r="G534" i="33"/>
  <c r="G535" i="33"/>
  <c r="G536" i="33"/>
  <c r="G537" i="33"/>
  <c r="G538" i="33"/>
  <c r="G539" i="33"/>
  <c r="G540" i="33"/>
  <c r="G541" i="33"/>
  <c r="G542" i="33"/>
  <c r="G543" i="33"/>
  <c r="G544" i="33"/>
  <c r="G545" i="33"/>
  <c r="G546" i="33"/>
  <c r="G547" i="33"/>
  <c r="G548" i="33"/>
  <c r="G549" i="33"/>
  <c r="G550" i="33"/>
  <c r="G551" i="33"/>
  <c r="G552" i="33"/>
  <c r="G553" i="33"/>
  <c r="G554" i="33"/>
  <c r="G555" i="33"/>
  <c r="G556" i="33"/>
  <c r="G557" i="33"/>
  <c r="G558" i="33"/>
  <c r="G559" i="33"/>
  <c r="G560" i="33"/>
  <c r="G561" i="33"/>
  <c r="G562" i="33"/>
  <c r="G563" i="33"/>
  <c r="G564" i="33"/>
  <c r="G565" i="33"/>
  <c r="G566" i="33"/>
  <c r="G567" i="33"/>
  <c r="G568" i="33"/>
  <c r="G569" i="33"/>
  <c r="G570" i="33"/>
  <c r="G571" i="33"/>
  <c r="G572" i="33"/>
  <c r="G573" i="33"/>
  <c r="G574" i="33"/>
  <c r="G575" i="33"/>
  <c r="G576" i="33"/>
  <c r="G577" i="33"/>
  <c r="G578" i="33"/>
  <c r="G579" i="33"/>
  <c r="G580" i="33"/>
  <c r="G581" i="33"/>
  <c r="G582" i="33"/>
  <c r="G583" i="33"/>
  <c r="G584" i="33"/>
  <c r="G585" i="33"/>
  <c r="G586" i="33"/>
  <c r="G587" i="33"/>
  <c r="G588" i="33"/>
  <c r="G589" i="33"/>
  <c r="G590" i="33"/>
  <c r="G591" i="33"/>
  <c r="G592" i="33"/>
  <c r="G593" i="33"/>
  <c r="G594" i="33"/>
  <c r="G595" i="33"/>
  <c r="G596" i="33"/>
  <c r="G597" i="33"/>
  <c r="G598" i="33"/>
  <c r="G599" i="33"/>
  <c r="G600" i="33"/>
  <c r="G601" i="33"/>
  <c r="G602" i="33"/>
  <c r="G603" i="33"/>
  <c r="G604" i="33"/>
  <c r="G605" i="33"/>
  <c r="G606" i="33"/>
  <c r="G607" i="33"/>
  <c r="G608" i="33"/>
  <c r="G609" i="33"/>
  <c r="G610" i="33"/>
  <c r="G611" i="33"/>
  <c r="G612" i="33"/>
  <c r="G613" i="33"/>
  <c r="G614" i="33"/>
  <c r="G615" i="33"/>
  <c r="G616" i="33"/>
  <c r="G617" i="33"/>
  <c r="G618" i="33"/>
  <c r="G619" i="33"/>
  <c r="G620" i="33"/>
  <c r="G621" i="33"/>
  <c r="G622" i="33"/>
  <c r="G623" i="33"/>
  <c r="G624" i="33"/>
  <c r="G625" i="33"/>
  <c r="G626" i="33"/>
  <c r="G627" i="33"/>
  <c r="G628" i="33"/>
  <c r="G629" i="33"/>
  <c r="G630" i="33"/>
  <c r="G631" i="33"/>
  <c r="G632" i="33"/>
  <c r="G633" i="33"/>
  <c r="G634" i="33"/>
  <c r="G635" i="33"/>
  <c r="G636" i="33"/>
  <c r="G637" i="33"/>
  <c r="G638" i="33"/>
  <c r="G639" i="33"/>
  <c r="G640" i="33"/>
  <c r="G641" i="33"/>
  <c r="G642" i="33"/>
  <c r="G643" i="33"/>
  <c r="G644" i="33"/>
  <c r="G645" i="33"/>
  <c r="G646" i="33"/>
  <c r="G647" i="33"/>
  <c r="G648" i="33"/>
  <c r="G649" i="33"/>
  <c r="G650" i="33"/>
  <c r="G651" i="33"/>
  <c r="G652" i="33"/>
  <c r="G653" i="33"/>
  <c r="G654" i="33"/>
  <c r="G655" i="33"/>
  <c r="G656" i="33"/>
  <c r="G657" i="33"/>
  <c r="G658" i="33"/>
  <c r="G659" i="33"/>
  <c r="G660" i="33"/>
  <c r="G661" i="33"/>
  <c r="G662" i="33"/>
  <c r="G663" i="33"/>
  <c r="G664" i="33"/>
  <c r="G665" i="33"/>
  <c r="G666" i="33"/>
  <c r="G667" i="33"/>
  <c r="G668" i="33"/>
  <c r="G669" i="33"/>
  <c r="G670" i="33"/>
  <c r="G671" i="33"/>
  <c r="G672" i="33"/>
  <c r="G673" i="33"/>
  <c r="G674" i="33"/>
  <c r="G675" i="33"/>
  <c r="G676" i="33"/>
  <c r="G677" i="33"/>
  <c r="G678" i="33"/>
  <c r="G679" i="33"/>
  <c r="G680" i="33"/>
  <c r="G681" i="33"/>
  <c r="G682" i="33"/>
  <c r="G683" i="33"/>
  <c r="G684" i="33"/>
  <c r="G685" i="33"/>
  <c r="G686" i="33"/>
  <c r="G687" i="33"/>
  <c r="G688" i="33"/>
  <c r="G689" i="33"/>
  <c r="G690" i="33"/>
  <c r="G691" i="33"/>
  <c r="G692" i="33"/>
  <c r="G693" i="33"/>
  <c r="G694" i="33"/>
  <c r="G695" i="33"/>
  <c r="G696" i="33"/>
  <c r="G697" i="33"/>
  <c r="G698" i="33"/>
  <c r="G699" i="33"/>
  <c r="G700" i="33"/>
  <c r="G701" i="33"/>
  <c r="G702" i="33"/>
  <c r="G703" i="33"/>
  <c r="G704" i="33"/>
  <c r="G705" i="33"/>
  <c r="G706" i="33"/>
  <c r="G707" i="33"/>
  <c r="G708" i="33"/>
  <c r="G709" i="33"/>
  <c r="G710" i="33"/>
  <c r="G711" i="33"/>
  <c r="G712" i="33"/>
  <c r="G713" i="33"/>
  <c r="G714" i="33"/>
  <c r="G715" i="33"/>
  <c r="G716" i="33"/>
  <c r="G717" i="33"/>
  <c r="G718" i="33"/>
  <c r="G719" i="33"/>
  <c r="G720" i="33"/>
  <c r="G721" i="33"/>
  <c r="G722" i="33"/>
  <c r="G723" i="33"/>
  <c r="G724" i="33"/>
  <c r="G725" i="33"/>
  <c r="G726" i="33"/>
  <c r="G727" i="33"/>
  <c r="G728" i="33"/>
  <c r="G729" i="33"/>
  <c r="G730" i="33"/>
  <c r="G731" i="33"/>
  <c r="G732" i="33"/>
  <c r="G733" i="33"/>
  <c r="G734" i="33"/>
  <c r="G735" i="33"/>
  <c r="G736" i="33"/>
  <c r="G737" i="33"/>
  <c r="G738" i="33"/>
  <c r="G739" i="33"/>
  <c r="G740" i="33"/>
  <c r="G741" i="33"/>
  <c r="G742" i="33"/>
  <c r="G743" i="33"/>
  <c r="G744" i="33"/>
  <c r="G745" i="33"/>
  <c r="G746" i="33"/>
  <c r="G747" i="33"/>
  <c r="G748" i="33"/>
  <c r="G749" i="33"/>
  <c r="G750" i="33"/>
  <c r="G751" i="33"/>
  <c r="G752" i="33"/>
  <c r="G753" i="33"/>
  <c r="G754" i="33"/>
  <c r="G755" i="33"/>
  <c r="G756" i="33"/>
  <c r="G757" i="33"/>
  <c r="G758" i="33"/>
  <c r="G759" i="33"/>
  <c r="G760" i="33"/>
  <c r="G761" i="33"/>
  <c r="G762" i="33"/>
  <c r="G763" i="33"/>
  <c r="G764" i="33"/>
  <c r="G765" i="33"/>
  <c r="G766" i="33"/>
  <c r="G767" i="33"/>
  <c r="G768" i="33"/>
  <c r="G769" i="33"/>
  <c r="G770" i="33"/>
  <c r="G771" i="33"/>
  <c r="G772" i="33"/>
  <c r="G773" i="33"/>
  <c r="G774" i="33"/>
  <c r="G775" i="33"/>
  <c r="G776" i="33"/>
  <c r="G777" i="33"/>
  <c r="G778" i="33"/>
  <c r="G779" i="33"/>
  <c r="G780" i="33"/>
  <c r="G781" i="33"/>
  <c r="G782" i="33"/>
  <c r="G783" i="33"/>
  <c r="G784" i="33"/>
  <c r="G785" i="33"/>
  <c r="G786" i="33"/>
  <c r="G787" i="33"/>
  <c r="G788" i="33"/>
  <c r="G789" i="33"/>
  <c r="G790" i="33"/>
  <c r="G791" i="33"/>
  <c r="G792" i="33"/>
  <c r="G793" i="33"/>
  <c r="G434" i="33"/>
  <c r="B10" i="33"/>
  <c r="A10" i="33"/>
  <c r="A18" i="42"/>
  <c r="B18" i="42"/>
  <c r="K615" i="42"/>
  <c r="K616" i="42"/>
  <c r="K617" i="42"/>
  <c r="D614" i="42"/>
  <c r="K614" i="42" s="1"/>
  <c r="D613" i="42"/>
  <c r="K613" i="42" s="1"/>
  <c r="D612" i="42"/>
  <c r="K612" i="42" s="1"/>
  <c r="G617" i="42"/>
  <c r="F617" i="42"/>
  <c r="G616" i="42"/>
  <c r="F616" i="42"/>
  <c r="G615" i="42"/>
  <c r="F615" i="42"/>
  <c r="G614" i="42"/>
  <c r="F614" i="42"/>
  <c r="G613" i="42"/>
  <c r="F613" i="42"/>
  <c r="G612" i="42"/>
  <c r="F612" i="42"/>
  <c r="L1175" i="20"/>
  <c r="P717" i="20" a="1"/>
  <c r="P709" i="20" a="1"/>
  <c r="L1178" i="20"/>
  <c r="L1176" i="20"/>
  <c r="L715" i="20" a="1"/>
  <c r="P713" i="20" a="1"/>
  <c r="I1175" i="20" a="1"/>
  <c r="U714" i="20" a="1"/>
  <c r="U709" i="20" a="1"/>
  <c r="P711" i="20" a="1"/>
  <c r="L713" i="20" a="1"/>
  <c r="L1173" i="20"/>
  <c r="L714" i="20" a="1"/>
  <c r="L1177" i="20"/>
  <c r="L711" i="20" a="1"/>
  <c r="L716" i="20" a="1"/>
  <c r="L712" i="20" a="1"/>
  <c r="U715" i="20" a="1"/>
  <c r="L708" i="20" a="1"/>
  <c r="P718" i="20" a="1"/>
  <c r="P708" i="20" a="1"/>
  <c r="L1179" i="20"/>
  <c r="P715" i="20" a="1"/>
  <c r="U718" i="20" a="1"/>
  <c r="U708" i="20" a="1"/>
  <c r="I1176" i="20" a="1"/>
  <c r="I1178" i="20" a="1"/>
  <c r="L710" i="20" a="1"/>
  <c r="I1179" i="20" a="1"/>
  <c r="P458" i="20" a="1"/>
  <c r="L1174" i="20"/>
  <c r="P710" i="20" a="1"/>
  <c r="L709" i="20" a="1"/>
  <c r="I1173" i="20" a="1"/>
  <c r="U717" i="20" a="1"/>
  <c r="I1174" i="20" a="1"/>
  <c r="I1177" i="20" a="1"/>
  <c r="U716" i="20" a="1"/>
  <c r="U712" i="20" a="1"/>
  <c r="L717" i="20" a="1"/>
  <c r="P716" i="20" a="1"/>
  <c r="P712" i="20" a="1"/>
  <c r="U710" i="20" a="1"/>
  <c r="U711" i="20" a="1"/>
  <c r="U713" i="20" a="1"/>
  <c r="L718" i="20" a="1"/>
  <c r="P714" i="20" a="1"/>
  <c r="I995" i="20" l="1"/>
  <c r="L994" i="20"/>
  <c r="I994" i="20"/>
  <c r="B1488" i="42"/>
  <c r="H1305" i="20"/>
  <c r="B1392" i="20"/>
  <c r="H1392" i="20" s="1"/>
  <c r="H1303" i="20"/>
  <c r="B1390" i="20"/>
  <c r="H1390" i="20" s="1"/>
  <c r="H1298" i="20"/>
  <c r="B1385" i="20"/>
  <c r="H1385" i="20" s="1"/>
  <c r="H1301" i="20"/>
  <c r="B1388" i="20"/>
  <c r="H1388" i="20" s="1"/>
  <c r="H1300" i="20"/>
  <c r="B1387" i="20"/>
  <c r="H1387" i="20" s="1"/>
  <c r="H1299" i="20"/>
  <c r="B1386" i="20"/>
  <c r="H1386" i="20" s="1"/>
  <c r="H1297" i="20"/>
  <c r="B1384" i="20"/>
  <c r="H1384" i="20" s="1"/>
  <c r="H1302" i="20"/>
  <c r="B1389" i="20"/>
  <c r="H1389" i="20" s="1"/>
  <c r="H1304" i="20"/>
  <c r="B1391" i="20"/>
  <c r="H1391" i="20" s="1"/>
  <c r="C134" i="44"/>
  <c r="A146" i="44" s="1"/>
  <c r="C277" i="44"/>
  <c r="A289" i="44" s="1"/>
  <c r="C420" i="44"/>
  <c r="A432" i="44" s="1"/>
  <c r="A73" i="47" s="1"/>
  <c r="C575" i="44"/>
  <c r="A587" i="44" s="1"/>
  <c r="C133" i="44"/>
  <c r="F145" i="44" s="1"/>
  <c r="C276" i="44"/>
  <c r="F288" i="44" s="1"/>
  <c r="C419" i="44"/>
  <c r="F431" i="44" s="1"/>
  <c r="D72" i="47" s="1"/>
  <c r="C574" i="44"/>
  <c r="F586" i="44" s="1"/>
  <c r="C132" i="44"/>
  <c r="F144" i="44" s="1"/>
  <c r="C418" i="44"/>
  <c r="F430" i="44" s="1"/>
  <c r="C275" i="44"/>
  <c r="F287" i="44" s="1"/>
  <c r="C573" i="44"/>
  <c r="F585" i="44" s="1"/>
  <c r="C416" i="44"/>
  <c r="A431" i="44" s="1"/>
  <c r="A72" i="47" s="1"/>
  <c r="C571" i="44"/>
  <c r="A586" i="44" s="1"/>
  <c r="C130" i="44"/>
  <c r="A145" i="44" s="1"/>
  <c r="C273" i="44"/>
  <c r="A288" i="44" s="1"/>
  <c r="C572" i="44"/>
  <c r="C131" i="44"/>
  <c r="C274" i="44"/>
  <c r="C417" i="44"/>
  <c r="C421" i="44"/>
  <c r="C576" i="44"/>
  <c r="C135" i="44"/>
  <c r="C278" i="44"/>
  <c r="C129" i="44"/>
  <c r="A144" i="44" s="1"/>
  <c r="C272" i="44"/>
  <c r="A287" i="44" s="1"/>
  <c r="C415" i="44"/>
  <c r="A430" i="44" s="1"/>
  <c r="C570" i="44"/>
  <c r="A585" i="44" s="1"/>
  <c r="C138" i="44"/>
  <c r="F147" i="44" s="1"/>
  <c r="C424" i="44"/>
  <c r="F433" i="44" s="1"/>
  <c r="D74" i="47" s="1"/>
  <c r="C579" i="44"/>
  <c r="F588" i="44" s="1"/>
  <c r="C281" i="44"/>
  <c r="F290" i="44" s="1"/>
  <c r="C423" i="44"/>
  <c r="F432" i="44" s="1"/>
  <c r="D73" i="47" s="1"/>
  <c r="C578" i="44"/>
  <c r="F587" i="44" s="1"/>
  <c r="C137" i="44"/>
  <c r="F146" i="44" s="1"/>
  <c r="C280" i="44"/>
  <c r="F289" i="44" s="1"/>
  <c r="C422" i="44"/>
  <c r="A433" i="44" s="1"/>
  <c r="A74" i="47" s="1"/>
  <c r="C577" i="44"/>
  <c r="A588" i="44" s="1"/>
  <c r="C136" i="44"/>
  <c r="A147" i="44" s="1"/>
  <c r="C279" i="44"/>
  <c r="A290" i="44" s="1"/>
  <c r="I1276" i="20"/>
  <c r="C1333" i="20"/>
  <c r="I1333" i="20" s="1"/>
  <c r="I1270" i="20"/>
  <c r="C1327" i="20"/>
  <c r="I1327" i="20" s="1"/>
  <c r="I1272" i="20"/>
  <c r="C1329" i="20"/>
  <c r="I1329" i="20" s="1"/>
  <c r="I1278" i="20"/>
  <c r="C1335" i="20"/>
  <c r="I1335" i="20" s="1"/>
  <c r="I1271" i="20"/>
  <c r="C1328" i="20"/>
  <c r="I1328" i="20" s="1"/>
  <c r="I1279" i="20"/>
  <c r="C1336" i="20"/>
  <c r="I1336" i="20" s="1"/>
  <c r="I1274" i="20"/>
  <c r="C1331" i="20"/>
  <c r="I1331" i="20" s="1"/>
  <c r="I1273" i="20"/>
  <c r="C1330" i="20"/>
  <c r="I1330" i="20" s="1"/>
  <c r="I1275" i="20"/>
  <c r="C1332" i="20"/>
  <c r="I1332" i="20" s="1"/>
  <c r="I1277" i="20"/>
  <c r="C1334" i="20"/>
  <c r="I1334" i="20" s="1"/>
  <c r="N1287" i="20"/>
  <c r="O1287" i="20"/>
  <c r="H1296" i="20"/>
  <c r="B1275" i="20"/>
  <c r="X984" i="20"/>
  <c r="X983" i="20"/>
  <c r="X987" i="20"/>
  <c r="X979" i="20"/>
  <c r="B1279" i="20"/>
  <c r="X988" i="20"/>
  <c r="X982" i="20"/>
  <c r="X980" i="20"/>
  <c r="B1272" i="20"/>
  <c r="X981" i="20"/>
  <c r="X985" i="20"/>
  <c r="B1277" i="20"/>
  <c r="X986" i="20"/>
  <c r="N985" i="20"/>
  <c r="B1276" i="20"/>
  <c r="N983" i="20"/>
  <c r="B1274" i="20"/>
  <c r="N987" i="20"/>
  <c r="B1278" i="20"/>
  <c r="N979" i="20"/>
  <c r="B1270" i="20"/>
  <c r="B1327" i="20" s="1"/>
  <c r="H1327" i="20" s="1"/>
  <c r="N982" i="20"/>
  <c r="B1273" i="20"/>
  <c r="N980" i="20"/>
  <c r="B1271" i="20"/>
  <c r="J1179" i="20"/>
  <c r="E1184" i="20" s="1"/>
  <c r="I1179" i="20"/>
  <c r="D1184" i="20" s="1"/>
  <c r="J1178" i="20"/>
  <c r="E1183" i="20" s="1"/>
  <c r="I1178" i="20"/>
  <c r="D1183" i="20" s="1"/>
  <c r="I1183" i="20" s="1"/>
  <c r="J1177" i="20"/>
  <c r="C1310" i="20" s="1"/>
  <c r="I1310" i="20" s="1"/>
  <c r="I1177" i="20"/>
  <c r="J1174" i="20"/>
  <c r="C1307" i="20" s="1"/>
  <c r="I1307" i="20" s="1"/>
  <c r="I1174" i="20"/>
  <c r="J1176" i="20"/>
  <c r="C1309" i="20" s="1"/>
  <c r="I1309" i="20" s="1"/>
  <c r="I1176" i="20"/>
  <c r="I1175" i="20"/>
  <c r="J1175" i="20"/>
  <c r="C1308" i="20" s="1"/>
  <c r="I1308" i="20" s="1"/>
  <c r="J1173" i="20"/>
  <c r="C1306" i="20" s="1"/>
  <c r="I1306" i="20" s="1"/>
  <c r="I1173" i="20"/>
  <c r="J1168" i="20"/>
  <c r="C169" i="20"/>
  <c r="E899" i="42"/>
  <c r="I899" i="42" s="1"/>
  <c r="A167" i="20"/>
  <c r="B800" i="20"/>
  <c r="B289" i="20"/>
  <c r="B310" i="20"/>
  <c r="B501" i="20"/>
  <c r="S984" i="20"/>
  <c r="J1068" i="20"/>
  <c r="K1068" i="20"/>
  <c r="H994" i="20"/>
  <c r="W983" i="20"/>
  <c r="S979" i="20"/>
  <c r="H1068" i="20"/>
  <c r="W987" i="20"/>
  <c r="W989" i="20"/>
  <c r="O712" i="20"/>
  <c r="O711" i="20"/>
  <c r="G1068" i="20"/>
  <c r="S986" i="20"/>
  <c r="S983" i="20"/>
  <c r="W988" i="20"/>
  <c r="S980" i="20"/>
  <c r="O713" i="20"/>
  <c r="W981" i="20"/>
  <c r="N989" i="20"/>
  <c r="L1068" i="20"/>
  <c r="R457" i="20"/>
  <c r="J995" i="20"/>
  <c r="S985" i="20"/>
  <c r="O716" i="20"/>
  <c r="O709" i="20"/>
  <c r="O714" i="20"/>
  <c r="O717" i="20"/>
  <c r="O710" i="20"/>
  <c r="N988" i="20"/>
  <c r="L995" i="20"/>
  <c r="W984" i="20"/>
  <c r="S988" i="20"/>
  <c r="N990" i="20"/>
  <c r="K994" i="20"/>
  <c r="W982" i="20"/>
  <c r="G995" i="20"/>
  <c r="W979" i="20"/>
  <c r="W985" i="20"/>
  <c r="S989" i="20"/>
  <c r="W986" i="20"/>
  <c r="W990" i="20"/>
  <c r="U714" i="20"/>
  <c r="L709" i="20"/>
  <c r="M709" i="20"/>
  <c r="C1287" i="20" s="1"/>
  <c r="L712" i="20"/>
  <c r="M712" i="20"/>
  <c r="U713" i="20"/>
  <c r="L708" i="20"/>
  <c r="M708" i="20"/>
  <c r="C1286" i="20" s="1"/>
  <c r="U712" i="20"/>
  <c r="M710" i="20"/>
  <c r="L710" i="20"/>
  <c r="U718" i="20"/>
  <c r="U717" i="20"/>
  <c r="M713" i="20"/>
  <c r="L713" i="20"/>
  <c r="L718" i="20"/>
  <c r="D723" i="20" s="1"/>
  <c r="M718" i="20"/>
  <c r="E723" i="20" s="1"/>
  <c r="L716" i="20"/>
  <c r="M716" i="20"/>
  <c r="C1294" i="20" s="1"/>
  <c r="U708" i="20"/>
  <c r="L711" i="20"/>
  <c r="M711" i="20"/>
  <c r="U716" i="20"/>
  <c r="L715" i="20"/>
  <c r="M715" i="20"/>
  <c r="C1293" i="20" s="1"/>
  <c r="L717" i="20"/>
  <c r="M717" i="20"/>
  <c r="U710" i="20"/>
  <c r="M714" i="20"/>
  <c r="C1292" i="20" s="1"/>
  <c r="L714" i="20"/>
  <c r="U715" i="20"/>
  <c r="U711" i="20"/>
  <c r="U709" i="20"/>
  <c r="P715" i="20"/>
  <c r="R715" i="20" s="1"/>
  <c r="P708" i="20"/>
  <c r="R708" i="20" s="1"/>
  <c r="P709" i="20"/>
  <c r="R709" i="20" s="1"/>
  <c r="P710" i="20"/>
  <c r="R710" i="20" s="1"/>
  <c r="P713" i="20"/>
  <c r="R713" i="20" s="1"/>
  <c r="P714" i="20"/>
  <c r="R714" i="20" s="1"/>
  <c r="P711" i="20"/>
  <c r="R711" i="20" s="1"/>
  <c r="P712" i="20"/>
  <c r="R712" i="20" s="1"/>
  <c r="P717" i="20"/>
  <c r="R717" i="20" s="1"/>
  <c r="P718" i="20"/>
  <c r="R718" i="20" s="1"/>
  <c r="P716" i="20"/>
  <c r="R716" i="20" s="1"/>
  <c r="M707" i="20"/>
  <c r="P458" i="20"/>
  <c r="L707" i="20" s="1"/>
  <c r="G994" i="20"/>
  <c r="J994" i="20"/>
  <c r="S990" i="20"/>
  <c r="S982" i="20"/>
  <c r="O718" i="20"/>
  <c r="O708" i="20"/>
  <c r="W980" i="20"/>
  <c r="S981" i="20"/>
  <c r="H995" i="20"/>
  <c r="N986" i="20"/>
  <c r="N984" i="20"/>
  <c r="K995" i="20"/>
  <c r="N981" i="20"/>
  <c r="S987" i="20"/>
  <c r="G576" i="44"/>
  <c r="G577" i="44"/>
  <c r="C588" i="44" s="1"/>
  <c r="G585" i="44"/>
  <c r="G573" i="44"/>
  <c r="H585" i="44" s="1"/>
  <c r="G588" i="44"/>
  <c r="G579" i="44"/>
  <c r="H588" i="44" s="1"/>
  <c r="G575" i="44"/>
  <c r="C587" i="44" s="1"/>
  <c r="G574" i="44"/>
  <c r="H586" i="44" s="1"/>
  <c r="B586" i="44"/>
  <c r="G571" i="44"/>
  <c r="C586" i="44" s="1"/>
  <c r="G570" i="44"/>
  <c r="C585" i="44" s="1"/>
  <c r="G572" i="44"/>
  <c r="B584" i="44"/>
  <c r="G584" i="44" s="1"/>
  <c r="G587" i="44"/>
  <c r="G578" i="44"/>
  <c r="H587" i="44" s="1"/>
  <c r="G421" i="44"/>
  <c r="B286" i="44"/>
  <c r="G286" i="44" s="1"/>
  <c r="G418" i="44"/>
  <c r="H430" i="44" s="1"/>
  <c r="G430" i="44"/>
  <c r="G432" i="44"/>
  <c r="E73" i="47" s="1"/>
  <c r="G423" i="44"/>
  <c r="H432" i="44" s="1"/>
  <c r="B432" i="44"/>
  <c r="B73" i="47" s="1"/>
  <c r="G420" i="44"/>
  <c r="C432" i="44" s="1"/>
  <c r="B431" i="44"/>
  <c r="B72" i="47" s="1"/>
  <c r="G416" i="44"/>
  <c r="C431" i="44" s="1"/>
  <c r="G433" i="44"/>
  <c r="E74" i="47" s="1"/>
  <c r="G424" i="44"/>
  <c r="H433" i="44" s="1"/>
  <c r="B433" i="44"/>
  <c r="B74" i="47" s="1"/>
  <c r="G422" i="44"/>
  <c r="C433" i="44" s="1"/>
  <c r="G419" i="44"/>
  <c r="H431" i="44" s="1"/>
  <c r="G431" i="44"/>
  <c r="E72" i="47" s="1"/>
  <c r="G417" i="44"/>
  <c r="B429" i="44"/>
  <c r="G415" i="44"/>
  <c r="C430" i="44" s="1"/>
  <c r="B430" i="44"/>
  <c r="G277" i="44"/>
  <c r="C289" i="44" s="1"/>
  <c r="B289" i="44"/>
  <c r="G279" i="44"/>
  <c r="C290" i="44" s="1"/>
  <c r="B290" i="44"/>
  <c r="G275" i="44"/>
  <c r="H287" i="44" s="1"/>
  <c r="G287" i="44"/>
  <c r="G273" i="44"/>
  <c r="C288" i="44" s="1"/>
  <c r="B288" i="44"/>
  <c r="G272" i="44"/>
  <c r="C287" i="44" s="1"/>
  <c r="B287" i="44"/>
  <c r="G276" i="44"/>
  <c r="H288" i="44" s="1"/>
  <c r="G288" i="44"/>
  <c r="G280" i="44"/>
  <c r="H289" i="44" s="1"/>
  <c r="G289" i="44"/>
  <c r="G274" i="44"/>
  <c r="C286" i="44" s="1"/>
  <c r="H286" i="44" s="1"/>
  <c r="G281" i="44"/>
  <c r="H290" i="44" s="1"/>
  <c r="F135" i="44"/>
  <c r="F133" i="44"/>
  <c r="G145" i="44" s="1"/>
  <c r="F132" i="44"/>
  <c r="G144" i="44" s="1"/>
  <c r="F137" i="44"/>
  <c r="G146" i="44" s="1"/>
  <c r="F134" i="44"/>
  <c r="B146" i="44" s="1"/>
  <c r="F131" i="44"/>
  <c r="F136" i="44"/>
  <c r="B147" i="44" s="1"/>
  <c r="F129" i="44"/>
  <c r="B144" i="44" s="1"/>
  <c r="F130" i="44"/>
  <c r="B145" i="44" s="1"/>
  <c r="F138" i="44"/>
  <c r="G147" i="44" s="1"/>
  <c r="H798" i="33"/>
  <c r="H794" i="33"/>
  <c r="H795" i="33"/>
  <c r="H797" i="33"/>
  <c r="G794" i="33"/>
  <c r="G798" i="33"/>
  <c r="G795" i="33"/>
  <c r="G797" i="33"/>
  <c r="I616" i="42"/>
  <c r="I615" i="42"/>
  <c r="I612" i="42"/>
  <c r="I614" i="42"/>
  <c r="I613" i="42"/>
  <c r="I617" i="42"/>
  <c r="F585" i="42"/>
  <c r="E585" i="42"/>
  <c r="F584" i="42"/>
  <c r="E584" i="42"/>
  <c r="F583" i="42"/>
  <c r="E583" i="42"/>
  <c r="F582" i="42"/>
  <c r="E582" i="42"/>
  <c r="F581" i="42"/>
  <c r="E581" i="42"/>
  <c r="F580" i="42"/>
  <c r="E580" i="42"/>
  <c r="F579" i="42"/>
  <c r="E579" i="42"/>
  <c r="F578" i="42"/>
  <c r="E578" i="42"/>
  <c r="F577" i="42"/>
  <c r="E577" i="42"/>
  <c r="U719" i="20" a="1"/>
  <c r="M1175" i="20" a="1"/>
  <c r="M1178" i="20" a="1"/>
  <c r="M1173" i="20" a="1"/>
  <c r="AB289" i="20" a="1"/>
  <c r="M1176" i="20" a="1"/>
  <c r="P310" i="20" a="1"/>
  <c r="M1179" i="20" a="1"/>
  <c r="L719" i="20" a="1"/>
  <c r="P800" i="20" a="1"/>
  <c r="M1174" i="20" a="1"/>
  <c r="AB1488" i="42" a="1"/>
  <c r="P501" i="20" a="1"/>
  <c r="P719" i="20" a="1"/>
  <c r="M1177" i="20" a="1"/>
  <c r="I1184" i="20" l="1"/>
  <c r="I723" i="20"/>
  <c r="L1556" i="42"/>
  <c r="F1497" i="42"/>
  <c r="L1557" i="42"/>
  <c r="L1555" i="42"/>
  <c r="G1497" i="42"/>
  <c r="L1553" i="42"/>
  <c r="L1542" i="42"/>
  <c r="L1543" i="42"/>
  <c r="L1554" i="42"/>
  <c r="AB1488" i="42"/>
  <c r="L1527" i="42" s="1"/>
  <c r="L1558" i="42"/>
  <c r="L1536" i="42"/>
  <c r="D1497" i="42"/>
  <c r="L1541" i="42"/>
  <c r="L1540" i="42"/>
  <c r="E1575" i="42"/>
  <c r="L1539" i="42"/>
  <c r="L1560" i="42"/>
  <c r="G1575" i="42"/>
  <c r="L1538" i="42"/>
  <c r="F1575" i="42"/>
  <c r="L1537" i="42"/>
  <c r="C1575" i="42"/>
  <c r="D1575" i="42"/>
  <c r="L1559" i="42"/>
  <c r="C1497" i="42"/>
  <c r="E1497" i="42"/>
  <c r="I1294" i="20"/>
  <c r="C1381" i="20"/>
  <c r="I1381" i="20" s="1"/>
  <c r="I1287" i="20"/>
  <c r="C1374" i="20"/>
  <c r="I1374" i="20" s="1"/>
  <c r="I1286" i="20"/>
  <c r="C1373" i="20"/>
  <c r="I1373" i="20" s="1"/>
  <c r="I1292" i="20"/>
  <c r="C1379" i="20"/>
  <c r="I1379" i="20" s="1"/>
  <c r="I1293" i="20"/>
  <c r="C1380" i="20"/>
  <c r="I1380" i="20" s="1"/>
  <c r="C167" i="20"/>
  <c r="B24" i="46"/>
  <c r="G429" i="44"/>
  <c r="E71" i="47" s="1"/>
  <c r="D77" i="47" s="1" a="1"/>
  <c r="D77" i="47" s="1"/>
  <c r="B71" i="47"/>
  <c r="A77" i="47" s="1" a="1"/>
  <c r="A77" i="47" s="1"/>
  <c r="H1271" i="20"/>
  <c r="B1328" i="20"/>
  <c r="H1328" i="20" s="1"/>
  <c r="H1272" i="20"/>
  <c r="B1329" i="20"/>
  <c r="H1329" i="20" s="1"/>
  <c r="H1273" i="20"/>
  <c r="B1330" i="20"/>
  <c r="H1330" i="20" s="1"/>
  <c r="H1279" i="20"/>
  <c r="B1336" i="20"/>
  <c r="H1336" i="20" s="1"/>
  <c r="H1278" i="20"/>
  <c r="B1335" i="20"/>
  <c r="H1335" i="20" s="1"/>
  <c r="H1274" i="20"/>
  <c r="B1331" i="20"/>
  <c r="H1331" i="20" s="1"/>
  <c r="H1275" i="20"/>
  <c r="B1332" i="20"/>
  <c r="H1332" i="20" s="1"/>
  <c r="H1276" i="20"/>
  <c r="B1333" i="20"/>
  <c r="H1333" i="20" s="1"/>
  <c r="P1287" i="20"/>
  <c r="H1277" i="20"/>
  <c r="B1334" i="20"/>
  <c r="H1334" i="20" s="1"/>
  <c r="H1270" i="20"/>
  <c r="O1261" i="20"/>
  <c r="N1261" i="20"/>
  <c r="B1308" i="20"/>
  <c r="H1308" i="20" s="1"/>
  <c r="R1175" i="20"/>
  <c r="B1307" i="20"/>
  <c r="H1307" i="20" s="1"/>
  <c r="R1174" i="20"/>
  <c r="B1310" i="20"/>
  <c r="H1310" i="20" s="1"/>
  <c r="R1177" i="20"/>
  <c r="B1309" i="20"/>
  <c r="H1309" i="20" s="1"/>
  <c r="R1176" i="20"/>
  <c r="B1306" i="20"/>
  <c r="R1173" i="20"/>
  <c r="B1292" i="20"/>
  <c r="X714" i="20"/>
  <c r="B1294" i="20"/>
  <c r="X716" i="20"/>
  <c r="B1290" i="20"/>
  <c r="X712" i="20"/>
  <c r="B1291" i="20"/>
  <c r="X713" i="20"/>
  <c r="B1286" i="20"/>
  <c r="X708" i="20"/>
  <c r="B1295" i="20"/>
  <c r="X717" i="20"/>
  <c r="B1287" i="20"/>
  <c r="X709" i="20"/>
  <c r="B1293" i="20"/>
  <c r="X715" i="20"/>
  <c r="B1288" i="20"/>
  <c r="X710" i="20"/>
  <c r="B1289" i="20"/>
  <c r="X711" i="20"/>
  <c r="T711" i="20"/>
  <c r="C1289" i="20"/>
  <c r="T713" i="20"/>
  <c r="C1291" i="20"/>
  <c r="T712" i="20"/>
  <c r="C1290" i="20"/>
  <c r="T717" i="20"/>
  <c r="C1295" i="20"/>
  <c r="T710" i="20"/>
  <c r="C1288" i="20"/>
  <c r="C1472" i="42"/>
  <c r="B1472" i="42"/>
  <c r="B1479" i="42" s="1"/>
  <c r="AJ1488" i="42" s="1"/>
  <c r="N1179" i="20"/>
  <c r="M1179" i="20"/>
  <c r="N1177" i="20"/>
  <c r="M1177" i="20"/>
  <c r="M1174" i="20"/>
  <c r="N1174" i="20"/>
  <c r="N1176" i="20"/>
  <c r="M1176" i="20"/>
  <c r="N1178" i="20"/>
  <c r="M1178" i="20"/>
  <c r="M1175" i="20"/>
  <c r="N1175" i="20"/>
  <c r="M1173" i="20"/>
  <c r="N1173" i="20"/>
  <c r="K899" i="42"/>
  <c r="G899" i="42"/>
  <c r="H899" i="42"/>
  <c r="J899" i="42"/>
  <c r="P501" i="20"/>
  <c r="B509" i="20" s="1"/>
  <c r="C509" i="20"/>
  <c r="P310" i="20"/>
  <c r="B316" i="20" s="1"/>
  <c r="C316" i="20"/>
  <c r="C297" i="20"/>
  <c r="G297" i="20"/>
  <c r="D297" i="20"/>
  <c r="E297" i="20"/>
  <c r="AB289" i="20"/>
  <c r="B297" i="20" s="1"/>
  <c r="F297" i="20"/>
  <c r="C806" i="20"/>
  <c r="P800" i="20"/>
  <c r="B806" i="20" s="1"/>
  <c r="J723" i="20"/>
  <c r="W713" i="20"/>
  <c r="W716" i="20"/>
  <c r="W710" i="20"/>
  <c r="N715" i="20"/>
  <c r="N708" i="20"/>
  <c r="W709" i="20"/>
  <c r="G723" i="20"/>
  <c r="S713" i="20"/>
  <c r="N714" i="20"/>
  <c r="S708" i="20"/>
  <c r="T714" i="20"/>
  <c r="N710" i="20"/>
  <c r="W715" i="20"/>
  <c r="K723" i="20"/>
  <c r="W708" i="20"/>
  <c r="S712" i="20"/>
  <c r="H723" i="20"/>
  <c r="N716" i="20"/>
  <c r="N709" i="20"/>
  <c r="S718" i="20"/>
  <c r="N718" i="20"/>
  <c r="W718" i="20"/>
  <c r="T715" i="20"/>
  <c r="S714" i="20"/>
  <c r="W712" i="20"/>
  <c r="T716" i="20"/>
  <c r="W717" i="20"/>
  <c r="T708" i="20"/>
  <c r="L723" i="20"/>
  <c r="T718" i="20"/>
  <c r="S711" i="20"/>
  <c r="U719" i="20"/>
  <c r="L719" i="20"/>
  <c r="D724" i="20" s="1"/>
  <c r="M719" i="20"/>
  <c r="E724" i="20" s="1"/>
  <c r="Q719" i="20"/>
  <c r="P719" i="20"/>
  <c r="W714" i="20"/>
  <c r="S716" i="20"/>
  <c r="N711" i="20"/>
  <c r="S715" i="20"/>
  <c r="R458" i="20"/>
  <c r="N717" i="20"/>
  <c r="S709" i="20"/>
  <c r="N712" i="20"/>
  <c r="N713" i="20"/>
  <c r="S717" i="20"/>
  <c r="S710" i="20"/>
  <c r="T709" i="20"/>
  <c r="W711" i="20"/>
  <c r="O719" i="20"/>
  <c r="G940" i="20"/>
  <c r="C584" i="44"/>
  <c r="H584" i="44" s="1"/>
  <c r="C429" i="44"/>
  <c r="B143" i="44"/>
  <c r="G143" i="44" s="1"/>
  <c r="G129" i="44"/>
  <c r="C144" i="44" s="1"/>
  <c r="G131" i="44"/>
  <c r="G138" i="44"/>
  <c r="H147" i="44" s="1"/>
  <c r="G134" i="44"/>
  <c r="C146" i="44" s="1"/>
  <c r="G135" i="44"/>
  <c r="G132" i="44"/>
  <c r="H144" i="44" s="1"/>
  <c r="G136" i="44"/>
  <c r="C147" i="44" s="1"/>
  <c r="G137" i="44"/>
  <c r="H146" i="44" s="1"/>
  <c r="G133" i="44"/>
  <c r="H145" i="44" s="1"/>
  <c r="G130" i="44"/>
  <c r="C145" i="44" s="1"/>
  <c r="H796" i="33"/>
  <c r="G796" i="33"/>
  <c r="I618" i="42"/>
  <c r="I619" i="42"/>
  <c r="I622" i="42"/>
  <c r="I621" i="42"/>
  <c r="H583" i="42"/>
  <c r="H585" i="42"/>
  <c r="H580" i="42"/>
  <c r="H582" i="42"/>
  <c r="H584" i="42"/>
  <c r="H578" i="42"/>
  <c r="H577" i="42"/>
  <c r="H579" i="42"/>
  <c r="H581" i="42"/>
  <c r="F568" i="42"/>
  <c r="E568" i="42"/>
  <c r="F567" i="42"/>
  <c r="E567" i="42"/>
  <c r="F566" i="42"/>
  <c r="E566" i="42"/>
  <c r="F565" i="42"/>
  <c r="E565" i="42"/>
  <c r="F564" i="42"/>
  <c r="E564" i="42"/>
  <c r="F563" i="42"/>
  <c r="E563" i="42"/>
  <c r="F562" i="42"/>
  <c r="E562" i="42"/>
  <c r="F561" i="42"/>
  <c r="E561" i="42"/>
  <c r="F560" i="42"/>
  <c r="E560" i="42"/>
  <c r="F551" i="42"/>
  <c r="E551" i="42"/>
  <c r="F550" i="42"/>
  <c r="E550" i="42"/>
  <c r="F549" i="42"/>
  <c r="E549" i="42"/>
  <c r="F548" i="42"/>
  <c r="E548" i="42"/>
  <c r="F547" i="42"/>
  <c r="E547" i="42"/>
  <c r="F546" i="42"/>
  <c r="E546" i="42"/>
  <c r="F545" i="42"/>
  <c r="E545" i="42"/>
  <c r="F544" i="42"/>
  <c r="E544" i="42"/>
  <c r="F543" i="42"/>
  <c r="E543" i="42"/>
  <c r="V316" i="20" a="1"/>
  <c r="P509" i="20" a="1"/>
  <c r="V806" i="20" a="1"/>
  <c r="T297" i="20" a="1"/>
  <c r="I724" i="20" l="1"/>
  <c r="N1553" i="42" a="1"/>
  <c r="N1553" i="42" s="1"/>
  <c r="N1536" i="42" a="1"/>
  <c r="N1536" i="42" s="1"/>
  <c r="Q1553" i="42" a="1"/>
  <c r="Q1553" i="42" s="1"/>
  <c r="B1563" i="42" s="1"/>
  <c r="C1563" i="42" s="1"/>
  <c r="Q1536" i="42" a="1"/>
  <c r="Q1536" i="42" s="1"/>
  <c r="B1497" i="42"/>
  <c r="L1522" i="42"/>
  <c r="L1524" i="42"/>
  <c r="L1525" i="42"/>
  <c r="L1526" i="42"/>
  <c r="B1575" i="42"/>
  <c r="L1520" i="42"/>
  <c r="L1523" i="42"/>
  <c r="L1521" i="42"/>
  <c r="B1373" i="20"/>
  <c r="H1373" i="20" s="1"/>
  <c r="R1294" i="20"/>
  <c r="Q1294" i="20"/>
  <c r="A83" i="47"/>
  <c r="B85" i="47" s="1"/>
  <c r="B86" i="47" s="1"/>
  <c r="H1288" i="20"/>
  <c r="B1375" i="20"/>
  <c r="H1375" i="20" s="1"/>
  <c r="H1292" i="20"/>
  <c r="B1379" i="20"/>
  <c r="H1379" i="20" s="1"/>
  <c r="H1289" i="20"/>
  <c r="B1376" i="20"/>
  <c r="H1376" i="20" s="1"/>
  <c r="H1294" i="20"/>
  <c r="B1381" i="20"/>
  <c r="H1381" i="20" s="1"/>
  <c r="H1293" i="20"/>
  <c r="B1380" i="20"/>
  <c r="H1380" i="20" s="1"/>
  <c r="I1288" i="20"/>
  <c r="C1375" i="20"/>
  <c r="I1375" i="20" s="1"/>
  <c r="H1287" i="20"/>
  <c r="B1374" i="20"/>
  <c r="H1374" i="20" s="1"/>
  <c r="I1295" i="20"/>
  <c r="C1382" i="20"/>
  <c r="I1382" i="20" s="1"/>
  <c r="H1295" i="20"/>
  <c r="B1382" i="20"/>
  <c r="H1382" i="20" s="1"/>
  <c r="I1290" i="20"/>
  <c r="C1377" i="20"/>
  <c r="I1377" i="20" s="1"/>
  <c r="I1291" i="20"/>
  <c r="C1378" i="20"/>
  <c r="I1378" i="20" s="1"/>
  <c r="H1291" i="20"/>
  <c r="B1378" i="20"/>
  <c r="H1378" i="20" s="1"/>
  <c r="I1289" i="20"/>
  <c r="C1376" i="20"/>
  <c r="I1376" i="20" s="1"/>
  <c r="H1290" i="20"/>
  <c r="B1377" i="20"/>
  <c r="H1377" i="20" s="1"/>
  <c r="B28" i="46"/>
  <c r="B29" i="46" s="1"/>
  <c r="C46" i="46" s="1"/>
  <c r="D154" i="46" s="1"/>
  <c r="B35" i="46"/>
  <c r="H429" i="44"/>
  <c r="H1306" i="20"/>
  <c r="O1288" i="20"/>
  <c r="N1288" i="20"/>
  <c r="O1286" i="20"/>
  <c r="N1286" i="20"/>
  <c r="H1286" i="20"/>
  <c r="D1472" i="42"/>
  <c r="D322" i="20"/>
  <c r="C322" i="20"/>
  <c r="V316" i="20"/>
  <c r="B322" i="20" s="1"/>
  <c r="E322" i="20"/>
  <c r="E812" i="20"/>
  <c r="C812" i="20"/>
  <c r="D812" i="20"/>
  <c r="V806" i="20"/>
  <c r="B812" i="20" s="1"/>
  <c r="D298" i="20"/>
  <c r="G298" i="20"/>
  <c r="C298" i="20"/>
  <c r="E298" i="20"/>
  <c r="F298" i="20"/>
  <c r="T297" i="20"/>
  <c r="B298" i="20" s="1"/>
  <c r="P509" i="20"/>
  <c r="B515" i="20" s="1"/>
  <c r="B516" i="20" s="1"/>
  <c r="B517" i="20" s="1"/>
  <c r="B518" i="20" s="1"/>
  <c r="B519" i="20" s="1"/>
  <c r="C515" i="20"/>
  <c r="J724" i="20"/>
  <c r="W719" i="20"/>
  <c r="S719" i="20"/>
  <c r="R719" i="20"/>
  <c r="K724" i="20"/>
  <c r="G724" i="20"/>
  <c r="L724" i="20"/>
  <c r="T719" i="20"/>
  <c r="N719" i="20"/>
  <c r="H724" i="20"/>
  <c r="H940" i="20"/>
  <c r="J673" i="45"/>
  <c r="C143" i="44"/>
  <c r="H143" i="44" s="1"/>
  <c r="I620" i="42"/>
  <c r="I623" i="42"/>
  <c r="H587" i="42"/>
  <c r="H586" i="42"/>
  <c r="H543" i="42"/>
  <c r="H545" i="42"/>
  <c r="H547" i="42"/>
  <c r="H566" i="42"/>
  <c r="H567" i="42"/>
  <c r="H568" i="42"/>
  <c r="H561" i="42"/>
  <c r="H563" i="42"/>
  <c r="H565" i="42"/>
  <c r="H560" i="42"/>
  <c r="H562" i="42"/>
  <c r="H564" i="42"/>
  <c r="H550" i="42"/>
  <c r="H551" i="42"/>
  <c r="H544" i="42"/>
  <c r="H548" i="42"/>
  <c r="H546" i="42"/>
  <c r="H549" i="42"/>
  <c r="D533" i="42"/>
  <c r="F533" i="42" s="1"/>
  <c r="I533" i="42"/>
  <c r="E533" i="42"/>
  <c r="I532" i="42"/>
  <c r="F532" i="42"/>
  <c r="E532" i="42"/>
  <c r="I531" i="42"/>
  <c r="D652" i="42" s="1"/>
  <c r="F531" i="42"/>
  <c r="E531" i="42"/>
  <c r="I530" i="42"/>
  <c r="D651" i="42" s="1"/>
  <c r="F530" i="42"/>
  <c r="E530" i="42"/>
  <c r="I529" i="42"/>
  <c r="D650" i="42" s="1"/>
  <c r="F529" i="42"/>
  <c r="E529" i="42"/>
  <c r="I528" i="42"/>
  <c r="D649" i="42" s="1"/>
  <c r="F528" i="42"/>
  <c r="E528" i="42"/>
  <c r="I527" i="42"/>
  <c r="D648" i="42" s="1"/>
  <c r="F527" i="42"/>
  <c r="E527" i="42"/>
  <c r="I526" i="42"/>
  <c r="D647" i="42" s="1"/>
  <c r="F526" i="42"/>
  <c r="E526" i="42"/>
  <c r="I525" i="42"/>
  <c r="D646" i="42" s="1"/>
  <c r="F525" i="42"/>
  <c r="E525" i="42"/>
  <c r="B17" i="42"/>
  <c r="A17" i="42"/>
  <c r="B10" i="42"/>
  <c r="A10" i="42"/>
  <c r="T207" i="42"/>
  <c r="S207" i="42"/>
  <c r="T206" i="42"/>
  <c r="S206" i="42"/>
  <c r="T205" i="42"/>
  <c r="S205" i="42"/>
  <c r="R206" i="42"/>
  <c r="R207" i="42"/>
  <c r="R205" i="42"/>
  <c r="E399" i="33"/>
  <c r="E414" i="33"/>
  <c r="E413" i="33"/>
  <c r="E412" i="33"/>
  <c r="E411" i="33"/>
  <c r="E410" i="33"/>
  <c r="E409" i="33"/>
  <c r="E408" i="33"/>
  <c r="E407" i="33"/>
  <c r="E406" i="33"/>
  <c r="E405" i="33"/>
  <c r="E404" i="33"/>
  <c r="E403" i="33"/>
  <c r="E402" i="33"/>
  <c r="E401" i="33"/>
  <c r="E400" i="33"/>
  <c r="E398" i="33"/>
  <c r="E397" i="33"/>
  <c r="E396" i="33"/>
  <c r="E395" i="33"/>
  <c r="E394" i="33"/>
  <c r="E393" i="33"/>
  <c r="E392" i="33"/>
  <c r="E391" i="33"/>
  <c r="E390" i="33"/>
  <c r="E389" i="33"/>
  <c r="E388" i="33"/>
  <c r="E387" i="33"/>
  <c r="E386" i="33"/>
  <c r="E385" i="33"/>
  <c r="E384" i="33"/>
  <c r="E383" i="33"/>
  <c r="E382" i="33"/>
  <c r="E381" i="33"/>
  <c r="E380" i="33"/>
  <c r="E379" i="33"/>
  <c r="E378" i="33"/>
  <c r="E377" i="33"/>
  <c r="E376" i="33"/>
  <c r="E375" i="33"/>
  <c r="E374" i="33"/>
  <c r="E373" i="33"/>
  <c r="E372" i="33"/>
  <c r="E371" i="33"/>
  <c r="E370" i="33"/>
  <c r="E369" i="33"/>
  <c r="E368" i="33"/>
  <c r="E367" i="33"/>
  <c r="E366" i="33"/>
  <c r="E365" i="33"/>
  <c r="E364" i="33"/>
  <c r="E363" i="33"/>
  <c r="E362" i="33"/>
  <c r="E361" i="33"/>
  <c r="E360" i="33"/>
  <c r="E359" i="33"/>
  <c r="E358" i="33"/>
  <c r="E357" i="33"/>
  <c r="E356" i="33"/>
  <c r="E355" i="33"/>
  <c r="E354" i="33"/>
  <c r="E353" i="33"/>
  <c r="E352" i="33"/>
  <c r="E351" i="33"/>
  <c r="E350" i="33"/>
  <c r="E349" i="33"/>
  <c r="E348" i="33"/>
  <c r="E347" i="33"/>
  <c r="E346" i="33"/>
  <c r="E345" i="33"/>
  <c r="E344" i="33"/>
  <c r="E343" i="33"/>
  <c r="E342" i="33"/>
  <c r="E341" i="33"/>
  <c r="E340" i="33"/>
  <c r="E339" i="33"/>
  <c r="E338" i="33"/>
  <c r="E337" i="33"/>
  <c r="E336" i="33"/>
  <c r="E335" i="33"/>
  <c r="E334" i="33"/>
  <c r="E333" i="33"/>
  <c r="E332" i="33"/>
  <c r="E331" i="33"/>
  <c r="E330" i="33"/>
  <c r="E329" i="33"/>
  <c r="E328" i="33"/>
  <c r="E327" i="33"/>
  <c r="E326" i="33"/>
  <c r="E325" i="33"/>
  <c r="E324" i="33"/>
  <c r="E323" i="33"/>
  <c r="E322" i="33"/>
  <c r="E321" i="33"/>
  <c r="E320" i="33"/>
  <c r="E319" i="33"/>
  <c r="E318" i="33"/>
  <c r="E317" i="33"/>
  <c r="E316" i="33"/>
  <c r="E315" i="33"/>
  <c r="E314" i="33"/>
  <c r="E313" i="33"/>
  <c r="E312" i="33"/>
  <c r="E311" i="33"/>
  <c r="E310" i="33"/>
  <c r="E309" i="33"/>
  <c r="E308" i="33"/>
  <c r="E307" i="33"/>
  <c r="E306" i="33"/>
  <c r="E305" i="33"/>
  <c r="E304" i="33"/>
  <c r="E303" i="33"/>
  <c r="E302" i="33"/>
  <c r="E301" i="33"/>
  <c r="E300" i="33"/>
  <c r="E299" i="33"/>
  <c r="E298" i="33"/>
  <c r="E297" i="33"/>
  <c r="E296" i="33"/>
  <c r="E295" i="33"/>
  <c r="E294" i="33"/>
  <c r="E293" i="33"/>
  <c r="E292" i="33"/>
  <c r="E291" i="33"/>
  <c r="E290" i="33"/>
  <c r="E289" i="33"/>
  <c r="E288" i="33"/>
  <c r="E287" i="33"/>
  <c r="E286" i="33"/>
  <c r="E285" i="33"/>
  <c r="E284" i="33"/>
  <c r="E283" i="33"/>
  <c r="E282" i="33"/>
  <c r="E281" i="33"/>
  <c r="E280" i="33"/>
  <c r="E279" i="33"/>
  <c r="E278" i="33"/>
  <c r="E277" i="33"/>
  <c r="E276" i="33"/>
  <c r="E275" i="33"/>
  <c r="E274" i="33"/>
  <c r="E273" i="33"/>
  <c r="E272" i="33"/>
  <c r="E271" i="33"/>
  <c r="E270" i="33"/>
  <c r="E269" i="33"/>
  <c r="E268" i="33"/>
  <c r="E267" i="33"/>
  <c r="E266" i="33"/>
  <c r="E265" i="33"/>
  <c r="E264" i="33"/>
  <c r="E263" i="33"/>
  <c r="E262" i="33"/>
  <c r="E261" i="33"/>
  <c r="E260" i="33"/>
  <c r="E259" i="33"/>
  <c r="E258" i="33"/>
  <c r="E257" i="33"/>
  <c r="E256" i="33"/>
  <c r="E255" i="33"/>
  <c r="E254" i="33"/>
  <c r="E253" i="33"/>
  <c r="E252" i="33"/>
  <c r="E251" i="33"/>
  <c r="E250" i="33"/>
  <c r="E249" i="33"/>
  <c r="E248" i="33"/>
  <c r="E247" i="33"/>
  <c r="E246" i="33"/>
  <c r="E245" i="33"/>
  <c r="E244" i="33"/>
  <c r="E243" i="33"/>
  <c r="E242" i="33"/>
  <c r="E241" i="33"/>
  <c r="E240" i="33"/>
  <c r="E239" i="33"/>
  <c r="E238" i="33"/>
  <c r="E237" i="33"/>
  <c r="E236" i="33"/>
  <c r="E235" i="33"/>
  <c r="E234" i="33"/>
  <c r="E233" i="33"/>
  <c r="E232" i="33"/>
  <c r="E231" i="33"/>
  <c r="E230" i="33"/>
  <c r="E229" i="33"/>
  <c r="E228" i="33"/>
  <c r="E227" i="33"/>
  <c r="E226" i="33"/>
  <c r="E225" i="33"/>
  <c r="E224" i="33"/>
  <c r="E223" i="33"/>
  <c r="E222" i="33"/>
  <c r="E221" i="33"/>
  <c r="E220" i="33"/>
  <c r="E219" i="33"/>
  <c r="E218" i="33"/>
  <c r="E217" i="33"/>
  <c r="E216" i="33"/>
  <c r="E215" i="33"/>
  <c r="E214" i="33"/>
  <c r="E213" i="33"/>
  <c r="E212" i="33"/>
  <c r="E211" i="33"/>
  <c r="E210" i="33"/>
  <c r="E209" i="33"/>
  <c r="E208" i="33"/>
  <c r="E207" i="33"/>
  <c r="E206" i="33"/>
  <c r="E205" i="33"/>
  <c r="E204" i="33"/>
  <c r="E203" i="33"/>
  <c r="E202" i="33"/>
  <c r="E201" i="33"/>
  <c r="E200" i="33"/>
  <c r="E199" i="33"/>
  <c r="E198" i="33"/>
  <c r="E197" i="33"/>
  <c r="E196" i="33"/>
  <c r="E195" i="33"/>
  <c r="E194" i="33"/>
  <c r="E193" i="33"/>
  <c r="E192" i="33"/>
  <c r="E191" i="33"/>
  <c r="E190" i="33"/>
  <c r="E189" i="33"/>
  <c r="E188" i="33"/>
  <c r="E187" i="33"/>
  <c r="E186" i="33"/>
  <c r="E185" i="33"/>
  <c r="E184" i="33"/>
  <c r="E183" i="33"/>
  <c r="E182" i="33"/>
  <c r="E181" i="33"/>
  <c r="E180" i="33"/>
  <c r="E179" i="33"/>
  <c r="E178" i="33"/>
  <c r="E177" i="33"/>
  <c r="E176" i="33"/>
  <c r="E175" i="33"/>
  <c r="E174" i="33"/>
  <c r="E173" i="33"/>
  <c r="E172" i="33"/>
  <c r="E171" i="33"/>
  <c r="E170" i="33"/>
  <c r="E169" i="33"/>
  <c r="E168" i="33"/>
  <c r="E167" i="33"/>
  <c r="E166" i="33"/>
  <c r="E165" i="33"/>
  <c r="E164" i="33"/>
  <c r="E163" i="33"/>
  <c r="E162" i="33"/>
  <c r="E161" i="33"/>
  <c r="E160" i="33"/>
  <c r="E159" i="33"/>
  <c r="E158" i="33"/>
  <c r="E157" i="33"/>
  <c r="E156" i="33"/>
  <c r="E155" i="33"/>
  <c r="E154" i="33"/>
  <c r="E153" i="33"/>
  <c r="E152" i="33"/>
  <c r="E151" i="33"/>
  <c r="E150" i="33"/>
  <c r="E149" i="33"/>
  <c r="E148" i="33"/>
  <c r="E147" i="33"/>
  <c r="E146" i="33"/>
  <c r="E145" i="33"/>
  <c r="E144" i="33"/>
  <c r="E143" i="33"/>
  <c r="E142" i="33"/>
  <c r="E141" i="33"/>
  <c r="E140" i="33"/>
  <c r="E139" i="33"/>
  <c r="E138" i="33"/>
  <c r="E137" i="33"/>
  <c r="E136" i="33"/>
  <c r="E135" i="33"/>
  <c r="E134" i="33"/>
  <c r="E133" i="33"/>
  <c r="E132" i="33"/>
  <c r="E131" i="33"/>
  <c r="E130" i="33"/>
  <c r="E129" i="33"/>
  <c r="E128" i="33"/>
  <c r="E127" i="33"/>
  <c r="E126" i="33"/>
  <c r="E125" i="33"/>
  <c r="E124" i="33"/>
  <c r="E123" i="33"/>
  <c r="E122" i="33"/>
  <c r="E121" i="33"/>
  <c r="E120" i="33"/>
  <c r="E119" i="33"/>
  <c r="E118" i="33"/>
  <c r="E117" i="33"/>
  <c r="E116" i="33"/>
  <c r="E115" i="33"/>
  <c r="E114" i="33"/>
  <c r="E113" i="33"/>
  <c r="E112" i="33"/>
  <c r="E111" i="33"/>
  <c r="E110" i="33"/>
  <c r="E109" i="33"/>
  <c r="E108" i="33"/>
  <c r="E107" i="33"/>
  <c r="E106" i="33"/>
  <c r="E105" i="33"/>
  <c r="E104" i="33"/>
  <c r="E103" i="33"/>
  <c r="E102" i="33"/>
  <c r="E101" i="33"/>
  <c r="E100" i="33"/>
  <c r="E99" i="33"/>
  <c r="E98" i="33"/>
  <c r="E97" i="33"/>
  <c r="E96" i="33"/>
  <c r="E95" i="33"/>
  <c r="E94" i="33"/>
  <c r="E93" i="33"/>
  <c r="E92" i="33"/>
  <c r="E91" i="33"/>
  <c r="E90" i="33"/>
  <c r="E89" i="33"/>
  <c r="E88" i="33"/>
  <c r="E87" i="33"/>
  <c r="E86" i="33"/>
  <c r="E85" i="33"/>
  <c r="E84" i="33"/>
  <c r="E83" i="33"/>
  <c r="E82" i="33"/>
  <c r="E81" i="33"/>
  <c r="E80" i="33"/>
  <c r="E79" i="33"/>
  <c r="E78" i="33"/>
  <c r="T298" i="20" a="1"/>
  <c r="T1497" i="42" a="1"/>
  <c r="R812" i="20" a="1"/>
  <c r="R322" i="20" a="1"/>
  <c r="P515" i="20" a="1"/>
  <c r="T1575" i="42" a="1"/>
  <c r="B1546" i="42" l="1"/>
  <c r="C1546" i="42" s="1"/>
  <c r="T1497" i="42"/>
  <c r="AB1497" i="42"/>
  <c r="T1575" i="42"/>
  <c r="AB1575" i="42"/>
  <c r="J372" i="45"/>
  <c r="J690" i="45" s="1"/>
  <c r="E146" i="46"/>
  <c r="B453" i="44"/>
  <c r="B454" i="44" s="1"/>
  <c r="B88" i="46" s="1"/>
  <c r="B99" i="46" s="1"/>
  <c r="B89" i="46"/>
  <c r="B100" i="46" s="1"/>
  <c r="B40" i="46"/>
  <c r="B41" i="46" s="1"/>
  <c r="C47" i="46" s="1"/>
  <c r="C146" i="46" s="1"/>
  <c r="P1288" i="20"/>
  <c r="P1286" i="20"/>
  <c r="P515" i="20"/>
  <c r="M741" i="20"/>
  <c r="AB298" i="20"/>
  <c r="AA298" i="20"/>
  <c r="T298" i="20"/>
  <c r="L663" i="20"/>
  <c r="M663" i="20"/>
  <c r="M625" i="20"/>
  <c r="F1004" i="20"/>
  <c r="F932" i="20"/>
  <c r="E932" i="20"/>
  <c r="I932" i="20" s="1"/>
  <c r="R812" i="20"/>
  <c r="W812" i="20"/>
  <c r="R322" i="20"/>
  <c r="F584" i="20"/>
  <c r="E550" i="20"/>
  <c r="F550" i="20"/>
  <c r="W322" i="20"/>
  <c r="C516" i="20"/>
  <c r="C813" i="20"/>
  <c r="C814" i="20"/>
  <c r="C815" i="20"/>
  <c r="D324" i="20"/>
  <c r="D323" i="20"/>
  <c r="D325" i="20"/>
  <c r="B299" i="20"/>
  <c r="B300" i="20"/>
  <c r="B301" i="20"/>
  <c r="B302" i="20"/>
  <c r="E300" i="20"/>
  <c r="E302" i="20"/>
  <c r="E301" i="20"/>
  <c r="E299" i="20"/>
  <c r="D813" i="20"/>
  <c r="D815" i="20"/>
  <c r="D814" i="20"/>
  <c r="C299" i="20"/>
  <c r="C300" i="20"/>
  <c r="C302" i="20"/>
  <c r="C301" i="20"/>
  <c r="F302" i="20"/>
  <c r="F301" i="20"/>
  <c r="F300" i="20"/>
  <c r="F299" i="20"/>
  <c r="G302" i="20"/>
  <c r="G299" i="20"/>
  <c r="G301" i="20"/>
  <c r="G300" i="20"/>
  <c r="D302" i="20"/>
  <c r="D301" i="20"/>
  <c r="D300" i="20"/>
  <c r="D299" i="20"/>
  <c r="B815" i="20"/>
  <c r="B814" i="20"/>
  <c r="B813" i="20"/>
  <c r="E815" i="20"/>
  <c r="E813" i="20"/>
  <c r="E814" i="20"/>
  <c r="E323" i="20"/>
  <c r="E324" i="20"/>
  <c r="E325" i="20"/>
  <c r="B325" i="20"/>
  <c r="B323" i="20"/>
  <c r="B324" i="20"/>
  <c r="C324" i="20"/>
  <c r="C323" i="20"/>
  <c r="C325" i="20"/>
  <c r="D653" i="42"/>
  <c r="D662" i="42" s="1"/>
  <c r="D686" i="42" s="1"/>
  <c r="I78" i="33"/>
  <c r="I79" i="33"/>
  <c r="H570" i="42"/>
  <c r="H569" i="42"/>
  <c r="H588" i="42"/>
  <c r="H553" i="42"/>
  <c r="H552" i="42"/>
  <c r="J529" i="42"/>
  <c r="J528" i="42"/>
  <c r="J532" i="42"/>
  <c r="J526" i="42"/>
  <c r="J527" i="42"/>
  <c r="J531" i="42"/>
  <c r="J530" i="42"/>
  <c r="J525" i="42"/>
  <c r="J533" i="42"/>
  <c r="I80" i="33"/>
  <c r="I81" i="33"/>
  <c r="K206" i="42"/>
  <c r="K207" i="42"/>
  <c r="K205" i="42"/>
  <c r="J206" i="42"/>
  <c r="J207" i="42"/>
  <c r="J205" i="42"/>
  <c r="I206" i="42"/>
  <c r="I207" i="42"/>
  <c r="I205" i="42"/>
  <c r="H206" i="42"/>
  <c r="I212" i="42" s="1"/>
  <c r="H207" i="42"/>
  <c r="I213" i="42" s="1"/>
  <c r="H205" i="42"/>
  <c r="I211" i="42" s="1"/>
  <c r="F431" i="42"/>
  <c r="E431" i="42"/>
  <c r="F430" i="42"/>
  <c r="E430" i="42"/>
  <c r="F429" i="42"/>
  <c r="E429" i="42"/>
  <c r="F428" i="42"/>
  <c r="E428" i="42"/>
  <c r="F427" i="42"/>
  <c r="E427" i="42"/>
  <c r="F426" i="42"/>
  <c r="E426" i="42"/>
  <c r="F425" i="42"/>
  <c r="E425" i="42"/>
  <c r="F424" i="42"/>
  <c r="E424" i="42"/>
  <c r="F423" i="42"/>
  <c r="E423" i="42"/>
  <c r="F422" i="42"/>
  <c r="E422" i="42"/>
  <c r="F421" i="42"/>
  <c r="E421" i="42"/>
  <c r="F420" i="42"/>
  <c r="E420" i="42"/>
  <c r="F413" i="42"/>
  <c r="F412" i="42"/>
  <c r="F411" i="42"/>
  <c r="F410" i="42"/>
  <c r="F409" i="42"/>
  <c r="F408" i="42"/>
  <c r="F407" i="42"/>
  <c r="F406" i="42"/>
  <c r="F405" i="42"/>
  <c r="F404" i="42"/>
  <c r="F403" i="42"/>
  <c r="E413" i="42"/>
  <c r="E412" i="42"/>
  <c r="E411" i="42"/>
  <c r="E410" i="42"/>
  <c r="E409" i="42"/>
  <c r="E408" i="42"/>
  <c r="E407" i="42"/>
  <c r="E406" i="42"/>
  <c r="E405" i="42"/>
  <c r="E404" i="42"/>
  <c r="E403" i="42"/>
  <c r="F402" i="42"/>
  <c r="E402" i="42"/>
  <c r="F395" i="42"/>
  <c r="F394" i="42"/>
  <c r="F393" i="42"/>
  <c r="F392" i="42"/>
  <c r="F391" i="42"/>
  <c r="F390" i="42"/>
  <c r="F389" i="42"/>
  <c r="F388" i="42"/>
  <c r="F387" i="42"/>
  <c r="F386" i="42"/>
  <c r="F385" i="42"/>
  <c r="E395" i="42"/>
  <c r="E394" i="42"/>
  <c r="E393" i="42"/>
  <c r="E392" i="42"/>
  <c r="E391" i="42"/>
  <c r="E390" i="42"/>
  <c r="E389" i="42"/>
  <c r="E388" i="42"/>
  <c r="E387" i="42"/>
  <c r="E386" i="42"/>
  <c r="E385" i="42"/>
  <c r="F384" i="42"/>
  <c r="E384" i="42"/>
  <c r="I373" i="42"/>
  <c r="I372" i="42"/>
  <c r="I371" i="42"/>
  <c r="I370" i="42"/>
  <c r="I369" i="42"/>
  <c r="I368" i="42"/>
  <c r="I367" i="42"/>
  <c r="I366" i="42"/>
  <c r="I365" i="42"/>
  <c r="I364" i="42"/>
  <c r="I363" i="42"/>
  <c r="F373" i="42"/>
  <c r="E373" i="42"/>
  <c r="F372" i="42"/>
  <c r="E372" i="42"/>
  <c r="F371" i="42"/>
  <c r="E371" i="42"/>
  <c r="F370" i="42"/>
  <c r="E370" i="42"/>
  <c r="F369" i="42"/>
  <c r="E369" i="42"/>
  <c r="F368" i="42"/>
  <c r="E368" i="42"/>
  <c r="F367" i="42"/>
  <c r="E367" i="42"/>
  <c r="F366" i="42"/>
  <c r="E366" i="42"/>
  <c r="F365" i="42"/>
  <c r="E365" i="42"/>
  <c r="F364" i="42"/>
  <c r="E364" i="42"/>
  <c r="F363" i="42"/>
  <c r="C374" i="42"/>
  <c r="D374" i="42" s="1"/>
  <c r="F374" i="42" s="1"/>
  <c r="E363" i="42"/>
  <c r="C797" i="33"/>
  <c r="C798" i="33"/>
  <c r="C795" i="33"/>
  <c r="C794" i="33"/>
  <c r="I84" i="33" s="1"/>
  <c r="B435" i="33"/>
  <c r="B436" i="33"/>
  <c r="B437" i="33"/>
  <c r="B438" i="33"/>
  <c r="B439" i="33"/>
  <c r="B440" i="33"/>
  <c r="B441" i="33"/>
  <c r="B442" i="33"/>
  <c r="B443" i="33"/>
  <c r="B444" i="33"/>
  <c r="B445" i="33"/>
  <c r="B446" i="33"/>
  <c r="B447" i="33"/>
  <c r="B448" i="33"/>
  <c r="B449" i="33"/>
  <c r="B450" i="33"/>
  <c r="B451" i="33"/>
  <c r="B452" i="33"/>
  <c r="B453" i="33"/>
  <c r="B454" i="33"/>
  <c r="B455" i="33"/>
  <c r="B456" i="33"/>
  <c r="B457" i="33"/>
  <c r="B458" i="33"/>
  <c r="B459" i="33"/>
  <c r="B460" i="33"/>
  <c r="B461" i="33"/>
  <c r="B462" i="33"/>
  <c r="B463" i="33"/>
  <c r="B464" i="33"/>
  <c r="B465" i="33"/>
  <c r="B466" i="33"/>
  <c r="B467" i="33"/>
  <c r="B468" i="33"/>
  <c r="B469" i="33"/>
  <c r="B470" i="33"/>
  <c r="B471" i="33"/>
  <c r="B472" i="33"/>
  <c r="B473" i="33"/>
  <c r="B474" i="33"/>
  <c r="B475" i="33"/>
  <c r="B476" i="33"/>
  <c r="B477" i="33"/>
  <c r="B478" i="33"/>
  <c r="B479" i="33"/>
  <c r="B480" i="33"/>
  <c r="B481" i="33"/>
  <c r="B482" i="33"/>
  <c r="B483" i="33"/>
  <c r="B484" i="33"/>
  <c r="B485" i="33"/>
  <c r="B486" i="33"/>
  <c r="B487" i="33"/>
  <c r="B488" i="33"/>
  <c r="B489" i="33"/>
  <c r="B490" i="33"/>
  <c r="B491" i="33"/>
  <c r="B492" i="33"/>
  <c r="B493" i="33"/>
  <c r="B494" i="33"/>
  <c r="B495" i="33"/>
  <c r="B496" i="33"/>
  <c r="B497" i="33"/>
  <c r="B498" i="33"/>
  <c r="B499" i="33"/>
  <c r="B500" i="33"/>
  <c r="B501" i="33"/>
  <c r="B502" i="33"/>
  <c r="B503" i="33"/>
  <c r="B504" i="33"/>
  <c r="B505" i="33"/>
  <c r="B506" i="33"/>
  <c r="B507" i="33"/>
  <c r="B508" i="33"/>
  <c r="B509" i="33"/>
  <c r="B510" i="33"/>
  <c r="B511" i="33"/>
  <c r="B512" i="33"/>
  <c r="B513" i="33"/>
  <c r="B514" i="33"/>
  <c r="B515" i="33"/>
  <c r="B516" i="33"/>
  <c r="B517" i="33"/>
  <c r="B518" i="33"/>
  <c r="B519" i="33"/>
  <c r="B520" i="33"/>
  <c r="B521" i="33"/>
  <c r="B522" i="33"/>
  <c r="B523" i="33"/>
  <c r="B524" i="33"/>
  <c r="B525" i="33"/>
  <c r="B526" i="33"/>
  <c r="B527" i="33"/>
  <c r="B528" i="33"/>
  <c r="B529" i="33"/>
  <c r="B530" i="33"/>
  <c r="B531" i="33"/>
  <c r="B532" i="33"/>
  <c r="B533" i="33"/>
  <c r="B534" i="33"/>
  <c r="B535" i="33"/>
  <c r="B536" i="33"/>
  <c r="B537" i="33"/>
  <c r="B538" i="33"/>
  <c r="B539" i="33"/>
  <c r="B540" i="33"/>
  <c r="B541" i="33"/>
  <c r="B542" i="33"/>
  <c r="B543" i="33"/>
  <c r="B544" i="33"/>
  <c r="B545" i="33"/>
  <c r="B546" i="33"/>
  <c r="B547" i="33"/>
  <c r="B548" i="33"/>
  <c r="B549" i="33"/>
  <c r="B550" i="33"/>
  <c r="B551" i="33"/>
  <c r="B552" i="33"/>
  <c r="B553" i="33"/>
  <c r="B554" i="33"/>
  <c r="B555" i="33"/>
  <c r="B556" i="33"/>
  <c r="B557" i="33"/>
  <c r="B558" i="33"/>
  <c r="B559" i="33"/>
  <c r="B560" i="33"/>
  <c r="B561" i="33"/>
  <c r="B562" i="33"/>
  <c r="B563" i="33"/>
  <c r="B564" i="33"/>
  <c r="B565" i="33"/>
  <c r="B566" i="33"/>
  <c r="B567" i="33"/>
  <c r="B568" i="33"/>
  <c r="B569" i="33"/>
  <c r="B570" i="33"/>
  <c r="B571" i="33"/>
  <c r="B572" i="33"/>
  <c r="B573" i="33"/>
  <c r="B574" i="33"/>
  <c r="B575" i="33"/>
  <c r="B576" i="33"/>
  <c r="B577" i="33"/>
  <c r="B578" i="33"/>
  <c r="B579" i="33"/>
  <c r="B580" i="33"/>
  <c r="B581" i="33"/>
  <c r="B582" i="33"/>
  <c r="B583" i="33"/>
  <c r="B584" i="33"/>
  <c r="B585" i="33"/>
  <c r="B586" i="33"/>
  <c r="B587" i="33"/>
  <c r="B588" i="33"/>
  <c r="B589" i="33"/>
  <c r="B590" i="33"/>
  <c r="B591" i="33"/>
  <c r="B592" i="33"/>
  <c r="B593" i="33"/>
  <c r="B594" i="33"/>
  <c r="B595" i="33"/>
  <c r="B596" i="33"/>
  <c r="B597" i="33"/>
  <c r="B598" i="33"/>
  <c r="B599" i="33"/>
  <c r="B600" i="33"/>
  <c r="B601" i="33"/>
  <c r="B602" i="33"/>
  <c r="B603" i="33"/>
  <c r="B604" i="33"/>
  <c r="B605" i="33"/>
  <c r="B606" i="33"/>
  <c r="B607" i="33"/>
  <c r="B608" i="33"/>
  <c r="B609" i="33"/>
  <c r="B610" i="33"/>
  <c r="B611" i="33"/>
  <c r="B612" i="33"/>
  <c r="B613" i="33"/>
  <c r="B614" i="33"/>
  <c r="B615" i="33"/>
  <c r="B616" i="33"/>
  <c r="B617" i="33"/>
  <c r="B618" i="33"/>
  <c r="B619" i="33"/>
  <c r="B620" i="33"/>
  <c r="B621" i="33"/>
  <c r="B622" i="33"/>
  <c r="B623" i="33"/>
  <c r="B624" i="33"/>
  <c r="B625" i="33"/>
  <c r="B626" i="33"/>
  <c r="B627" i="33"/>
  <c r="B628" i="33"/>
  <c r="B629" i="33"/>
  <c r="B630" i="33"/>
  <c r="B631" i="33"/>
  <c r="B632" i="33"/>
  <c r="B633" i="33"/>
  <c r="B634" i="33"/>
  <c r="B635" i="33"/>
  <c r="B636" i="33"/>
  <c r="B637" i="33"/>
  <c r="B638" i="33"/>
  <c r="B639" i="33"/>
  <c r="B640" i="33"/>
  <c r="B641" i="33"/>
  <c r="B642" i="33"/>
  <c r="B643" i="33"/>
  <c r="B644" i="33"/>
  <c r="B645" i="33"/>
  <c r="B646" i="33"/>
  <c r="B647" i="33"/>
  <c r="B648" i="33"/>
  <c r="B649" i="33"/>
  <c r="B650" i="33"/>
  <c r="B651" i="33"/>
  <c r="B652" i="33"/>
  <c r="B653" i="33"/>
  <c r="B654" i="33"/>
  <c r="B655" i="33"/>
  <c r="B656" i="33"/>
  <c r="B657" i="33"/>
  <c r="B658" i="33"/>
  <c r="B659" i="33"/>
  <c r="B660" i="33"/>
  <c r="B661" i="33"/>
  <c r="B662" i="33"/>
  <c r="B663" i="33"/>
  <c r="B664" i="33"/>
  <c r="B665" i="33"/>
  <c r="B666" i="33"/>
  <c r="B667" i="33"/>
  <c r="B668" i="33"/>
  <c r="B669" i="33"/>
  <c r="B670" i="33"/>
  <c r="B671" i="33"/>
  <c r="B672" i="33"/>
  <c r="B673" i="33"/>
  <c r="B674" i="33"/>
  <c r="B675" i="33"/>
  <c r="B676" i="33"/>
  <c r="B677" i="33"/>
  <c r="B678" i="33"/>
  <c r="B679" i="33"/>
  <c r="B680" i="33"/>
  <c r="B681" i="33"/>
  <c r="B682" i="33"/>
  <c r="B683" i="33"/>
  <c r="B684" i="33"/>
  <c r="B685" i="33"/>
  <c r="B686" i="33"/>
  <c r="B687" i="33"/>
  <c r="B688" i="33"/>
  <c r="B689" i="33"/>
  <c r="B690" i="33"/>
  <c r="B691" i="33"/>
  <c r="B692" i="33"/>
  <c r="B693" i="33"/>
  <c r="B694" i="33"/>
  <c r="B695" i="33"/>
  <c r="B696" i="33"/>
  <c r="B697" i="33"/>
  <c r="B698" i="33"/>
  <c r="B699" i="33"/>
  <c r="B700" i="33"/>
  <c r="B701" i="33"/>
  <c r="B702" i="33"/>
  <c r="B703" i="33"/>
  <c r="B704" i="33"/>
  <c r="B705" i="33"/>
  <c r="B706" i="33"/>
  <c r="B707" i="33"/>
  <c r="B708" i="33"/>
  <c r="B709" i="33"/>
  <c r="B710" i="33"/>
  <c r="B711" i="33"/>
  <c r="B712" i="33"/>
  <c r="B713" i="33"/>
  <c r="B714" i="33"/>
  <c r="B715" i="33"/>
  <c r="B716" i="33"/>
  <c r="B717" i="33"/>
  <c r="B718" i="33"/>
  <c r="B719" i="33"/>
  <c r="B720" i="33"/>
  <c r="B721" i="33"/>
  <c r="B722" i="33"/>
  <c r="B723" i="33"/>
  <c r="B724" i="33"/>
  <c r="B725" i="33"/>
  <c r="B726" i="33"/>
  <c r="B727" i="33"/>
  <c r="B728" i="33"/>
  <c r="B729" i="33"/>
  <c r="B730" i="33"/>
  <c r="B731" i="33"/>
  <c r="B732" i="33"/>
  <c r="B733" i="33"/>
  <c r="B734" i="33"/>
  <c r="B735" i="33"/>
  <c r="B736" i="33"/>
  <c r="B737" i="33"/>
  <c r="B738" i="33"/>
  <c r="B739" i="33"/>
  <c r="B740" i="33"/>
  <c r="B741" i="33"/>
  <c r="B742" i="33"/>
  <c r="B743" i="33"/>
  <c r="B744" i="33"/>
  <c r="B745" i="33"/>
  <c r="B746" i="33"/>
  <c r="B747" i="33"/>
  <c r="B748" i="33"/>
  <c r="B749" i="33"/>
  <c r="B750" i="33"/>
  <c r="B751" i="33"/>
  <c r="B752" i="33"/>
  <c r="B753" i="33"/>
  <c r="B754" i="33"/>
  <c r="B755" i="33"/>
  <c r="B756" i="33"/>
  <c r="B757" i="33"/>
  <c r="B758" i="33"/>
  <c r="B759" i="33"/>
  <c r="B760" i="33"/>
  <c r="B761" i="33"/>
  <c r="B762" i="33"/>
  <c r="B763" i="33"/>
  <c r="B764" i="33"/>
  <c r="B765" i="33"/>
  <c r="B766" i="33"/>
  <c r="B767" i="33"/>
  <c r="B768" i="33"/>
  <c r="B769" i="33"/>
  <c r="B770" i="33"/>
  <c r="B771" i="33"/>
  <c r="B772" i="33"/>
  <c r="B773" i="33"/>
  <c r="B774" i="33"/>
  <c r="B775" i="33"/>
  <c r="B776" i="33"/>
  <c r="B777" i="33"/>
  <c r="B778" i="33"/>
  <c r="B779" i="33"/>
  <c r="B780" i="33"/>
  <c r="B781" i="33"/>
  <c r="B782" i="33"/>
  <c r="B783" i="33"/>
  <c r="B784" i="33"/>
  <c r="B785" i="33"/>
  <c r="B786" i="33"/>
  <c r="B787" i="33"/>
  <c r="B788" i="33"/>
  <c r="B789" i="33"/>
  <c r="B790" i="33"/>
  <c r="B791" i="33"/>
  <c r="B792" i="33"/>
  <c r="B793" i="33"/>
  <c r="B434" i="33"/>
  <c r="B11" i="33"/>
  <c r="A11" i="33"/>
  <c r="B9" i="33"/>
  <c r="A9" i="33"/>
  <c r="A8" i="33"/>
  <c r="B8" i="33"/>
  <c r="R815" i="20" a="1"/>
  <c r="R814" i="20" a="1"/>
  <c r="T300" i="20" a="1"/>
  <c r="T301" i="20" a="1"/>
  <c r="T302" i="20" a="1"/>
  <c r="T299" i="20" a="1"/>
  <c r="R324" i="20" a="1"/>
  <c r="R323" i="20" a="1"/>
  <c r="R325" i="20" a="1"/>
  <c r="P516" i="20" a="1"/>
  <c r="R813" i="20" a="1"/>
  <c r="B102" i="46" l="1"/>
  <c r="B103" i="46" s="1"/>
  <c r="C109" i="46" s="1"/>
  <c r="C148" i="46" s="1"/>
  <c r="L653" i="45"/>
  <c r="L631" i="45"/>
  <c r="P609" i="45" s="1"/>
  <c r="C949" i="20" s="1"/>
  <c r="L651" i="45"/>
  <c r="L601" i="45"/>
  <c r="L626" i="45"/>
  <c r="L646" i="45"/>
  <c r="L630" i="45"/>
  <c r="L609" i="45"/>
  <c r="L624" i="45"/>
  <c r="L628" i="45"/>
  <c r="L607" i="45"/>
  <c r="L654" i="45"/>
  <c r="L627" i="45"/>
  <c r="L611" i="45"/>
  <c r="L610" i="45"/>
  <c r="L645" i="45"/>
  <c r="L602" i="45"/>
  <c r="L629" i="45"/>
  <c r="L655" i="45"/>
  <c r="L648" i="45"/>
  <c r="L632" i="45"/>
  <c r="L606" i="45"/>
  <c r="L647" i="45"/>
  <c r="L603" i="45"/>
  <c r="L652" i="45"/>
  <c r="L605" i="45"/>
  <c r="L625" i="45"/>
  <c r="L604" i="45"/>
  <c r="I550" i="20"/>
  <c r="J550" i="20" s="1"/>
  <c r="B90" i="46"/>
  <c r="B91" i="46" s="1"/>
  <c r="C108" i="46" s="1"/>
  <c r="L649" i="45"/>
  <c r="L623" i="45"/>
  <c r="P597" i="45"/>
  <c r="C933" i="20" s="1"/>
  <c r="L644" i="45"/>
  <c r="L608" i="45"/>
  <c r="P596" i="45"/>
  <c r="C932" i="20" s="1"/>
  <c r="L600" i="45"/>
  <c r="L622" i="45"/>
  <c r="L650" i="45"/>
  <c r="L633" i="45"/>
  <c r="L348" i="45"/>
  <c r="L323" i="45"/>
  <c r="L328" i="45"/>
  <c r="L347" i="45"/>
  <c r="L306" i="45"/>
  <c r="L307" i="45"/>
  <c r="L342" i="45"/>
  <c r="L299" i="45"/>
  <c r="L324" i="45"/>
  <c r="L322" i="45"/>
  <c r="L304" i="45"/>
  <c r="L346" i="45"/>
  <c r="L349" i="45"/>
  <c r="L303" i="45"/>
  <c r="L329" i="45"/>
  <c r="L321" i="45"/>
  <c r="L300" i="45"/>
  <c r="L305" i="45"/>
  <c r="L340" i="45"/>
  <c r="L320" i="45"/>
  <c r="L296" i="45"/>
  <c r="L326" i="45"/>
  <c r="L301" i="45"/>
  <c r="L341" i="45"/>
  <c r="L343" i="45"/>
  <c r="P292" i="45"/>
  <c r="C550" i="20" s="1"/>
  <c r="L297" i="45"/>
  <c r="L345" i="45"/>
  <c r="L350" i="45"/>
  <c r="L319" i="45"/>
  <c r="L302" i="45"/>
  <c r="L298" i="45"/>
  <c r="L327" i="45"/>
  <c r="L318" i="45"/>
  <c r="L344" i="45"/>
  <c r="L351" i="45"/>
  <c r="L325" i="45"/>
  <c r="N1520" i="42" a="1"/>
  <c r="N1520" i="42" s="1"/>
  <c r="Q1520" i="42" a="1"/>
  <c r="Q1520" i="42" s="1"/>
  <c r="P516" i="20"/>
  <c r="M742" i="20"/>
  <c r="M666" i="20"/>
  <c r="L666" i="20"/>
  <c r="AB301" i="20"/>
  <c r="AA301" i="20"/>
  <c r="T301" i="20"/>
  <c r="M628" i="20"/>
  <c r="AA300" i="20"/>
  <c r="M627" i="20"/>
  <c r="T300" i="20"/>
  <c r="M665" i="20"/>
  <c r="L665" i="20"/>
  <c r="AB300" i="20"/>
  <c r="L664" i="20"/>
  <c r="M626" i="20"/>
  <c r="T299" i="20"/>
  <c r="M664" i="20"/>
  <c r="AB299" i="20"/>
  <c r="AA299" i="20"/>
  <c r="R325" i="20"/>
  <c r="F589" i="20"/>
  <c r="W325" i="20"/>
  <c r="M629" i="20"/>
  <c r="T302" i="20"/>
  <c r="AA302" i="20"/>
  <c r="M667" i="20"/>
  <c r="L667" i="20"/>
  <c r="AB302" i="20"/>
  <c r="E553" i="20"/>
  <c r="W324" i="20"/>
  <c r="F587" i="20"/>
  <c r="R324" i="20"/>
  <c r="F553" i="20"/>
  <c r="F585" i="20"/>
  <c r="F588" i="20"/>
  <c r="E554" i="20"/>
  <c r="I554" i="20" s="1"/>
  <c r="E552" i="20"/>
  <c r="I552" i="20" s="1"/>
  <c r="F551" i="20"/>
  <c r="F552" i="20"/>
  <c r="F554" i="20"/>
  <c r="E551" i="20"/>
  <c r="R323" i="20"/>
  <c r="F586" i="20"/>
  <c r="W323" i="20"/>
  <c r="F935" i="20"/>
  <c r="F1007" i="20"/>
  <c r="E935" i="20"/>
  <c r="I935" i="20" s="1"/>
  <c r="R814" i="20"/>
  <c r="W814" i="20"/>
  <c r="F1005" i="20"/>
  <c r="F1006" i="20" s="1"/>
  <c r="F1008" i="20" s="1"/>
  <c r="R813" i="20"/>
  <c r="F933" i="20"/>
  <c r="E933" i="20"/>
  <c r="W813" i="20"/>
  <c r="F1009" i="20"/>
  <c r="R815" i="20"/>
  <c r="W815" i="20"/>
  <c r="C517" i="20"/>
  <c r="L741" i="20"/>
  <c r="R515" i="20"/>
  <c r="E584" i="20"/>
  <c r="I584" i="20" s="1"/>
  <c r="J584" i="20" s="1"/>
  <c r="V322" i="20"/>
  <c r="Z298" i="20"/>
  <c r="L625" i="20"/>
  <c r="E1004" i="20"/>
  <c r="I1004" i="20" s="1"/>
  <c r="J1004" i="20" s="1"/>
  <c r="V812" i="20"/>
  <c r="J932" i="20"/>
  <c r="P599" i="45"/>
  <c r="C935" i="20" s="1"/>
  <c r="P598" i="45"/>
  <c r="C934" i="20" s="1"/>
  <c r="P612" i="45"/>
  <c r="C936" i="20" s="1"/>
  <c r="I82" i="33"/>
  <c r="F81" i="33"/>
  <c r="F85" i="33"/>
  <c r="F89" i="33"/>
  <c r="F93" i="33"/>
  <c r="F97" i="33"/>
  <c r="F101" i="33"/>
  <c r="F105" i="33"/>
  <c r="F109" i="33"/>
  <c r="F113" i="33"/>
  <c r="F117" i="33"/>
  <c r="F121" i="33"/>
  <c r="F125" i="33"/>
  <c r="F129" i="33"/>
  <c r="F133" i="33"/>
  <c r="F137" i="33"/>
  <c r="F141" i="33"/>
  <c r="F145" i="33"/>
  <c r="F149" i="33"/>
  <c r="F153" i="33"/>
  <c r="F157" i="33"/>
  <c r="F161" i="33"/>
  <c r="F165" i="33"/>
  <c r="F169" i="33"/>
  <c r="F173" i="33"/>
  <c r="F177" i="33"/>
  <c r="F181" i="33"/>
  <c r="F185" i="33"/>
  <c r="F189" i="33"/>
  <c r="F193" i="33"/>
  <c r="F197" i="33"/>
  <c r="F201" i="33"/>
  <c r="F205" i="33"/>
  <c r="F209" i="33"/>
  <c r="F213" i="33"/>
  <c r="F217" i="33"/>
  <c r="F221" i="33"/>
  <c r="F225" i="33"/>
  <c r="F229" i="33"/>
  <c r="F233" i="33"/>
  <c r="F237" i="33"/>
  <c r="F241" i="33"/>
  <c r="F245" i="33"/>
  <c r="F249" i="33"/>
  <c r="F253" i="33"/>
  <c r="F257" i="33"/>
  <c r="F261" i="33"/>
  <c r="F265" i="33"/>
  <c r="F269" i="33"/>
  <c r="F273" i="33"/>
  <c r="F277" i="33"/>
  <c r="F281" i="33"/>
  <c r="F285" i="33"/>
  <c r="F289" i="33"/>
  <c r="F293" i="33"/>
  <c r="F297" i="33"/>
  <c r="F301" i="33"/>
  <c r="F305" i="33"/>
  <c r="F309" i="33"/>
  <c r="F313" i="33"/>
  <c r="F317" i="33"/>
  <c r="F321" i="33"/>
  <c r="F325" i="33"/>
  <c r="F329" i="33"/>
  <c r="F333" i="33"/>
  <c r="F337" i="33"/>
  <c r="F341" i="33"/>
  <c r="F345" i="33"/>
  <c r="F349" i="33"/>
  <c r="F353" i="33"/>
  <c r="F357" i="33"/>
  <c r="F361" i="33"/>
  <c r="F365" i="33"/>
  <c r="F369" i="33"/>
  <c r="F373" i="33"/>
  <c r="F377" i="33"/>
  <c r="F381" i="33"/>
  <c r="F385" i="33"/>
  <c r="F389" i="33"/>
  <c r="F393" i="33"/>
  <c r="F397" i="33"/>
  <c r="F401" i="33"/>
  <c r="F405" i="33"/>
  <c r="F409" i="33"/>
  <c r="F413" i="33"/>
  <c r="F79" i="33"/>
  <c r="F80" i="33"/>
  <c r="F84" i="33"/>
  <c r="F88" i="33"/>
  <c r="F92" i="33"/>
  <c r="F96" i="33"/>
  <c r="F100" i="33"/>
  <c r="F104" i="33"/>
  <c r="F108" i="33"/>
  <c r="F112" i="33"/>
  <c r="F116" i="33"/>
  <c r="F120" i="33"/>
  <c r="F124" i="33"/>
  <c r="F128" i="33"/>
  <c r="F132" i="33"/>
  <c r="F136" i="33"/>
  <c r="F140" i="33"/>
  <c r="F144" i="33"/>
  <c r="F148" i="33"/>
  <c r="F152" i="33"/>
  <c r="F156" i="33"/>
  <c r="F160" i="33"/>
  <c r="F164" i="33"/>
  <c r="F168" i="33"/>
  <c r="F172" i="33"/>
  <c r="F176" i="33"/>
  <c r="F180" i="33"/>
  <c r="F184" i="33"/>
  <c r="F188" i="33"/>
  <c r="F192" i="33"/>
  <c r="F196" i="33"/>
  <c r="F200" i="33"/>
  <c r="F204" i="33"/>
  <c r="F208" i="33"/>
  <c r="F212" i="33"/>
  <c r="F216" i="33"/>
  <c r="F220" i="33"/>
  <c r="F224" i="33"/>
  <c r="F228" i="33"/>
  <c r="F232" i="33"/>
  <c r="F236" i="33"/>
  <c r="F240" i="33"/>
  <c r="F244" i="33"/>
  <c r="F248" i="33"/>
  <c r="F252" i="33"/>
  <c r="F256" i="33"/>
  <c r="F260" i="33"/>
  <c r="F264" i="33"/>
  <c r="F268" i="33"/>
  <c r="F272" i="33"/>
  <c r="F276" i="33"/>
  <c r="F280" i="33"/>
  <c r="F284" i="33"/>
  <c r="F288" i="33"/>
  <c r="F292" i="33"/>
  <c r="F296" i="33"/>
  <c r="F300" i="33"/>
  <c r="F304" i="33"/>
  <c r="F308" i="33"/>
  <c r="F312" i="33"/>
  <c r="F316" i="33"/>
  <c r="F320" i="33"/>
  <c r="F324" i="33"/>
  <c r="F328" i="33"/>
  <c r="F332" i="33"/>
  <c r="F336" i="33"/>
  <c r="F340" i="33"/>
  <c r="F344" i="33"/>
  <c r="F348" i="33"/>
  <c r="F352" i="33"/>
  <c r="F356" i="33"/>
  <c r="F360" i="33"/>
  <c r="F364" i="33"/>
  <c r="F368" i="33"/>
  <c r="F372" i="33"/>
  <c r="F376" i="33"/>
  <c r="F380" i="33"/>
  <c r="F384" i="33"/>
  <c r="F388" i="33"/>
  <c r="F392" i="33"/>
  <c r="F396" i="33"/>
  <c r="F400" i="33"/>
  <c r="F404" i="33"/>
  <c r="F408" i="33"/>
  <c r="F412" i="33"/>
  <c r="F87" i="33"/>
  <c r="F95" i="33"/>
  <c r="F103" i="33"/>
  <c r="F111" i="33"/>
  <c r="F119" i="33"/>
  <c r="F127" i="33"/>
  <c r="F135" i="33"/>
  <c r="F143" i="33"/>
  <c r="F151" i="33"/>
  <c r="F159" i="33"/>
  <c r="F167" i="33"/>
  <c r="F175" i="33"/>
  <c r="F183" i="33"/>
  <c r="F191" i="33"/>
  <c r="F199" i="33"/>
  <c r="F207" i="33"/>
  <c r="F215" i="33"/>
  <c r="F223" i="33"/>
  <c r="F231" i="33"/>
  <c r="F239" i="33"/>
  <c r="F247" i="33"/>
  <c r="F255" i="33"/>
  <c r="F263" i="33"/>
  <c r="F271" i="33"/>
  <c r="F279" i="33"/>
  <c r="F287" i="33"/>
  <c r="F295" i="33"/>
  <c r="F303" i="33"/>
  <c r="F311" i="33"/>
  <c r="F319" i="33"/>
  <c r="F327" i="33"/>
  <c r="F335" i="33"/>
  <c r="F343" i="33"/>
  <c r="F351" i="33"/>
  <c r="F359" i="33"/>
  <c r="F367" i="33"/>
  <c r="F375" i="33"/>
  <c r="F383" i="33"/>
  <c r="F391" i="33"/>
  <c r="F399" i="33"/>
  <c r="F407" i="33"/>
  <c r="F78" i="33"/>
  <c r="F91" i="33"/>
  <c r="F107" i="33"/>
  <c r="F123" i="33"/>
  <c r="F139" i="33"/>
  <c r="F155" i="33"/>
  <c r="F171" i="33"/>
  <c r="F187" i="33"/>
  <c r="F195" i="33"/>
  <c r="F211" i="33"/>
  <c r="F227" i="33"/>
  <c r="F243" i="33"/>
  <c r="F251" i="33"/>
  <c r="F267" i="33"/>
  <c r="F283" i="33"/>
  <c r="F299" i="33"/>
  <c r="F307" i="33"/>
  <c r="F323" i="33"/>
  <c r="F339" i="33"/>
  <c r="F355" i="33"/>
  <c r="F371" i="33"/>
  <c r="F387" i="33"/>
  <c r="F403" i="33"/>
  <c r="F86" i="33"/>
  <c r="F102" i="33"/>
  <c r="F110" i="33"/>
  <c r="F126" i="33"/>
  <c r="F142" i="33"/>
  <c r="F158" i="33"/>
  <c r="F174" i="33"/>
  <c r="F182" i="33"/>
  <c r="F198" i="33"/>
  <c r="F214" i="33"/>
  <c r="F230" i="33"/>
  <c r="F246" i="33"/>
  <c r="F262" i="33"/>
  <c r="F270" i="33"/>
  <c r="F286" i="33"/>
  <c r="F302" i="33"/>
  <c r="F318" i="33"/>
  <c r="F334" i="33"/>
  <c r="F342" i="33"/>
  <c r="F358" i="33"/>
  <c r="F374" i="33"/>
  <c r="F82" i="33"/>
  <c r="F90" i="33"/>
  <c r="F98" i="33"/>
  <c r="F106" i="33"/>
  <c r="F114" i="33"/>
  <c r="F122" i="33"/>
  <c r="F130" i="33"/>
  <c r="F138" i="33"/>
  <c r="F146" i="33"/>
  <c r="F154" i="33"/>
  <c r="F162" i="33"/>
  <c r="F170" i="33"/>
  <c r="F178" i="33"/>
  <c r="F186" i="33"/>
  <c r="F194" i="33"/>
  <c r="F202" i="33"/>
  <c r="F210" i="33"/>
  <c r="F218" i="33"/>
  <c r="F226" i="33"/>
  <c r="F234" i="33"/>
  <c r="F242" i="33"/>
  <c r="F250" i="33"/>
  <c r="F258" i="33"/>
  <c r="F266" i="33"/>
  <c r="F274" i="33"/>
  <c r="F282" i="33"/>
  <c r="F290" i="33"/>
  <c r="F298" i="33"/>
  <c r="F306" i="33"/>
  <c r="F314" i="33"/>
  <c r="F322" i="33"/>
  <c r="F330" i="33"/>
  <c r="F338" i="33"/>
  <c r="F346" i="33"/>
  <c r="F354" i="33"/>
  <c r="F362" i="33"/>
  <c r="F370" i="33"/>
  <c r="F378" i="33"/>
  <c r="F386" i="33"/>
  <c r="F394" i="33"/>
  <c r="F402" i="33"/>
  <c r="F410" i="33"/>
  <c r="F83" i="33"/>
  <c r="F99" i="33"/>
  <c r="F115" i="33"/>
  <c r="F131" i="33"/>
  <c r="F147" i="33"/>
  <c r="F163" i="33"/>
  <c r="F179" i="33"/>
  <c r="F203" i="33"/>
  <c r="F219" i="33"/>
  <c r="F235" i="33"/>
  <c r="F259" i="33"/>
  <c r="F275" i="33"/>
  <c r="F291" i="33"/>
  <c r="F315" i="33"/>
  <c r="F331" i="33"/>
  <c r="F347" i="33"/>
  <c r="F363" i="33"/>
  <c r="F379" i="33"/>
  <c r="F395" i="33"/>
  <c r="F411" i="33"/>
  <c r="F94" i="33"/>
  <c r="F118" i="33"/>
  <c r="F134" i="33"/>
  <c r="F150" i="33"/>
  <c r="F166" i="33"/>
  <c r="F190" i="33"/>
  <c r="F206" i="33"/>
  <c r="F222" i="33"/>
  <c r="F238" i="33"/>
  <c r="F254" i="33"/>
  <c r="F278" i="33"/>
  <c r="F294" i="33"/>
  <c r="F310" i="33"/>
  <c r="F326" i="33"/>
  <c r="F350" i="33"/>
  <c r="F366" i="33"/>
  <c r="F406" i="33"/>
  <c r="F382" i="33"/>
  <c r="F414" i="33"/>
  <c r="F390" i="33"/>
  <c r="F398" i="33"/>
  <c r="H571" i="42"/>
  <c r="H554" i="42"/>
  <c r="J534" i="42"/>
  <c r="J535" i="42"/>
  <c r="J211" i="42"/>
  <c r="K211" i="42" s="1"/>
  <c r="L207" i="42"/>
  <c r="C796" i="33"/>
  <c r="J212" i="42"/>
  <c r="K212" i="42" s="1"/>
  <c r="J213" i="42"/>
  <c r="K213" i="42" s="1"/>
  <c r="L206" i="42"/>
  <c r="L205" i="42"/>
  <c r="H410" i="42"/>
  <c r="H405" i="42"/>
  <c r="H409" i="42"/>
  <c r="H413" i="42"/>
  <c r="H422" i="42"/>
  <c r="H424" i="42"/>
  <c r="H426" i="42"/>
  <c r="H428" i="42"/>
  <c r="H430" i="42"/>
  <c r="H406" i="42"/>
  <c r="H421" i="42"/>
  <c r="H425" i="42"/>
  <c r="H429" i="42"/>
  <c r="H403" i="42"/>
  <c r="H407" i="42"/>
  <c r="H411" i="42"/>
  <c r="H423" i="42"/>
  <c r="H427" i="42"/>
  <c r="H431" i="42"/>
  <c r="H404" i="42"/>
  <c r="H408" i="42"/>
  <c r="H412" i="42"/>
  <c r="H420" i="42"/>
  <c r="H390" i="42"/>
  <c r="H402" i="42"/>
  <c r="H388" i="42"/>
  <c r="H385" i="42"/>
  <c r="H389" i="42"/>
  <c r="H393" i="42"/>
  <c r="H386" i="42"/>
  <c r="H394" i="42"/>
  <c r="H387" i="42"/>
  <c r="H391" i="42"/>
  <c r="H395" i="42"/>
  <c r="H392" i="42"/>
  <c r="E374" i="42"/>
  <c r="H384" i="42"/>
  <c r="J363" i="42"/>
  <c r="J367" i="42"/>
  <c r="J371" i="42"/>
  <c r="J364" i="42"/>
  <c r="J368" i="42"/>
  <c r="J372" i="42"/>
  <c r="J365" i="42"/>
  <c r="J373" i="42"/>
  <c r="J369" i="42"/>
  <c r="J366" i="42"/>
  <c r="J370" i="42"/>
  <c r="B65" i="33"/>
  <c r="B64" i="33"/>
  <c r="B63" i="33"/>
  <c r="B62" i="33"/>
  <c r="B61" i="33"/>
  <c r="B60" i="33"/>
  <c r="B59" i="33"/>
  <c r="B58" i="33"/>
  <c r="B57" i="33"/>
  <c r="B56" i="33"/>
  <c r="B7" i="33"/>
  <c r="A7" i="33"/>
  <c r="B38" i="33"/>
  <c r="A25" i="44" s="1"/>
  <c r="B37" i="33"/>
  <c r="A24" i="44" s="1"/>
  <c r="B6" i="33"/>
  <c r="A6" i="33"/>
  <c r="B31" i="33"/>
  <c r="B17" i="33"/>
  <c r="L673" i="20" a="1"/>
  <c r="P679" i="20" a="1"/>
  <c r="L672" i="20" a="1"/>
  <c r="L676" i="20" a="1"/>
  <c r="U672" i="20" a="1"/>
  <c r="U675" i="20" a="1"/>
  <c r="U679" i="20" a="1"/>
  <c r="P671" i="20" a="1"/>
  <c r="U671" i="20" a="1"/>
  <c r="L677" i="20" a="1"/>
  <c r="L679" i="20" a="1"/>
  <c r="P668" i="20" a="1"/>
  <c r="P673" i="20" a="1"/>
  <c r="U668" i="20" a="1"/>
  <c r="U674" i="20" a="1"/>
  <c r="U673" i="20" a="1"/>
  <c r="L671" i="20" a="1"/>
  <c r="P676" i="20" a="1"/>
  <c r="P674" i="20" a="1"/>
  <c r="L669" i="20" a="1"/>
  <c r="U676" i="20" a="1"/>
  <c r="P670" i="20" a="1"/>
  <c r="U669" i="20" a="1"/>
  <c r="U677" i="20" a="1"/>
  <c r="L674" i="20" a="1"/>
  <c r="P672" i="20" a="1"/>
  <c r="L670" i="20" a="1"/>
  <c r="P517" i="20" a="1"/>
  <c r="L675" i="20" a="1"/>
  <c r="P678" i="20" a="1"/>
  <c r="U670" i="20" a="1"/>
  <c r="P677" i="20" a="1"/>
  <c r="L678" i="20" a="1"/>
  <c r="P669" i="20" a="1"/>
  <c r="U678" i="20" a="1"/>
  <c r="L668" i="20" a="1"/>
  <c r="P675" i="20" a="1"/>
  <c r="P610" i="45" l="1"/>
  <c r="C950" i="20" s="1"/>
  <c r="P607" i="45"/>
  <c r="C947" i="20" s="1"/>
  <c r="P605" i="45"/>
  <c r="C945" i="20" s="1"/>
  <c r="P602" i="45"/>
  <c r="C942" i="20" s="1"/>
  <c r="P604" i="45"/>
  <c r="C944" i="20" s="1"/>
  <c r="P603" i="45"/>
  <c r="C943" i="20" s="1"/>
  <c r="E148" i="46"/>
  <c r="D156" i="46"/>
  <c r="P601" i="45"/>
  <c r="C941" i="20" s="1"/>
  <c r="P611" i="45"/>
  <c r="C951" i="20" s="1"/>
  <c r="P606" i="45"/>
  <c r="C946" i="20" s="1"/>
  <c r="P608" i="45"/>
  <c r="C948" i="20" s="1"/>
  <c r="I551" i="20"/>
  <c r="J551" i="20" s="1"/>
  <c r="I553" i="20"/>
  <c r="J553" i="20" s="1"/>
  <c r="P600" i="45"/>
  <c r="C940" i="20" s="1"/>
  <c r="P301" i="45"/>
  <c r="C563" i="20" s="1"/>
  <c r="P303" i="45"/>
  <c r="C565" i="20" s="1"/>
  <c r="P304" i="45"/>
  <c r="C566" i="20" s="1"/>
  <c r="P299" i="45"/>
  <c r="C561" i="20" s="1"/>
  <c r="P307" i="45"/>
  <c r="C569" i="20" s="1"/>
  <c r="P306" i="45"/>
  <c r="C568" i="20" s="1"/>
  <c r="P295" i="45"/>
  <c r="C553" i="20" s="1"/>
  <c r="P302" i="45"/>
  <c r="C564" i="20" s="1"/>
  <c r="P308" i="45"/>
  <c r="C554" i="20" s="1"/>
  <c r="P298" i="45"/>
  <c r="C560" i="20" s="1"/>
  <c r="P296" i="45"/>
  <c r="C558" i="20" s="1" a="1"/>
  <c r="C558" i="20" s="1"/>
  <c r="P294" i="45"/>
  <c r="C552" i="20" s="1"/>
  <c r="P305" i="45"/>
  <c r="C567" i="20" s="1"/>
  <c r="P297" i="45"/>
  <c r="C559" i="20" s="1"/>
  <c r="P300" i="45"/>
  <c r="C562" i="20" s="1"/>
  <c r="P293" i="45"/>
  <c r="C551" i="20" s="1"/>
  <c r="A129" i="44"/>
  <c r="A171" i="44" s="1"/>
  <c r="A203" i="44" s="1"/>
  <c r="A272" i="44"/>
  <c r="A314" i="44" s="1"/>
  <c r="A346" i="44" s="1"/>
  <c r="A415" i="44"/>
  <c r="A462" i="44" s="1"/>
  <c r="A494" i="44" s="1"/>
  <c r="A570" i="44"/>
  <c r="A612" i="44" s="1"/>
  <c r="A644" i="44" s="1"/>
  <c r="A130" i="44"/>
  <c r="A172" i="44" s="1"/>
  <c r="A204" i="44" s="1"/>
  <c r="A273" i="44"/>
  <c r="A315" i="44" s="1"/>
  <c r="A347" i="44" s="1"/>
  <c r="A416" i="44"/>
  <c r="A463" i="44" s="1"/>
  <c r="A495" i="44" s="1"/>
  <c r="A571" i="44"/>
  <c r="A613" i="44" s="1"/>
  <c r="A645" i="44" s="1"/>
  <c r="B1530" i="42"/>
  <c r="C1530" i="42" s="1"/>
  <c r="C1267" i="20"/>
  <c r="C1262" i="20"/>
  <c r="C1260" i="20"/>
  <c r="C1269" i="20"/>
  <c r="C1263" i="20"/>
  <c r="C1261" i="20"/>
  <c r="C1266" i="20"/>
  <c r="C1268" i="20"/>
  <c r="C1264" i="20"/>
  <c r="C1265" i="20"/>
  <c r="J552" i="20"/>
  <c r="J935" i="20"/>
  <c r="O675" i="20"/>
  <c r="O674" i="20"/>
  <c r="E684" i="20"/>
  <c r="L679" i="20"/>
  <c r="T679" i="20"/>
  <c r="L672" i="20"/>
  <c r="T672" i="20"/>
  <c r="T676" i="20"/>
  <c r="L676" i="20"/>
  <c r="U668" i="20"/>
  <c r="T670" i="20"/>
  <c r="L670" i="20"/>
  <c r="L673" i="20"/>
  <c r="T673" i="20"/>
  <c r="L671" i="20"/>
  <c r="T671" i="20"/>
  <c r="L669" i="20"/>
  <c r="T669" i="20"/>
  <c r="T677" i="20"/>
  <c r="L677" i="20"/>
  <c r="T678" i="20"/>
  <c r="L678" i="20"/>
  <c r="E683" i="20"/>
  <c r="L675" i="20"/>
  <c r="T675" i="20"/>
  <c r="L674" i="20"/>
  <c r="T674" i="20"/>
  <c r="U673" i="20"/>
  <c r="U670" i="20"/>
  <c r="U669" i="20"/>
  <c r="U674" i="20"/>
  <c r="U677" i="20"/>
  <c r="U672" i="20"/>
  <c r="U676" i="20"/>
  <c r="U671" i="20"/>
  <c r="U675" i="20"/>
  <c r="U679" i="20"/>
  <c r="U678" i="20"/>
  <c r="L668" i="20"/>
  <c r="T668" i="20"/>
  <c r="P517" i="20"/>
  <c r="M743" i="20"/>
  <c r="P674" i="20"/>
  <c r="R674" i="20" s="1"/>
  <c r="P671" i="20"/>
  <c r="R671" i="20" s="1"/>
  <c r="P679" i="20"/>
  <c r="R679" i="20" s="1"/>
  <c r="P676" i="20"/>
  <c r="R676" i="20" s="1"/>
  <c r="P678" i="20"/>
  <c r="R678" i="20" s="1"/>
  <c r="P675" i="20"/>
  <c r="R675" i="20" s="1"/>
  <c r="P669" i="20"/>
  <c r="R669" i="20" s="1"/>
  <c r="P673" i="20"/>
  <c r="R673" i="20" s="1"/>
  <c r="P672" i="20"/>
  <c r="R672" i="20" s="1"/>
  <c r="P677" i="20"/>
  <c r="R677" i="20" s="1"/>
  <c r="P670" i="20"/>
  <c r="R670" i="20" s="1"/>
  <c r="P668" i="20"/>
  <c r="R668" i="20" s="1"/>
  <c r="O679" i="20"/>
  <c r="E1007" i="20"/>
  <c r="I1007" i="20" s="1"/>
  <c r="J1007" i="20" s="1"/>
  <c r="V814" i="20"/>
  <c r="L626" i="20"/>
  <c r="Z299" i="20"/>
  <c r="V324" i="20"/>
  <c r="E587" i="20"/>
  <c r="I587" i="20" s="1"/>
  <c r="J587" i="20" s="1"/>
  <c r="O673" i="20"/>
  <c r="R516" i="20"/>
  <c r="L742" i="20"/>
  <c r="O677" i="20"/>
  <c r="O678" i="20"/>
  <c r="C518" i="20"/>
  <c r="V323" i="20"/>
  <c r="E588" i="20"/>
  <c r="I588" i="20" s="1"/>
  <c r="J588" i="20" s="1"/>
  <c r="E586" i="20"/>
  <c r="I586" i="20" s="1"/>
  <c r="J586" i="20" s="1"/>
  <c r="E585" i="20"/>
  <c r="I585" i="20" s="1"/>
  <c r="J585" i="20" s="1"/>
  <c r="Z300" i="20"/>
  <c r="L627" i="20"/>
  <c r="O671" i="20"/>
  <c r="O676" i="20"/>
  <c r="E1009" i="20"/>
  <c r="I1009" i="20" s="1"/>
  <c r="V815" i="20"/>
  <c r="Z302" i="20"/>
  <c r="L629" i="20"/>
  <c r="O669" i="20"/>
  <c r="O668" i="20"/>
  <c r="Z301" i="20"/>
  <c r="L628" i="20"/>
  <c r="O670" i="20"/>
  <c r="I933" i="20"/>
  <c r="J933" i="20" s="1"/>
  <c r="E934" i="20"/>
  <c r="I934" i="20" s="1"/>
  <c r="E936" i="20"/>
  <c r="I936" i="20" s="1"/>
  <c r="O672" i="20"/>
  <c r="F934" i="20"/>
  <c r="F936" i="20"/>
  <c r="J554" i="20"/>
  <c r="V325" i="20"/>
  <c r="E589" i="20"/>
  <c r="I589" i="20" s="1"/>
  <c r="E1005" i="20"/>
  <c r="V813" i="20"/>
  <c r="J536" i="42"/>
  <c r="I85" i="33"/>
  <c r="I86" i="33" s="1"/>
  <c r="I90" i="33" s="1"/>
  <c r="I88" i="33"/>
  <c r="D211" i="42"/>
  <c r="D209" i="42"/>
  <c r="D210" i="42" s="1"/>
  <c r="K405" i="42"/>
  <c r="D442" i="42" s="1"/>
  <c r="L213" i="42"/>
  <c r="L211" i="42"/>
  <c r="L212" i="42"/>
  <c r="K423" i="42"/>
  <c r="E442" i="42" s="1"/>
  <c r="K406" i="42"/>
  <c r="D443" i="42" s="1"/>
  <c r="K384" i="42"/>
  <c r="C439" i="42" s="1"/>
  <c r="K404" i="42"/>
  <c r="D441" i="42" s="1"/>
  <c r="K402" i="42"/>
  <c r="D439" i="42" s="1"/>
  <c r="K403" i="42"/>
  <c r="D440" i="42" s="1"/>
  <c r="K422" i="42"/>
  <c r="E441" i="42" s="1"/>
  <c r="K421" i="42"/>
  <c r="E440" i="42" s="1"/>
  <c r="K424" i="42"/>
  <c r="E443" i="42" s="1"/>
  <c r="M366" i="42"/>
  <c r="B442" i="42" s="1"/>
  <c r="K385" i="42"/>
  <c r="C440" i="42" s="1"/>
  <c r="K386" i="42"/>
  <c r="C441" i="42" s="1"/>
  <c r="M364" i="42"/>
  <c r="B440" i="42" s="1"/>
  <c r="M367" i="42"/>
  <c r="B443" i="42" s="1"/>
  <c r="K420" i="42"/>
  <c r="E439" i="42" s="1"/>
  <c r="M365" i="42"/>
  <c r="B441" i="42" s="1"/>
  <c r="M363" i="42"/>
  <c r="B439" i="42" s="1"/>
  <c r="K387" i="42"/>
  <c r="C442" i="42" s="1"/>
  <c r="K388" i="42"/>
  <c r="C443" i="42" s="1"/>
  <c r="B40" i="33"/>
  <c r="A27" i="44" s="1"/>
  <c r="B39" i="33"/>
  <c r="A26" i="44" s="1"/>
  <c r="A15" i="42"/>
  <c r="B15" i="42"/>
  <c r="A14" i="42"/>
  <c r="B14" i="42"/>
  <c r="G336" i="42"/>
  <c r="F336" i="42"/>
  <c r="G335" i="42"/>
  <c r="F335" i="42"/>
  <c r="A329" i="42"/>
  <c r="A97" i="42"/>
  <c r="G314" i="42"/>
  <c r="A318" i="42" s="1"/>
  <c r="F312" i="42"/>
  <c r="E312" i="42"/>
  <c r="F311" i="42"/>
  <c r="E311" i="42"/>
  <c r="F310" i="42"/>
  <c r="E310" i="42"/>
  <c r="F309" i="42"/>
  <c r="E309" i="42"/>
  <c r="F308" i="42"/>
  <c r="E308" i="42"/>
  <c r="F307" i="42"/>
  <c r="E307" i="42"/>
  <c r="F306" i="42"/>
  <c r="E306" i="42"/>
  <c r="A13" i="42"/>
  <c r="B13" i="42"/>
  <c r="M562" i="20" a="1"/>
  <c r="M560" i="20" a="1"/>
  <c r="L558" i="20"/>
  <c r="P640" i="20" a="1"/>
  <c r="I945" i="20" a="1"/>
  <c r="I593" i="20" a="1"/>
  <c r="I946" i="20" a="1"/>
  <c r="I563" i="20" a="1"/>
  <c r="I559" i="20" a="1"/>
  <c r="L596" i="20"/>
  <c r="I566" i="20" a="1"/>
  <c r="I562" i="20" a="1"/>
  <c r="L568" i="20"/>
  <c r="L640" i="20" a="1"/>
  <c r="L597" i="20"/>
  <c r="I600" i="20" a="1"/>
  <c r="L940" i="20"/>
  <c r="U640" i="20" a="1"/>
  <c r="L599" i="20"/>
  <c r="I598" i="20" a="1"/>
  <c r="L948" i="20"/>
  <c r="M564" i="20" a="1"/>
  <c r="L944" i="20"/>
  <c r="L595" i="20"/>
  <c r="L949" i="20"/>
  <c r="M568" i="20" a="1"/>
  <c r="L564" i="20"/>
  <c r="I942" i="20" a="1"/>
  <c r="I940" i="20" a="1"/>
  <c r="I947" i="20" a="1"/>
  <c r="I949" i="20" a="1"/>
  <c r="I568" i="20" a="1"/>
  <c r="I594" i="20" a="1"/>
  <c r="I944" i="20" a="1"/>
  <c r="I941" i="20" a="1"/>
  <c r="L561" i="20"/>
  <c r="L947" i="20"/>
  <c r="L951" i="20"/>
  <c r="L950" i="20"/>
  <c r="I599" i="20" a="1"/>
  <c r="L946" i="20"/>
  <c r="L567" i="20"/>
  <c r="L602" i="20"/>
  <c r="L562" i="20"/>
  <c r="L603" i="20"/>
  <c r="M561" i="20" a="1"/>
  <c r="I602" i="20" a="1"/>
  <c r="I950" i="20" a="1"/>
  <c r="I595" i="20" a="1"/>
  <c r="P518" i="20" a="1"/>
  <c r="L563" i="20"/>
  <c r="I601" i="20" a="1"/>
  <c r="L559" i="20"/>
  <c r="M566" i="20" a="1"/>
  <c r="I565" i="20" a="1"/>
  <c r="I596" i="20" a="1"/>
  <c r="I943" i="20" a="1"/>
  <c r="M559" i="20" a="1"/>
  <c r="M567" i="20" a="1"/>
  <c r="M569" i="20" a="1"/>
  <c r="I569" i="20" a="1"/>
  <c r="I597" i="20" a="1"/>
  <c r="L566" i="20"/>
  <c r="I567" i="20" a="1"/>
  <c r="I561" i="20" a="1"/>
  <c r="I560" i="20" a="1"/>
  <c r="L601" i="20"/>
  <c r="L593" i="20"/>
  <c r="I564" i="20" a="1"/>
  <c r="I558" i="20" a="1"/>
  <c r="M558" i="20" a="1"/>
  <c r="L943" i="20"/>
  <c r="L942" i="20"/>
  <c r="L600" i="20"/>
  <c r="L594" i="20"/>
  <c r="L565" i="20"/>
  <c r="I951" i="20" a="1"/>
  <c r="M565" i="20" a="1"/>
  <c r="L598" i="20"/>
  <c r="L941" i="20"/>
  <c r="L569" i="20"/>
  <c r="M563" i="20" a="1"/>
  <c r="I948" i="20" a="1"/>
  <c r="L560" i="20"/>
  <c r="L945" i="20"/>
  <c r="I603" i="20" a="1"/>
  <c r="C1239" i="20" l="1"/>
  <c r="I1239" i="20" s="1"/>
  <c r="I563" i="20"/>
  <c r="K563" i="20" s="1"/>
  <c r="E575" i="20"/>
  <c r="I569" i="20"/>
  <c r="K569" i="20" s="1"/>
  <c r="C1237" i="20"/>
  <c r="I1237" i="20" s="1"/>
  <c r="I561" i="20"/>
  <c r="K561" i="20" s="1"/>
  <c r="C1242" i="20"/>
  <c r="I1242" i="20" s="1"/>
  <c r="I566" i="20"/>
  <c r="K566" i="20" s="1"/>
  <c r="I565" i="20"/>
  <c r="K565" i="20" s="1"/>
  <c r="C1241" i="20"/>
  <c r="I1241" i="20" s="1"/>
  <c r="I564" i="20"/>
  <c r="K564" i="20" s="1"/>
  <c r="C1240" i="20"/>
  <c r="I1240" i="20" s="1"/>
  <c r="E574" i="20"/>
  <c r="I568" i="20"/>
  <c r="K568" i="20" s="1"/>
  <c r="I562" i="20"/>
  <c r="B1238" i="20" s="1"/>
  <c r="H1238" i="20" s="1"/>
  <c r="C1238" i="20"/>
  <c r="I1238" i="20" s="1"/>
  <c r="I567" i="20"/>
  <c r="K567" i="20" s="1"/>
  <c r="I559" i="20"/>
  <c r="C1235" i="20"/>
  <c r="I1235" i="20" s="1"/>
  <c r="N558" i="20"/>
  <c r="M558" i="20"/>
  <c r="I558" i="20"/>
  <c r="I560" i="20"/>
  <c r="K560" i="20" s="1"/>
  <c r="C1236" i="20"/>
  <c r="I1236" i="20" s="1"/>
  <c r="A572" i="44"/>
  <c r="A614" i="44" s="1"/>
  <c r="A646" i="44" s="1"/>
  <c r="A131" i="44"/>
  <c r="A173" i="44" s="1"/>
  <c r="A205" i="44" s="1"/>
  <c r="A274" i="44"/>
  <c r="A316" i="44" s="1"/>
  <c r="A348" i="44" s="1"/>
  <c r="A417" i="44"/>
  <c r="A464" i="44" s="1"/>
  <c r="A496" i="44" s="1"/>
  <c r="A418" i="44"/>
  <c r="A465" i="44" s="1"/>
  <c r="A497" i="44" s="1"/>
  <c r="A573" i="44"/>
  <c r="A615" i="44" s="1"/>
  <c r="A647" i="44" s="1"/>
  <c r="A132" i="44"/>
  <c r="A174" i="44" s="1"/>
  <c r="A206" i="44" s="1"/>
  <c r="A275" i="44"/>
  <c r="A317" i="44" s="1"/>
  <c r="A349" i="44" s="1"/>
  <c r="I1267" i="20"/>
  <c r="C1324" i="20"/>
  <c r="I1324" i="20" s="1"/>
  <c r="I1269" i="20"/>
  <c r="C1326" i="20"/>
  <c r="I1326" i="20" s="1"/>
  <c r="I1260" i="20"/>
  <c r="C1317" i="20"/>
  <c r="I1317" i="20" s="1"/>
  <c r="I1265" i="20"/>
  <c r="C1322" i="20"/>
  <c r="I1322" i="20" s="1"/>
  <c r="I1264" i="20"/>
  <c r="C1321" i="20"/>
  <c r="I1321" i="20" s="1"/>
  <c r="I1268" i="20"/>
  <c r="C1325" i="20"/>
  <c r="I1325" i="20" s="1"/>
  <c r="I1266" i="20"/>
  <c r="C1323" i="20"/>
  <c r="I1323" i="20" s="1"/>
  <c r="I1261" i="20"/>
  <c r="C1318" i="20"/>
  <c r="I1318" i="20" s="1"/>
  <c r="I1263" i="20"/>
  <c r="C1320" i="20"/>
  <c r="I1320" i="20" s="1"/>
  <c r="I1262" i="20"/>
  <c r="C1319" i="20"/>
  <c r="I1319" i="20" s="1"/>
  <c r="C266" i="20"/>
  <c r="B266" i="20"/>
  <c r="B1265" i="20"/>
  <c r="X673" i="20"/>
  <c r="B1267" i="20"/>
  <c r="X675" i="20"/>
  <c r="B1262" i="20"/>
  <c r="X670" i="20"/>
  <c r="B1268" i="20"/>
  <c r="X676" i="20"/>
  <c r="B1269" i="20"/>
  <c r="B1326" i="20" s="1"/>
  <c r="H1326" i="20" s="1"/>
  <c r="X677" i="20"/>
  <c r="B1264" i="20"/>
  <c r="X672" i="20"/>
  <c r="B1261" i="20"/>
  <c r="B1318" i="20" s="1"/>
  <c r="H1318" i="20" s="1"/>
  <c r="X669" i="20"/>
  <c r="B1260" i="20"/>
  <c r="X668" i="20"/>
  <c r="B1263" i="20"/>
  <c r="X671" i="20"/>
  <c r="B1266" i="20"/>
  <c r="X674" i="20"/>
  <c r="B1471" i="42"/>
  <c r="C1471" i="42"/>
  <c r="O631" i="20"/>
  <c r="J934" i="20"/>
  <c r="O632" i="20"/>
  <c r="O640" i="20"/>
  <c r="I594" i="20"/>
  <c r="J594" i="20"/>
  <c r="C1195" i="20" s="1"/>
  <c r="I593" i="20"/>
  <c r="J593" i="20"/>
  <c r="C1194" i="20" s="1"/>
  <c r="J600" i="20"/>
  <c r="C1201" i="20" s="1"/>
  <c r="I600" i="20"/>
  <c r="J595" i="20"/>
  <c r="C1196" i="20" s="1"/>
  <c r="I595" i="20"/>
  <c r="I598" i="20"/>
  <c r="J598" i="20"/>
  <c r="C1199" i="20" s="1"/>
  <c r="J601" i="20"/>
  <c r="C1202" i="20" s="1"/>
  <c r="I601" i="20"/>
  <c r="I603" i="20"/>
  <c r="D607" i="20" s="1"/>
  <c r="J603" i="20"/>
  <c r="E607" i="20" s="1"/>
  <c r="J602" i="20"/>
  <c r="C1203" i="20" s="1"/>
  <c r="I602" i="20"/>
  <c r="J599" i="20"/>
  <c r="C1200" i="20" s="1"/>
  <c r="I599" i="20"/>
  <c r="J597" i="20"/>
  <c r="C1198" i="20" s="1"/>
  <c r="I597" i="20"/>
  <c r="J596" i="20"/>
  <c r="C1197" i="20" s="1"/>
  <c r="I596" i="20"/>
  <c r="M563" i="20"/>
  <c r="O563" i="20" s="1"/>
  <c r="Q563" i="20"/>
  <c r="M567" i="20"/>
  <c r="O567" i="20" s="1"/>
  <c r="Q567" i="20"/>
  <c r="M569" i="20"/>
  <c r="O569" i="20" s="1"/>
  <c r="Q569" i="20"/>
  <c r="M564" i="20"/>
  <c r="Q564" i="20"/>
  <c r="M562" i="20"/>
  <c r="O562" i="20" s="1"/>
  <c r="Q562" i="20"/>
  <c r="M565" i="20"/>
  <c r="Q565" i="20"/>
  <c r="M560" i="20"/>
  <c r="O560" i="20" s="1"/>
  <c r="Q560" i="20"/>
  <c r="M559" i="20"/>
  <c r="Q559" i="20"/>
  <c r="M568" i="20"/>
  <c r="O568" i="20" s="1"/>
  <c r="Q568" i="20"/>
  <c r="M561" i="20"/>
  <c r="O561" i="20" s="1"/>
  <c r="Q561" i="20"/>
  <c r="M566" i="20"/>
  <c r="O566" i="20" s="1"/>
  <c r="Q566" i="20"/>
  <c r="M744" i="20"/>
  <c r="P518" i="20"/>
  <c r="U640" i="20"/>
  <c r="E644" i="20"/>
  <c r="T640" i="20"/>
  <c r="L640" i="20"/>
  <c r="P640" i="20"/>
  <c r="R640" i="20" s="1"/>
  <c r="I947" i="20"/>
  <c r="J947" i="20"/>
  <c r="C1250" i="20" s="1"/>
  <c r="I1250" i="20" s="1"/>
  <c r="I940" i="20"/>
  <c r="J940" i="20"/>
  <c r="C1243" i="20" s="1"/>
  <c r="I1243" i="20" s="1"/>
  <c r="I941" i="20"/>
  <c r="J941" i="20"/>
  <c r="C1244" i="20" s="1"/>
  <c r="I1244" i="20" s="1"/>
  <c r="I949" i="20"/>
  <c r="J949" i="20"/>
  <c r="C1252" i="20" s="1"/>
  <c r="I1252" i="20" s="1"/>
  <c r="J945" i="20"/>
  <c r="C1248" i="20" s="1"/>
  <c r="I1248" i="20" s="1"/>
  <c r="I945" i="20"/>
  <c r="J946" i="20"/>
  <c r="C1249" i="20" s="1"/>
  <c r="I1249" i="20" s="1"/>
  <c r="I946" i="20"/>
  <c r="J948" i="20"/>
  <c r="C1251" i="20" s="1"/>
  <c r="I1251" i="20" s="1"/>
  <c r="I948" i="20"/>
  <c r="J943" i="20"/>
  <c r="C1246" i="20" s="1"/>
  <c r="I1246" i="20" s="1"/>
  <c r="I943" i="20"/>
  <c r="J942" i="20"/>
  <c r="C1245" i="20" s="1"/>
  <c r="I1245" i="20" s="1"/>
  <c r="I942" i="20"/>
  <c r="I950" i="20"/>
  <c r="J950" i="20"/>
  <c r="E955" i="20" s="1"/>
  <c r="J951" i="20"/>
  <c r="E956" i="20" s="1"/>
  <c r="I951" i="20"/>
  <c r="D956" i="20" s="1"/>
  <c r="I944" i="20"/>
  <c r="J944" i="20"/>
  <c r="C1247" i="20" s="1"/>
  <c r="I1247" i="20" s="1"/>
  <c r="N679" i="20"/>
  <c r="S679" i="20"/>
  <c r="W679" i="20"/>
  <c r="D684" i="20"/>
  <c r="I684" i="20" s="1"/>
  <c r="J589" i="20"/>
  <c r="N669" i="20"/>
  <c r="W669" i="20"/>
  <c r="S669" i="20"/>
  <c r="O639" i="20"/>
  <c r="N677" i="20"/>
  <c r="S677" i="20"/>
  <c r="W677" i="20"/>
  <c r="E1006" i="20"/>
  <c r="I1005" i="20"/>
  <c r="J1005" i="20" s="1"/>
  <c r="C519" i="20"/>
  <c r="O630" i="20"/>
  <c r="N671" i="20"/>
  <c r="S671" i="20"/>
  <c r="W671" i="20"/>
  <c r="O637" i="20"/>
  <c r="N674" i="20"/>
  <c r="S674" i="20"/>
  <c r="W674" i="20"/>
  <c r="O633" i="20"/>
  <c r="N673" i="20"/>
  <c r="W673" i="20"/>
  <c r="S673" i="20"/>
  <c r="J936" i="20"/>
  <c r="J1009" i="20"/>
  <c r="O635" i="20"/>
  <c r="N670" i="20"/>
  <c r="W670" i="20"/>
  <c r="S670" i="20"/>
  <c r="O638" i="20"/>
  <c r="R517" i="20"/>
  <c r="L743" i="20"/>
  <c r="N676" i="20"/>
  <c r="W676" i="20"/>
  <c r="S676" i="20"/>
  <c r="O634" i="20"/>
  <c r="N675" i="20"/>
  <c r="S675" i="20"/>
  <c r="W675" i="20"/>
  <c r="O636" i="20"/>
  <c r="N668" i="20"/>
  <c r="S668" i="20"/>
  <c r="W668" i="20"/>
  <c r="N678" i="20"/>
  <c r="W678" i="20"/>
  <c r="S678" i="20"/>
  <c r="D683" i="20"/>
  <c r="I683" i="20" s="1"/>
  <c r="N672" i="20"/>
  <c r="W672" i="20"/>
  <c r="S672" i="20"/>
  <c r="B41" i="33"/>
  <c r="A28" i="44" s="1"/>
  <c r="I335" i="42"/>
  <c r="I336" i="42"/>
  <c r="H306" i="42"/>
  <c r="H312" i="42"/>
  <c r="H307" i="42"/>
  <c r="H309" i="42"/>
  <c r="H308" i="42"/>
  <c r="H310" i="42"/>
  <c r="H311" i="42"/>
  <c r="G270" i="42"/>
  <c r="A281" i="42" s="1"/>
  <c r="B287" i="42" s="1"/>
  <c r="F262" i="42"/>
  <c r="F263" i="42"/>
  <c r="F264" i="42"/>
  <c r="F265" i="42"/>
  <c r="F266" i="42"/>
  <c r="F267" i="42"/>
  <c r="F268" i="42"/>
  <c r="F261" i="42"/>
  <c r="E262" i="42"/>
  <c r="E263" i="42"/>
  <c r="E264" i="42"/>
  <c r="E265" i="42"/>
  <c r="E266" i="42"/>
  <c r="E267" i="42"/>
  <c r="E268" i="42"/>
  <c r="E261" i="42"/>
  <c r="B12" i="42"/>
  <c r="A12" i="42"/>
  <c r="I232" i="42"/>
  <c r="I233" i="42"/>
  <c r="I234" i="42"/>
  <c r="I235" i="42"/>
  <c r="I231" i="42"/>
  <c r="P519" i="20" a="1"/>
  <c r="M950" i="20" a="1"/>
  <c r="M946" i="20" a="1"/>
  <c r="M600" i="20" a="1"/>
  <c r="M602" i="20" a="1"/>
  <c r="M951" i="20" a="1"/>
  <c r="M595" i="20" a="1"/>
  <c r="M943" i="20" a="1"/>
  <c r="M944" i="20" a="1"/>
  <c r="M948" i="20" a="1"/>
  <c r="M941" i="20" a="1"/>
  <c r="M601" i="20" a="1"/>
  <c r="M949" i="20" a="1"/>
  <c r="M598" i="20" a="1"/>
  <c r="M599" i="20" a="1"/>
  <c r="M940" i="20" a="1"/>
  <c r="M603" i="20" a="1"/>
  <c r="M942" i="20" a="1"/>
  <c r="M597" i="20" a="1"/>
  <c r="M594" i="20" a="1"/>
  <c r="M593" i="20" a="1"/>
  <c r="M596" i="20" a="1"/>
  <c r="M945" i="20" a="1"/>
  <c r="M947" i="20" a="1"/>
  <c r="I956" i="20" l="1"/>
  <c r="I607" i="20"/>
  <c r="P558" i="20"/>
  <c r="P559" i="20"/>
  <c r="D575" i="20"/>
  <c r="K559" i="20"/>
  <c r="B1235" i="20"/>
  <c r="H1235" i="20" s="1"/>
  <c r="B1239" i="20"/>
  <c r="H1239" i="20" s="1"/>
  <c r="B1237" i="20"/>
  <c r="H1237" i="20" s="1"/>
  <c r="P564" i="20"/>
  <c r="P565" i="20"/>
  <c r="R566" i="20"/>
  <c r="B1241" i="20"/>
  <c r="H1241" i="20" s="1"/>
  <c r="B1242" i="20"/>
  <c r="H1242" i="20" s="1"/>
  <c r="B1240" i="20"/>
  <c r="H1240" i="20" s="1"/>
  <c r="K562" i="20"/>
  <c r="R565" i="20"/>
  <c r="D574" i="20"/>
  <c r="R564" i="20"/>
  <c r="B1317" i="20"/>
  <c r="H1317" i="20" s="1"/>
  <c r="R1267" i="20"/>
  <c r="Q1267" i="20"/>
  <c r="K558" i="20"/>
  <c r="R558" i="20"/>
  <c r="R560" i="20"/>
  <c r="R567" i="20"/>
  <c r="R562" i="20"/>
  <c r="R559" i="20"/>
  <c r="R561" i="20"/>
  <c r="B1236" i="20"/>
  <c r="H1236" i="20" s="1"/>
  <c r="R563" i="20"/>
  <c r="I1203" i="20"/>
  <c r="C1354" i="20"/>
  <c r="I1354" i="20" s="1"/>
  <c r="I1202" i="20"/>
  <c r="C1353" i="20"/>
  <c r="I1353" i="20" s="1"/>
  <c r="I1199" i="20"/>
  <c r="C1350" i="20"/>
  <c r="I1350" i="20" s="1"/>
  <c r="I1196" i="20"/>
  <c r="C1347" i="20"/>
  <c r="I1347" i="20" s="1"/>
  <c r="I1201" i="20"/>
  <c r="C1352" i="20"/>
  <c r="I1352" i="20" s="1"/>
  <c r="I1194" i="20"/>
  <c r="C1345" i="20"/>
  <c r="I1345" i="20" s="1"/>
  <c r="I1198" i="20"/>
  <c r="C1349" i="20"/>
  <c r="I1349" i="20" s="1"/>
  <c r="I1197" i="20"/>
  <c r="C1348" i="20"/>
  <c r="I1348" i="20" s="1"/>
  <c r="I1195" i="20"/>
  <c r="C1346" i="20"/>
  <c r="I1346" i="20" s="1"/>
  <c r="I1200" i="20"/>
  <c r="C1351" i="20"/>
  <c r="I1351" i="20" s="1"/>
  <c r="A133" i="44"/>
  <c r="A175" i="44" s="1"/>
  <c r="A207" i="44" s="1"/>
  <c r="A276" i="44"/>
  <c r="A318" i="44" s="1"/>
  <c r="A350" i="44" s="1"/>
  <c r="A419" i="44"/>
  <c r="A466" i="44" s="1"/>
  <c r="A498" i="44" s="1"/>
  <c r="A574" i="44"/>
  <c r="A616" i="44" s="1"/>
  <c r="A648" i="44" s="1"/>
  <c r="H1268" i="20"/>
  <c r="B1325" i="20"/>
  <c r="H1325" i="20" s="1"/>
  <c r="H1266" i="20"/>
  <c r="B1323" i="20"/>
  <c r="H1323" i="20" s="1"/>
  <c r="H1262" i="20"/>
  <c r="B1319" i="20"/>
  <c r="H1319" i="20" s="1"/>
  <c r="H1263" i="20"/>
  <c r="B1320" i="20"/>
  <c r="H1320" i="20" s="1"/>
  <c r="H1267" i="20"/>
  <c r="B1324" i="20"/>
  <c r="H1324" i="20" s="1"/>
  <c r="H1265" i="20"/>
  <c r="B1322" i="20"/>
  <c r="H1322" i="20" s="1"/>
  <c r="H1264" i="20"/>
  <c r="B1321" i="20"/>
  <c r="H1321" i="20" s="1"/>
  <c r="H1260" i="20"/>
  <c r="O1260" i="20"/>
  <c r="N1260" i="20"/>
  <c r="H1269" i="20"/>
  <c r="H1261" i="20"/>
  <c r="B1252" i="20"/>
  <c r="H1252" i="20" s="1"/>
  <c r="R949" i="20"/>
  <c r="B1244" i="20"/>
  <c r="H1244" i="20" s="1"/>
  <c r="R941" i="20"/>
  <c r="B1247" i="20"/>
  <c r="H1247" i="20" s="1"/>
  <c r="R944" i="20"/>
  <c r="B1243" i="20"/>
  <c r="R940" i="20"/>
  <c r="B1245" i="20"/>
  <c r="H1245" i="20" s="1"/>
  <c r="R942" i="20"/>
  <c r="B1251" i="20"/>
  <c r="H1251" i="20" s="1"/>
  <c r="R948" i="20"/>
  <c r="B1249" i="20"/>
  <c r="H1249" i="20" s="1"/>
  <c r="R946" i="20"/>
  <c r="B1250" i="20"/>
  <c r="H1250" i="20" s="1"/>
  <c r="R947" i="20"/>
  <c r="B1246" i="20"/>
  <c r="H1246" i="20" s="1"/>
  <c r="R943" i="20"/>
  <c r="B1248" i="20"/>
  <c r="H1248" i="20" s="1"/>
  <c r="R945" i="20"/>
  <c r="J750" i="20"/>
  <c r="K750" i="20" s="1"/>
  <c r="J749" i="20"/>
  <c r="K749" i="20" s="1"/>
  <c r="J637" i="20"/>
  <c r="J636" i="20"/>
  <c r="J630" i="20"/>
  <c r="J747" i="20"/>
  <c r="K747" i="20" s="1"/>
  <c r="J635" i="20"/>
  <c r="J748" i="20"/>
  <c r="K748" i="20" s="1"/>
  <c r="J639" i="20"/>
  <c r="J633" i="20"/>
  <c r="J632" i="20"/>
  <c r="J631" i="20"/>
  <c r="J746" i="20"/>
  <c r="K746" i="20" s="1"/>
  <c r="J634" i="20"/>
  <c r="J638" i="20"/>
  <c r="B1196" i="20"/>
  <c r="R595" i="20"/>
  <c r="B1202" i="20"/>
  <c r="R601" i="20"/>
  <c r="B1199" i="20"/>
  <c r="R598" i="20"/>
  <c r="B1197" i="20"/>
  <c r="R596" i="20"/>
  <c r="B1201" i="20"/>
  <c r="R600" i="20"/>
  <c r="B1195" i="20"/>
  <c r="B1346" i="20" s="1"/>
  <c r="H1346" i="20" s="1"/>
  <c r="R594" i="20"/>
  <c r="B1203" i="20"/>
  <c r="B1354" i="20" s="1"/>
  <c r="H1354" i="20" s="1"/>
  <c r="R602" i="20"/>
  <c r="B1198" i="20"/>
  <c r="R597" i="20"/>
  <c r="B1194" i="20"/>
  <c r="R593" i="20"/>
  <c r="B1200" i="20"/>
  <c r="R599" i="20"/>
  <c r="D1471" i="42"/>
  <c r="B1478" i="42"/>
  <c r="AI1488" i="42" s="1"/>
  <c r="AA1575" i="42"/>
  <c r="P1173" i="20"/>
  <c r="P1177" i="20"/>
  <c r="P1178" i="20"/>
  <c r="P1179" i="20"/>
  <c r="Q1179" i="20"/>
  <c r="P1174" i="20"/>
  <c r="Q1175" i="20"/>
  <c r="P1175" i="20"/>
  <c r="P1176" i="20"/>
  <c r="O1176" i="20"/>
  <c r="K1179" i="20"/>
  <c r="K1178" i="20"/>
  <c r="K1177" i="20"/>
  <c r="K1176" i="20"/>
  <c r="K1175" i="20"/>
  <c r="K1173" i="20"/>
  <c r="K1174" i="20"/>
  <c r="K945" i="20"/>
  <c r="O559" i="20"/>
  <c r="K948" i="20"/>
  <c r="P568" i="20"/>
  <c r="O565" i="20"/>
  <c r="P561" i="20"/>
  <c r="P560" i="20"/>
  <c r="P566" i="20"/>
  <c r="K942" i="20"/>
  <c r="K947" i="20"/>
  <c r="K950" i="20"/>
  <c r="K940" i="20"/>
  <c r="K943" i="20"/>
  <c r="K951" i="20"/>
  <c r="P567" i="20"/>
  <c r="D955" i="20"/>
  <c r="K595" i="20"/>
  <c r="K944" i="20"/>
  <c r="K597" i="20"/>
  <c r="M603" i="20"/>
  <c r="P603" i="20" s="1"/>
  <c r="N603" i="20"/>
  <c r="N600" i="20"/>
  <c r="M600" i="20"/>
  <c r="P600" i="20" s="1"/>
  <c r="N598" i="20"/>
  <c r="Q598" i="20" s="1"/>
  <c r="M598" i="20"/>
  <c r="P598" i="20" s="1"/>
  <c r="N599" i="20"/>
  <c r="M599" i="20"/>
  <c r="P599" i="20" s="1"/>
  <c r="M595" i="20"/>
  <c r="P595" i="20" s="1"/>
  <c r="N595" i="20"/>
  <c r="N602" i="20"/>
  <c r="Q602" i="20" s="1"/>
  <c r="M602" i="20"/>
  <c r="P602" i="20" s="1"/>
  <c r="N593" i="20"/>
  <c r="Q593" i="20" s="1"/>
  <c r="M593" i="20"/>
  <c r="P593" i="20" s="1"/>
  <c r="N596" i="20"/>
  <c r="Q596" i="20" s="1"/>
  <c r="M596" i="20"/>
  <c r="P596" i="20" s="1"/>
  <c r="N597" i="20"/>
  <c r="M597" i="20"/>
  <c r="P597" i="20" s="1"/>
  <c r="M594" i="20"/>
  <c r="P594" i="20" s="1"/>
  <c r="N594" i="20"/>
  <c r="N601" i="20"/>
  <c r="Q601" i="20" s="1"/>
  <c r="M601" i="20"/>
  <c r="P601" i="20" s="1"/>
  <c r="M940" i="20"/>
  <c r="P940" i="20" s="1"/>
  <c r="N940" i="20"/>
  <c r="M941" i="20"/>
  <c r="P941" i="20" s="1"/>
  <c r="N941" i="20"/>
  <c r="Q941" i="20" s="1"/>
  <c r="N944" i="20"/>
  <c r="M944" i="20"/>
  <c r="P944" i="20" s="1"/>
  <c r="N942" i="20"/>
  <c r="M942" i="20"/>
  <c r="P942" i="20" s="1"/>
  <c r="M948" i="20"/>
  <c r="P948" i="20" s="1"/>
  <c r="N948" i="20"/>
  <c r="M947" i="20"/>
  <c r="P947" i="20" s="1"/>
  <c r="N947" i="20"/>
  <c r="Q947" i="20" s="1"/>
  <c r="N945" i="20"/>
  <c r="M945" i="20"/>
  <c r="P945" i="20" s="1"/>
  <c r="N946" i="20"/>
  <c r="Q946" i="20" s="1"/>
  <c r="M946" i="20"/>
  <c r="P946" i="20" s="1"/>
  <c r="N943" i="20"/>
  <c r="M943" i="20"/>
  <c r="P943" i="20" s="1"/>
  <c r="M949" i="20"/>
  <c r="P949" i="20" s="1"/>
  <c r="N949" i="20"/>
  <c r="N951" i="20"/>
  <c r="M951" i="20"/>
  <c r="P951" i="20" s="1"/>
  <c r="M950" i="20"/>
  <c r="P950" i="20" s="1"/>
  <c r="N950" i="20"/>
  <c r="P519" i="20"/>
  <c r="M745" i="20"/>
  <c r="N640" i="20"/>
  <c r="D644" i="20"/>
  <c r="I644" i="20" s="1"/>
  <c r="S640" i="20"/>
  <c r="W640" i="20"/>
  <c r="K949" i="20"/>
  <c r="L744" i="20"/>
  <c r="R518" i="20"/>
  <c r="K599" i="20"/>
  <c r="K602" i="20"/>
  <c r="K941" i="20"/>
  <c r="P569" i="20"/>
  <c r="O564" i="20"/>
  <c r="G607" i="20"/>
  <c r="K603" i="20"/>
  <c r="I1006" i="20"/>
  <c r="J1006" i="20" s="1"/>
  <c r="E1008" i="20"/>
  <c r="I1008" i="20" s="1"/>
  <c r="K601" i="20"/>
  <c r="O558" i="20"/>
  <c r="Q558" i="20"/>
  <c r="K594" i="20"/>
  <c r="H683" i="20"/>
  <c r="J683" i="20"/>
  <c r="L683" i="20"/>
  <c r="G683" i="20"/>
  <c r="K683" i="20"/>
  <c r="L684" i="20"/>
  <c r="J684" i="20"/>
  <c r="K684" i="20"/>
  <c r="H684" i="20"/>
  <c r="G684" i="20"/>
  <c r="K607" i="20"/>
  <c r="L607" i="20"/>
  <c r="P563" i="20"/>
  <c r="K598" i="20"/>
  <c r="K946" i="20"/>
  <c r="K596" i="20"/>
  <c r="K600" i="20"/>
  <c r="P562" i="20"/>
  <c r="K593" i="20"/>
  <c r="H956" i="20"/>
  <c r="G956" i="20"/>
  <c r="L956" i="20"/>
  <c r="J956" i="20"/>
  <c r="K956" i="20"/>
  <c r="B42" i="33"/>
  <c r="A29" i="44" s="1"/>
  <c r="A315" i="42"/>
  <c r="H268" i="42"/>
  <c r="H264" i="42"/>
  <c r="H267" i="42"/>
  <c r="H263" i="42"/>
  <c r="H266" i="42"/>
  <c r="H262" i="42"/>
  <c r="H261" i="42"/>
  <c r="H265" i="42"/>
  <c r="B11" i="42"/>
  <c r="A11" i="42"/>
  <c r="C239" i="42"/>
  <c r="D242" i="42" s="1"/>
  <c r="U633" i="20" a="1"/>
  <c r="L1021" i="20"/>
  <c r="L1022" i="20"/>
  <c r="L1023" i="20"/>
  <c r="I1018" i="20" a="1"/>
  <c r="U636" i="20" a="1"/>
  <c r="U632" i="20" a="1"/>
  <c r="L1013" i="20"/>
  <c r="I1015" i="20" a="1"/>
  <c r="L1020" i="20"/>
  <c r="I1021" i="20" a="1"/>
  <c r="I1023" i="20" a="1"/>
  <c r="I1017" i="20" a="1"/>
  <c r="U630" i="20" a="1"/>
  <c r="L1018" i="20"/>
  <c r="I1020" i="20" a="1"/>
  <c r="I1013" i="20" a="1"/>
  <c r="L1019" i="20"/>
  <c r="U638" i="20" a="1"/>
  <c r="L1014" i="20"/>
  <c r="I1019" i="20" a="1"/>
  <c r="U637" i="20" a="1"/>
  <c r="L1015" i="20"/>
  <c r="L1016" i="20"/>
  <c r="U631" i="20" a="1"/>
  <c r="I1016" i="20" a="1"/>
  <c r="I1022" i="20" a="1"/>
  <c r="U639" i="20" a="1"/>
  <c r="U635" i="20" a="1"/>
  <c r="I1014" i="20" a="1"/>
  <c r="U634" i="20" a="1"/>
  <c r="L1017" i="20"/>
  <c r="J574" i="20" l="1"/>
  <c r="I574" i="20"/>
  <c r="G955" i="20"/>
  <c r="I955" i="20"/>
  <c r="H575" i="20"/>
  <c r="I575" i="20"/>
  <c r="K575" i="20"/>
  <c r="L575" i="20"/>
  <c r="G575" i="20"/>
  <c r="J575" i="20"/>
  <c r="H574" i="20"/>
  <c r="O1235" i="20"/>
  <c r="K574" i="20"/>
  <c r="L574" i="20"/>
  <c r="G574" i="20"/>
  <c r="N1235" i="20"/>
  <c r="Q1242" i="20"/>
  <c r="R1242" i="20"/>
  <c r="B1345" i="20"/>
  <c r="H1345" i="20" s="1"/>
  <c r="H1200" i="20"/>
  <c r="B1351" i="20"/>
  <c r="H1351" i="20" s="1"/>
  <c r="H1202" i="20"/>
  <c r="B1353" i="20"/>
  <c r="H1353" i="20" s="1"/>
  <c r="H1198" i="20"/>
  <c r="B1349" i="20"/>
  <c r="H1349" i="20" s="1"/>
  <c r="H1199" i="20"/>
  <c r="B1350" i="20"/>
  <c r="H1350" i="20" s="1"/>
  <c r="H1201" i="20"/>
  <c r="B1352" i="20"/>
  <c r="H1352" i="20" s="1"/>
  <c r="H1197" i="20"/>
  <c r="B1348" i="20"/>
  <c r="H1348" i="20" s="1"/>
  <c r="H1196" i="20"/>
  <c r="B1347" i="20"/>
  <c r="H1347" i="20" s="1"/>
  <c r="A420" i="44"/>
  <c r="A467" i="44" s="1"/>
  <c r="A499" i="44" s="1"/>
  <c r="A575" i="44"/>
  <c r="A617" i="44" s="1"/>
  <c r="A649" i="44" s="1"/>
  <c r="A134" i="44"/>
  <c r="A176" i="44" s="1"/>
  <c r="A208" i="44" s="1"/>
  <c r="A277" i="44"/>
  <c r="A319" i="44" s="1"/>
  <c r="A351" i="44" s="1"/>
  <c r="P1260" i="20"/>
  <c r="H1194" i="20"/>
  <c r="O1194" i="20"/>
  <c r="N1194" i="20"/>
  <c r="P1261" i="20"/>
  <c r="H1203" i="20"/>
  <c r="H1195" i="20"/>
  <c r="H1243" i="20"/>
  <c r="O1236" i="20"/>
  <c r="N1236" i="20"/>
  <c r="U637" i="20"/>
  <c r="U638" i="20"/>
  <c r="U630" i="20"/>
  <c r="U634" i="20"/>
  <c r="U633" i="20"/>
  <c r="U636" i="20"/>
  <c r="U631" i="20"/>
  <c r="U632" i="20"/>
  <c r="U639" i="20"/>
  <c r="U635" i="20"/>
  <c r="K637" i="20"/>
  <c r="K638" i="20"/>
  <c r="K630" i="20"/>
  <c r="K634" i="20"/>
  <c r="K633" i="20"/>
  <c r="K636" i="20"/>
  <c r="K631" i="20"/>
  <c r="K632" i="20"/>
  <c r="K639" i="20"/>
  <c r="K635" i="20"/>
  <c r="AA1497" i="42"/>
  <c r="O1178" i="20"/>
  <c r="O1174" i="20"/>
  <c r="Q1174" i="20"/>
  <c r="O1175" i="20"/>
  <c r="O1177" i="20"/>
  <c r="O1173" i="20"/>
  <c r="Q1177" i="20"/>
  <c r="Q1178" i="20"/>
  <c r="Q1176" i="20"/>
  <c r="Q1173" i="20"/>
  <c r="O1179" i="20"/>
  <c r="K1184" i="20"/>
  <c r="H1184" i="20"/>
  <c r="J1184" i="20"/>
  <c r="L1184" i="20"/>
  <c r="G1184" i="20"/>
  <c r="K1183" i="20"/>
  <c r="G1183" i="20"/>
  <c r="L1183" i="20"/>
  <c r="H1183" i="20"/>
  <c r="J1183" i="20"/>
  <c r="O594" i="20"/>
  <c r="H955" i="20"/>
  <c r="K955" i="20"/>
  <c r="O948" i="20"/>
  <c r="J955" i="20"/>
  <c r="L955" i="20"/>
  <c r="Q948" i="20"/>
  <c r="J607" i="20"/>
  <c r="J1013" i="20"/>
  <c r="C1219" i="20" s="1"/>
  <c r="I1013" i="20"/>
  <c r="J1019" i="20"/>
  <c r="C1225" i="20" s="1"/>
  <c r="I1019" i="20"/>
  <c r="I1018" i="20"/>
  <c r="J1018" i="20"/>
  <c r="C1224" i="20" s="1"/>
  <c r="I1015" i="20"/>
  <c r="J1015" i="20"/>
  <c r="C1221" i="20" s="1"/>
  <c r="I1020" i="20"/>
  <c r="J1020" i="20"/>
  <c r="C1226" i="20" s="1"/>
  <c r="J1016" i="20"/>
  <c r="C1222" i="20" s="1"/>
  <c r="I1016" i="20"/>
  <c r="I1022" i="20"/>
  <c r="J1022" i="20"/>
  <c r="C1228" i="20" s="1"/>
  <c r="J1014" i="20"/>
  <c r="C1220" i="20" s="1"/>
  <c r="I1014" i="20"/>
  <c r="J1021" i="20"/>
  <c r="C1227" i="20" s="1"/>
  <c r="I1021" i="20"/>
  <c r="J1017" i="20"/>
  <c r="C1223" i="20" s="1"/>
  <c r="I1017" i="20"/>
  <c r="J1023" i="20"/>
  <c r="I1023" i="20"/>
  <c r="D1027" i="20" s="1"/>
  <c r="O599" i="20"/>
  <c r="O950" i="20"/>
  <c r="Q950" i="20"/>
  <c r="R519" i="20"/>
  <c r="L745" i="20"/>
  <c r="O749" i="20" s="1"/>
  <c r="O596" i="20"/>
  <c r="O942" i="20"/>
  <c r="Q942" i="20"/>
  <c r="O593" i="20"/>
  <c r="O943" i="20"/>
  <c r="Q943" i="20"/>
  <c r="Q600" i="20"/>
  <c r="O600" i="20"/>
  <c r="Q597" i="20"/>
  <c r="O597" i="20"/>
  <c r="H607" i="20"/>
  <c r="Q594" i="20"/>
  <c r="O951" i="20"/>
  <c r="Q951" i="20"/>
  <c r="Q944" i="20"/>
  <c r="O944" i="20"/>
  <c r="O602" i="20"/>
  <c r="G644" i="20"/>
  <c r="H644" i="20"/>
  <c r="J644" i="20"/>
  <c r="K644" i="20"/>
  <c r="L644" i="20"/>
  <c r="O949" i="20"/>
  <c r="Q949" i="20"/>
  <c r="O941" i="20"/>
  <c r="Q595" i="20"/>
  <c r="O595" i="20"/>
  <c r="Q599" i="20"/>
  <c r="J1008" i="20"/>
  <c r="O946" i="20"/>
  <c r="O601" i="20"/>
  <c r="O598" i="20"/>
  <c r="Q940" i="20"/>
  <c r="O940" i="20"/>
  <c r="O947" i="20"/>
  <c r="Q603" i="20"/>
  <c r="O603" i="20"/>
  <c r="O945" i="20"/>
  <c r="Q945" i="20"/>
  <c r="B43" i="33"/>
  <c r="A30" i="44" s="1"/>
  <c r="B288" i="42"/>
  <c r="A271" i="42"/>
  <c r="F235" i="42"/>
  <c r="F234" i="42"/>
  <c r="F233" i="42"/>
  <c r="F232" i="42"/>
  <c r="F231" i="42"/>
  <c r="E235" i="42"/>
  <c r="E234" i="42"/>
  <c r="E233" i="42"/>
  <c r="E232" i="42"/>
  <c r="E231" i="42"/>
  <c r="A9" i="42"/>
  <c r="B9" i="42"/>
  <c r="I142" i="42"/>
  <c r="I143" i="42"/>
  <c r="I144" i="42"/>
  <c r="I145" i="42"/>
  <c r="I146" i="42"/>
  <c r="I147" i="42"/>
  <c r="I148" i="42"/>
  <c r="I149" i="42"/>
  <c r="I150" i="42"/>
  <c r="I151" i="42"/>
  <c r="I152" i="42"/>
  <c r="I153" i="42"/>
  <c r="I154" i="42"/>
  <c r="I155" i="42"/>
  <c r="I156" i="42"/>
  <c r="I157" i="42"/>
  <c r="I158" i="42"/>
  <c r="I159" i="42"/>
  <c r="I160" i="42"/>
  <c r="I161" i="42"/>
  <c r="I162" i="42"/>
  <c r="I163" i="42"/>
  <c r="I164" i="42"/>
  <c r="I165" i="42"/>
  <c r="I166" i="42"/>
  <c r="I167" i="42"/>
  <c r="I168" i="42"/>
  <c r="I169" i="42"/>
  <c r="I170" i="42"/>
  <c r="I171" i="42"/>
  <c r="I172" i="42"/>
  <c r="I173" i="42"/>
  <c r="I174" i="42"/>
  <c r="I175" i="42"/>
  <c r="I176" i="42"/>
  <c r="I177" i="42"/>
  <c r="I178" i="42"/>
  <c r="I179" i="42"/>
  <c r="I180" i="42"/>
  <c r="I181" i="42"/>
  <c r="I182" i="42"/>
  <c r="I183" i="42"/>
  <c r="I184" i="42"/>
  <c r="I185" i="42"/>
  <c r="I186" i="42"/>
  <c r="I187" i="42"/>
  <c r="I188" i="42"/>
  <c r="I189" i="42"/>
  <c r="I190" i="42"/>
  <c r="I141" i="42"/>
  <c r="L637" i="20" a="1"/>
  <c r="P750" i="20" a="1"/>
  <c r="L634" i="20" a="1"/>
  <c r="U748" i="20" a="1"/>
  <c r="U749" i="20" a="1"/>
  <c r="M1021" i="20" a="1"/>
  <c r="P751" i="20" a="1"/>
  <c r="M1017" i="20" a="1"/>
  <c r="L632" i="20" a="1"/>
  <c r="M1018" i="20" a="1"/>
  <c r="U746" i="20" a="1"/>
  <c r="P746" i="20" a="1"/>
  <c r="L633" i="20" a="1"/>
  <c r="U750" i="20" a="1"/>
  <c r="L746" i="20" a="1"/>
  <c r="L747" i="20" a="1"/>
  <c r="P633" i="20" a="1"/>
  <c r="M1019" i="20" a="1"/>
  <c r="P631" i="20" a="1"/>
  <c r="L638" i="20" a="1"/>
  <c r="U751" i="20" a="1"/>
  <c r="M1016" i="20" a="1"/>
  <c r="L751" i="20" a="1"/>
  <c r="L750" i="20" a="1"/>
  <c r="P638" i="20" a="1"/>
  <c r="P630" i="20" a="1"/>
  <c r="P632" i="20" a="1"/>
  <c r="P748" i="20" a="1"/>
  <c r="P747" i="20" a="1"/>
  <c r="M1015" i="20" a="1"/>
  <c r="L636" i="20" a="1"/>
  <c r="M1022" i="20" a="1"/>
  <c r="P639" i="20" a="1"/>
  <c r="P636" i="20" a="1"/>
  <c r="P635" i="20" a="1"/>
  <c r="L631" i="20" a="1"/>
  <c r="P749" i="20" a="1"/>
  <c r="L748" i="20" a="1"/>
  <c r="L635" i="20" a="1"/>
  <c r="M1023" i="20" a="1"/>
  <c r="M1020" i="20" a="1"/>
  <c r="P637" i="20" a="1"/>
  <c r="L639" i="20" a="1"/>
  <c r="M1013" i="20" a="1"/>
  <c r="P634" i="20" a="1"/>
  <c r="U747" i="20" a="1"/>
  <c r="L749" i="20" a="1"/>
  <c r="L630" i="20" a="1"/>
  <c r="M1014" i="20" a="1"/>
  <c r="L630" i="20" l="1"/>
  <c r="P1235" i="20"/>
  <c r="I1227" i="20"/>
  <c r="C1363" i="20"/>
  <c r="I1363" i="20" s="1"/>
  <c r="I1219" i="20"/>
  <c r="C1355" i="20"/>
  <c r="I1355" i="20" s="1"/>
  <c r="I1228" i="20"/>
  <c r="C1364" i="20"/>
  <c r="I1364" i="20" s="1"/>
  <c r="I1223" i="20"/>
  <c r="C1359" i="20"/>
  <c r="I1359" i="20" s="1"/>
  <c r="I1220" i="20"/>
  <c r="C1356" i="20"/>
  <c r="I1356" i="20" s="1"/>
  <c r="I1225" i="20"/>
  <c r="C1361" i="20"/>
  <c r="I1361" i="20" s="1"/>
  <c r="I1222" i="20"/>
  <c r="C1358" i="20"/>
  <c r="I1358" i="20" s="1"/>
  <c r="I1224" i="20"/>
  <c r="C1360" i="20"/>
  <c r="I1360" i="20" s="1"/>
  <c r="I1226" i="20"/>
  <c r="C1362" i="20"/>
  <c r="I1362" i="20" s="1"/>
  <c r="I1221" i="20"/>
  <c r="C1357" i="20"/>
  <c r="I1357" i="20" s="1"/>
  <c r="A135" i="44"/>
  <c r="A177" i="44" s="1"/>
  <c r="A209" i="44" s="1"/>
  <c r="A278" i="44"/>
  <c r="A320" i="44" s="1"/>
  <c r="A352" i="44" s="1"/>
  <c r="A421" i="44"/>
  <c r="A468" i="44" s="1"/>
  <c r="A500" i="44" s="1"/>
  <c r="A576" i="44"/>
  <c r="A618" i="44" s="1"/>
  <c r="A650" i="44" s="1"/>
  <c r="P1194" i="20"/>
  <c r="P1236" i="20"/>
  <c r="B1219" i="20"/>
  <c r="B1355" i="20" s="1"/>
  <c r="H1355" i="20" s="1"/>
  <c r="R1013" i="20"/>
  <c r="B1220" i="20"/>
  <c r="R1014" i="20"/>
  <c r="B1222" i="20"/>
  <c r="R1016" i="20"/>
  <c r="B1228" i="20"/>
  <c r="R1022" i="20"/>
  <c r="B1226" i="20"/>
  <c r="R1020" i="20"/>
  <c r="B1227" i="20"/>
  <c r="R1021" i="20"/>
  <c r="B1221" i="20"/>
  <c r="R1015" i="20"/>
  <c r="B1224" i="20"/>
  <c r="R1018" i="20"/>
  <c r="B1223" i="20"/>
  <c r="R1017" i="20"/>
  <c r="B1225" i="20"/>
  <c r="R1019" i="20"/>
  <c r="P636" i="20"/>
  <c r="R636" i="20" s="1"/>
  <c r="L636" i="20"/>
  <c r="N636" i="20" s="1"/>
  <c r="T636" i="20"/>
  <c r="C1210" i="20"/>
  <c r="I1210" i="20" s="1"/>
  <c r="P633" i="20"/>
  <c r="R633" i="20" s="1"/>
  <c r="C1207" i="20"/>
  <c r="I1207" i="20" s="1"/>
  <c r="T633" i="20"/>
  <c r="L633" i="20"/>
  <c r="N633" i="20" s="1"/>
  <c r="P631" i="20"/>
  <c r="R631" i="20" s="1"/>
  <c r="T631" i="20"/>
  <c r="C1205" i="20"/>
  <c r="I1205" i="20" s="1"/>
  <c r="L631" i="20"/>
  <c r="N631" i="20" s="1"/>
  <c r="P634" i="20"/>
  <c r="R634" i="20" s="1"/>
  <c r="T634" i="20"/>
  <c r="C1208" i="20"/>
  <c r="I1208" i="20" s="1"/>
  <c r="L634" i="20"/>
  <c r="N634" i="20" s="1"/>
  <c r="C1204" i="20"/>
  <c r="I1204" i="20" s="1"/>
  <c r="T630" i="20"/>
  <c r="P630" i="20"/>
  <c r="R630" i="20" s="1"/>
  <c r="P639" i="20"/>
  <c r="R639" i="20" s="1"/>
  <c r="C1213" i="20"/>
  <c r="I1213" i="20" s="1"/>
  <c r="L639" i="20"/>
  <c r="N639" i="20" s="1"/>
  <c r="T639" i="20"/>
  <c r="C1206" i="20"/>
  <c r="I1206" i="20" s="1"/>
  <c r="L632" i="20"/>
  <c r="N632" i="20" s="1"/>
  <c r="T632" i="20"/>
  <c r="P632" i="20"/>
  <c r="R632" i="20" s="1"/>
  <c r="P638" i="20"/>
  <c r="R638" i="20" s="1"/>
  <c r="C1212" i="20"/>
  <c r="I1212" i="20" s="1"/>
  <c r="L638" i="20"/>
  <c r="T638" i="20"/>
  <c r="C1211" i="20"/>
  <c r="I1211" i="20" s="1"/>
  <c r="T637" i="20"/>
  <c r="L637" i="20"/>
  <c r="N637" i="20" s="1"/>
  <c r="P637" i="20"/>
  <c r="R637" i="20" s="1"/>
  <c r="T635" i="20"/>
  <c r="L635" i="20"/>
  <c r="N635" i="20" s="1"/>
  <c r="C1209" i="20"/>
  <c r="I1209" i="20" s="1"/>
  <c r="P635" i="20"/>
  <c r="R635" i="20" s="1"/>
  <c r="O746" i="20"/>
  <c r="O751" i="20"/>
  <c r="O750" i="20"/>
  <c r="K1015" i="20"/>
  <c r="K1018" i="20"/>
  <c r="K1017" i="20"/>
  <c r="M1015" i="20"/>
  <c r="P1015" i="20" s="1"/>
  <c r="N1015" i="20"/>
  <c r="N1022" i="20"/>
  <c r="M1022" i="20"/>
  <c r="P1022" i="20" s="1"/>
  <c r="M1018" i="20"/>
  <c r="P1018" i="20" s="1"/>
  <c r="N1018" i="20"/>
  <c r="M1021" i="20"/>
  <c r="P1021" i="20" s="1"/>
  <c r="N1021" i="20"/>
  <c r="N1023" i="20"/>
  <c r="M1023" i="20"/>
  <c r="P1023" i="20" s="1"/>
  <c r="N1013" i="20"/>
  <c r="M1013" i="20"/>
  <c r="P1013" i="20" s="1"/>
  <c r="N1014" i="20"/>
  <c r="M1014" i="20"/>
  <c r="P1014" i="20" s="1"/>
  <c r="M1017" i="20"/>
  <c r="P1017" i="20" s="1"/>
  <c r="N1017" i="20"/>
  <c r="N1019" i="20"/>
  <c r="M1019" i="20"/>
  <c r="P1019" i="20" s="1"/>
  <c r="N1020" i="20"/>
  <c r="M1020" i="20"/>
  <c r="P1020" i="20" s="1"/>
  <c r="M1016" i="20"/>
  <c r="P1016" i="20" s="1"/>
  <c r="N1016" i="20"/>
  <c r="L746" i="20"/>
  <c r="M746" i="20"/>
  <c r="C1214" i="20" s="1"/>
  <c r="I1214" i="20" s="1"/>
  <c r="U747" i="20"/>
  <c r="U751" i="20"/>
  <c r="M749" i="20"/>
  <c r="C1217" i="20" s="1"/>
  <c r="I1217" i="20" s="1"/>
  <c r="L749" i="20"/>
  <c r="U748" i="20"/>
  <c r="L751" i="20"/>
  <c r="M751" i="20"/>
  <c r="M747" i="20"/>
  <c r="C1215" i="20" s="1"/>
  <c r="I1215" i="20" s="1"/>
  <c r="L747" i="20"/>
  <c r="U750" i="20"/>
  <c r="U746" i="20"/>
  <c r="M750" i="20"/>
  <c r="C1218" i="20" s="1"/>
  <c r="I1218" i="20" s="1"/>
  <c r="L750" i="20"/>
  <c r="L748" i="20"/>
  <c r="M748" i="20"/>
  <c r="C1216" i="20" s="1"/>
  <c r="I1216" i="20" s="1"/>
  <c r="U749" i="20"/>
  <c r="P746" i="20"/>
  <c r="R746" i="20" s="1"/>
  <c r="P751" i="20"/>
  <c r="R751" i="20" s="1"/>
  <c r="P748" i="20"/>
  <c r="R748" i="20" s="1"/>
  <c r="P749" i="20"/>
  <c r="R749" i="20" s="1"/>
  <c r="P747" i="20"/>
  <c r="R747" i="20" s="1"/>
  <c r="P750" i="20"/>
  <c r="R750" i="20" s="1"/>
  <c r="K1020" i="20"/>
  <c r="K1021" i="20"/>
  <c r="K1013" i="20"/>
  <c r="K1014" i="20"/>
  <c r="E1027" i="20"/>
  <c r="H1027" i="20" s="1"/>
  <c r="K1023" i="20"/>
  <c r="K1027" i="20"/>
  <c r="L1027" i="20"/>
  <c r="K1019" i="20"/>
  <c r="K1022" i="20"/>
  <c r="O747" i="20"/>
  <c r="O748" i="20"/>
  <c r="K1016" i="20"/>
  <c r="B44" i="33"/>
  <c r="A31" i="44" s="1"/>
  <c r="J232" i="42"/>
  <c r="J233" i="42"/>
  <c r="J234" i="42"/>
  <c r="J231" i="42"/>
  <c r="J235" i="42"/>
  <c r="I195" i="42"/>
  <c r="A136" i="42" s="1"/>
  <c r="I194" i="42"/>
  <c r="I192" i="42"/>
  <c r="I191" i="42"/>
  <c r="D142" i="42"/>
  <c r="D143" i="42"/>
  <c r="D144" i="42"/>
  <c r="D145" i="42"/>
  <c r="D146" i="42"/>
  <c r="D147" i="42"/>
  <c r="D148" i="42"/>
  <c r="D149" i="42"/>
  <c r="D150" i="42"/>
  <c r="D151" i="42"/>
  <c r="D152" i="42"/>
  <c r="D153" i="42"/>
  <c r="D154" i="42"/>
  <c r="D155" i="42"/>
  <c r="D156" i="42"/>
  <c r="D157" i="42"/>
  <c r="D158" i="42"/>
  <c r="D159" i="42"/>
  <c r="D160" i="42"/>
  <c r="D161" i="42"/>
  <c r="D162" i="42"/>
  <c r="D163" i="42"/>
  <c r="D164" i="42"/>
  <c r="D165" i="42"/>
  <c r="D166" i="42"/>
  <c r="D167" i="42"/>
  <c r="D168" i="42"/>
  <c r="D169" i="42"/>
  <c r="D170" i="42"/>
  <c r="D171" i="42"/>
  <c r="D172" i="42"/>
  <c r="D173" i="42"/>
  <c r="D174" i="42"/>
  <c r="D175" i="42"/>
  <c r="D176" i="42"/>
  <c r="D177" i="42"/>
  <c r="D178" i="42"/>
  <c r="D179" i="42"/>
  <c r="D180" i="42"/>
  <c r="D181" i="42"/>
  <c r="D182" i="42"/>
  <c r="D183" i="42"/>
  <c r="D184" i="42"/>
  <c r="D185" i="42"/>
  <c r="D186" i="42"/>
  <c r="D187" i="42"/>
  <c r="D188" i="42"/>
  <c r="D189" i="42"/>
  <c r="D190" i="42"/>
  <c r="D141" i="42"/>
  <c r="I1027" i="20" l="1"/>
  <c r="H1226" i="20"/>
  <c r="B1362" i="20"/>
  <c r="H1362" i="20" s="1"/>
  <c r="H1228" i="20"/>
  <c r="B1364" i="20"/>
  <c r="H1364" i="20" s="1"/>
  <c r="H1227" i="20"/>
  <c r="B1363" i="20"/>
  <c r="H1363" i="20" s="1"/>
  <c r="H1222" i="20"/>
  <c r="B1358" i="20"/>
  <c r="H1358" i="20" s="1"/>
  <c r="H1220" i="20"/>
  <c r="B1356" i="20"/>
  <c r="H1356" i="20" s="1"/>
  <c r="H1225" i="20"/>
  <c r="B1361" i="20"/>
  <c r="H1361" i="20" s="1"/>
  <c r="H1223" i="20"/>
  <c r="B1359" i="20"/>
  <c r="H1359" i="20" s="1"/>
  <c r="H1224" i="20"/>
  <c r="B1360" i="20"/>
  <c r="H1360" i="20" s="1"/>
  <c r="H1221" i="20"/>
  <c r="B1357" i="20"/>
  <c r="H1357" i="20" s="1"/>
  <c r="A422" i="44"/>
  <c r="A469" i="44" s="1"/>
  <c r="A501" i="44" s="1"/>
  <c r="A577" i="44"/>
  <c r="A619" i="44" s="1"/>
  <c r="A651" i="44" s="1"/>
  <c r="A136" i="44"/>
  <c r="A178" i="44" s="1"/>
  <c r="A210" i="44" s="1"/>
  <c r="A279" i="44"/>
  <c r="A321" i="44" s="1"/>
  <c r="A353" i="44" s="1"/>
  <c r="H1219" i="20"/>
  <c r="O1197" i="20"/>
  <c r="N1197" i="20"/>
  <c r="B1217" i="20"/>
  <c r="H1217" i="20" s="1"/>
  <c r="X749" i="20"/>
  <c r="B1214" i="20"/>
  <c r="X746" i="20"/>
  <c r="B1216" i="20"/>
  <c r="H1216" i="20" s="1"/>
  <c r="X748" i="20"/>
  <c r="B1218" i="20"/>
  <c r="H1218" i="20" s="1"/>
  <c r="X750" i="20"/>
  <c r="B1215" i="20"/>
  <c r="H1215" i="20" s="1"/>
  <c r="X747" i="20"/>
  <c r="W638" i="20"/>
  <c r="S638" i="20"/>
  <c r="B1212" i="20"/>
  <c r="H1212" i="20" s="1"/>
  <c r="X638" i="20"/>
  <c r="S630" i="20"/>
  <c r="B1204" i="20"/>
  <c r="X630" i="20"/>
  <c r="X634" i="20"/>
  <c r="S634" i="20"/>
  <c r="B1208" i="20"/>
  <c r="H1208" i="20" s="1"/>
  <c r="W634" i="20"/>
  <c r="B1210" i="20"/>
  <c r="H1210" i="20" s="1"/>
  <c r="X636" i="20"/>
  <c r="S636" i="20"/>
  <c r="W636" i="20"/>
  <c r="W632" i="20"/>
  <c r="S632" i="20"/>
  <c r="B1206" i="20"/>
  <c r="H1206" i="20" s="1"/>
  <c r="X632" i="20"/>
  <c r="W635" i="20"/>
  <c r="B1209" i="20"/>
  <c r="H1209" i="20" s="1"/>
  <c r="X635" i="20"/>
  <c r="S635" i="20"/>
  <c r="B1205" i="20"/>
  <c r="H1205" i="20" s="1"/>
  <c r="W631" i="20"/>
  <c r="X631" i="20"/>
  <c r="S631" i="20"/>
  <c r="B1213" i="20"/>
  <c r="H1213" i="20" s="1"/>
  <c r="X639" i="20"/>
  <c r="W639" i="20"/>
  <c r="S639" i="20"/>
  <c r="W637" i="20"/>
  <c r="S637" i="20"/>
  <c r="B1211" i="20"/>
  <c r="H1211" i="20" s="1"/>
  <c r="X637" i="20"/>
  <c r="X633" i="20"/>
  <c r="W633" i="20"/>
  <c r="B1207" i="20"/>
  <c r="H1207" i="20" s="1"/>
  <c r="S633" i="20"/>
  <c r="N638" i="20"/>
  <c r="N630" i="20"/>
  <c r="B1470" i="42"/>
  <c r="C1470" i="42"/>
  <c r="O1021" i="20"/>
  <c r="Q1021" i="20"/>
  <c r="W748" i="20"/>
  <c r="S748" i="20"/>
  <c r="Q1016" i="20"/>
  <c r="O1016" i="20"/>
  <c r="T750" i="20"/>
  <c r="N750" i="20"/>
  <c r="O1020" i="20"/>
  <c r="O1022" i="20"/>
  <c r="Q1022" i="20"/>
  <c r="Q1015" i="20"/>
  <c r="O1015" i="20"/>
  <c r="W747" i="20"/>
  <c r="S747" i="20"/>
  <c r="O1019" i="20"/>
  <c r="Q1019" i="20"/>
  <c r="Q1020" i="20"/>
  <c r="T747" i="20"/>
  <c r="N747" i="20"/>
  <c r="Q1017" i="20"/>
  <c r="O1017" i="20"/>
  <c r="T751" i="20"/>
  <c r="E755" i="20"/>
  <c r="N751" i="20"/>
  <c r="Q1018" i="20"/>
  <c r="O1018" i="20"/>
  <c r="D755" i="20"/>
  <c r="W751" i="20"/>
  <c r="S751" i="20"/>
  <c r="Q1014" i="20"/>
  <c r="O1014" i="20"/>
  <c r="J1027" i="20"/>
  <c r="W749" i="20"/>
  <c r="S749" i="20"/>
  <c r="N749" i="20"/>
  <c r="T749" i="20"/>
  <c r="Q1013" i="20"/>
  <c r="O1013" i="20"/>
  <c r="G1027" i="20"/>
  <c r="O1023" i="20"/>
  <c r="Q1023" i="20"/>
  <c r="T746" i="20"/>
  <c r="N746" i="20"/>
  <c r="T748" i="20"/>
  <c r="N748" i="20"/>
  <c r="W746" i="20"/>
  <c r="S746" i="20"/>
  <c r="S750" i="20"/>
  <c r="W750" i="20"/>
  <c r="B45" i="33"/>
  <c r="A32" i="44" s="1"/>
  <c r="J236" i="42"/>
  <c r="I193" i="42"/>
  <c r="D192" i="42"/>
  <c r="D195" i="42"/>
  <c r="D194" i="42"/>
  <c r="D191" i="42"/>
  <c r="A91" i="42"/>
  <c r="I755" i="20" l="1"/>
  <c r="R1203" i="20"/>
  <c r="Q1203" i="20"/>
  <c r="A423" i="44"/>
  <c r="A470" i="44" s="1"/>
  <c r="A502" i="44" s="1"/>
  <c r="A578" i="44"/>
  <c r="A620" i="44" s="1"/>
  <c r="A652" i="44" s="1"/>
  <c r="A137" i="44"/>
  <c r="A179" i="44" s="1"/>
  <c r="A211" i="44" s="1"/>
  <c r="A280" i="44"/>
  <c r="A322" i="44" s="1"/>
  <c r="A354" i="44" s="1"/>
  <c r="P1197" i="20"/>
  <c r="H1214" i="20"/>
  <c r="O1196" i="20"/>
  <c r="N1196" i="20"/>
  <c r="N1195" i="20"/>
  <c r="O1195" i="20"/>
  <c r="H1204" i="20"/>
  <c r="B1477" i="42"/>
  <c r="AH1488" i="42" s="1"/>
  <c r="Z1575" i="42"/>
  <c r="D1470" i="42"/>
  <c r="H755" i="20"/>
  <c r="G755" i="20"/>
  <c r="K755" i="20"/>
  <c r="L755" i="20"/>
  <c r="J755" i="20"/>
  <c r="B46" i="33"/>
  <c r="A33" i="44" s="1"/>
  <c r="D193" i="42"/>
  <c r="B8" i="42"/>
  <c r="A8" i="42"/>
  <c r="B7" i="42"/>
  <c r="A7" i="42"/>
  <c r="A138" i="44" l="1"/>
  <c r="A180" i="44" s="1"/>
  <c r="A212" i="44" s="1"/>
  <c r="A281" i="44"/>
  <c r="A323" i="44" s="1"/>
  <c r="A355" i="44" s="1"/>
  <c r="A424" i="44"/>
  <c r="A471" i="44" s="1"/>
  <c r="A503" i="44" s="1"/>
  <c r="A579" i="44"/>
  <c r="A621" i="44" s="1"/>
  <c r="A653" i="44" s="1"/>
  <c r="P1195" i="20"/>
  <c r="P1196" i="20"/>
  <c r="Z1497" i="42"/>
  <c r="A94" i="9"/>
  <c r="G94" i="9" s="1"/>
  <c r="A89" i="9"/>
  <c r="G89" i="9" s="1"/>
  <c r="G30" i="9" l="1"/>
  <c r="G27" i="9"/>
  <c r="G26" i="9"/>
  <c r="G25" i="9"/>
  <c r="H30" i="9" a="1"/>
  <c r="H30" i="9" l="1"/>
  <c r="P30" i="9"/>
  <c r="I30" i="9"/>
  <c r="S30" i="9"/>
  <c r="T30" i="9"/>
  <c r="U30" i="9"/>
  <c r="V30" i="9"/>
  <c r="W30" i="9"/>
  <c r="X30" i="9"/>
  <c r="J30" i="9"/>
  <c r="K30" i="9"/>
  <c r="M30" i="9"/>
  <c r="N30" i="9"/>
  <c r="O30" i="9"/>
  <c r="Q30" i="9"/>
  <c r="L30" i="9"/>
  <c r="R30" i="9"/>
  <c r="B18" i="33" l="1"/>
  <c r="B19" i="33" l="1"/>
  <c r="B20" i="33" l="1"/>
  <c r="B21" i="33" l="1"/>
  <c r="B22" i="33" l="1"/>
  <c r="B23" i="33" l="1"/>
  <c r="B24" i="33" l="1"/>
  <c r="B25" i="33" l="1"/>
  <c r="B26" i="33" l="1"/>
  <c r="B27" i="33" l="1"/>
  <c r="B28" i="33" l="1"/>
  <c r="B30" i="33" l="1"/>
  <c r="B29" i="33"/>
  <c r="W630" i="20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<sst xmlns="http://schemas.openxmlformats.org/spreadsheetml/2006/main" count="9978" uniqueCount="2745">
  <si>
    <t>Day</t>
  </si>
  <si>
    <t>Name</t>
  </si>
  <si>
    <t>Date</t>
  </si>
  <si>
    <t>Analyst</t>
  </si>
  <si>
    <t>Unit</t>
  </si>
  <si>
    <t xml:space="preserve"> Quadruple isotope dilution</t>
  </si>
  <si>
    <t>Calibrators</t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</si>
  <si>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A*(A*B)</t>
    </r>
    <r>
      <rPr>
        <b/>
        <sz val="10"/>
        <rFont val="Arial"/>
        <family val="2"/>
      </rPr>
      <t>/g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</si>
  <si>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A*(A*B)</t>
    </r>
    <r>
      <rPr>
        <b/>
        <sz val="10"/>
        <color theme="9" tint="-0.499984740745262"/>
        <rFont val="Arial"/>
        <family val="2"/>
      </rPr>
      <t>]/g</t>
    </r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</si>
  <si>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B(A*B)</t>
    </r>
    <r>
      <rPr>
        <b/>
        <sz val="10"/>
        <rFont val="Arial"/>
        <family val="2"/>
      </rPr>
      <t>/g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</si>
  <si>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B(A*B)</t>
    </r>
    <r>
      <rPr>
        <b/>
        <sz val="10"/>
        <color theme="9" tint="-0.499984740745262"/>
        <rFont val="Arial"/>
        <family val="2"/>
      </rPr>
      <t>]/g</t>
    </r>
  </si>
  <si>
    <r>
      <rPr>
        <b/>
        <i/>
        <sz val="10"/>
        <rFont val="Arial"/>
        <family val="2"/>
      </rPr>
      <t>r</t>
    </r>
    <r>
      <rPr>
        <b/>
        <vertAlign val="subscript"/>
        <sz val="10"/>
        <rFont val="Arial"/>
        <family val="2"/>
      </rPr>
      <t>A*B</t>
    </r>
    <r>
      <rPr>
        <b/>
        <sz val="10"/>
        <rFont val="Arial"/>
        <family val="2"/>
      </rPr>
      <t>/(V/V)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</si>
  <si>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r</t>
    </r>
    <r>
      <rPr>
        <b/>
        <vertAlign val="subscript"/>
        <sz val="10"/>
        <color theme="9" tint="-0.499984740745262"/>
        <rFont val="Arial"/>
        <family val="2"/>
      </rPr>
      <t>A*B</t>
    </r>
    <r>
      <rPr>
        <b/>
        <sz val="10"/>
        <color theme="9" tint="-0.499984740745262"/>
        <rFont val="Arial"/>
        <family val="2"/>
      </rPr>
      <t>]/(V/V)</t>
    </r>
  </si>
  <si>
    <r>
      <rPr>
        <b/>
        <i/>
        <sz val="10"/>
        <rFont val="Arial"/>
        <family val="2"/>
      </rPr>
      <t>w</t>
    </r>
    <r>
      <rPr>
        <b/>
        <vertAlign val="subscript"/>
        <sz val="10"/>
        <rFont val="Arial"/>
        <family val="2"/>
      </rPr>
      <t>A*</t>
    </r>
    <r>
      <rPr>
        <b/>
        <sz val="10"/>
        <rFont val="Arial"/>
        <family val="2"/>
      </rPr>
      <t>/(µg/g)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</si>
  <si>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w</t>
    </r>
    <r>
      <rPr>
        <b/>
        <vertAlign val="subscript"/>
        <sz val="10"/>
        <color theme="9" tint="-0.499984740745262"/>
        <rFont val="Arial"/>
        <family val="2"/>
      </rPr>
      <t>A*</t>
    </r>
    <r>
      <rPr>
        <b/>
        <sz val="10"/>
        <color theme="9" tint="-0.499984740745262"/>
        <rFont val="Arial"/>
        <family val="2"/>
      </rPr>
      <t>]/(µg/g)</t>
    </r>
  </si>
  <si>
    <t>A*B-1</t>
  </si>
  <si>
    <t>A*B-2</t>
  </si>
  <si>
    <t>A*B-3</t>
  </si>
  <si>
    <t>Samples</t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</si>
  <si>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A(AB)</t>
    </r>
    <r>
      <rPr>
        <b/>
        <sz val="10"/>
        <rFont val="Arial"/>
        <family val="2"/>
      </rPr>
      <t>/g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</si>
  <si>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A(AB)</t>
    </r>
    <r>
      <rPr>
        <b/>
        <sz val="10"/>
        <color theme="9" tint="-0.499984740745262"/>
        <rFont val="Arial"/>
        <family val="2"/>
      </rPr>
      <t>]/g</t>
    </r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</si>
  <si>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B(AB)</t>
    </r>
    <r>
      <rPr>
        <b/>
        <sz val="10"/>
        <rFont val="Arial"/>
        <family val="2"/>
      </rPr>
      <t>/g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</si>
  <si>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B(AB)</t>
    </r>
    <r>
      <rPr>
        <b/>
        <sz val="10"/>
        <color theme="9" tint="-0.499984740745262"/>
        <rFont val="Arial"/>
        <family val="2"/>
      </rPr>
      <t>]/g</t>
    </r>
  </si>
  <si>
    <r>
      <rPr>
        <b/>
        <i/>
        <sz val="10"/>
        <rFont val="Arial"/>
        <family val="2"/>
      </rPr>
      <t>r</t>
    </r>
    <r>
      <rPr>
        <b/>
        <vertAlign val="subscript"/>
        <sz val="10"/>
        <rFont val="Arial"/>
        <family val="2"/>
      </rPr>
      <t>AB</t>
    </r>
    <r>
      <rPr>
        <b/>
        <sz val="10"/>
        <rFont val="Arial"/>
        <family val="2"/>
      </rPr>
      <t>/(V/V)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</si>
  <si>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r</t>
    </r>
    <r>
      <rPr>
        <b/>
        <vertAlign val="subscript"/>
        <sz val="10"/>
        <color theme="9" tint="-0.499984740745262"/>
        <rFont val="Arial"/>
        <family val="2"/>
      </rPr>
      <t>AB</t>
    </r>
    <r>
      <rPr>
        <b/>
        <sz val="10"/>
        <color theme="9" tint="-0.499984740745262"/>
        <rFont val="Arial"/>
        <family val="2"/>
      </rPr>
      <t>]/(V/V)</t>
    </r>
  </si>
  <si>
    <r>
      <rPr>
        <b/>
        <i/>
        <sz val="10"/>
        <rFont val="Arial"/>
        <family val="2"/>
      </rPr>
      <t>w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/(µg/g)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</si>
  <si>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w</t>
    </r>
    <r>
      <rPr>
        <b/>
        <vertAlign val="subscript"/>
        <sz val="10"/>
        <color theme="9" tint="-0.499984740745262"/>
        <rFont val="Arial"/>
        <family val="2"/>
      </rPr>
      <t>A</t>
    </r>
    <r>
      <rPr>
        <b/>
        <sz val="10"/>
        <color theme="9" tint="-0.499984740745262"/>
        <rFont val="Arial"/>
        <family val="2"/>
      </rPr>
      <t>]/(µg/g)</t>
    </r>
  </si>
  <si>
    <r>
      <rPr>
        <b/>
        <i/>
        <sz val="10"/>
        <color theme="3"/>
        <rFont val="Arial"/>
        <family val="2"/>
      </rPr>
      <t>r</t>
    </r>
    <r>
      <rPr>
        <b/>
        <vertAlign val="subscript"/>
        <sz val="10"/>
        <color theme="3"/>
        <rFont val="Arial"/>
        <family val="2"/>
      </rPr>
      <t>AB</t>
    </r>
  </si>
  <si>
    <r>
      <rPr>
        <b/>
        <i/>
        <sz val="10"/>
        <color theme="3"/>
        <rFont val="Arial"/>
        <family val="2"/>
      </rPr>
      <t>r</t>
    </r>
    <r>
      <rPr>
        <b/>
        <vertAlign val="subscript"/>
        <sz val="10"/>
        <color theme="3"/>
        <rFont val="Arial"/>
        <family val="2"/>
      </rPr>
      <t>A*B-1</t>
    </r>
  </si>
  <si>
    <r>
      <rPr>
        <b/>
        <i/>
        <sz val="10"/>
        <color theme="3"/>
        <rFont val="Arial"/>
        <family val="2"/>
      </rPr>
      <t>r</t>
    </r>
    <r>
      <rPr>
        <b/>
        <vertAlign val="subscript"/>
        <sz val="10"/>
        <color theme="3"/>
        <rFont val="Arial"/>
        <family val="2"/>
      </rPr>
      <t>A*B-2</t>
    </r>
  </si>
  <si>
    <r>
      <rPr>
        <b/>
        <i/>
        <sz val="10"/>
        <color theme="3"/>
        <rFont val="Arial"/>
        <family val="2"/>
      </rPr>
      <t>r</t>
    </r>
    <r>
      <rPr>
        <b/>
        <vertAlign val="subscript"/>
        <sz val="10"/>
        <color theme="3"/>
        <rFont val="Arial"/>
        <family val="2"/>
      </rPr>
      <t>A*B-3</t>
    </r>
  </si>
  <si>
    <r>
      <rPr>
        <b/>
        <i/>
        <sz val="10"/>
        <color theme="3"/>
        <rFont val="Arial"/>
        <family val="2"/>
      </rPr>
      <t>w</t>
    </r>
    <r>
      <rPr>
        <b/>
        <vertAlign val="subscript"/>
        <sz val="10"/>
        <color theme="3"/>
        <rFont val="Arial"/>
        <family val="2"/>
      </rPr>
      <t>A*-1</t>
    </r>
  </si>
  <si>
    <r>
      <rPr>
        <b/>
        <i/>
        <sz val="10"/>
        <color theme="3"/>
        <rFont val="Arial"/>
        <family val="2"/>
      </rPr>
      <t>w</t>
    </r>
    <r>
      <rPr>
        <b/>
        <vertAlign val="subscript"/>
        <sz val="10"/>
        <color theme="3"/>
        <rFont val="Arial"/>
        <family val="2"/>
      </rPr>
      <t>A*-2</t>
    </r>
  </si>
  <si>
    <r>
      <rPr>
        <b/>
        <i/>
        <sz val="10"/>
        <color theme="3"/>
        <rFont val="Arial"/>
        <family val="2"/>
      </rPr>
      <t>w</t>
    </r>
    <r>
      <rPr>
        <b/>
        <vertAlign val="subscript"/>
        <sz val="10"/>
        <color theme="3"/>
        <rFont val="Arial"/>
        <family val="2"/>
      </rPr>
      <t>A*-3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</si>
  <si>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A(AB)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</si>
  <si>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B(AB)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</si>
  <si>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A*(A*B)-1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</si>
  <si>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A*(A*B)-2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</si>
  <si>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A*(A*B)-3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</si>
  <si>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B(A*B)-1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</si>
  <si>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B(A*B)-2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</si>
  <si>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B(A*B)-3</t>
    </r>
  </si>
  <si>
    <t>AB</t>
  </si>
  <si>
    <t xml:space="preserve"> Determination of density of aqueous liquids</t>
  </si>
  <si>
    <r>
      <t>Percentage variance components</t>
    </r>
    <r>
      <rPr>
        <b/>
        <sz val="10"/>
        <color theme="0"/>
        <rFont val="Arial"/>
        <family val="2"/>
      </rPr>
      <t>: First-order Taylor expansion</t>
    </r>
  </si>
  <si>
    <r>
      <rPr>
        <b/>
        <i/>
        <sz val="10"/>
        <rFont val="Arial"/>
        <family val="2"/>
      </rPr>
      <t>ρ</t>
    </r>
    <r>
      <rPr>
        <b/>
        <vertAlign val="subscript"/>
        <sz val="10"/>
        <rFont val="Arial"/>
        <family val="2"/>
      </rPr>
      <t>H2O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</si>
  <si>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ρ</t>
    </r>
    <r>
      <rPr>
        <b/>
        <vertAlign val="subscript"/>
        <sz val="10"/>
        <color theme="9" tint="-0.499984740745262"/>
        <rFont val="Arial"/>
        <family val="2"/>
      </rPr>
      <t>H2O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</si>
  <si>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rFont val="Arial"/>
        <family val="2"/>
      </rPr>
      <t>ρ</t>
    </r>
    <r>
      <rPr>
        <b/>
        <vertAlign val="subscript"/>
        <sz val="10"/>
        <rFont val="Arial"/>
        <family val="2"/>
      </rPr>
      <t>air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</si>
  <si>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ρ</t>
    </r>
    <r>
      <rPr>
        <b/>
        <vertAlign val="subscript"/>
        <sz val="10"/>
        <color theme="9" tint="-0.499984740745262"/>
        <rFont val="Arial"/>
        <family val="2"/>
      </rPr>
      <t>air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</si>
  <si>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0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</si>
  <si>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0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</si>
  <si>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1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</si>
  <si>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1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</si>
  <si>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rFont val="Arial"/>
        <family val="2"/>
      </rPr>
      <t>m</t>
    </r>
    <r>
      <rPr>
        <b/>
        <vertAlign val="subscript"/>
        <sz val="10"/>
        <rFont val="Arial"/>
        <family val="2"/>
      </rPr>
      <t>2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</si>
  <si>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m</t>
    </r>
    <r>
      <rPr>
        <b/>
        <vertAlign val="subscript"/>
        <sz val="10"/>
        <color theme="9" tint="-0.499984740745262"/>
        <rFont val="Arial"/>
        <family val="2"/>
      </rPr>
      <t>2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</si>
  <si>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rFont val="Arial"/>
        <family val="2"/>
      </rPr>
      <t>ρ</t>
    </r>
    <r>
      <rPr>
        <b/>
        <vertAlign val="subscript"/>
        <sz val="10"/>
        <rFont val="Arial"/>
        <family val="2"/>
      </rPr>
      <t>sample</t>
    </r>
  </si>
  <si>
    <r>
      <rPr>
        <b/>
        <i/>
        <sz val="10"/>
        <color theme="9" tint="-0.499984740745262"/>
        <rFont val="Arial"/>
        <family val="2"/>
      </rPr>
      <t>u</t>
    </r>
    <r>
      <rPr>
        <b/>
        <sz val="10"/>
        <color theme="9" tint="-0.499984740745262"/>
        <rFont val="Arial"/>
        <family val="2"/>
      </rPr>
      <t>[</t>
    </r>
    <r>
      <rPr>
        <b/>
        <i/>
        <sz val="10"/>
        <color theme="9" tint="-0.499984740745262"/>
        <rFont val="Arial"/>
        <family val="2"/>
      </rPr>
      <t>ρ</t>
    </r>
    <r>
      <rPr>
        <b/>
        <vertAlign val="subscript"/>
        <sz val="10"/>
        <color theme="9" tint="-0.499984740745262"/>
        <rFont val="Arial"/>
        <family val="2"/>
      </rPr>
      <t>sample</t>
    </r>
    <r>
      <rPr>
        <b/>
        <sz val="10"/>
        <color theme="9" tint="-0.499984740745262"/>
        <rFont val="Arial"/>
        <family val="2"/>
      </rPr>
      <t>]</t>
    </r>
  </si>
  <si>
    <r>
      <rPr>
        <b/>
        <i/>
        <sz val="10"/>
        <color theme="3"/>
        <rFont val="Arial"/>
        <family val="2"/>
      </rPr>
      <t>ρ</t>
    </r>
    <r>
      <rPr>
        <b/>
        <vertAlign val="subscript"/>
        <sz val="10"/>
        <color theme="3"/>
        <rFont val="Arial"/>
        <family val="2"/>
      </rPr>
      <t>H2O</t>
    </r>
  </si>
  <si>
    <r>
      <rPr>
        <b/>
        <i/>
        <sz val="10"/>
        <color theme="3"/>
        <rFont val="Arial"/>
        <family val="2"/>
      </rPr>
      <t>ρ</t>
    </r>
    <r>
      <rPr>
        <b/>
        <vertAlign val="subscript"/>
        <sz val="10"/>
        <color theme="3"/>
        <rFont val="Arial"/>
        <family val="2"/>
      </rPr>
      <t>air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</si>
  <si>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0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</si>
  <si>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1</t>
    </r>
  </si>
  <si>
    <r>
      <rPr>
        <b/>
        <i/>
        <sz val="10"/>
        <color theme="3"/>
        <rFont val="Arial"/>
        <family val="2"/>
      </rPr>
      <t>m</t>
    </r>
    <r>
      <rPr>
        <b/>
        <vertAlign val="subscript"/>
        <sz val="10"/>
        <color theme="3"/>
        <rFont val="Arial"/>
        <family val="2"/>
      </rPr>
      <t>2</t>
    </r>
  </si>
  <si>
    <r>
      <t>kg/m</t>
    </r>
    <r>
      <rPr>
        <b/>
        <vertAlign val="superscript"/>
        <sz val="10"/>
        <rFont val="Arial"/>
        <family val="2"/>
      </rPr>
      <t>3</t>
    </r>
  </si>
  <si>
    <r>
      <t>kg/m</t>
    </r>
    <r>
      <rPr>
        <b/>
        <vertAlign val="superscript"/>
        <sz val="10"/>
        <color theme="9" tint="-0.499984740745262"/>
        <rFont val="Arial"/>
        <family val="2"/>
      </rPr>
      <t>3</t>
    </r>
  </si>
  <si>
    <t>g</t>
  </si>
  <si>
    <t>The validation of DenLiq module is achieved by comparison of LiqDen results (L5 and M5) with an indipendent calculation strategy (B23 and B28)</t>
  </si>
  <si>
    <t xml:space="preserve"> =(B5-D5)*(J5-F5)/(H5-F5)+D5</t>
  </si>
  <si>
    <t>Ratio of cell L5 and B23</t>
  </si>
  <si>
    <r>
      <rPr>
        <b/>
        <i/>
        <sz val="10"/>
        <rFont val="Arial"/>
        <family val="2"/>
      </rPr>
      <t>u</t>
    </r>
    <r>
      <rPr>
        <b/>
        <sz val="10"/>
        <rFont val="Arial"/>
        <family val="2"/>
      </rPr>
      <t>[</t>
    </r>
    <r>
      <rPr>
        <b/>
        <i/>
        <sz val="10"/>
        <rFont val="Arial"/>
        <family val="2"/>
      </rPr>
      <t>ρ</t>
    </r>
    <r>
      <rPr>
        <b/>
        <vertAlign val="subscript"/>
        <sz val="10"/>
        <rFont val="Arial"/>
        <family val="2"/>
      </rPr>
      <t>sample</t>
    </r>
    <r>
      <rPr>
        <b/>
        <sz val="10"/>
        <rFont val="Arial"/>
        <family val="2"/>
      </rPr>
      <t>]</t>
    </r>
  </si>
  <si>
    <t xml:space="preserve"> =SQRT((D5-B5)^2*(J5-H5)^2*G5^2/(H5-F5)^4+(D5-B5)^2*(J5-F5)^2*I5^2/(H5-F5)^4+(D5-B5)^2*K5^2/(H5-F5)^2+(J5-F5)^2*C5^2/(H5-F5)^2+(J5-H5)^2*E5^2/(H5-F5)^2)</t>
  </si>
  <si>
    <t>Ratio of cell M5 and B28</t>
  </si>
  <si>
    <t>Mean</t>
  </si>
  <si>
    <t>Full</t>
  </si>
  <si>
    <t>Empty</t>
  </si>
  <si>
    <t>%</t>
  </si>
  <si>
    <t>Balance</t>
  </si>
  <si>
    <t>Sol:bottle</t>
  </si>
  <si>
    <t>Sol:+SALT</t>
  </si>
  <si>
    <t>Sol:+H2O</t>
  </si>
  <si>
    <t>t</t>
  </si>
  <si>
    <t>Rel Hum</t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</si>
  <si>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0</t>
    </r>
  </si>
  <si>
    <r>
      <rPr>
        <b/>
        <i/>
        <sz val="11"/>
        <color theme="3"/>
        <rFont val="Arial"/>
        <family val="2"/>
      </rPr>
      <t>n</t>
    </r>
    <r>
      <rPr>
        <b/>
        <vertAlign val="subscript"/>
        <sz val="11"/>
        <color theme="3"/>
        <rFont val="Arial"/>
        <family val="2"/>
      </rPr>
      <t>0</t>
    </r>
  </si>
  <si>
    <r>
      <rPr>
        <b/>
        <i/>
        <sz val="11"/>
        <color theme="3"/>
        <rFont val="Arial"/>
        <family val="2"/>
      </rPr>
      <t>n</t>
    </r>
    <r>
      <rPr>
        <b/>
        <vertAlign val="subscript"/>
        <sz val="11"/>
        <color theme="3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</si>
  <si>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3"/>
        <rFont val="Arial"/>
        <family val="2"/>
      </rPr>
      <t>n</t>
    </r>
    <r>
      <rPr>
        <b/>
        <vertAlign val="subscript"/>
        <sz val="11"/>
        <color theme="3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</si>
  <si>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</si>
  <si>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t>w</t>
  </si>
  <si>
    <t>ID unique</t>
  </si>
  <si>
    <t>number</t>
  </si>
  <si>
    <t>yyyy-mm-dd</t>
  </si>
  <si>
    <t>initials</t>
  </si>
  <si>
    <t>model</t>
  </si>
  <si>
    <t>°C</t>
  </si>
  <si>
    <t>g/g</t>
  </si>
  <si>
    <t>MS204S</t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</si>
  <si>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[m]</t>
    </r>
  </si>
  <si>
    <t>ID</t>
  </si>
  <si>
    <t>Phosphate</t>
  </si>
  <si>
    <t>Nitrate</t>
  </si>
  <si>
    <t>Vial</t>
  </si>
  <si>
    <t>Sample</t>
  </si>
  <si>
    <t>EP</t>
  </si>
  <si>
    <t>Sample ID</t>
  </si>
  <si>
    <t>Date and Time</t>
  </si>
  <si>
    <t>890nm (Abs)</t>
  </si>
  <si>
    <t>Acq. Date-Time</t>
  </si>
  <si>
    <t>Data File</t>
  </si>
  <si>
    <t>RT</t>
  </si>
  <si>
    <t>Area</t>
  </si>
  <si>
    <t/>
  </si>
  <si>
    <t>BLK</t>
  </si>
  <si>
    <t>Nitrate_46 Results</t>
  </si>
  <si>
    <t>Nitrate_47 Results</t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</si>
  <si>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S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</si>
  <si>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F</t>
    </r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</si>
  <si>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</si>
  <si>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</si>
  <si>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B</t>
    </r>
  </si>
  <si>
    <t>5 cm cuvette</t>
  </si>
  <si>
    <t>Zero baseline DIW</t>
  </si>
  <si>
    <t>Baseline DIW</t>
  </si>
  <si>
    <t>Baseline LNSW</t>
  </si>
  <si>
    <t>Baseline SALT-1</t>
  </si>
  <si>
    <t>Reag BLK DIW</t>
  </si>
  <si>
    <t>Reag BLK LNSW</t>
  </si>
  <si>
    <t>CAL-1</t>
  </si>
  <si>
    <t>CAL-2</t>
  </si>
  <si>
    <t>CAL-3</t>
  </si>
  <si>
    <t>MOOS-3</t>
  </si>
  <si>
    <t>CAL-4</t>
  </si>
  <si>
    <t>CAL-5</t>
  </si>
  <si>
    <t>Reag BLK 3.5% NaCl</t>
  </si>
  <si>
    <t>IntST BLK DIW</t>
  </si>
  <si>
    <t>InST BLK 3.5% NaCl</t>
  </si>
  <si>
    <t>Density</t>
  </si>
  <si>
    <t>Percentage variance components: First-order Taylor expansion</t>
  </si>
  <si>
    <r>
      <rPr>
        <b/>
        <i/>
        <sz val="11"/>
        <rFont val="Arial"/>
        <family val="2"/>
      </rPr>
      <t>ρ</t>
    </r>
    <r>
      <rPr>
        <b/>
        <vertAlign val="subscript"/>
        <sz val="11"/>
        <rFont val="Arial"/>
        <family val="2"/>
      </rPr>
      <t>H2O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</si>
  <si>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ρ</t>
    </r>
    <r>
      <rPr>
        <b/>
        <vertAlign val="subscript"/>
        <sz val="11"/>
        <color theme="9" tint="-0.499984740745262"/>
        <rFont val="Arial"/>
        <family val="2"/>
      </rPr>
      <t>H2O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</si>
  <si>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rFont val="Arial"/>
        <family val="2"/>
      </rPr>
      <t>ρ</t>
    </r>
    <r>
      <rPr>
        <b/>
        <vertAlign val="subscript"/>
        <sz val="11"/>
        <rFont val="Arial"/>
        <family val="2"/>
      </rPr>
      <t>air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</si>
  <si>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ρ</t>
    </r>
    <r>
      <rPr>
        <b/>
        <vertAlign val="subscript"/>
        <sz val="11"/>
        <color theme="9" tint="-0.499984740745262"/>
        <rFont val="Arial"/>
        <family val="2"/>
      </rPr>
      <t>air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</si>
  <si>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</si>
  <si>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m</t>
    </r>
    <r>
      <rPr>
        <b/>
        <vertAlign val="subscript"/>
        <sz val="11"/>
        <color theme="9" tint="-0.499984740745262"/>
        <rFont val="Arial"/>
        <family val="2"/>
      </rPr>
      <t>0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</si>
  <si>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</si>
  <si>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m</t>
    </r>
    <r>
      <rPr>
        <b/>
        <vertAlign val="subscript"/>
        <sz val="11"/>
        <color theme="9" tint="-0.499984740745262"/>
        <rFont val="Arial"/>
        <family val="2"/>
      </rPr>
      <t>1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</si>
  <si>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</si>
  <si>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m</t>
    </r>
    <r>
      <rPr>
        <b/>
        <vertAlign val="subscript"/>
        <sz val="11"/>
        <color theme="9" tint="-0.499984740745262"/>
        <rFont val="Arial"/>
        <family val="2"/>
      </rPr>
      <t>2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</si>
  <si>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rFont val="Arial"/>
        <family val="2"/>
      </rPr>
      <t>ρ</t>
    </r>
    <r>
      <rPr>
        <b/>
        <vertAlign val="subscript"/>
        <sz val="11"/>
        <rFont val="Arial"/>
        <family val="2"/>
      </rPr>
      <t>sample</t>
    </r>
  </si>
  <si>
    <r>
      <rPr>
        <b/>
        <i/>
        <sz val="11"/>
        <color theme="9" tint="-0.499984740745262"/>
        <rFont val="Arial"/>
        <family val="2"/>
      </rPr>
      <t>u</t>
    </r>
    <r>
      <rPr>
        <b/>
        <sz val="11"/>
        <color theme="9" tint="-0.499984740745262"/>
        <rFont val="Arial"/>
        <family val="2"/>
      </rPr>
      <t>[</t>
    </r>
    <r>
      <rPr>
        <b/>
        <i/>
        <sz val="11"/>
        <color theme="9" tint="-0.499984740745262"/>
        <rFont val="Arial"/>
        <family val="2"/>
      </rPr>
      <t>ρ</t>
    </r>
    <r>
      <rPr>
        <b/>
        <vertAlign val="subscript"/>
        <sz val="11"/>
        <color theme="9" tint="-0.499984740745262"/>
        <rFont val="Arial"/>
        <family val="2"/>
      </rPr>
      <t>sample</t>
    </r>
    <r>
      <rPr>
        <b/>
        <sz val="11"/>
        <color theme="9" tint="-0.499984740745262"/>
        <rFont val="Arial"/>
        <family val="2"/>
      </rPr>
      <t>]</t>
    </r>
  </si>
  <si>
    <r>
      <rPr>
        <b/>
        <i/>
        <sz val="11"/>
        <color theme="3"/>
        <rFont val="Arial"/>
        <family val="2"/>
      </rPr>
      <t>ρ</t>
    </r>
    <r>
      <rPr>
        <b/>
        <vertAlign val="subscript"/>
        <sz val="11"/>
        <color theme="3"/>
        <rFont val="Arial"/>
        <family val="2"/>
      </rPr>
      <t>H2O</t>
    </r>
  </si>
  <si>
    <r>
      <rPr>
        <b/>
        <i/>
        <sz val="11"/>
        <color theme="3"/>
        <rFont val="Arial"/>
        <family val="2"/>
      </rPr>
      <t>ρ</t>
    </r>
    <r>
      <rPr>
        <b/>
        <vertAlign val="subscript"/>
        <sz val="11"/>
        <color theme="3"/>
        <rFont val="Arial"/>
        <family val="2"/>
      </rPr>
      <t>air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</si>
  <si>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1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</si>
  <si>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2</t>
    </r>
  </si>
  <si>
    <r>
      <t>kg/m</t>
    </r>
    <r>
      <rPr>
        <b/>
        <vertAlign val="superscript"/>
        <sz val="11"/>
        <rFont val="Arial"/>
        <family val="2"/>
      </rPr>
      <t>3</t>
    </r>
  </si>
  <si>
    <r>
      <t>kg/m</t>
    </r>
    <r>
      <rPr>
        <b/>
        <vertAlign val="superscript"/>
        <sz val="11"/>
        <color theme="9" tint="-0.499984740745262"/>
        <rFont val="Arial"/>
        <family val="2"/>
      </rPr>
      <t>3</t>
    </r>
  </si>
  <si>
    <t>Lot #</t>
  </si>
  <si>
    <t>mg/g</t>
  </si>
  <si>
    <t>µg/g</t>
  </si>
  <si>
    <t>ID solution</t>
  </si>
  <si>
    <t>Origin</t>
  </si>
  <si>
    <t>Traciability</t>
  </si>
  <si>
    <t>Prep. Date</t>
  </si>
  <si>
    <t>Exp. Date</t>
  </si>
  <si>
    <t>unique</t>
  </si>
  <si>
    <t>yyyymmdd</t>
  </si>
  <si>
    <t>SRM3185</t>
  </si>
  <si>
    <t>Certified value of phosphate:</t>
  </si>
  <si>
    <r>
      <t xml:space="preserve">Certified value as PO4 with </t>
    </r>
    <r>
      <rPr>
        <i/>
        <sz val="11"/>
        <rFont val="Arial"/>
        <family val="2"/>
      </rPr>
      <t>k</t>
    </r>
    <r>
      <rPr>
        <sz val="11"/>
        <rFont val="Arial"/>
        <family val="2"/>
      </rPr>
      <t xml:space="preserve"> = 1:</t>
    </r>
  </si>
  <si>
    <t>Certified value of nitrate</t>
  </si>
  <si>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(PO4)</t>
    </r>
  </si>
  <si>
    <t>load</t>
  </si>
  <si>
    <t>unload</t>
  </si>
  <si>
    <t>mass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</si>
  <si>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= mass of vial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</si>
  <si>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[</t>
    </r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(PO4)]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</si>
  <si>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mass of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</si>
  <si>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mass of LNSW</t>
    </r>
  </si>
  <si>
    <t>Final</t>
  </si>
  <si>
    <r>
      <rPr>
        <i/>
        <sz val="11"/>
        <rFont val="Arial"/>
        <family val="2"/>
      </rPr>
      <t>w</t>
    </r>
    <r>
      <rPr>
        <sz val="11"/>
        <rFont val="Arial"/>
        <family val="2"/>
      </rPr>
      <t>(PO</t>
    </r>
    <r>
      <rPr>
        <vertAlign val="subscript"/>
        <sz val="11"/>
        <rFont val="Arial"/>
        <family val="2"/>
      </rPr>
      <t>4</t>
    </r>
    <r>
      <rPr>
        <sz val="11"/>
        <rFont val="Arial"/>
        <family val="2"/>
      </rPr>
      <t>)</t>
    </r>
  </si>
  <si>
    <r>
      <rPr>
        <i/>
        <sz val="11"/>
        <rFont val="Arial"/>
        <family val="2"/>
      </rPr>
      <t>w</t>
    </r>
    <r>
      <rPr>
        <sz val="11"/>
        <rFont val="Arial"/>
        <family val="2"/>
      </rPr>
      <t>(NO</t>
    </r>
    <r>
      <rPr>
        <vertAlign val="subscript"/>
        <sz val="11"/>
        <rFont val="Arial"/>
        <family val="2"/>
      </rPr>
      <t>3</t>
    </r>
    <r>
      <rPr>
        <sz val="11"/>
        <rFont val="Arial"/>
        <family val="2"/>
      </rPr>
      <t>)</t>
    </r>
  </si>
  <si>
    <t>Target</t>
  </si>
  <si>
    <t>N=NIST</t>
  </si>
  <si>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(NO3)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</si>
  <si>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[</t>
    </r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(NO3)]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</si>
  <si>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mass of DIW</t>
    </r>
  </si>
  <si>
    <t>Type</t>
  </si>
  <si>
    <t>Description</t>
  </si>
  <si>
    <t>STD</t>
  </si>
  <si>
    <t>SAMPLE</t>
  </si>
  <si>
    <t>QC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</si>
  <si>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mass of sample/ST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</si>
  <si>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IntST</t>
    </r>
  </si>
  <si>
    <t>AB-1</t>
  </si>
  <si>
    <t>AB-3</t>
  </si>
  <si>
    <t>MOOS3</t>
  </si>
  <si>
    <t>Preparation of external calibration for PO4 analysis by UV-vis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</si>
  <si>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Reagents</t>
    </r>
  </si>
  <si>
    <t>NIST</t>
  </si>
  <si>
    <t>SRM3186</t>
  </si>
  <si>
    <r>
      <t xml:space="preserve">Certified value as NO3 with </t>
    </r>
    <r>
      <rPr>
        <i/>
        <sz val="11"/>
        <rFont val="Arial"/>
        <family val="2"/>
      </rPr>
      <t>k</t>
    </r>
    <r>
      <rPr>
        <sz val="11"/>
        <rFont val="Arial"/>
        <family val="2"/>
      </rPr>
      <t xml:space="preserve"> = 1</t>
    </r>
  </si>
  <si>
    <t>Full unit</t>
  </si>
  <si>
    <t>Empty unit</t>
  </si>
  <si>
    <r>
      <rPr>
        <i/>
        <sz val="11"/>
        <rFont val="Arial"/>
        <family val="2"/>
      </rPr>
      <t>m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load</t>
    </r>
  </si>
  <si>
    <r>
      <rPr>
        <i/>
        <sz val="11"/>
        <rFont val="Arial"/>
        <family val="2"/>
      </rPr>
      <t>m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unload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</si>
  <si>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</si>
  <si>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unload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</si>
  <si>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1</t>
    </r>
    <r>
      <rPr>
        <sz val="11"/>
        <rFont val="Arial"/>
        <family val="2"/>
      </rPr>
      <t xml:space="preserve"> 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</si>
  <si>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1</t>
    </r>
    <r>
      <rPr>
        <sz val="11"/>
        <rFont val="Arial"/>
        <family val="2"/>
      </rPr>
      <t xml:space="preserve"> unload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</si>
  <si>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 xml:space="preserve"> load</t>
    </r>
  </si>
  <si>
    <r>
      <rPr>
        <i/>
        <sz val="11"/>
        <rFont val="Arial"/>
        <family val="2"/>
      </rPr>
      <t>n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 xml:space="preserve"> unload</t>
    </r>
  </si>
  <si>
    <r>
      <rPr>
        <i/>
        <sz val="11"/>
        <rFont val="Arial"/>
        <family val="2"/>
      </rPr>
      <t>m</t>
    </r>
    <r>
      <rPr>
        <vertAlign val="subscript"/>
        <sz val="11"/>
        <rFont val="Arial"/>
        <family val="2"/>
      </rPr>
      <t>1</t>
    </r>
    <r>
      <rPr>
        <sz val="11"/>
        <rFont val="Arial"/>
        <family val="2"/>
      </rPr>
      <t xml:space="preserve"> load</t>
    </r>
  </si>
  <si>
    <r>
      <rPr>
        <i/>
        <sz val="11"/>
        <rFont val="Arial"/>
        <family val="2"/>
      </rPr>
      <t>m</t>
    </r>
    <r>
      <rPr>
        <vertAlign val="subscript"/>
        <sz val="11"/>
        <rFont val="Arial"/>
        <family val="2"/>
      </rPr>
      <t>1</t>
    </r>
    <r>
      <rPr>
        <sz val="11"/>
        <rFont val="Arial"/>
        <family val="2"/>
      </rPr>
      <t xml:space="preserve"> unload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</si>
  <si>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0</t>
    </r>
    <r>
      <rPr>
        <b/>
        <sz val="11"/>
        <color theme="3"/>
        <rFont val="Arial"/>
        <family val="2"/>
      </rPr>
      <t xml:space="preserve"> (load)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</si>
  <si>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0</t>
    </r>
    <r>
      <rPr>
        <b/>
        <sz val="11"/>
        <color theme="3"/>
        <rFont val="Arial"/>
        <family val="2"/>
      </rPr>
      <t xml:space="preserve"> (unload)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</si>
  <si>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1</t>
    </r>
    <r>
      <rPr>
        <b/>
        <sz val="11"/>
        <color theme="3"/>
        <rFont val="Arial"/>
        <family val="2"/>
      </rPr>
      <t xml:space="preserve"> (load)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</si>
  <si>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1</t>
    </r>
    <r>
      <rPr>
        <b/>
        <sz val="11"/>
        <color theme="3"/>
        <rFont val="Arial"/>
        <family val="2"/>
      </rPr>
      <t xml:space="preserve"> (unload)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</si>
  <si>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2</t>
    </r>
    <r>
      <rPr>
        <b/>
        <sz val="11"/>
        <color theme="3"/>
        <rFont val="Arial"/>
        <family val="2"/>
      </rPr>
      <t xml:space="preserve"> (load)</t>
    </r>
  </si>
  <si>
    <r>
      <rPr>
        <b/>
        <i/>
        <sz val="11"/>
        <color theme="3"/>
        <rFont val="Arial"/>
        <family val="2"/>
      </rPr>
      <t>m</t>
    </r>
    <r>
      <rPr>
        <b/>
        <vertAlign val="subscript"/>
        <sz val="11"/>
        <color theme="3"/>
        <rFont val="Arial"/>
        <family val="2"/>
      </rPr>
      <t>2</t>
    </r>
    <r>
      <rPr>
        <b/>
        <sz val="11"/>
        <color theme="3"/>
        <rFont val="Arial"/>
        <family val="2"/>
      </rPr>
      <t xml:space="preserve"> (unload)</t>
    </r>
  </si>
  <si>
    <t>Ratio</t>
  </si>
  <si>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S</t>
    </r>
  </si>
  <si>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F</t>
    </r>
  </si>
  <si>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A</t>
    </r>
  </si>
  <si>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B</t>
    </r>
  </si>
  <si>
    <t>Baseline</t>
  </si>
  <si>
    <t>Blank</t>
  </si>
  <si>
    <t>Grav</t>
  </si>
  <si>
    <t>LNSW</t>
  </si>
  <si>
    <t>SALT-1</t>
  </si>
  <si>
    <t>g/mL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</si>
  <si>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)</t>
    </r>
  </si>
  <si>
    <t>x</t>
  </si>
  <si>
    <t>y</t>
  </si>
  <si>
    <r>
      <rPr>
        <i/>
        <sz val="11"/>
        <color theme="1"/>
        <rFont val="Arial"/>
        <family val="2"/>
      </rPr>
      <t>u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)]</t>
    </r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</si>
  <si>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>)</t>
    </r>
  </si>
  <si>
    <t>Variance</t>
  </si>
  <si>
    <t>df</t>
  </si>
  <si>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</si>
  <si>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</si>
  <si>
    <t>Quadratic</t>
  </si>
  <si>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</si>
  <si>
    <t>uy</t>
  </si>
  <si>
    <t>ux</t>
  </si>
  <si>
    <t>value</t>
  </si>
  <si>
    <t>signal</t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</si>
  <si>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[</t>
    </r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</t>
    </r>
    <r>
      <rPr>
        <b/>
        <sz val="11"/>
        <color theme="1"/>
        <rFont val="Arial"/>
        <family val="2"/>
      </rPr>
      <t>]</t>
    </r>
  </si>
  <si>
    <t>t-Test: Paired Two Sample for Means</t>
  </si>
  <si>
    <t>Variable 1</t>
  </si>
  <si>
    <t>Variable 2</t>
  </si>
  <si>
    <t>Observations</t>
  </si>
  <si>
    <t>Pearson Correlation</t>
  </si>
  <si>
    <t>Hypothesized Mean Difference</t>
  </si>
  <si>
    <t>t Stat</t>
  </si>
  <si>
    <t>P(T&lt;=t) one-tail</t>
  </si>
  <si>
    <t>t Critical one-tail</t>
  </si>
  <si>
    <t>P(T&lt;=t) two-tail</t>
  </si>
  <si>
    <t>t Critical two-tail</t>
  </si>
  <si>
    <t>No significantive difference alfa = 0.05</t>
  </si>
  <si>
    <t>Standard</t>
  </si>
  <si>
    <t>mg/kg</t>
  </si>
  <si>
    <t>PO4</t>
  </si>
  <si>
    <t>A</t>
  </si>
  <si>
    <t>Average</t>
  </si>
  <si>
    <t>STDEV</t>
  </si>
  <si>
    <t>RSD</t>
  </si>
  <si>
    <t>Try to understand if weighing a cold liquid in a bottle is problematic for moisture</t>
  </si>
  <si>
    <t>Weigh the bottle (1) then weigh the bottle (2-8) after wipeing the outside with a kim wipe</t>
  </si>
  <si>
    <t>Data</t>
  </si>
  <si>
    <t>Mass (g)</t>
  </si>
  <si>
    <t>Max</t>
  </si>
  <si>
    <t>Min</t>
  </si>
  <si>
    <t>Difference</t>
  </si>
  <si>
    <t>Uncertainty</t>
  </si>
  <si>
    <t>This uncertainty on the 30 g standard solution is 0.002/30 *100% = 0.007%</t>
  </si>
  <si>
    <t>From the experiments performed on the preliminary data, the impact of weighing a cold solution seems to be much lowerd than 0.002 g</t>
  </si>
  <si>
    <t>When the cold LNSW is used to dilute the standard, there is no differences between direct weighing and after wiping the bottle</t>
  </si>
  <si>
    <t>The 0.002 is a conservative choise which adds a modest contribution to the overall uncertainty</t>
  </si>
  <si>
    <t>Chemistry</t>
  </si>
  <si>
    <t>Signal</t>
  </si>
  <si>
    <t>BLK 1-2</t>
  </si>
  <si>
    <t>BLK 3-4</t>
  </si>
  <si>
    <t>Average (BLK EtONO2 in water)</t>
  </si>
  <si>
    <t>Average (BLK EtONO2 in sample)</t>
  </si>
  <si>
    <t>46 area correction for samples</t>
  </si>
  <si>
    <t>Relevance of the blank</t>
  </si>
  <si>
    <r>
      <rPr>
        <b/>
        <i/>
        <sz val="11"/>
        <rFont val="Arial"/>
        <family val="2"/>
      </rPr>
      <t>r</t>
    </r>
    <r>
      <rPr>
        <b/>
        <vertAlign val="subscript"/>
        <sz val="11"/>
        <rFont val="Arial"/>
        <family val="2"/>
      </rPr>
      <t>AB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</si>
  <si>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[</t>
    </r>
    <r>
      <rPr>
        <b/>
        <i/>
        <sz val="11"/>
        <rFont val="Arial"/>
        <family val="2"/>
      </rPr>
      <t>r</t>
    </r>
    <r>
      <rPr>
        <b/>
        <vertAlign val="subscript"/>
        <sz val="11"/>
        <rFont val="Arial"/>
        <family val="2"/>
      </rPr>
      <t>AB</t>
    </r>
    <r>
      <rPr>
        <b/>
        <sz val="11"/>
        <rFont val="Arial"/>
        <family val="2"/>
      </rPr>
      <t>]</t>
    </r>
  </si>
  <si>
    <t>BLK no</t>
  </si>
  <si>
    <t>BLK yes</t>
  </si>
  <si>
    <t>Isotope ratio</t>
  </si>
  <si>
    <t>WASH CUVETTE</t>
  </si>
  <si>
    <t>A*B-2A</t>
  </si>
  <si>
    <t>A*B-2B</t>
  </si>
  <si>
    <t>Baseline MOOS-3</t>
  </si>
  <si>
    <t>Matrix</t>
  </si>
  <si>
    <t>Evaluation of potential signal that can be due to preformed EtONO2</t>
  </si>
  <si>
    <r>
      <t xml:space="preserve">Correction of the sample signals: </t>
    </r>
    <r>
      <rPr>
        <b/>
        <sz val="11"/>
        <color rgb="FF800000"/>
        <rFont val="Arial"/>
        <family val="2"/>
      </rPr>
      <t>SALT-1 SAMPLE</t>
    </r>
  </si>
  <si>
    <r>
      <t xml:space="preserve">Correction of the sample signals: </t>
    </r>
    <r>
      <rPr>
        <b/>
        <sz val="11"/>
        <color rgb="FF800000"/>
        <rFont val="Arial"/>
        <family val="2"/>
      </rPr>
      <t>MOOS-3 SAMPLE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</si>
  <si>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</si>
  <si>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t>phosphate</t>
  </si>
  <si>
    <t>Analyte</t>
  </si>
  <si>
    <t>$mu</t>
  </si>
  <si>
    <t>$s</t>
  </si>
  <si>
    <t>$tau</t>
  </si>
  <si>
    <t>Value</t>
  </si>
  <si>
    <t xml:space="preserve">Bottle (Nalgene, 2 L) = 179 g </t>
  </si>
  <si>
    <t>Added 70 g of NaCl from Sigma Aldrich S7653 lot SLB0434V BioExtra 99.5%</t>
  </si>
  <si>
    <t>Added ~ 2L of water GenPure (B3)</t>
  </si>
  <si>
    <t>Added 5 mL of 0.1 M NaHCO3 Sigma Aldrich 36486 lot BCBW9092</t>
  </si>
  <si>
    <t>Final pH of 8.2</t>
  </si>
  <si>
    <t>The amount of [CO3] was much less with respect of the total dissolved inorganic carbon typical of seawater</t>
  </si>
  <si>
    <t>A NaNO2 solution was then prepared from Sigma Aldrich 563218-25G</t>
  </si>
  <si>
    <t>NaNO2 = 0.1548 g</t>
  </si>
  <si>
    <t>adding water to final mass of 48.0817</t>
  </si>
  <si>
    <t>2 x 4.65 mL of the NaNO2 solution was added to the 2 L saline medium</t>
  </si>
  <si>
    <t xml:space="preserve">For irradiation, 33 x 60 mL bottles where prepared and sent for irradiation along with the MOOS and SEAN samples </t>
  </si>
  <si>
    <t>Index</t>
  </si>
  <si>
    <t>Line</t>
  </si>
  <si>
    <t>Planning the re-bottling of MOOS-4</t>
  </si>
  <si>
    <t>When the cappers is applied to close the irradiated caps, we can observe some cracking of the PP material</t>
  </si>
  <si>
    <t>The old bottles cannot be used again, we will need 60 mL new bottle from Fisher</t>
  </si>
  <si>
    <t>The plan is to used EtOH to perform the sterilization of drum and bottles, rinse with water two times and leave the bottle with water for sometime</t>
  </si>
  <si>
    <t>Total number of 60 mL bottles containing the spike:</t>
  </si>
  <si>
    <t>Total nitrite in the spiking solution in g:</t>
  </si>
  <si>
    <t>The first proposed batch was bottled in 2017-03 and the mass of each unti was recorded</t>
  </si>
  <si>
    <t>On 2022-06-08, I Inspected two boxes of material one box of MOOS candidate (box39 of 54) and one box of SEAN candidate (box 33 of 54)</t>
  </si>
  <si>
    <t>These units were left at RT till today where the mass of the units was meaured again</t>
  </si>
  <si>
    <t>Material</t>
  </si>
  <si>
    <t>Unit mass</t>
  </si>
  <si>
    <t>at Bottling</t>
  </si>
  <si>
    <t>Delta mass</t>
  </si>
  <si>
    <t>MOOS2123</t>
  </si>
  <si>
    <t>MOOS2148</t>
  </si>
  <si>
    <t>MOOS2161</t>
  </si>
  <si>
    <t>MOOS2120</t>
  </si>
  <si>
    <t>MOOS2168</t>
  </si>
  <si>
    <t>MOOS2124</t>
  </si>
  <si>
    <t>MOOS2155</t>
  </si>
  <si>
    <t>MOOS2118</t>
  </si>
  <si>
    <t>MOOS2143</t>
  </si>
  <si>
    <t>MOOS2140</t>
  </si>
  <si>
    <t>MOOS2160</t>
  </si>
  <si>
    <t>MOOS2117</t>
  </si>
  <si>
    <t>MOOS2131</t>
  </si>
  <si>
    <t>MOOS2127</t>
  </si>
  <si>
    <t>MOOS2125</t>
  </si>
  <si>
    <t>MOOS2156</t>
  </si>
  <si>
    <t>MOOS2169</t>
  </si>
  <si>
    <t>MOOS2134</t>
  </si>
  <si>
    <t>MOOS2149</t>
  </si>
  <si>
    <t>MOOS2165</t>
  </si>
  <si>
    <t>MOOS2142</t>
  </si>
  <si>
    <t>MOOS2141</t>
  </si>
  <si>
    <t>MOOS2138</t>
  </si>
  <si>
    <t>MOOS2153</t>
  </si>
  <si>
    <t>MOOS2135</t>
  </si>
  <si>
    <t>MOOS2136</t>
  </si>
  <si>
    <t>MOOS2129</t>
  </si>
  <si>
    <t>MOOS2121</t>
  </si>
  <si>
    <t>MOOS2167</t>
  </si>
  <si>
    <t>MOOS2122</t>
  </si>
  <si>
    <t>MOOS2137</t>
  </si>
  <si>
    <t>MOOS2163</t>
  </si>
  <si>
    <t>MOOS2164</t>
  </si>
  <si>
    <t>MOOS2151</t>
  </si>
  <si>
    <t>MOOS2119</t>
  </si>
  <si>
    <t>MOOS2116</t>
  </si>
  <si>
    <t>MOOS2145</t>
  </si>
  <si>
    <t>MOOS2139</t>
  </si>
  <si>
    <t>MOOS2152</t>
  </si>
  <si>
    <t>MOOS2128</t>
  </si>
  <si>
    <t>MOOS2146</t>
  </si>
  <si>
    <t>MOOS2162</t>
  </si>
  <si>
    <t>MOOS2126</t>
  </si>
  <si>
    <t>MOOS2157</t>
  </si>
  <si>
    <t>MOOS2158</t>
  </si>
  <si>
    <t>MOOS2166</t>
  </si>
  <si>
    <t>MOOS2130</t>
  </si>
  <si>
    <t>MOOS2133</t>
  </si>
  <si>
    <t>MOOS2144</t>
  </si>
  <si>
    <t>MOOS2159</t>
  </si>
  <si>
    <t>SEAN1840</t>
  </si>
  <si>
    <t>SEAN1828</t>
  </si>
  <si>
    <t>SEAN1830</t>
  </si>
  <si>
    <t>SEAN1811</t>
  </si>
  <si>
    <t>SEAN1829</t>
  </si>
  <si>
    <t>SEAN1820</t>
  </si>
  <si>
    <t>SEAN1809</t>
  </si>
  <si>
    <t>SEAN1810</t>
  </si>
  <si>
    <t>SEAN1807</t>
  </si>
  <si>
    <t>SEAN1796</t>
  </si>
  <si>
    <t>SEAN1839</t>
  </si>
  <si>
    <t>SEAN1842</t>
  </si>
  <si>
    <t>SEAN1819</t>
  </si>
  <si>
    <t>SEAN1832</t>
  </si>
  <si>
    <t>SEAN1795</t>
  </si>
  <si>
    <t>SEAN1837</t>
  </si>
  <si>
    <t>SEAN1806</t>
  </si>
  <si>
    <t>SEAN1818</t>
  </si>
  <si>
    <t>SEAN1826</t>
  </si>
  <si>
    <t>SEAN1797</t>
  </si>
  <si>
    <t>SEAN1805</t>
  </si>
  <si>
    <t>SEAN1838</t>
  </si>
  <si>
    <t>SEAN1827</t>
  </si>
  <si>
    <t>SEAN1798</t>
  </si>
  <si>
    <t>SEAN1835</t>
  </si>
  <si>
    <t>SEAN1815</t>
  </si>
  <si>
    <t>SEAN1823</t>
  </si>
  <si>
    <t>SEAN1816</t>
  </si>
  <si>
    <t>SEAN1824</t>
  </si>
  <si>
    <t>SEAN1825</t>
  </si>
  <si>
    <t>SEAN1802</t>
  </si>
  <si>
    <t>SEAN1794</t>
  </si>
  <si>
    <t>SEAN1834</t>
  </si>
  <si>
    <t>SEAN1803</t>
  </si>
  <si>
    <t>SEAN1792</t>
  </si>
  <si>
    <t>SEAN1822</t>
  </si>
  <si>
    <t>SEAN1833</t>
  </si>
  <si>
    <t>SEAN1814</t>
  </si>
  <si>
    <t>SEAN1791</t>
  </si>
  <si>
    <t>SEAN1801</t>
  </si>
  <si>
    <t>SEAN1789</t>
  </si>
  <si>
    <t>SEAN1800</t>
  </si>
  <si>
    <t>SEAN1812</t>
  </si>
  <si>
    <t>SEAN1836</t>
  </si>
  <si>
    <t>SEAN1813</t>
  </si>
  <si>
    <t>SEAN1821</t>
  </si>
  <si>
    <t>SEAN1790</t>
  </si>
  <si>
    <t>SEAN1831</t>
  </si>
  <si>
    <t>SEAN1799</t>
  </si>
  <si>
    <t>SEAN1788</t>
  </si>
  <si>
    <t>SD</t>
  </si>
  <si>
    <t>The traspiration is minimal, less than:</t>
  </si>
  <si>
    <t>Mass loss of old MOOS-4 and SEAN-1 material: traspiration from the irradiated bottles over 6 years</t>
  </si>
  <si>
    <t>The box was pulled from the cold room on 2023-06-08 and left at RT in B5 till today</t>
  </si>
  <si>
    <t>Starting from the MOOS-4 candidate box 39 after irradiation</t>
  </si>
  <si>
    <t>Five units of the material were analyzed</t>
  </si>
  <si>
    <t>IS</t>
  </si>
  <si>
    <t>The same internal standard used for the SALT-1 project was used for this screening in same proportion</t>
  </si>
  <si>
    <t>SALT-1 solution isotope ratio:</t>
  </si>
  <si>
    <t>SALT-1 solution mass fraction:</t>
  </si>
  <si>
    <t>Nitrate in MOOS-4 before irradiation:</t>
  </si>
  <si>
    <t>Nitrate in MOOS-4 after irradiation:</t>
  </si>
  <si>
    <t>The depletion is marginal, after sterilization the material seems to be stable even at RT</t>
  </si>
  <si>
    <t>Hom</t>
  </si>
  <si>
    <t>Homogeneiety is good</t>
  </si>
  <si>
    <t>the SALT-1 was the same solution used for the CCQM and given to Kenny at a certain point</t>
  </si>
  <si>
    <t>used a 5 cm cuvette zerod against GenPure water</t>
  </si>
  <si>
    <t>890 nm</t>
  </si>
  <si>
    <t>norm</t>
  </si>
  <si>
    <t>Homogeneiety</t>
  </si>
  <si>
    <t>average</t>
  </si>
  <si>
    <t>Before irradiation the phosphate mass fraction was:</t>
  </si>
  <si>
    <t>Today the mass fraction of phoshate is roughly:</t>
  </si>
  <si>
    <t>Area norm measured before irradiation was:</t>
  </si>
  <si>
    <t>Calcualtion of phosphate increase after irradiation</t>
  </si>
  <si>
    <t>Ratio 1</t>
  </si>
  <si>
    <t>Ratio 2</t>
  </si>
  <si>
    <t>After irradiation the phosphate is stable even at room temperature with light</t>
  </si>
  <si>
    <t>It was observed a slight increase of phosphate likely due to the irradiation process (+5-7 %)</t>
  </si>
  <si>
    <t>Within box homogeneiety is good</t>
  </si>
  <si>
    <t>used a 1 cm cuvette zerod against GenPure water</t>
  </si>
  <si>
    <t>The nitrite concentration is roughly half of that obtained for MOOS-3</t>
  </si>
  <si>
    <t>mg/kg nitrite</t>
  </si>
  <si>
    <t>After irradiation there is formation of nitrite (before irradiation it was undetected)</t>
  </si>
  <si>
    <t>This also explains why the nitrite mass fraction of the previous MOOS was so high</t>
  </si>
  <si>
    <t>The homogeneiety is not great but the re-mixing will help</t>
  </si>
  <si>
    <t>Screening nitrite on the starting material left at RT for 9 months after irradiation: nitrite formation</t>
  </si>
  <si>
    <t xml:space="preserve">Screening phosphate on the starting material left at RT for 9 months after irradiation: full recovery and homogenous </t>
  </si>
  <si>
    <t>Screening nitrate on the starting material left at RT for 9 months aftern irradiation: almost full recovery and homogenous</t>
  </si>
  <si>
    <t>Likely the depletion was cause by nitro/denitro bacteria during transportation (days that the material from cold room to irradiation, N was the only analyte that failed the long term stability)</t>
  </si>
  <si>
    <t>1. Use of old bottle is not suitable</t>
  </si>
  <si>
    <t>The nitrite did not survive the irradiation, no spiking is necessary anymore, see line:</t>
  </si>
  <si>
    <t>2. The nitrite spike</t>
  </si>
  <si>
    <t>MOOS001a</t>
  </si>
  <si>
    <t>MOOS360a</t>
  </si>
  <si>
    <t>Starting from the spike prepared as describe in line:</t>
  </si>
  <si>
    <t>It was observed that the spiking solution of nitrite is not good anymore</t>
  </si>
  <si>
    <t>541 nm</t>
  </si>
  <si>
    <t>Irradiated</t>
  </si>
  <si>
    <t>Non_irradiated</t>
  </si>
  <si>
    <t>After irradiation, 90 % of nitrite was lost</t>
  </si>
  <si>
    <t>However, this is not a concern as the irradiation allowed formation of nitrite in-situ</t>
  </si>
  <si>
    <t>Irradiation of the nitrite spike solution eliminates nitrite</t>
  </si>
  <si>
    <t>Brief short-term stability of the MOOS-4 starting material</t>
  </si>
  <si>
    <r>
      <t xml:space="preserve">The two half unit MOOS2122 were incubated in the 40 </t>
    </r>
    <r>
      <rPr>
        <sz val="11"/>
        <color theme="1"/>
        <rFont val="Calibri"/>
        <family val="2"/>
      </rPr>
      <t>°</t>
    </r>
    <r>
      <rPr>
        <sz val="11"/>
        <color theme="1"/>
        <rFont val="Arial"/>
        <family val="2"/>
      </rPr>
      <t>C oven</t>
    </r>
  </si>
  <si>
    <t>The other units (MOOS2159, MOOS2137 and MOOS2142) were kept in room B5 (RT in presence of light)</t>
  </si>
  <si>
    <t>Notes</t>
  </si>
  <si>
    <t>Analyzed</t>
  </si>
  <si>
    <t>date</t>
  </si>
  <si>
    <t>Blue series: internal use and archive</t>
  </si>
  <si>
    <t>Weighing the units of starting material after irradiation</t>
  </si>
  <si>
    <t>Box numbers of the starting material:</t>
  </si>
  <si>
    <t>Wipe with EtOH each unit and discard the moldy boxes</t>
  </si>
  <si>
    <t>Weighing the units after reblending and rebottling</t>
  </si>
  <si>
    <t>empty</t>
  </si>
  <si>
    <t>weight of empty unit: bottle + cap + serial label</t>
  </si>
  <si>
    <t>Weight</t>
  </si>
  <si>
    <t>after clean</t>
  </si>
  <si>
    <t xml:space="preserve">weight after clean: the bottle sterilized with EtOH and then rinsed with water. Bottle + cap + serial label + moisture that remains in the bottle after cleaning </t>
  </si>
  <si>
    <t>after bottling</t>
  </si>
  <si>
    <t>weight after bottling. Bottle + cap + serial label + moisture that remains in the bottle after cleaning + MOOS-4 sample</t>
  </si>
  <si>
    <t>1. Determination of nitrate by ID GC-MS</t>
  </si>
  <si>
    <t>MOOS2142T</t>
  </si>
  <si>
    <t>MOOS2159T</t>
  </si>
  <si>
    <t>MOOS2137T</t>
  </si>
  <si>
    <t>MOOS2152T</t>
  </si>
  <si>
    <t>MOOS2122T</t>
  </si>
  <si>
    <t>MOOS2164R</t>
  </si>
  <si>
    <t>IS = 15NO3 used for the SALT-1 certification</t>
  </si>
  <si>
    <t>0.1 mL of 1 % sulfamic acid</t>
  </si>
  <si>
    <t>0.05 mL of triethyloxonium tetrafluoroborate solution (1 g reagent + 1 g cold water)</t>
  </si>
  <si>
    <t>HS analysis with SALT1.M method</t>
  </si>
  <si>
    <t>"T" = unit trasfered into another bottles (not pre-cleaned)</t>
  </si>
  <si>
    <t>The non-sterile half of unit 2152 was kept uncapped in B3 for 5 hours (MOOS2152T)</t>
  </si>
  <si>
    <t>reference unit, open just the day of analysis after sterilization</t>
  </si>
  <si>
    <t>2. Determination of nitrite by UV-vis</t>
  </si>
  <si>
    <t>3. Determination of phosphate by UV-vis</t>
  </si>
  <si>
    <t>4. Determination of silicate by UV-vis</t>
  </si>
  <si>
    <t>810 nm</t>
  </si>
  <si>
    <t>5. Comparing nutrient data after transfer in unclean bottle</t>
  </si>
  <si>
    <t>the ratios are beterrn the response in the "T" bottle against irradiated bottle (e.g. signal in MOOS2142T / MOOS2142)</t>
  </si>
  <si>
    <t>Nitrite</t>
  </si>
  <si>
    <t>Silicate</t>
  </si>
  <si>
    <t>ratio</t>
  </si>
  <si>
    <t>"T" vs not "T"</t>
  </si>
  <si>
    <t>No loss of nutrient in this preliminary stability study</t>
  </si>
  <si>
    <t>Cleaning bottle test</t>
  </si>
  <si>
    <t>Bottle</t>
  </si>
  <si>
    <t>EtOH wash</t>
  </si>
  <si>
    <t>After</t>
  </si>
  <si>
    <t>water wash 1</t>
  </si>
  <si>
    <t>water wash 2</t>
  </si>
  <si>
    <t>water wash 3</t>
  </si>
  <si>
    <t>EtOH</t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</si>
  <si>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- 1</t>
    </r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</si>
  <si>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- 2</t>
    </r>
    <r>
      <rPr>
        <sz val="11"/>
        <color theme="1"/>
        <rFont val="Calibri"/>
        <family val="2"/>
        <scheme val="minor"/>
      </rPr>
      <t/>
    </r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</si>
  <si>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- 3</t>
    </r>
    <r>
      <rPr>
        <sz val="11"/>
        <color theme="1"/>
        <rFont val="Calibri"/>
        <family val="2"/>
        <scheme val="minor"/>
      </rPr>
      <t/>
    </r>
  </si>
  <si>
    <t>Standard deviation of the residual water</t>
  </si>
  <si>
    <t>Added hom component</t>
  </si>
  <si>
    <t>Dilution</t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</si>
  <si>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- 4</t>
    </r>
    <r>
      <rPr>
        <sz val="11"/>
        <color theme="1"/>
        <rFont val="Calibri"/>
        <family val="2"/>
        <scheme val="minor"/>
      </rPr>
      <t/>
    </r>
  </si>
  <si>
    <t>ng/g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</si>
  <si>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(EtOH)-1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</si>
  <si>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(EtOH)-2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</si>
  <si>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(EtOH)-3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</si>
  <si>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(EtOH)-4</t>
    </r>
    <r>
      <rPr>
        <sz val="11"/>
        <color theme="1"/>
        <rFont val="Calibri"/>
        <family val="2"/>
        <scheme val="minor"/>
      </rPr>
      <t/>
    </r>
  </si>
  <si>
    <t>One wash with EtOH sterilize the bottle</t>
  </si>
  <si>
    <t>three washes with 25 mL water removes the EtOH</t>
  </si>
  <si>
    <t>Then the bottle is stored with 50 mL of water for a few days both upright and upside down for removing all impurities</t>
  </si>
  <si>
    <t>After the cleaning the bottle is emptied but not dried</t>
  </si>
  <si>
    <t>Box</t>
  </si>
  <si>
    <t>N</t>
  </si>
  <si>
    <t>MOOS0384</t>
  </si>
  <si>
    <t>MOOS0341</t>
  </si>
  <si>
    <t>MOOS0347</t>
  </si>
  <si>
    <t>MOOS0352</t>
  </si>
  <si>
    <t>MOOS0360</t>
  </si>
  <si>
    <t>MOOS0371</t>
  </si>
  <si>
    <t>MOOS0344</t>
  </si>
  <si>
    <t>MOOS0353</t>
  </si>
  <si>
    <t>MOOS0364</t>
  </si>
  <si>
    <t>MOOS0365</t>
  </si>
  <si>
    <t>MOOS0385</t>
  </si>
  <si>
    <t>MOOS0370</t>
  </si>
  <si>
    <t>MOOS0348</t>
  </si>
  <si>
    <t>MOOS0343</t>
  </si>
  <si>
    <t>MOOS0359</t>
  </si>
  <si>
    <t>MOOS0355</t>
  </si>
  <si>
    <t>MOOS0372</t>
  </si>
  <si>
    <t>MOOS0381</t>
  </si>
  <si>
    <t>MOOS0374</t>
  </si>
  <si>
    <t>MOOS0367</t>
  </si>
  <si>
    <t>MOOS0351</t>
  </si>
  <si>
    <t>MOOS0340</t>
  </si>
  <si>
    <t>MOOS0350</t>
  </si>
  <si>
    <t>MOOS0369</t>
  </si>
  <si>
    <t>MOOS0345</t>
  </si>
  <si>
    <t>MOOS0357</t>
  </si>
  <si>
    <t>MOOS0354</t>
  </si>
  <si>
    <t>MOOS0346</t>
  </si>
  <si>
    <t>MOOS0363</t>
  </si>
  <si>
    <t>MOOS0380</t>
  </si>
  <si>
    <t>MOOS0342</t>
  </si>
  <si>
    <t>MOOS0338</t>
  </si>
  <si>
    <t>MOOS0361</t>
  </si>
  <si>
    <t>MOOS0379</t>
  </si>
  <si>
    <t>MOOS0356</t>
  </si>
  <si>
    <t>MOOS0366</t>
  </si>
  <si>
    <t>MOOS0376</t>
  </si>
  <si>
    <t>MOOS0336</t>
  </si>
  <si>
    <t>MOOS0373</t>
  </si>
  <si>
    <t>MOOS0382</t>
  </si>
  <si>
    <t>MOOS0362</t>
  </si>
  <si>
    <t>MOOS0339</t>
  </si>
  <si>
    <t>MOOS0349</t>
  </si>
  <si>
    <t>MOOS0358</t>
  </si>
  <si>
    <t>MOOS0334</t>
  </si>
  <si>
    <t>MOOS0333</t>
  </si>
  <si>
    <t>MOOS0337</t>
  </si>
  <si>
    <t>MOOS0383</t>
  </si>
  <si>
    <t>MOOS0335</t>
  </si>
  <si>
    <t>MOOS0368</t>
  </si>
  <si>
    <t>MOOS2967</t>
  </si>
  <si>
    <t>MOOS2978</t>
  </si>
  <si>
    <t>MOOS2987</t>
  </si>
  <si>
    <t>MOOS2979</t>
  </si>
  <si>
    <t>MOOS2982</t>
  </si>
  <si>
    <t>MOOS2962</t>
  </si>
  <si>
    <t>MOOS2948</t>
  </si>
  <si>
    <t>MOOS2961</t>
  </si>
  <si>
    <t>MOOS2949</t>
  </si>
  <si>
    <t>MOOS2960</t>
  </si>
  <si>
    <t>MOOS2957</t>
  </si>
  <si>
    <t>MOOS2968</t>
  </si>
  <si>
    <t>MOOS2973</t>
  </si>
  <si>
    <t>MOOS2966</t>
  </si>
  <si>
    <t>MOOS2983</t>
  </si>
  <si>
    <t>MOOS2954</t>
  </si>
  <si>
    <t>MOOS2952</t>
  </si>
  <si>
    <t>MOOS2980</t>
  </si>
  <si>
    <t>MOOS2981</t>
  </si>
  <si>
    <t>MOOS2971</t>
  </si>
  <si>
    <t>MOOS2964</t>
  </si>
  <si>
    <t>MOOS2984</t>
  </si>
  <si>
    <t>MOOS2951</t>
  </si>
  <si>
    <t>MOOS2963</t>
  </si>
  <si>
    <t>MOOS2985</t>
  </si>
  <si>
    <t>MOOS2969</t>
  </si>
  <si>
    <t>MOOS2986</t>
  </si>
  <si>
    <t>MOOS2974</t>
  </si>
  <si>
    <t>MOOS2977</t>
  </si>
  <si>
    <t>MOOS2959</t>
  </si>
  <si>
    <t>MOOS2947</t>
  </si>
  <si>
    <t>MOOS2975</t>
  </si>
  <si>
    <t>MOOS2970</t>
  </si>
  <si>
    <t>MOOS2956</t>
  </si>
  <si>
    <t>MOOS2953</t>
  </si>
  <si>
    <t>MOOS2965</t>
  </si>
  <si>
    <t>MOOS2958</t>
  </si>
  <si>
    <t>MOOS2950</t>
  </si>
  <si>
    <t>MOOS0068</t>
  </si>
  <si>
    <t>MOOS0083</t>
  </si>
  <si>
    <t>MOOS0113</t>
  </si>
  <si>
    <t>MOOS0110</t>
  </si>
  <si>
    <t>MOOS0107</t>
  </si>
  <si>
    <t>MOOS0063</t>
  </si>
  <si>
    <t>MOOS0064</t>
  </si>
  <si>
    <t>MOOS0070</t>
  </si>
  <si>
    <t>MOOS0103</t>
  </si>
  <si>
    <t>MOOS0092</t>
  </si>
  <si>
    <t>MOOS0058</t>
  </si>
  <si>
    <t>MOOS0108</t>
  </si>
  <si>
    <t>MOOS0093</t>
  </si>
  <si>
    <t>MOOS0111</t>
  </si>
  <si>
    <t>MOOS0076</t>
  </si>
  <si>
    <t>MOOS0073</t>
  </si>
  <si>
    <t>MOOS0088</t>
  </si>
  <si>
    <t>MOOS0089</t>
  </si>
  <si>
    <t>MOOS0114</t>
  </si>
  <si>
    <t>MOOS0102</t>
  </si>
  <si>
    <t>MOOS0071</t>
  </si>
  <si>
    <t>MOOS0099</t>
  </si>
  <si>
    <t>MOOS0065</t>
  </si>
  <si>
    <t>MOOS0112</t>
  </si>
  <si>
    <t>MOOS0100</t>
  </si>
  <si>
    <t>MOOS0062</t>
  </si>
  <si>
    <t>MOOS0085</t>
  </si>
  <si>
    <t>MOOS0090</t>
  </si>
  <si>
    <t>MOOS0097</t>
  </si>
  <si>
    <t>MOOS0104</t>
  </si>
  <si>
    <t>MOOS0082</t>
  </si>
  <si>
    <t>MOOS0109</t>
  </si>
  <si>
    <t>MOOS0077</t>
  </si>
  <si>
    <t>MOOS0105</t>
  </si>
  <si>
    <t>MOOS0066</t>
  </si>
  <si>
    <t>MOOS0086</t>
  </si>
  <si>
    <t>MOOS0087</t>
  </si>
  <si>
    <t>MOOS0067</t>
  </si>
  <si>
    <t>MOOS0084</t>
  </si>
  <si>
    <t>MOOS0095</t>
  </si>
  <si>
    <t>MOOS0079</t>
  </si>
  <si>
    <t>MOOS0115</t>
  </si>
  <si>
    <t>MOOS0081</t>
  </si>
  <si>
    <t>MOOS0074</t>
  </si>
  <si>
    <t>MOOS0106</t>
  </si>
  <si>
    <t>MOOS0096</t>
  </si>
  <si>
    <t>MOOS0072</t>
  </si>
  <si>
    <t>MOOS0091</t>
  </si>
  <si>
    <t>MOOS0080</t>
  </si>
  <si>
    <t>MOOS0098</t>
  </si>
  <si>
    <t>MOOS1336</t>
  </si>
  <si>
    <t>MOOS1332</t>
  </si>
  <si>
    <t>MOOS1304</t>
  </si>
  <si>
    <t>MOOS1327</t>
  </si>
  <si>
    <t>MOOS1285</t>
  </si>
  <si>
    <t>MOOS1287</t>
  </si>
  <si>
    <t>MOOS1302</t>
  </si>
  <si>
    <t>MOOS1293</t>
  </si>
  <si>
    <t>MOOS1317</t>
  </si>
  <si>
    <t>MOOS1334</t>
  </si>
  <si>
    <t>MOOS1335</t>
  </si>
  <si>
    <t>MOOS1282</t>
  </si>
  <si>
    <t>MOOS1329</t>
  </si>
  <si>
    <t>MOOS1316</t>
  </si>
  <si>
    <t>MOOS1297</t>
  </si>
  <si>
    <t>MOOS1324</t>
  </si>
  <si>
    <t>MOOS1290</t>
  </si>
  <si>
    <t>MOOS1279</t>
  </si>
  <si>
    <t>MOOS1318</t>
  </si>
  <si>
    <t>MOOS1306</t>
  </si>
  <si>
    <t>MOOS1312</t>
  </si>
  <si>
    <t>MOOS1313</t>
  </si>
  <si>
    <t>MOOS1298</t>
  </si>
  <si>
    <t>MOOS1331</t>
  </si>
  <si>
    <t>MOOS1308</t>
  </si>
  <si>
    <t>MOOS1299</t>
  </si>
  <si>
    <t>MOOS1319</t>
  </si>
  <si>
    <t>MOOS1303</t>
  </si>
  <si>
    <t>MOOS1281</t>
  </si>
  <si>
    <t>MOOS1330</t>
  </si>
  <si>
    <t>MOOS1301</t>
  </si>
  <si>
    <t>MOOS1315</t>
  </si>
  <si>
    <t>MOOS1310</t>
  </si>
  <si>
    <t>MOOS1321</t>
  </si>
  <si>
    <t>MOOS1328</t>
  </si>
  <si>
    <t>MOOS1311</t>
  </si>
  <si>
    <t>MOOS1307</t>
  </si>
  <si>
    <t>MOOS1291</t>
  </si>
  <si>
    <t>MOOS1305</t>
  </si>
  <si>
    <t>MOOS1323</t>
  </si>
  <si>
    <t>MOOS1288</t>
  </si>
  <si>
    <t>MOOS1309</t>
  </si>
  <si>
    <t>MOOS1283</t>
  </si>
  <si>
    <t>MOOS1296</t>
  </si>
  <si>
    <t>MOOS1286</t>
  </si>
  <si>
    <t>MOOS1325</t>
  </si>
  <si>
    <t>MOOS1294</t>
  </si>
  <si>
    <t>MOOS1326</t>
  </si>
  <si>
    <t>MOOS1292</t>
  </si>
  <si>
    <t>MOOS1280</t>
  </si>
  <si>
    <t>MOOS1519</t>
  </si>
  <si>
    <t>MOOS1542</t>
  </si>
  <si>
    <t>MOOS1523</t>
  </si>
  <si>
    <t>MOOS1543</t>
  </si>
  <si>
    <t>MOOS1551</t>
  </si>
  <si>
    <t>MOOS1555</t>
  </si>
  <si>
    <t>MOOS1534</t>
  </si>
  <si>
    <t>MOOS1527</t>
  </si>
  <si>
    <t>MOOS1525</t>
  </si>
  <si>
    <t>MOOS1533</t>
  </si>
  <si>
    <t>MOOS1544</t>
  </si>
  <si>
    <t>MOOS1532</t>
  </si>
  <si>
    <t>MOOS1563</t>
  </si>
  <si>
    <t>MOOS1529</t>
  </si>
  <si>
    <t>MOOS1540</t>
  </si>
  <si>
    <t>MOOS1521</t>
  </si>
  <si>
    <t>MOOS1511</t>
  </si>
  <si>
    <t>MOOS1553</t>
  </si>
  <si>
    <t>MOOS1516</t>
  </si>
  <si>
    <t>MOOS1545</t>
  </si>
  <si>
    <t>MOOS1546</t>
  </si>
  <si>
    <t>MOOS1600</t>
  </si>
  <si>
    <t>MOOS1512</t>
  </si>
  <si>
    <t>MOOS1505</t>
  </si>
  <si>
    <t>MOOS1550</t>
  </si>
  <si>
    <t>MOOS1522</t>
  </si>
  <si>
    <t>MOOS1562</t>
  </si>
  <si>
    <t>MOOS1549</t>
  </si>
  <si>
    <t>MOOS1536</t>
  </si>
  <si>
    <t>MOOS1538</t>
  </si>
  <si>
    <t>MOOS1557</t>
  </si>
  <si>
    <t>MOOS1556</t>
  </si>
  <si>
    <t>MOOS1520</t>
  </si>
  <si>
    <t>MOOS1548</t>
  </si>
  <si>
    <t>MOOS1554</t>
  </si>
  <si>
    <t>MOOS1558</t>
  </si>
  <si>
    <t>MOOS1559</t>
  </si>
  <si>
    <t>MOOS1561</t>
  </si>
  <si>
    <t>MOOS1514</t>
  </si>
  <si>
    <t>MOOS1524</t>
  </si>
  <si>
    <t>MOOS1535</t>
  </si>
  <si>
    <t>MOOS1537</t>
  </si>
  <si>
    <t>MOOS1530</t>
  </si>
  <si>
    <t>MOOS1510</t>
  </si>
  <si>
    <t>MOOS1518</t>
  </si>
  <si>
    <t>MOOS1539</t>
  </si>
  <si>
    <t>MOOS1541</t>
  </si>
  <si>
    <t>MOOS1547</t>
  </si>
  <si>
    <t>MOOS1513</t>
  </si>
  <si>
    <t>MOOS1564</t>
  </si>
  <si>
    <t>MOOS1507</t>
  </si>
  <si>
    <t>MOOS1568</t>
  </si>
  <si>
    <t>MOOS1613</t>
  </si>
  <si>
    <t>MOOS1592</t>
  </si>
  <si>
    <t>MOOS1579</t>
  </si>
  <si>
    <t>MOOS1573</t>
  </si>
  <si>
    <t>MOOS1591</t>
  </si>
  <si>
    <t>MOOS1586</t>
  </si>
  <si>
    <t>MOOS1612</t>
  </si>
  <si>
    <t>MOOS1596</t>
  </si>
  <si>
    <t>MOOS1581</t>
  </si>
  <si>
    <t>MOOS1585</t>
  </si>
  <si>
    <t>MOOS1508</t>
  </si>
  <si>
    <t>MOOS1593</t>
  </si>
  <si>
    <t>MOOS1572</t>
  </si>
  <si>
    <t>MOOS1606</t>
  </si>
  <si>
    <t>MOOS1580</t>
  </si>
  <si>
    <t>MOOS1566</t>
  </si>
  <si>
    <t>MOOS1610</t>
  </si>
  <si>
    <t>MOOS1576</t>
  </si>
  <si>
    <t>MOOS1611</t>
  </si>
  <si>
    <t>MOOS1575</t>
  </si>
  <si>
    <t>MOOS1605</t>
  </si>
  <si>
    <t>MOOS1570</t>
  </si>
  <si>
    <t>MOOS1614</t>
  </si>
  <si>
    <t>MOOS1589</t>
  </si>
  <si>
    <t>MOOS1597</t>
  </si>
  <si>
    <t>MOOS1608</t>
  </si>
  <si>
    <t>MOOS1587</t>
  </si>
  <si>
    <t>MOOS1609</t>
  </si>
  <si>
    <t>MOOS1603</t>
  </si>
  <si>
    <t>MOOS1607</t>
  </si>
  <si>
    <t>MOOS1604</t>
  </si>
  <si>
    <t>MOOS1571</t>
  </si>
  <si>
    <t>MOOS1594</t>
  </si>
  <si>
    <t>MOOS1578</t>
  </si>
  <si>
    <t>MOOS1601</t>
  </si>
  <si>
    <t>MOOS1574</t>
  </si>
  <si>
    <t>MOOS1599</t>
  </si>
  <si>
    <t>MOOS1567</t>
  </si>
  <si>
    <t>MOOS1615</t>
  </si>
  <si>
    <t>MOOS1577</t>
  </si>
  <si>
    <t>MOOS1616</t>
  </si>
  <si>
    <t>MOOS1584</t>
  </si>
  <si>
    <t>MOOS1569</t>
  </si>
  <si>
    <t>MOOS1602</t>
  </si>
  <si>
    <t>MOOS1590</t>
  </si>
  <si>
    <t>MOOS1565</t>
  </si>
  <si>
    <t>MOOS1588</t>
  </si>
  <si>
    <t>MOOS2067</t>
  </si>
  <si>
    <t>MOOS2074</t>
  </si>
  <si>
    <t>MOOS2111</t>
  </si>
  <si>
    <t>MOOS2066</t>
  </si>
  <si>
    <t>MOOS2058</t>
  </si>
  <si>
    <t>MOOS2069</t>
  </si>
  <si>
    <t>MOOS2096</t>
  </si>
  <si>
    <t>MOOS2094</t>
  </si>
  <si>
    <t>MOOS2100</t>
  </si>
  <si>
    <t>MOOS2097</t>
  </si>
  <si>
    <t>MOOS2115</t>
  </si>
  <si>
    <t>MOOS2072</t>
  </si>
  <si>
    <t>MOOS2103</t>
  </si>
  <si>
    <t>MOOS2061</t>
  </si>
  <si>
    <t>MOOS2102</t>
  </si>
  <si>
    <t>MOOS2068</t>
  </si>
  <si>
    <t>MOOS2055</t>
  </si>
  <si>
    <t>MOOS2079</t>
  </si>
  <si>
    <t>MOOS2099</t>
  </si>
  <si>
    <t>MOOS2110</t>
  </si>
  <si>
    <t>MOOS2077</t>
  </si>
  <si>
    <t>MOOS2098</t>
  </si>
  <si>
    <t>MOOS2113</t>
  </si>
  <si>
    <t>MOOS2073</t>
  </si>
  <si>
    <t>MOOS2114</t>
  </si>
  <si>
    <t>MOOS2080</t>
  </si>
  <si>
    <t>MOOS2095</t>
  </si>
  <si>
    <t>MOOS2070</t>
  </si>
  <si>
    <t>MOOS2075</t>
  </si>
  <si>
    <t>MOOS2059</t>
  </si>
  <si>
    <t>MOOS2091</t>
  </si>
  <si>
    <t>MOOS2064</t>
  </si>
  <si>
    <t>MOOS2078</t>
  </si>
  <si>
    <t>MOOS2060</t>
  </si>
  <si>
    <t>MOOS2087</t>
  </si>
  <si>
    <t>MOOS2082</t>
  </si>
  <si>
    <t>MOOS2105</t>
  </si>
  <si>
    <t>MOOS2106</t>
  </si>
  <si>
    <t>MOOS2112</t>
  </si>
  <si>
    <t>MOOS2090</t>
  </si>
  <si>
    <t>MOOS2101</t>
  </si>
  <si>
    <t>MOOS2089</t>
  </si>
  <si>
    <t>MOOS2093</t>
  </si>
  <si>
    <t>MOOS2071</t>
  </si>
  <si>
    <t>MOOS2088</t>
  </si>
  <si>
    <t>MOOS2056</t>
  </si>
  <si>
    <t>MOOS2104</t>
  </si>
  <si>
    <t>MOOS2081</t>
  </si>
  <si>
    <t>MOOS2065</t>
  </si>
  <si>
    <t>MOOS2108</t>
  </si>
  <si>
    <t>Total (g)</t>
  </si>
  <si>
    <t>Total (mL)</t>
  </si>
  <si>
    <t>Empty (g)</t>
  </si>
  <si>
    <t>Transp.</t>
  </si>
  <si>
    <t>N. new units</t>
  </si>
  <si>
    <t>(50 mL)</t>
  </si>
  <si>
    <t>2023-04-03: after the bottle has been kept full of water</t>
  </si>
  <si>
    <t>after 2 h</t>
  </si>
  <si>
    <t>after 4h</t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</si>
  <si>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- 5</t>
    </r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</si>
  <si>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- 6</t>
    </r>
    <r>
      <rPr>
        <sz val="11"/>
        <color theme="1"/>
        <rFont val="Calibri"/>
        <family val="2"/>
        <scheme val="minor"/>
      </rPr>
      <t/>
    </r>
  </si>
  <si>
    <r>
      <t>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 - 7</t>
    </r>
    <r>
      <rPr>
        <sz val="11"/>
        <color theme="1"/>
        <rFont val="Calibri"/>
        <family val="2"/>
        <scheme val="minor"/>
      </rPr>
      <t/>
    </r>
  </si>
  <si>
    <t>Screening of nutrient on the 7 boxes before reblending</t>
  </si>
  <si>
    <t>Measuring nutrients in the seven boxes selected for reblending</t>
  </si>
  <si>
    <t>REF (Box 39)</t>
  </si>
  <si>
    <t>REF</t>
  </si>
  <si>
    <t>The seven boxes are suitable for reblending</t>
  </si>
  <si>
    <t>The small differences in the BOX 54 are cosistent with the data acquired during the first processing</t>
  </si>
  <si>
    <t>Since the bottling was done over two days the second day some depletion in nutriet was observed expecially N and a little P</t>
  </si>
  <si>
    <t>Order of reblending</t>
  </si>
  <si>
    <t>EtOH interference on nitrite</t>
  </si>
  <si>
    <t>Determination of nitrite by UV-vis</t>
  </si>
  <si>
    <t>Y-1</t>
  </si>
  <si>
    <t>Y-2</t>
  </si>
  <si>
    <t>Y-3</t>
  </si>
  <si>
    <t>NO-1</t>
  </si>
  <si>
    <t>NO-2</t>
  </si>
  <si>
    <t>NO-3</t>
  </si>
  <si>
    <t>using MOOS 2126</t>
  </si>
  <si>
    <t>ppm level of EtOH do not interfere with nitrite assay</t>
  </si>
  <si>
    <t>Level of EtOH in seawater 2-33 nM ~ 0.45 ppb</t>
  </si>
  <si>
    <t>https://doi.org/10.1029/2010GL045534</t>
  </si>
  <si>
    <t xml:space="preserve">Date </t>
  </si>
  <si>
    <t>2023-04-24 and 2023-04-25</t>
  </si>
  <si>
    <t>Each bottle was rinsed with EtOH 95 % (sterilization), following rinsing three times with GenPure water (B3) and finally filled with GenPure water (B3)</t>
  </si>
  <si>
    <t>Cleaning of the bottles</t>
  </si>
  <si>
    <t>check</t>
  </si>
  <si>
    <r>
      <t>Storage,</t>
    </r>
    <r>
      <rPr>
        <b/>
        <i/>
        <sz val="11"/>
        <color theme="1"/>
        <rFont val="Arial"/>
        <family val="2"/>
      </rPr>
      <t xml:space="preserve"> t</t>
    </r>
  </si>
  <si>
    <t>From</t>
  </si>
  <si>
    <t>Until</t>
  </si>
  <si>
    <t>Thermostat = 40 °C in lab B5</t>
  </si>
  <si>
    <t>Reference conditions: fridge of B5 lab (4 °C)</t>
  </si>
  <si>
    <t>Days</t>
  </si>
  <si>
    <t>n.</t>
  </si>
  <si>
    <t># ref</t>
  </si>
  <si>
    <t>During cleaning the bottles were kept in both upside up and down position.</t>
  </si>
  <si>
    <t>The bottle were emptyed and left for 2+ hours with the cap loose. Then the cap was tight and the bottles were weighed</t>
  </si>
  <si>
    <t>The 20 L carboy for the blending was cleaned with EtOH, rinsed three time in water and kept full or water overnight</t>
  </si>
  <si>
    <t>The MOOS-4 starting material was blended inside the carboy</t>
  </si>
  <si>
    <t>The content was manually homogenized followign the bottling</t>
  </si>
  <si>
    <t>The Nalgene bottles were tight with the Kinnex Capper position 0 + 3 clicks on the right</t>
  </si>
  <si>
    <t>Bottling of the MOOS-4 was done on 2023-05-03 in lab B3 (EP performing all operations)</t>
  </si>
  <si>
    <t>At 09:20 AM: room temperature was 18.8 °C and RH 42 %</t>
  </si>
  <si>
    <t>Meter B5 065825 SPER SCIENTIFIC</t>
  </si>
  <si>
    <t>At 09:30 AM: started blending the MOOS-4 starting material</t>
  </si>
  <si>
    <t>At 10:45 AM: started bottling (room temperature was 18.4 °C and RH 42 %)</t>
  </si>
  <si>
    <t>At 10:35 AM: finished re-blending and homogenization (room temperature was 18.6 °C and RH 42 %)</t>
  </si>
  <si>
    <t>At 12:50 AM: finished bottling (room temperature was 18.5 °C and RH 40 %)</t>
  </si>
  <si>
    <t>The material was thermosealed in trilaminated bags and stored in the cold room (NRC M12, 2023-05-04)</t>
  </si>
  <si>
    <t>Five units of the material were opend and half of their content was transferred into a bottle just cleaned with GenPure water</t>
  </si>
  <si>
    <t>N (blended)</t>
  </si>
  <si>
    <r>
      <rPr>
        <i/>
        <sz val="11"/>
        <color theme="1"/>
        <rFont val="Arial"/>
        <family val="2"/>
      </rPr>
      <t>r</t>
    </r>
    <r>
      <rPr>
        <vertAlign val="subscript"/>
        <sz val="11"/>
        <color theme="1"/>
        <rFont val="Arial"/>
        <family val="2"/>
      </rPr>
      <t>AB</t>
    </r>
  </si>
  <si>
    <t>This ratio was obtained by using the SALT-1 internal standard</t>
  </si>
  <si>
    <t>Internal standard solution for SALT-1 project</t>
  </si>
  <si>
    <t>CIL K(15NO3) 15N 99 % NLM-765-1</t>
  </si>
  <si>
    <t>Lot#: I1-12511L</t>
  </si>
  <si>
    <t>water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</si>
  <si>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>)</t>
    </r>
  </si>
  <si>
    <r>
      <t>K</t>
    </r>
    <r>
      <rPr>
        <vertAlign val="superscript"/>
        <sz val="11"/>
        <color theme="1"/>
        <rFont val="Arial"/>
        <family val="2"/>
      </rPr>
      <t>15</t>
    </r>
    <r>
      <rPr>
        <sz val="11"/>
        <color theme="1"/>
        <rFont val="Arial"/>
        <family val="2"/>
      </rPr>
      <t>NO</t>
    </r>
    <r>
      <rPr>
        <vertAlign val="subscript"/>
        <sz val="11"/>
        <color theme="1"/>
        <rFont val="Arial"/>
        <family val="2"/>
      </rPr>
      <t>3</t>
    </r>
  </si>
  <si>
    <t>~ 959</t>
  </si>
  <si>
    <t>Dilution from previous solution</t>
  </si>
  <si>
    <t>μg/g</t>
  </si>
  <si>
    <t>mL</t>
  </si>
  <si>
    <t xml:space="preserve"> + water</t>
  </si>
  <si>
    <t>~ 11.76</t>
  </si>
  <si>
    <t>weighted average</t>
  </si>
  <si>
    <t xml:space="preserve">Preparation of the solution for the MOOS-4 certification 50 mL </t>
  </si>
  <si>
    <t>Dilution from 15NO3- standard solution E PAGLIANO 31-03-2017</t>
  </si>
  <si>
    <t>15NO3- standard solution E PAGLIANO 31-03-2017</t>
  </si>
  <si>
    <r>
      <t xml:space="preserve">Cold (4 </t>
    </r>
    <r>
      <rPr>
        <sz val="11"/>
        <color theme="1"/>
        <rFont val="Calibri"/>
        <family val="2"/>
      </rPr>
      <t>°</t>
    </r>
    <r>
      <rPr>
        <sz val="11"/>
        <color theme="1"/>
        <rFont val="Arial"/>
        <family val="2"/>
      </rPr>
      <t>C) bottle off the fridge (Nalgene 65 mL narrow neck)</t>
    </r>
  </si>
  <si>
    <t>RT = room temperature ~ 21°C in lab B5 (CTC CombiPAL drawer (no light))</t>
  </si>
  <si>
    <t>MOOS009a</t>
  </si>
  <si>
    <t>MOOS047a</t>
  </si>
  <si>
    <t>MOOS085a</t>
  </si>
  <si>
    <t>MOOS123a</t>
  </si>
  <si>
    <t>MOOS161a</t>
  </si>
  <si>
    <t>MOOS199a</t>
  </si>
  <si>
    <t>MOOS237a</t>
  </si>
  <si>
    <t>MOOS275a</t>
  </si>
  <si>
    <t>MOOS313a</t>
  </si>
  <si>
    <t>MOOS351a</t>
  </si>
  <si>
    <t>Mass</t>
  </si>
  <si>
    <t>BLK-IS</t>
  </si>
  <si>
    <t>MOOS009a1</t>
  </si>
  <si>
    <t>MOOS009a2</t>
  </si>
  <si>
    <t>MOOS047a1</t>
  </si>
  <si>
    <t>MOOS047a2</t>
  </si>
  <si>
    <t>MOOS085a1</t>
  </si>
  <si>
    <t>MOOS085a2</t>
  </si>
  <si>
    <t>MOOS123a1</t>
  </si>
  <si>
    <t>MOOS123a2</t>
  </si>
  <si>
    <t>MOOS161a1</t>
  </si>
  <si>
    <t>MOOS161a2</t>
  </si>
  <si>
    <t>MOOS199a1</t>
  </si>
  <si>
    <t>MOOS199a2</t>
  </si>
  <si>
    <t>MOOS237a1</t>
  </si>
  <si>
    <t>MOOS237a2</t>
  </si>
  <si>
    <t>MOOS275a1</t>
  </si>
  <si>
    <t>MOOS275a2</t>
  </si>
  <si>
    <t>MOOS313a1</t>
  </si>
  <si>
    <t>MOOS313a2</t>
  </si>
  <si>
    <t>MOOS351a1</t>
  </si>
  <si>
    <t>MOOS351a2</t>
  </si>
  <si>
    <t>BLK = reagent blank with 2.0 mL of Genpure water</t>
  </si>
  <si>
    <t>100 μL of 1 % sulfamic acid + 50 μL of Et3OBF4 aqueous solution</t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</si>
  <si>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AB-NORM</t>
    </r>
  </si>
  <si>
    <t>BLK1</t>
  </si>
  <si>
    <t>BLK2</t>
  </si>
  <si>
    <t>BLK = reagent blank with LNSW</t>
  </si>
  <si>
    <t>Zero the instrument against cuvette + GenPure water</t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</si>
  <si>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NORM</t>
    </r>
  </si>
  <si>
    <t>Random</t>
  </si>
  <si>
    <t>nitrate</t>
  </si>
  <si>
    <t>nitrite</t>
  </si>
  <si>
    <t>silicate</t>
  </si>
  <si>
    <t>Randomization of injection order</t>
  </si>
  <si>
    <t>Used the Rand() function followed by the ordering A to Z</t>
  </si>
  <si>
    <t>Weight of the units and transpiration loss</t>
  </si>
  <si>
    <t>Mass loss</t>
  </si>
  <si>
    <t>VOID.D</t>
  </si>
  <si>
    <t>BLK.D</t>
  </si>
  <si>
    <t>BLK-IS.D</t>
  </si>
  <si>
    <t>MOOS351A2.D</t>
  </si>
  <si>
    <t>MOOS161A1.D</t>
  </si>
  <si>
    <t>MOOS123A2.D</t>
  </si>
  <si>
    <t>MOOS161A2.D</t>
  </si>
  <si>
    <t>MOOS275A1.D</t>
  </si>
  <si>
    <t>MOOS009A2.D</t>
  </si>
  <si>
    <t>MOOS313A2.D</t>
  </si>
  <si>
    <t>MOOS199A1.D</t>
  </si>
  <si>
    <t>MOOS237A2.D</t>
  </si>
  <si>
    <t>MOOS047A2.D</t>
  </si>
  <si>
    <t>MOOS085A1.D</t>
  </si>
  <si>
    <t>MOOS199A2.D</t>
  </si>
  <si>
    <t>MOOS123A1.D</t>
  </si>
  <si>
    <t>MOOS009A1.D</t>
  </si>
  <si>
    <t>MOOS313A1.D</t>
  </si>
  <si>
    <t>MOOS275A2.D</t>
  </si>
  <si>
    <t>MOOS047A1.D</t>
  </si>
  <si>
    <t>MOOS351A1.D</t>
  </si>
  <si>
    <t>MOOS085A2.D</t>
  </si>
  <si>
    <t>MOOS237A1.D</t>
  </si>
  <si>
    <t>46/47</t>
  </si>
  <si>
    <t>sample</t>
  </si>
  <si>
    <t>name</t>
  </si>
  <si>
    <t>2024-01-16 Correction because of miss-labeling</t>
  </si>
  <si>
    <t>blank contribution</t>
  </si>
  <si>
    <t xml:space="preserve">Estimation of the standard deviation on the single measurement </t>
  </si>
  <si>
    <t>uncertainty</t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</si>
  <si>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AB-NORM-2</t>
    </r>
  </si>
  <si>
    <t>Isochronous study on nitrate at 21 °C</t>
  </si>
  <si>
    <t>Isochronous study on nitrate at 40 °C</t>
  </si>
  <si>
    <t>Conclusion</t>
  </si>
  <si>
    <t>Nitrate is stable under transportation conditions</t>
  </si>
  <si>
    <t>No clear pattern in the isochronous study</t>
  </si>
  <si>
    <t xml:space="preserve">Very tight uncertainty </t>
  </si>
  <si>
    <t>Nitrate ANOVA experiment</t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</si>
  <si>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AB-NORM-I</t>
    </r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</si>
  <si>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AB-NORM-II</t>
    </r>
  </si>
  <si>
    <t>Anova: Single Factor</t>
  </si>
  <si>
    <t>SUMMARY</t>
  </si>
  <si>
    <t>Groups</t>
  </si>
  <si>
    <t>Count</t>
  </si>
  <si>
    <t>Sum</t>
  </si>
  <si>
    <t>ANOVA</t>
  </si>
  <si>
    <t>Source of Variation</t>
  </si>
  <si>
    <t>SS</t>
  </si>
  <si>
    <t>MS</t>
  </si>
  <si>
    <t>F</t>
  </si>
  <si>
    <t>P-value</t>
  </si>
  <si>
    <t>F crit</t>
  </si>
  <si>
    <t>Between Groups</t>
  </si>
  <si>
    <t>Within Groups</t>
  </si>
  <si>
    <t>Total</t>
  </si>
  <si>
    <t>Between groups: Mb</t>
  </si>
  <si>
    <t>Within groups: Mw</t>
  </si>
  <si>
    <t>Homogeneiety uncertainty component on nitrate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</si>
  <si>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</si>
  <si>
    <t>k = 1</t>
  </si>
  <si>
    <t>Method uncertainty component on nitrate</t>
  </si>
  <si>
    <t>Ellison et al. textbook P65</t>
  </si>
  <si>
    <t>RSD of all 20 data</t>
  </si>
  <si>
    <t>median of the RSD of repeted measurement</t>
  </si>
  <si>
    <t>RSD from the factor way ANOVA</t>
  </si>
  <si>
    <t>F&gt;Fcrit, there is a small homogeneiety component</t>
  </si>
  <si>
    <t>541nm (Abs)</t>
  </si>
  <si>
    <t>1/15/2024 11:36:45 AM</t>
  </si>
  <si>
    <t>1/15/2024 11:37:40 AM</t>
  </si>
  <si>
    <t>1/15/2024 11:38:52 AM</t>
  </si>
  <si>
    <t>1/15/2024 11:39:47 AM</t>
  </si>
  <si>
    <t>1/15/2024 11:40:38 AM</t>
  </si>
  <si>
    <t>1/15/2024 11:41:33 AM</t>
  </si>
  <si>
    <t>1/15/2024 11:42:28 AM</t>
  </si>
  <si>
    <t>1/15/2024 11:43:20 AM</t>
  </si>
  <si>
    <t>1/15/2024 11:44:14 AM</t>
  </si>
  <si>
    <t>1/15/2024 11:45:23 AM</t>
  </si>
  <si>
    <t>1/15/2024 11:46:17 AM</t>
  </si>
  <si>
    <t>1/15/2024 11:47:11 AM</t>
  </si>
  <si>
    <t>1/15/2024 11:48:04 AM</t>
  </si>
  <si>
    <t>1/15/2024 11:48:57 AM</t>
  </si>
  <si>
    <t>1/15/2024 11:49:57 AM</t>
  </si>
  <si>
    <t>1/15/2024 11:51:03 AM</t>
  </si>
  <si>
    <t>1/15/2024 11:51:59 AM</t>
  </si>
  <si>
    <t>1/15/2024 11:52:55 AM</t>
  </si>
  <si>
    <t>1/15/2024 11:53:56 AM</t>
  </si>
  <si>
    <t>1/15/2024 11:55:00 AM</t>
  </si>
  <si>
    <t>1/15/2024 11:56:03 AM</t>
  </si>
  <si>
    <t>1/15/2024 11:57:02 AM</t>
  </si>
  <si>
    <t>Isochronous study on nitrite at 21 °C</t>
  </si>
  <si>
    <t>Isochronous study on nitrite at 40 °C</t>
  </si>
  <si>
    <t>F&lt;Fcrit, single factor anova does not find an uncertainty component</t>
  </si>
  <si>
    <t>1/15/2024 1:28:07 PM</t>
  </si>
  <si>
    <t>1/15/2024 1:29:24 PM</t>
  </si>
  <si>
    <t>1/15/2024 1:30:57 PM</t>
  </si>
  <si>
    <t>1/15/2024 1:32:06 PM</t>
  </si>
  <si>
    <t>1/15/2024 1:33:08 PM</t>
  </si>
  <si>
    <t>1/15/2024 1:34:03 PM</t>
  </si>
  <si>
    <t>1/15/2024 1:34:52 PM</t>
  </si>
  <si>
    <t>1/15/2024 1:35:44 PM</t>
  </si>
  <si>
    <t>1/15/2024 1:36:51 PM</t>
  </si>
  <si>
    <t>1/15/2024 1:37:47 PM</t>
  </si>
  <si>
    <t>1/15/2024 1:38:43 PM</t>
  </si>
  <si>
    <t>1/15/2024 1:39:42 PM</t>
  </si>
  <si>
    <t>1/15/2024 1:40:47 PM</t>
  </si>
  <si>
    <t>1/15/2024 1:41:54 PM</t>
  </si>
  <si>
    <t>1/15/2024 1:42:47 PM</t>
  </si>
  <si>
    <t>1/15/2024 1:43:31 PM</t>
  </si>
  <si>
    <t>1/15/2024 1:44:23 PM</t>
  </si>
  <si>
    <t>1/15/2024 1:45:11 PM</t>
  </si>
  <si>
    <t>1/15/2024 1:46:11 PM</t>
  </si>
  <si>
    <t>1/15/2024 1:47:20 PM</t>
  </si>
  <si>
    <t>1/15/2024 1:48:16 PM</t>
  </si>
  <si>
    <t>1/15/2024 1:49:13 PM</t>
  </si>
  <si>
    <t>Isochronous study on phosphate at 21 °C</t>
  </si>
  <si>
    <t>Isochronous study on phosphate at 40 °C</t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</si>
  <si>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NORM-2</t>
    </r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</si>
  <si>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NORM-I</t>
    </r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</si>
  <si>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NORM-II</t>
    </r>
  </si>
  <si>
    <t>Nitrite is stable under transportation conditions</t>
  </si>
  <si>
    <t>F&gt;Fcrit, single factor anova finds an uncertainty component</t>
  </si>
  <si>
    <t>Homogeneiety uncertainty component on phosphate</t>
  </si>
  <si>
    <t>Method uncertainty component on phosphate</t>
  </si>
  <si>
    <t>Homogeneiety uncertainty component on nitrite</t>
  </si>
  <si>
    <t>Method uncertainty component on nitrite</t>
  </si>
  <si>
    <t>810nm (Abs)</t>
  </si>
  <si>
    <t>1/15/2024 3:59:38 PM</t>
  </si>
  <si>
    <t>1/15/2024 4:00:43 PM</t>
  </si>
  <si>
    <t>1/15/2024 4:01:44 PM</t>
  </si>
  <si>
    <t>1/15/2024 4:02:36 PM</t>
  </si>
  <si>
    <t>1/15/2024 4:03:17 PM</t>
  </si>
  <si>
    <t>1/15/2024 4:04:05 PM</t>
  </si>
  <si>
    <t>1/15/2024 4:04:43 PM</t>
  </si>
  <si>
    <t>1/15/2024 4:05:28 PM</t>
  </si>
  <si>
    <t>1/15/2024 4:06:19 PM</t>
  </si>
  <si>
    <t>1/15/2024 4:07:14 PM</t>
  </si>
  <si>
    <t>1/15/2024 4:08:07 PM</t>
  </si>
  <si>
    <t>1/15/2024 4:09:03 PM</t>
  </si>
  <si>
    <t>1/15/2024 4:10:08 PM</t>
  </si>
  <si>
    <t>1/15/2024 4:11:03 PM</t>
  </si>
  <si>
    <t>1/15/2024 4:12:15 PM</t>
  </si>
  <si>
    <t>1/15/2024 4:13:05 PM</t>
  </si>
  <si>
    <t>1/15/2024 4:13:57 PM</t>
  </si>
  <si>
    <t>1/15/2024 4:14:50 PM</t>
  </si>
  <si>
    <t>1/15/2024 4:15:38 PM</t>
  </si>
  <si>
    <t>1/15/2024 4:16:29 PM</t>
  </si>
  <si>
    <t>1/15/2024 4:17:16 PM</t>
  </si>
  <si>
    <t>1/15/2024 4:18:05 PM</t>
  </si>
  <si>
    <t>Silicate is stable under transportation conditions</t>
  </si>
  <si>
    <t>see SHORT_HOM tab</t>
  </si>
  <si>
    <t>Homogeneiety uncertainty component on silicate</t>
  </si>
  <si>
    <t>Method uncertainty component on silicate</t>
  </si>
  <si>
    <t>Isochronous study on silicate at 21 °C</t>
  </si>
  <si>
    <t>Isochronous study on silicate at 40 °C</t>
  </si>
  <si>
    <t>s</t>
  </si>
  <si>
    <t>n</t>
  </si>
  <si>
    <t>1.52004846717576E-04, 1.52108798470491E-04, 1.52525173433336E-04, 1.52777573979824E-04, 1.52496180080492E-04, 1.51840871768759E-04, 1.52358292670323E-04, 1.52103273857238E-04, 1.52521507269433E-04, 1.52915006253799E-04</t>
  </si>
  <si>
    <t>9.60119751946321E-02, 9.60776350294193E-02, 9.63406331078862E-02, 9.65000587810263E-02, 0.096322319816342, 0.095908402452984, 9.62352249447595E-02, 9.60741454760132E-02, 9.63383174209506E-02, 9.65868661714798E-02</t>
  </si>
  <si>
    <t>Run on 2024-01-17</t>
  </si>
  <si>
    <t>&gt; dsl(x, s, n)$method.details$tau/dsl(x, s, n)$method.details$mu</t>
  </si>
  <si>
    <t>8.94274618646746E-02, 8.90714197921282E-02, 8.80756829735431E-02, 8.97299273750277E-02, 8.96991506418348E-02, 8.93079028410775E-02, 8.86038185199901E-02, 8.96547062081091E-02, 8.88068035670311E-02, 8.83700714044544E-02</t>
  </si>
  <si>
    <t>5.47826519733884E-04, 5.45645430330081E-04, 5.39545614630047E-04, 5.49679402779217E-04, 5.4949086661502E-04, 5.47094109326227E-04, 5.42780936893756E-04, 5.49218603051437E-04, 5.44024409419532E-04, 5.41349018038724E-04</t>
  </si>
  <si>
    <t>Phosphate DLS (R MetRology) experiment</t>
  </si>
  <si>
    <t>0.304655270575334, 0.305263388296773, 0.304813689854298, 0.304922794485598, 0.306705767142286, 0.305276222348644, 0.305399604517702, 0.305388757594469, 0.307313192683291, 0.307919556839951</t>
  </si>
  <si>
    <t>4.46030953237752E-04, 4.46921268794945E-04, 4.46262887193379E-04, 4.46422621973642E-04, 4.49032985458108E-04, 4.46940058505621E-04, 4.47120696333989E-04, 4.47104815881632E-04, 4.49922287627618E-04, 4.50810035875968E-04</t>
  </si>
  <si>
    <t>Silicate DLS (R MetRology) experiment</t>
  </si>
  <si>
    <t>Silicate ANOVA experiment</t>
  </si>
  <si>
    <t>Phosphate ANOVA experiment</t>
  </si>
  <si>
    <t>Nitrite ANOVA experiment</t>
  </si>
  <si>
    <t>0.1333172613285, 0.133930960848318, 0.133781694456943, 0.133867873554469, 0.132295113360174, 0.132438583342709, 0.132852676090355, 0.131339020215813, 0.132303100262537, 0.132012063411144</t>
  </si>
  <si>
    <t>1.1569234362299E-03, 1.16224910336561E-03, 1.16095377382837E-03, 1.16170163360773E-03, 1.14805326497025E-03, 1.14929829343495E-03, 1.15289177862772E-03, 1.1397563156112E-03, 1.14812257508385E-03, 1.1455969654904E-03</t>
  </si>
  <si>
    <t>Blank + matrix</t>
  </si>
  <si>
    <t>MOOS-4</t>
  </si>
  <si>
    <t>MOOS085a + MOOS237a</t>
  </si>
  <si>
    <t>MOOS199a + MOOS275a</t>
  </si>
  <si>
    <t>MOOS009a + MOOS047a</t>
  </si>
  <si>
    <t>40-43</t>
  </si>
  <si>
    <t>Mass load</t>
  </si>
  <si>
    <t>Mass unload</t>
  </si>
  <si>
    <t>Trilaminated</t>
  </si>
  <si>
    <t>bag?</t>
  </si>
  <si>
    <t>NO</t>
  </si>
  <si>
    <t>YES</t>
  </si>
  <si>
    <t>Start of the experiment</t>
  </si>
  <si>
    <t>End of the experiment</t>
  </si>
  <si>
    <t>Number of days at 40-43 °C</t>
  </si>
  <si>
    <t>Testing the transpiration loss at 40 °C in a trilaminate bag</t>
  </si>
  <si>
    <t>Mass_0</t>
  </si>
  <si>
    <t>Mass_1</t>
  </si>
  <si>
    <r>
      <t xml:space="preserve">Preparation of the 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 xml:space="preserve"> internal standard with exact-matching</t>
    </r>
  </si>
  <si>
    <r>
      <t xml:space="preserve">Preparation of the 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 xml:space="preserve"> and 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 xml:space="preserve"> internal standard with exact-matching for simultaneous determination</t>
    </r>
  </si>
  <si>
    <t xml:space="preserve">Preparation of the solution for the MOOS-4 certification 100 mL </t>
  </si>
  <si>
    <t>15NO2- standard solution E PAGLIANO 2019/04/04</t>
  </si>
  <si>
    <t>CIL NaNO2 15N 99 % NLM-658-1</t>
  </si>
  <si>
    <r>
      <t>Na</t>
    </r>
    <r>
      <rPr>
        <vertAlign val="superscript"/>
        <sz val="11"/>
        <color theme="1"/>
        <rFont val="Arial"/>
        <family val="2"/>
      </rPr>
      <t>15</t>
    </r>
    <r>
      <rPr>
        <sz val="11"/>
        <color theme="1"/>
        <rFont val="Arial"/>
        <family val="2"/>
      </rPr>
      <t>NO</t>
    </r>
    <r>
      <rPr>
        <vertAlign val="subscript"/>
        <sz val="11"/>
        <color theme="1"/>
        <rFont val="Arial"/>
        <family val="2"/>
      </rPr>
      <t>2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</si>
  <si>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>)</t>
    </r>
  </si>
  <si>
    <t>Sol pH 11</t>
  </si>
  <si>
    <t>Gen pure water pH corrected with NaOH 10 N</t>
  </si>
  <si>
    <t>97.96 mL of GenPure water + 2.04 mL of concentrated sulfuric acid</t>
  </si>
  <si>
    <r>
      <t xml:space="preserve">2. Preparation of internal standard </t>
    </r>
    <r>
      <rPr>
        <b/>
        <vertAlign val="superscript"/>
        <sz val="11"/>
        <color theme="1"/>
        <rFont val="Arial"/>
        <family val="2"/>
      </rPr>
      <t>15</t>
    </r>
    <r>
      <rPr>
        <b/>
        <sz val="11"/>
        <color theme="1"/>
        <rFont val="Arial"/>
        <family val="2"/>
      </rPr>
      <t>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Arial"/>
        <family val="2"/>
      </rPr>
      <t>-</t>
    </r>
  </si>
  <si>
    <t xml:space="preserve"> + standard</t>
  </si>
  <si>
    <t>Product no.: 67276</t>
  </si>
  <si>
    <t>Lot no.: BCCK5026</t>
  </si>
  <si>
    <t>Nitrite 1001 mg kg-1 ± 4 mg kg-1 1000 mg L-1 ± 4 mg L-1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</si>
  <si>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>) μg/g</t>
    </r>
  </si>
  <si>
    <t>ID: NO2-SAMPLE</t>
  </si>
  <si>
    <t xml:space="preserve"> + 1% sulfamic</t>
  </si>
  <si>
    <t>ID: NO2-SAMPLE-SULF</t>
  </si>
  <si>
    <t>4. Preparation of the sample dilution from the Sigma Aldrich standard with nitrite elimination by sulfamic acid</t>
  </si>
  <si>
    <t>ID: BLANK-SULF</t>
  </si>
  <si>
    <t>5. Preparation of blank sulfamic acid</t>
  </si>
  <si>
    <t>6. Preparation of the primary standard from NIST</t>
  </si>
  <si>
    <t>ST1</t>
  </si>
  <si>
    <t>ST2</t>
  </si>
  <si>
    <t>ST3</t>
  </si>
  <si>
    <t>7. Preparation of the sample blends</t>
  </si>
  <si>
    <t>AB-2A</t>
  </si>
  <si>
    <t>AB-2B</t>
  </si>
  <si>
    <t>AB-2C</t>
  </si>
  <si>
    <t>S1</t>
  </si>
  <si>
    <t>S2</t>
  </si>
  <si>
    <t>S3</t>
  </si>
  <si>
    <t>BLK3</t>
  </si>
  <si>
    <t>SULF-BLK1</t>
  </si>
  <si>
    <t>SULF-BLK2</t>
  </si>
  <si>
    <t>SULF-BLK3</t>
  </si>
  <si>
    <t>SULF-S1</t>
  </si>
  <si>
    <t>SULF-S2</t>
  </si>
  <si>
    <t>SULF-S3</t>
  </si>
  <si>
    <t>GenPure</t>
  </si>
  <si>
    <t>BLK sulf</t>
  </si>
  <si>
    <t>Sample sulf</t>
  </si>
  <si>
    <t xml:space="preserve">From </t>
  </si>
  <si>
    <t>Prepare 11 vials with 1 mL of 0.75 N sulfuric acid + 0.1 mL of 0.1 N potassium permanganate</t>
  </si>
  <si>
    <t>Prepare 6 vials with 1.1 mL of water</t>
  </si>
  <si>
    <t>Add 0.2 mL fo the previous blend (6 SULF blends just water dilution, no KMnO4)</t>
  </si>
  <si>
    <t>Immersion of the pipette tip</t>
  </si>
  <si>
    <t>Mix and wait 10 minutes</t>
  </si>
  <si>
    <t>In 17 combiPAL vial 10 mL transfer 1.5 mL of water + 0.5 mL of the digested sample + 50 uL of oxonium solution in water</t>
  </si>
  <si>
    <t>Development of novel method for the determination of nitrite by GC-MS following derivatization with triethyloxonium</t>
  </si>
  <si>
    <t>#Point</t>
  </si>
  <si>
    <t>X(Thompsons)</t>
  </si>
  <si>
    <t>Y(Counts)</t>
  </si>
  <si>
    <t>Y(norm)</t>
  </si>
  <si>
    <r>
      <t>1. Reactivity: 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 xml:space="preserve"> + Et</t>
    </r>
    <r>
      <rPr>
        <b/>
        <vertAlign val="sub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O</t>
    </r>
    <r>
      <rPr>
        <b/>
        <vertAlign val="superscript"/>
        <sz val="11"/>
        <color theme="1"/>
        <rFont val="Arial"/>
        <family val="2"/>
      </rPr>
      <t>+</t>
    </r>
    <r>
      <rPr>
        <b/>
        <sz val="11"/>
        <color theme="1"/>
        <rFont val="Arial"/>
        <family val="2"/>
      </rPr>
      <t xml:space="preserve"> → EtONO + Et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O</t>
    </r>
  </si>
  <si>
    <t>4. The PCI mode is not sensitive enough for the determination of nitrite and nitrate in seawater</t>
  </si>
  <si>
    <t>6. Optimal injection volume is 0.75 mL of headspace using a 1 mm liner</t>
  </si>
  <si>
    <r>
      <t>7. Blank and reproduciability nitrite m/z 31 MOOS-4 candidate (</t>
    </r>
    <r>
      <rPr>
        <b/>
        <i/>
        <sz val="11"/>
        <color theme="1"/>
        <rFont val="Arial"/>
        <family val="2"/>
      </rPr>
      <t>n</t>
    </r>
    <r>
      <rPr>
        <b/>
        <sz val="11"/>
        <color theme="1"/>
        <rFont val="Arial"/>
        <family val="2"/>
      </rPr>
      <t xml:space="preserve"> = 3)</t>
    </r>
  </si>
  <si>
    <t>S/N</t>
  </si>
  <si>
    <t>8. Experiment in PCI to access the separation of CH3OCH3 and EtONO</t>
  </si>
  <si>
    <t xml:space="preserve">On the m/z 31 the interference CH3OCH3 is separated. When run in NCI its area is negible </t>
  </si>
  <si>
    <t>3. Preparation of sample dilution from the Sigma Aldrich standard</t>
  </si>
  <si>
    <r>
      <t>1.a Preparation of a 0.75 N solution of H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SO</t>
    </r>
    <r>
      <rPr>
        <b/>
        <vertAlign val="subscript"/>
        <sz val="11"/>
        <color theme="1"/>
        <rFont val="Arial"/>
        <family val="2"/>
      </rPr>
      <t>4</t>
    </r>
  </si>
  <si>
    <t>1.b Preparation of a 0.1 N solution of KMnO4</t>
  </si>
  <si>
    <t>0.06 g of KMnO4 in 20 g soluitiom with GenPure water</t>
  </si>
  <si>
    <t>Incubate at 40 °C 15 min</t>
  </si>
  <si>
    <t>Nitrite_45 Results</t>
  </si>
  <si>
    <t>VOID_I.D</t>
  </si>
  <si>
    <t>WATER_I.D</t>
  </si>
  <si>
    <t>BLK1_I.D</t>
  </si>
  <si>
    <t>BLK2_I.D</t>
  </si>
  <si>
    <t>BLK3_I.D</t>
  </si>
  <si>
    <t>SULF_BLK1_I.D</t>
  </si>
  <si>
    <t>SULF_BLK2_I.D</t>
  </si>
  <si>
    <t>SULF_BLK3_I.D</t>
  </si>
  <si>
    <t>AB1_I.D</t>
  </si>
  <si>
    <t>AB2A_I.D</t>
  </si>
  <si>
    <t>AB2B_I.D</t>
  </si>
  <si>
    <t>AB2C_I.D</t>
  </si>
  <si>
    <t>AB3_I.D</t>
  </si>
  <si>
    <t>S1_I.D</t>
  </si>
  <si>
    <t>S2_I.D</t>
  </si>
  <si>
    <t>S3_I.D</t>
  </si>
  <si>
    <t>SULF_S1_I.D</t>
  </si>
  <si>
    <t>SULF_S2_I.D</t>
  </si>
  <si>
    <t>SULF_S3_I.D</t>
  </si>
  <si>
    <t>VOID_II.D</t>
  </si>
  <si>
    <t>WATER_II.D</t>
  </si>
  <si>
    <t>BLK1_II.D</t>
  </si>
  <si>
    <t>BLK2_II.D</t>
  </si>
  <si>
    <t>BLK3_II.D</t>
  </si>
  <si>
    <t>SULF_BLK1_II.D</t>
  </si>
  <si>
    <t>SULF_BLK2_II.D</t>
  </si>
  <si>
    <t>SULF_BLK3_II.D</t>
  </si>
  <si>
    <t>AB1_II.D</t>
  </si>
  <si>
    <t>AB2A_II.D</t>
  </si>
  <si>
    <t>AB2B_II.D</t>
  </si>
  <si>
    <t>AB2C_II.D</t>
  </si>
  <si>
    <t>AB3_II.D</t>
  </si>
  <si>
    <t>S1_II.D</t>
  </si>
  <si>
    <t>S2_II.D</t>
  </si>
  <si>
    <t>S3_II.D</t>
  </si>
  <si>
    <t>SULF_S1_II.D</t>
  </si>
  <si>
    <t>SULF_S2_II.D</t>
  </si>
  <si>
    <t>SULF_S3_II.D</t>
  </si>
  <si>
    <t>VOID_III.D</t>
  </si>
  <si>
    <t>WATER_III.D</t>
  </si>
  <si>
    <t>BLK1_III.D</t>
  </si>
  <si>
    <t>BLK2_III.D</t>
  </si>
  <si>
    <t>BLK3_III.D</t>
  </si>
  <si>
    <t>SULF_BLK1_III.D</t>
  </si>
  <si>
    <t>SULF_BLK2_III.D</t>
  </si>
  <si>
    <t>SULF_BLK3_III.D</t>
  </si>
  <si>
    <t>AB1_III.D</t>
  </si>
  <si>
    <t>AB2A_III.D</t>
  </si>
  <si>
    <t>AB2B_III.D</t>
  </si>
  <si>
    <t>AB2C_III.D</t>
  </si>
  <si>
    <t>AB3_III.D</t>
  </si>
  <si>
    <t>S1_III.D</t>
  </si>
  <si>
    <t>S2_III.D</t>
  </si>
  <si>
    <t>S3_III.D</t>
  </si>
  <si>
    <t>SULF_S1_III.D</t>
  </si>
  <si>
    <t>SULF_S2_III.D</t>
  </si>
  <si>
    <t>SULF_S3_III.D</t>
  </si>
  <si>
    <t>VOID_IV.D</t>
  </si>
  <si>
    <t>WATER_IV.D</t>
  </si>
  <si>
    <t>BLK1_IV.D</t>
  </si>
  <si>
    <t>BLK2_IV.D</t>
  </si>
  <si>
    <t>BLK3_IV.D</t>
  </si>
  <si>
    <t>SULF_BLK1_IV.D</t>
  </si>
  <si>
    <t>SULF_BLK2_IV.D</t>
  </si>
  <si>
    <t>SULF_BLK3_IV.D</t>
  </si>
  <si>
    <t>AB1_IV.D</t>
  </si>
  <si>
    <t>AB2A_IV.D</t>
  </si>
  <si>
    <t>AB2B_IV.D</t>
  </si>
  <si>
    <t>AB2C_IV.D</t>
  </si>
  <si>
    <t>AB3_IV.D</t>
  </si>
  <si>
    <t>S1_IV.D</t>
  </si>
  <si>
    <t>S2_IV.D</t>
  </si>
  <si>
    <t>S3_IV.D</t>
  </si>
  <si>
    <t>SULF_S1_IV.D</t>
  </si>
  <si>
    <t>SULF_S2_IV.D</t>
  </si>
  <si>
    <t>SULF_S3_IV.D</t>
  </si>
  <si>
    <t>VOID_V.D</t>
  </si>
  <si>
    <t>WATER_V.D</t>
  </si>
  <si>
    <t>BLK1_V.D</t>
  </si>
  <si>
    <t>BLK2_V.D</t>
  </si>
  <si>
    <t>BLK3_V.D</t>
  </si>
  <si>
    <t>SULF_BLK1_V.D</t>
  </si>
  <si>
    <t>SULF_BLK2_V.D</t>
  </si>
  <si>
    <t>SULF_BLK3_V.D</t>
  </si>
  <si>
    <t>AB1_V.D</t>
  </si>
  <si>
    <t>AB2A_V.D</t>
  </si>
  <si>
    <t>AB2B_V.D</t>
  </si>
  <si>
    <t>AB2C_V.D</t>
  </si>
  <si>
    <t>AB3_V.D</t>
  </si>
  <si>
    <t>S1_V.D</t>
  </si>
  <si>
    <t>S2_V.D</t>
  </si>
  <si>
    <t>S3_V.D</t>
  </si>
  <si>
    <t>SULF_S1_V.D</t>
  </si>
  <si>
    <t>SULF_S2_V.D</t>
  </si>
  <si>
    <t>SULF_S3_V.D</t>
  </si>
  <si>
    <t>VOID</t>
  </si>
  <si>
    <t>WATER</t>
  </si>
  <si>
    <t>SULF_BLK1</t>
  </si>
  <si>
    <t>SULF_BLK2</t>
  </si>
  <si>
    <t>SULF_BLK3</t>
  </si>
  <si>
    <t>AB1</t>
  </si>
  <si>
    <t>AB2A</t>
  </si>
  <si>
    <t>AB2B</t>
  </si>
  <si>
    <t>AB2C</t>
  </si>
  <si>
    <t>AB3</t>
  </si>
  <si>
    <t>SULF_S1</t>
  </si>
  <si>
    <t>SULF_S2</t>
  </si>
  <si>
    <t>SULF_S3</t>
  </si>
  <si>
    <t>Ratio_I</t>
  </si>
  <si>
    <t>Ratio_II</t>
  </si>
  <si>
    <t>Ratio_III</t>
  </si>
  <si>
    <t>Ratio_IV</t>
  </si>
  <si>
    <t>Ratio_V</t>
  </si>
  <si>
    <r>
      <t xml:space="preserve">Percentage variance components of the combined standard uncertainty, </t>
    </r>
    <r>
      <rPr>
        <b/>
        <i/>
        <sz val="11"/>
        <color theme="0"/>
        <rFont val="Arial"/>
        <family val="2"/>
      </rPr>
      <t>u</t>
    </r>
    <r>
      <rPr>
        <b/>
        <vertAlign val="subscript"/>
        <sz val="11"/>
        <color theme="0"/>
        <rFont val="Arial"/>
        <family val="2"/>
      </rPr>
      <t>c</t>
    </r>
    <r>
      <rPr>
        <b/>
        <sz val="11"/>
        <color theme="0"/>
        <rFont val="Arial"/>
        <family val="2"/>
      </rPr>
      <t>(</t>
    </r>
    <r>
      <rPr>
        <b/>
        <i/>
        <sz val="11"/>
        <color theme="0"/>
        <rFont val="Arial"/>
        <family val="2"/>
      </rPr>
      <t>w</t>
    </r>
    <r>
      <rPr>
        <b/>
        <vertAlign val="subscript"/>
        <sz val="11"/>
        <color theme="0"/>
        <rFont val="Arial"/>
        <family val="2"/>
      </rPr>
      <t>A</t>
    </r>
    <r>
      <rPr>
        <b/>
        <sz val="11"/>
        <color theme="0"/>
        <rFont val="Arial"/>
        <family val="2"/>
      </rPr>
      <t>): First-order Taylor expansion</t>
    </r>
  </si>
  <si>
    <r>
      <rPr>
        <b/>
        <i/>
        <sz val="11"/>
        <rFont val="Arial"/>
        <family val="2"/>
      </rPr>
      <t>r</t>
    </r>
    <r>
      <rPr>
        <b/>
        <vertAlign val="subscript"/>
        <sz val="11"/>
        <rFont val="Arial"/>
        <family val="2"/>
      </rPr>
      <t>AB</t>
    </r>
    <r>
      <rPr>
        <b/>
        <sz val="11"/>
        <rFont val="Arial"/>
        <family val="2"/>
      </rPr>
      <t>/(V/V)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</si>
  <si>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(Average)</t>
    </r>
  </si>
  <si>
    <t>A*B-2C</t>
  </si>
  <si>
    <t>Green series: short-term stability and homogeneiety</t>
  </si>
  <si>
    <t>Red series: characterization</t>
  </si>
  <si>
    <r>
      <t>Weighing a cold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Arial"/>
        <family val="2"/>
      </rPr>
      <t>C) bottle and effect on the uncertainty on mass</t>
    </r>
  </si>
  <si>
    <t>Experiments performed during the CCQM exercise K161</t>
  </si>
  <si>
    <t>#"- Scan (2.265-2.268 min</t>
  </si>
  <si>
    <t xml:space="preserve"> 2 Scans) 15NO2.D  Subtract "</t>
  </si>
  <si>
    <t>3. Full scan NCI (methane) mass spectrum of the EtONO derivative (from 15N-nitrite)</t>
  </si>
  <si>
    <t>2. Full scan NCI (methane) mass spectrum of the EtONO derivative (from nitrite of natural isotopic composition)</t>
  </si>
  <si>
    <t>#"- Scan (2.283 min) NO2.D  Subtract "</t>
  </si>
  <si>
    <t>Data obtained from the certification of SALT-1 CRM</t>
  </si>
  <si>
    <t>Baseline MOOS-4</t>
  </si>
  <si>
    <t>MOOS052a</t>
  </si>
  <si>
    <t>MOOS130a</t>
  </si>
  <si>
    <t>MOOS207a</t>
  </si>
  <si>
    <t>MOOS284a</t>
  </si>
  <si>
    <t>Week 1 Day 1</t>
  </si>
  <si>
    <t>MOOS001a_ii</t>
  </si>
  <si>
    <t>MOOS078a_ii</t>
  </si>
  <si>
    <t>MOOS155a_ii</t>
  </si>
  <si>
    <t>MOOS232a_ii</t>
  </si>
  <si>
    <t>MOOS310a_ii</t>
  </si>
  <si>
    <t>MOOS001a_i</t>
  </si>
  <si>
    <t>MOOS078a_i</t>
  </si>
  <si>
    <t>MOOS155a_i</t>
  </si>
  <si>
    <t>MOOS232a_i</t>
  </si>
  <si>
    <t>MOOS310a_i</t>
  </si>
  <si>
    <t>A*B-4</t>
  </si>
  <si>
    <t>Week 1 Day 1 run x3</t>
  </si>
  <si>
    <t>Nitrate GC-MS</t>
  </si>
  <si>
    <t>Nitrite UV-Vis</t>
  </si>
  <si>
    <t>Phosphate UV-Vis</t>
  </si>
  <si>
    <t>Nitrite GC-MS</t>
  </si>
  <si>
    <t>Week 1 Day 2 run x3</t>
  </si>
  <si>
    <t>Silicate UV-Vis</t>
  </si>
  <si>
    <t>Week 1 Day 2</t>
  </si>
  <si>
    <t>Sequences for the determination of nutrients in MOOS-4 week-1</t>
  </si>
  <si>
    <t>Sequences for the determination of nutrients in MOOS-4 week-2</t>
  </si>
  <si>
    <t>Phosphate (UV-vis)</t>
  </si>
  <si>
    <t>Nitrite (UV-vis)</t>
  </si>
  <si>
    <t>Nitrate (GC-MS)</t>
  </si>
  <si>
    <r>
      <rPr>
        <i/>
        <sz val="11"/>
        <rFont val="Arial"/>
        <family val="2"/>
      </rPr>
      <t>w</t>
    </r>
    <r>
      <rPr>
        <sz val="11"/>
        <rFont val="Arial"/>
        <family val="2"/>
      </rPr>
      <t>(NO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)</t>
    </r>
  </si>
  <si>
    <t>Nitrite (GC-MS)</t>
  </si>
  <si>
    <r>
      <rPr>
        <i/>
        <sz val="11"/>
        <rFont val="Arial"/>
        <family val="2"/>
      </rPr>
      <t>w</t>
    </r>
    <r>
      <rPr>
        <sz val="11"/>
        <rFont val="Arial"/>
        <family val="2"/>
      </rPr>
      <t>(SiO</t>
    </r>
    <r>
      <rPr>
        <vertAlign val="subscript"/>
        <sz val="11"/>
        <rFont val="Arial"/>
        <family val="2"/>
      </rPr>
      <t>2</t>
    </r>
    <r>
      <rPr>
        <sz val="11"/>
        <rFont val="Arial"/>
        <family val="2"/>
      </rPr>
      <t>)</t>
    </r>
  </si>
  <si>
    <t>Silicate (UV-vis)</t>
  </si>
  <si>
    <t>NO2_SIGMA_1.D</t>
  </si>
  <si>
    <t>NO3_NIST_1.D</t>
  </si>
  <si>
    <t>NO2_SIGMA_2.D</t>
  </si>
  <si>
    <t>NO3_NIST_2.D</t>
  </si>
  <si>
    <t>NO2_SIGMA_3.D</t>
  </si>
  <si>
    <t>NO3_NIST_3.D</t>
  </si>
  <si>
    <t>NO2_SIGMA_4.D</t>
  </si>
  <si>
    <t>NO3_NIST_4.D</t>
  </si>
  <si>
    <t>NO2_SIGMA_5.D</t>
  </si>
  <si>
    <t>NO3_NIST_5.D</t>
  </si>
  <si>
    <t>NO2_SIGMA_6.D</t>
  </si>
  <si>
    <t>NO3_NIST_6.D</t>
  </si>
  <si>
    <t>NO2_SIGMA_7.D</t>
  </si>
  <si>
    <t>NO3_NIST_7.D</t>
  </si>
  <si>
    <t>Sigma_1</t>
  </si>
  <si>
    <t>Sigma_2</t>
  </si>
  <si>
    <t>Sigma_3</t>
  </si>
  <si>
    <t>Sigma_4</t>
  </si>
  <si>
    <t>Sigma_5</t>
  </si>
  <si>
    <t>Sigma_6</t>
  </si>
  <si>
    <t>Sigma_7</t>
  </si>
  <si>
    <t>NIST_1</t>
  </si>
  <si>
    <t>NIST_2</t>
  </si>
  <si>
    <t>NIST_3</t>
  </si>
  <si>
    <t>NIST_4</t>
  </si>
  <si>
    <t>NIST_5</t>
  </si>
  <si>
    <t>NIST_6</t>
  </si>
  <si>
    <t>NIST_7</t>
  </si>
  <si>
    <t>Validation figures nitrite and nitrate method and preliminary data on MOOS-4 and SEAN-1</t>
  </si>
  <si>
    <t>1:10 NO2</t>
  </si>
  <si>
    <t xml:space="preserve"> + NO2</t>
  </si>
  <si>
    <t>1. Preparation of primary standards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</si>
  <si>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vertAlign val="superscript"/>
        <sz val="11"/>
        <color theme="1"/>
        <rFont val="Calibri"/>
        <family val="2"/>
      </rPr>
      <t>−</t>
    </r>
    <r>
      <rPr>
        <sz val="11"/>
        <color theme="1"/>
        <rFont val="Arial"/>
        <family val="2"/>
      </rPr>
      <t>)</t>
    </r>
  </si>
  <si>
    <t>CAL1</t>
  </si>
  <si>
    <t xml:space="preserve"> + 1:10 NO2</t>
  </si>
  <si>
    <t xml:space="preserve"> + NO3</t>
  </si>
  <si>
    <t>MIX, CAL1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</si>
  <si>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3</t>
    </r>
    <r>
      <rPr>
        <vertAlign val="superscript"/>
        <sz val="11"/>
        <color theme="1"/>
        <rFont val="Calibri"/>
        <family val="2"/>
      </rPr>
      <t>−</t>
    </r>
    <r>
      <rPr>
        <sz val="11"/>
        <color theme="1"/>
        <rFont val="Arial"/>
        <family val="2"/>
      </rPr>
      <t>)</t>
    </r>
  </si>
  <si>
    <t>CAL2</t>
  </si>
  <si>
    <t xml:space="preserve"> + mix</t>
  </si>
  <si>
    <t>CAL3</t>
  </si>
  <si>
    <t>CAL4</t>
  </si>
  <si>
    <t>CAL5</t>
  </si>
  <si>
    <t>LOD</t>
  </si>
  <si>
    <t>2. Preparation of sample blends</t>
  </si>
  <si>
    <t>mass of the unit in g</t>
  </si>
  <si>
    <r>
      <t xml:space="preserve">For the preparation of the "blank matched" experiment, 2 mL of water was evaporated oven overnight in the 110 </t>
    </r>
    <r>
      <rPr>
        <sz val="11"/>
        <color theme="1"/>
        <rFont val="Calibri"/>
        <family val="2"/>
      </rPr>
      <t>°</t>
    </r>
    <r>
      <rPr>
        <sz val="11"/>
        <color theme="1"/>
        <rFont val="Arial"/>
        <family val="2"/>
      </rPr>
      <t>C oven in B5</t>
    </r>
  </si>
  <si>
    <r>
      <t>For the preparation of the "blank" experiment, 2 mL of water was transferred in the vial and derivatized with 50 μL of Et</t>
    </r>
    <r>
      <rPr>
        <vertAlign val="sub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>OBF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 xml:space="preserve"> solution</t>
    </r>
  </si>
  <si>
    <r>
      <t>Thereafter, 2 mL of water was transferred in the vial and derivatized with 50 μL of Et</t>
    </r>
    <r>
      <rPr>
        <vertAlign val="sub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>OBF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 xml:space="preserve"> solution</t>
    </r>
  </si>
  <si>
    <t>For the LOD experiment 2 mL of LOD solution in water was transferred in the vial and derivatized</t>
  </si>
  <si>
    <t>Nitrite_31 Results</t>
  </si>
  <si>
    <t>Nitrite_32 Results</t>
  </si>
  <si>
    <t>BLK_M1.D</t>
  </si>
  <si>
    <t>BLK_1.D</t>
  </si>
  <si>
    <t>BLK_M2.D</t>
  </si>
  <si>
    <t>BLK_2.D</t>
  </si>
  <si>
    <t>BLK_M3.D</t>
  </si>
  <si>
    <t>BLK_3.D</t>
  </si>
  <si>
    <t>LOD_1.D</t>
  </si>
  <si>
    <t>LOD_2.D</t>
  </si>
  <si>
    <t>LOD_3.D</t>
  </si>
  <si>
    <t>CAL_5.D</t>
  </si>
  <si>
    <t>CAL_4.D</t>
  </si>
  <si>
    <t>CAL_3.D</t>
  </si>
  <si>
    <t>CAL_2.D</t>
  </si>
  <si>
    <t>CAL_1.D</t>
  </si>
  <si>
    <t>SEAN1797.D</t>
  </si>
  <si>
    <t>MOOS2157.D</t>
  </si>
  <si>
    <t>3. Integration results</t>
  </si>
  <si>
    <t>The blank increase in the "blank matching" experiment is not justified. Formation of nitrite could be due to higher NOx present at high temperature.</t>
  </si>
  <si>
    <t>Nitrite blank is very low and no blank matching is needed.</t>
  </si>
  <si>
    <t>4. Evaluation of signal suppression due to the high-chloride matrix</t>
  </si>
  <si>
    <t>5. Evaluation of blanks</t>
  </si>
  <si>
    <t>Relevance of the reagent blank on determination of nitrite in MOOS-4</t>
  </si>
  <si>
    <t>Between</t>
  </si>
  <si>
    <t>Relevance of the reagent blank on determination of nitrate in MOOS-4</t>
  </si>
  <si>
    <t>Difference between blank matching and non blank matching design for nitrate</t>
  </si>
  <si>
    <t>BLK_M</t>
  </si>
  <si>
    <t>nmol/L</t>
  </si>
  <si>
    <t>LOD seawater</t>
  </si>
  <si>
    <t>LOD water</t>
  </si>
  <si>
    <t>6. Evaluation of the limit of instrumental detection for nitrite</t>
  </si>
  <si>
    <t>7. Evaluation of the instrumental limit of detection for nitrate</t>
  </si>
  <si>
    <t>Area, peak-to-peak from drift</t>
  </si>
  <si>
    <t>Isotope dilution quantitation deals with these effects</t>
  </si>
  <si>
    <t>CAL_1</t>
  </si>
  <si>
    <t>CAL_2</t>
  </si>
  <si>
    <t>CAL_3</t>
  </si>
  <si>
    <t>CAL_4</t>
  </si>
  <si>
    <t>CAL_5</t>
  </si>
  <si>
    <t>Signal 31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</si>
  <si>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</si>
  <si>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B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</si>
  <si>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A*B</t>
    </r>
  </si>
  <si>
    <t>Signal 46</t>
  </si>
  <si>
    <r>
      <rPr>
        <b/>
        <i/>
        <sz val="11"/>
        <color theme="1"/>
        <rFont val="Arial"/>
        <family val="2"/>
      </rPr>
      <t>m = m</t>
    </r>
    <r>
      <rPr>
        <b/>
        <vertAlign val="subscript"/>
        <sz val="11"/>
        <color theme="1"/>
        <rFont val="Arial"/>
        <family val="2"/>
      </rPr>
      <t>B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</si>
  <si>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</si>
  <si>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[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]</t>
    </r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</si>
  <si>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sz val="11"/>
        <color theme="1"/>
        <rFont val="Arial"/>
        <family val="2"/>
      </rPr>
      <t>[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]</t>
    </r>
  </si>
  <si>
    <t>8. Evaluation of the calibration plot for nitrite</t>
  </si>
  <si>
    <t>9. Evaluation of the calibration plot for nitrate</t>
  </si>
  <si>
    <t>10. Preliminar evaluation of nitrite in MOOS-4 and SEAN-1</t>
  </si>
  <si>
    <t>11. Preliminar evaluation of nitrate in MOOS-4 and SEAN-1</t>
  </si>
  <si>
    <t>Planning the quantitative analysis: preparation of the calibration standards</t>
  </si>
  <si>
    <t>S=SIGMA</t>
  </si>
  <si>
    <t>BCCK5026</t>
  </si>
  <si>
    <t>SRM3150</t>
  </si>
  <si>
    <t>Certified value of silicon (Si):</t>
  </si>
  <si>
    <t>Silicon</t>
  </si>
  <si>
    <t>Ar(Si) = [28.084, 28.086] since 2009</t>
  </si>
  <si>
    <t>Nitrogen</t>
  </si>
  <si>
    <t>Ar(N) = [14.006 43, 14.007 28] since 2009</t>
  </si>
  <si>
    <t>Oxygen</t>
  </si>
  <si>
    <t>Ar(O) = [15.999 03, 15.999 77] since 2009</t>
  </si>
  <si>
    <t>Phosphorus</t>
  </si>
  <si>
    <t>Ar(P) = 30.973 761 998(5) since 2013</t>
  </si>
  <si>
    <t>g/mol</t>
  </si>
  <si>
    <r>
      <t>Nitrate (NO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9.35"/>
        <color theme="1"/>
        <rFont val="Arial"/>
        <family val="2"/>
      </rPr>
      <t>)</t>
    </r>
  </si>
  <si>
    <r>
      <t>Nitrite 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9.35"/>
        <color theme="1"/>
        <rFont val="Arial"/>
        <family val="2"/>
      </rPr>
      <t>)</t>
    </r>
  </si>
  <si>
    <r>
      <t>Phosphate 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libri"/>
        <family val="2"/>
      </rPr>
      <t>3−</t>
    </r>
    <r>
      <rPr>
        <b/>
        <sz val="9.35"/>
        <color theme="1"/>
        <rFont val="Arial"/>
        <family val="2"/>
      </rPr>
      <t>)</t>
    </r>
  </si>
  <si>
    <r>
      <t>Silica 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9.35"/>
        <color theme="1"/>
        <rFont val="Arial"/>
        <family val="2"/>
      </rPr>
      <t>)</t>
    </r>
  </si>
  <si>
    <r>
      <t xml:space="preserve">Certified value as SiO2 with </t>
    </r>
    <r>
      <rPr>
        <i/>
        <sz val="11"/>
        <rFont val="Arial"/>
        <family val="2"/>
      </rPr>
      <t>k</t>
    </r>
    <r>
      <rPr>
        <sz val="11"/>
        <rFont val="Arial"/>
        <family val="2"/>
      </rPr>
      <t xml:space="preserve"> = 1:</t>
    </r>
  </si>
  <si>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(SiO2)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</si>
  <si>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[</t>
    </r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(SiO2)]</t>
    </r>
  </si>
  <si>
    <t>SiO2</t>
  </si>
  <si>
    <t>N2PSw1-ST</t>
  </si>
  <si>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(NO2)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</si>
  <si>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[</t>
    </r>
    <r>
      <rPr>
        <b/>
        <i/>
        <sz val="11"/>
        <rFont val="Arial"/>
        <family val="2"/>
      </rPr>
      <t>w</t>
    </r>
    <r>
      <rPr>
        <b/>
        <sz val="11"/>
        <rFont val="Arial"/>
        <family val="2"/>
      </rPr>
      <t>(NO2)]</t>
    </r>
  </si>
  <si>
    <t>NO2</t>
  </si>
  <si>
    <t>Preparation of standard solutions silicate in DIW</t>
  </si>
  <si>
    <t>Sw1-D</t>
  </si>
  <si>
    <t>In a 50 mL bottle</t>
  </si>
  <si>
    <t>N2PSw1-1</t>
  </si>
  <si>
    <t>N2PSw1-0</t>
  </si>
  <si>
    <t>N2PSw1-2</t>
  </si>
  <si>
    <t>N2PSw1-3</t>
  </si>
  <si>
    <t>N2PSw1-4</t>
  </si>
  <si>
    <t>N2PSw1-5</t>
  </si>
  <si>
    <t>Preparation of standard solutions nitrite, phosphate and silicate in LNSW for UV-vis experiment</t>
  </si>
  <si>
    <t>Preparation of standard solutions nitrite, nitrate in water for IDMS experiment</t>
  </si>
  <si>
    <t>Balance calibration</t>
  </si>
  <si>
    <t>UV-vis performance verification</t>
  </si>
  <si>
    <t>N2w1-D</t>
  </si>
  <si>
    <t>N2N3w1-ST</t>
  </si>
  <si>
    <t>NO3</t>
  </si>
  <si>
    <t>In 30 mL bottles</t>
  </si>
  <si>
    <t>Preparation of isotope dilution blends for NO2 and NO3 analysis by HS GC-MS</t>
  </si>
  <si>
    <t>CAL</t>
  </si>
  <si>
    <t>Day_1: determination of nitrate after nitrite removal by sulfamic acid</t>
  </si>
  <si>
    <t>2 mL blend in 10 mL combiPAL vial + 0.1 mL sulfamic acid + 0.04 mL triethyloxonium tetrafluoroborate solution in water</t>
  </si>
  <si>
    <t>Reag BLK = 1.82 mL of blank solution</t>
  </si>
  <si>
    <t>AB2a</t>
  </si>
  <si>
    <t>AB2b</t>
  </si>
  <si>
    <t>SALT1_1</t>
  </si>
  <si>
    <t>AB2c</t>
  </si>
  <si>
    <t>Preparation of external calibration for NO2 analysis by UV-vis</t>
  </si>
  <si>
    <t>BSL-DIW</t>
  </si>
  <si>
    <t>BSL-LNSW</t>
  </si>
  <si>
    <t>BSL-M4</t>
  </si>
  <si>
    <t>BSL-SALT</t>
  </si>
  <si>
    <t>BSL-M3</t>
  </si>
  <si>
    <t>BLK-DIW</t>
  </si>
  <si>
    <t>BLK-LNSW</t>
  </si>
  <si>
    <t>Use the 1 cm cuvette and zero the instrument against genpure water</t>
  </si>
  <si>
    <t>Measure ABS at 541 nm with existing method</t>
  </si>
  <si>
    <t>Use the 5 cm cuvette and zero the instrument against genpure water</t>
  </si>
  <si>
    <t>Measure ABS at 890 nm with existing method</t>
  </si>
  <si>
    <t>BLK-NaCl</t>
  </si>
  <si>
    <t>BLK-IS-DIW</t>
  </si>
  <si>
    <t>001a_1</t>
  </si>
  <si>
    <t>078a_1</t>
  </si>
  <si>
    <t>155a_1</t>
  </si>
  <si>
    <t>232a_1</t>
  </si>
  <si>
    <t>310a_1</t>
  </si>
  <si>
    <t>001a_2</t>
  </si>
  <si>
    <t>078a_2</t>
  </si>
  <si>
    <t>155a_2</t>
  </si>
  <si>
    <t>232a_2</t>
  </si>
  <si>
    <t>310a_2</t>
  </si>
  <si>
    <t xml:space="preserve"> === Day break carry on next day === </t>
  </si>
  <si>
    <t>Day_2: determination of nitrite</t>
  </si>
  <si>
    <t>2 mL blend prepared previous day in 10 mL combiPAL vial + 0.04 mL triethyloxonium tetrafluoroborate solution in water</t>
  </si>
  <si>
    <t>Measure using MOOS4 method</t>
  </si>
  <si>
    <t>Measure using SALT1 method</t>
  </si>
  <si>
    <t>Preparation of external calibration for SiO2 analysis by UV-vis</t>
  </si>
  <si>
    <t>Measure ABS at 810 nm with existing method</t>
  </si>
  <si>
    <t>AB4</t>
  </si>
  <si>
    <t>N2N3w1-1</t>
  </si>
  <si>
    <t>N2N3w1-2</t>
  </si>
  <si>
    <t>N2N3w1-3</t>
  </si>
  <si>
    <t>N2N3w1-4</t>
  </si>
  <si>
    <t>Weight of the MOOS-4 units</t>
  </si>
  <si>
    <t>weight /g</t>
  </si>
  <si>
    <t>MOOS078a</t>
  </si>
  <si>
    <t>MOOS155a</t>
  </si>
  <si>
    <t>MOOS310a</t>
  </si>
  <si>
    <t>Weigh the unoped units</t>
  </si>
  <si>
    <t>MOOS232a</t>
  </si>
  <si>
    <t>In a 100 mL bottle</t>
  </si>
  <si>
    <t>Sw1d2-D</t>
  </si>
  <si>
    <t>In a 30 mL bottle</t>
  </si>
  <si>
    <t>Preparation of standard solutions silicate in LNSW</t>
  </si>
  <si>
    <t>Sw1d2-ST</t>
  </si>
  <si>
    <t>Sw1d2-1</t>
  </si>
  <si>
    <t>Sw1d2-2</t>
  </si>
  <si>
    <t>Sw1d2-3</t>
  </si>
  <si>
    <t>Sw1d2-4</t>
  </si>
  <si>
    <t>Sw1d2-5</t>
  </si>
  <si>
    <t>Sw1d2-6</t>
  </si>
  <si>
    <t>CAL-6</t>
  </si>
  <si>
    <t>Repeat nitrite UV</t>
  </si>
  <si>
    <t>N2w1d2-D</t>
  </si>
  <si>
    <t>N2w1d2-ST</t>
  </si>
  <si>
    <t>N2w1d2-1</t>
  </si>
  <si>
    <t>N2w1d2-2</t>
  </si>
  <si>
    <t>N2w1d2-3</t>
  </si>
  <si>
    <t>N2w1d2-4</t>
  </si>
  <si>
    <t>N2w1d2-5</t>
  </si>
  <si>
    <r>
      <rPr>
        <i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-axis</t>
    </r>
  </si>
  <si>
    <r>
      <rPr>
        <i/>
        <sz val="11"/>
        <color theme="1"/>
        <rFont val="Arial"/>
        <family val="2"/>
      </rPr>
      <t>y</t>
    </r>
    <r>
      <rPr>
        <sz val="11"/>
        <color theme="1"/>
        <rFont val="Arial"/>
        <family val="2"/>
      </rPr>
      <t>-axis</t>
    </r>
  </si>
  <si>
    <t>BLK_DIW_I.D</t>
  </si>
  <si>
    <t>BLK_NACL_I.D</t>
  </si>
  <si>
    <t>BLK_IS_DIW_I.D</t>
  </si>
  <si>
    <t>BLK_IS_NACL_I.D</t>
  </si>
  <si>
    <t>001_A1_I.D</t>
  </si>
  <si>
    <t>078_A1_I.D</t>
  </si>
  <si>
    <t>155_A1_I.D</t>
  </si>
  <si>
    <t>232_A1_I.D</t>
  </si>
  <si>
    <t>310_A1_I.D</t>
  </si>
  <si>
    <t>001_A2_I.D</t>
  </si>
  <si>
    <t>078_A2_I.D</t>
  </si>
  <si>
    <t>155_A2_I.D</t>
  </si>
  <si>
    <t>232_A2_I.D</t>
  </si>
  <si>
    <t>310_A2_I.D</t>
  </si>
  <si>
    <t>SALT1_113_I.D</t>
  </si>
  <si>
    <t>MOOS3_I.D</t>
  </si>
  <si>
    <t>BLK_DIW_II.D</t>
  </si>
  <si>
    <t>BLK_NACL_II.D</t>
  </si>
  <si>
    <t>BLK_IS_DIW_II.D</t>
  </si>
  <si>
    <t>BLK_IS_NACL_II.D</t>
  </si>
  <si>
    <t>001_A1_II.D</t>
  </si>
  <si>
    <t>078_A1_II.D</t>
  </si>
  <si>
    <t>155_A1_II.D</t>
  </si>
  <si>
    <t>232_A1_II.D</t>
  </si>
  <si>
    <t>310_A1_II.D</t>
  </si>
  <si>
    <t>001_A2_II.D</t>
  </si>
  <si>
    <t>078_A2_II.D</t>
  </si>
  <si>
    <t>155_A2_II.D</t>
  </si>
  <si>
    <t>232_A2_II.D</t>
  </si>
  <si>
    <t>310_A2_II.D</t>
  </si>
  <si>
    <t>SALT1_113_II.D</t>
  </si>
  <si>
    <t>MOOS3_II.D</t>
  </si>
  <si>
    <t>BLK_DIW_III.D</t>
  </si>
  <si>
    <t>BLK_NACL_III.D</t>
  </si>
  <si>
    <t>BLK_IS_DIW_III.D</t>
  </si>
  <si>
    <t>BLK_IS_NACL_III.D</t>
  </si>
  <si>
    <t>001_A1_III.D</t>
  </si>
  <si>
    <t>078_A1_III.D</t>
  </si>
  <si>
    <t>155_A1_III.D</t>
  </si>
  <si>
    <t>232_A1_III.D</t>
  </si>
  <si>
    <t>310_A1_III.D</t>
  </si>
  <si>
    <t>001_A2_III.D</t>
  </si>
  <si>
    <t>078_A2_III.D</t>
  </si>
  <si>
    <t>155_A2_III.D</t>
  </si>
  <si>
    <t>232_A2_III.D</t>
  </si>
  <si>
    <t>310_A2_III.D</t>
  </si>
  <si>
    <t>SALT1_113_III.D</t>
  </si>
  <si>
    <t>MOOS3_III.D</t>
  </si>
  <si>
    <r>
      <t xml:space="preserve">Correction of the sample signals: </t>
    </r>
    <r>
      <rPr>
        <b/>
        <sz val="11"/>
        <color rgb="FF800000"/>
        <rFont val="Arial"/>
        <family val="2"/>
      </rPr>
      <t>MOOS-4 SAMPLES</t>
    </r>
  </si>
  <si>
    <t>Nitrate_46 blk corr</t>
  </si>
  <si>
    <t>VOIDX.D</t>
  </si>
  <si>
    <t>VOIDXI.D</t>
  </si>
  <si>
    <t>AB4_I.D</t>
  </si>
  <si>
    <t>AB4_II.D</t>
  </si>
  <si>
    <t>AB4_III.D</t>
  </si>
  <si>
    <t>Effect of blank</t>
  </si>
  <si>
    <t>Nitrite signals</t>
  </si>
  <si>
    <t>BLS-DIW</t>
  </si>
  <si>
    <t>2/20/2024 3:31:31 PM</t>
  </si>
  <si>
    <t>BSL-LNWS</t>
  </si>
  <si>
    <t>2/20/2024 3:32:18 PM</t>
  </si>
  <si>
    <t>2/20/2024 3:33:13 PM</t>
  </si>
  <si>
    <t>2/20/2024 3:33:58 PM</t>
  </si>
  <si>
    <t>2/20/2024 3:34:54 PM</t>
  </si>
  <si>
    <t>2/20/2024 3:35:48 PM</t>
  </si>
  <si>
    <t>2/20/2024 3:37:24 PM</t>
  </si>
  <si>
    <t>2/20/2024 3:38:23 PM</t>
  </si>
  <si>
    <t>2/20/2024 3:39:20 PM</t>
  </si>
  <si>
    <t>2/20/2024 3:40:15 PM</t>
  </si>
  <si>
    <t>2/20/2024 3:41:06 PM</t>
  </si>
  <si>
    <t>2/20/2024 3:42:46 PM</t>
  </si>
  <si>
    <t>2/20/2024 3:43:32 PM</t>
  </si>
  <si>
    <t>2/20/2024 3:44:12 PM</t>
  </si>
  <si>
    <t>2/20/2024 3:44:55 PM</t>
  </si>
  <si>
    <t>2/20/2024 3:45:37 PM</t>
  </si>
  <si>
    <t>2/20/2024 3:46:18 PM</t>
  </si>
  <si>
    <t>2/20/2024 3:46:59 PM</t>
  </si>
  <si>
    <t>2/20/2024 3:47:41 PM</t>
  </si>
  <si>
    <t>2/20/2024 3:48:24 PM</t>
  </si>
  <si>
    <t>2/20/2024 3:49:07 PM</t>
  </si>
  <si>
    <t>2/20/2024 3:50:04 PM</t>
  </si>
  <si>
    <r>
      <rPr>
        <b/>
        <i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(541)</t>
    </r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</si>
  <si>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</si>
  <si>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u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)]</t>
    </r>
  </si>
  <si>
    <t>2/20/2024 5:17:55 PM</t>
  </si>
  <si>
    <t>2/20/2024 5:18:37 PM</t>
  </si>
  <si>
    <t>2/20/2024 5:19:59 PM</t>
  </si>
  <si>
    <t>2/20/2024 5:20:43 PM</t>
  </si>
  <si>
    <t>2/20/2024 5:21:31 PM</t>
  </si>
  <si>
    <t>2/20/2024 5:22:30 PM</t>
  </si>
  <si>
    <t>2/20/2024 5:23:42 PM</t>
  </si>
  <si>
    <t>2/20/2024 5:24:54 PM</t>
  </si>
  <si>
    <t>2/20/2024 5:25:55 PM</t>
  </si>
  <si>
    <t>2/20/2024 5:26:51 PM</t>
  </si>
  <si>
    <t>2/20/2024 5:28:05 PM</t>
  </si>
  <si>
    <t>2/20/2024 5:29:08 PM</t>
  </si>
  <si>
    <t>2/20/2024 5:30:41 PM</t>
  </si>
  <si>
    <t>2/20/2024 5:31:27 PM</t>
  </si>
  <si>
    <t>2/20/2024 5:32:15 PM</t>
  </si>
  <si>
    <t>2/20/2024 5:33:00 PM</t>
  </si>
  <si>
    <t>2/20/2024 5:33:44 PM</t>
  </si>
  <si>
    <t>2/20/2024 5:34:23 PM</t>
  </si>
  <si>
    <t>2/20/2024 5:35:06 PM</t>
  </si>
  <si>
    <t>2/20/2024 5:36:02 PM</t>
  </si>
  <si>
    <t>2/20/2024 5:36:55 PM</t>
  </si>
  <si>
    <t>2/20/2024 5:37:45 PM</t>
  </si>
  <si>
    <t>SALT1_113</t>
  </si>
  <si>
    <t>2/20/2024 5:39:17 PM</t>
  </si>
  <si>
    <t>2/20/2024 5:40:31 PM</t>
  </si>
  <si>
    <t>Silicate signals</t>
  </si>
  <si>
    <t>2/21/2024 11:43:54 AM</t>
  </si>
  <si>
    <t>2/21/2024 11:44:34 AM</t>
  </si>
  <si>
    <t>2/21/2024 11:45:09 AM</t>
  </si>
  <si>
    <t>2/21/2024 11:45:45 AM</t>
  </si>
  <si>
    <t>2/21/2024 11:46:19 AM</t>
  </si>
  <si>
    <t>2/21/2024 11:47:01 AM</t>
  </si>
  <si>
    <t>2/21/2024 11:47:41 AM</t>
  </si>
  <si>
    <t>2/21/2024 11:48:24 AM</t>
  </si>
  <si>
    <t>2/21/2024 11:49:04 AM</t>
  </si>
  <si>
    <t>2/21/2024 11:49:47 AM</t>
  </si>
  <si>
    <t>2/21/2024 11:50:34 AM</t>
  </si>
  <si>
    <t>2/21/2024 11:51:30 AM</t>
  </si>
  <si>
    <t>2/21/2024 11:52:29 AM</t>
  </si>
  <si>
    <t>2/21/2024 11:53:08 AM</t>
  </si>
  <si>
    <t>2/21/2024 11:53:53 AM</t>
  </si>
  <si>
    <t>2/21/2024 11:54:31 AM</t>
  </si>
  <si>
    <t>2/21/2024 11:55:10 AM</t>
  </si>
  <si>
    <t>2/21/2024 11:55:49 AM</t>
  </si>
  <si>
    <t>2/21/2024 11:56:26 AM</t>
  </si>
  <si>
    <t>2/21/2024 11:57:02 AM</t>
  </si>
  <si>
    <t>2/21/2024 11:57:35 AM</t>
  </si>
  <si>
    <t>2/21/2024 11:58:10 AM</t>
  </si>
  <si>
    <t>2/21/2024 11:59:02 AM</t>
  </si>
  <si>
    <t>2/21/2024 11:59:42 AM</t>
  </si>
  <si>
    <t>CAL6</t>
  </si>
  <si>
    <t>2/21/2024 12:00:27 PM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</si>
  <si>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</si>
  <si>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u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)]</t>
    </r>
  </si>
  <si>
    <t>Preparation of standard solutions nitrite in DIW</t>
  </si>
  <si>
    <t>Preparation of standard solutions nitrite in LNSW</t>
  </si>
  <si>
    <t>2/21/2024 1:35:24 PM</t>
  </si>
  <si>
    <t>2/21/2024 1:36:29 PM</t>
  </si>
  <si>
    <t>2/21/2024 1:37:26 PM</t>
  </si>
  <si>
    <t>2/21/2024 1:38:07 PM</t>
  </si>
  <si>
    <t>2/21/2024 1:38:43 PM</t>
  </si>
  <si>
    <t>2/21/2024 1:39:25 PM</t>
  </si>
  <si>
    <t>2/21/2024 1:40:11 PM</t>
  </si>
  <si>
    <t>2/21/2024 1:40:59 PM</t>
  </si>
  <si>
    <t>2/21/2024 1:41:49 PM</t>
  </si>
  <si>
    <t>2/21/2024 1:42:41 PM</t>
  </si>
  <si>
    <t>2/21/2024 1:43:29 PM</t>
  </si>
  <si>
    <t>2/21/2024 1:44:41 PM</t>
  </si>
  <si>
    <t>2/21/2024 1:45:23 PM</t>
  </si>
  <si>
    <t>2/21/2024 1:46:03 PM</t>
  </si>
  <si>
    <t>2/21/2024 1:46:44 PM</t>
  </si>
  <si>
    <t>2/21/2024 1:47:23 PM</t>
  </si>
  <si>
    <t>2/21/2024 1:48:24 PM</t>
  </si>
  <si>
    <t>3. Determination of nitrite by UV-vis w1d1</t>
  </si>
  <si>
    <t>4. Determination of phosphate by UV-vis w1d1</t>
  </si>
  <si>
    <t>6. Determination of nitrite by UV-vis w1d2</t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</si>
  <si>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)]</t>
    </r>
  </si>
  <si>
    <t>Preparation of standard solutions phosphate and silicate in LNSW</t>
  </si>
  <si>
    <t>Sw2d1-D</t>
  </si>
  <si>
    <t>PSw2d1-ST</t>
  </si>
  <si>
    <t>PSw2d1-1</t>
  </si>
  <si>
    <t>PSw2d1-2</t>
  </si>
  <si>
    <t>PSw2d1-3</t>
  </si>
  <si>
    <t>PSw2d1-4</t>
  </si>
  <si>
    <t>PSw2d1-5</t>
  </si>
  <si>
    <t>PSw2d1-6</t>
  </si>
  <si>
    <t>PSw2d1-0</t>
  </si>
  <si>
    <t>N2w2-D</t>
  </si>
  <si>
    <t>N2N3w2-ST</t>
  </si>
  <si>
    <t>MOOS052a_i</t>
  </si>
  <si>
    <t>MOOS130a_i</t>
  </si>
  <si>
    <t>MOOS207a_i</t>
  </si>
  <si>
    <t>MOOS284a_i</t>
  </si>
  <si>
    <t>MOOS360a_i</t>
  </si>
  <si>
    <t>MOOS052a_ii</t>
  </si>
  <si>
    <t>MOOS130a_ii</t>
  </si>
  <si>
    <t>MOOS207a_ii</t>
  </si>
  <si>
    <t>MOOS284a_ii</t>
  </si>
  <si>
    <t>MOOS360a_ii</t>
  </si>
  <si>
    <t>052a_1</t>
  </si>
  <si>
    <t>130a_1</t>
  </si>
  <si>
    <t>207a_1</t>
  </si>
  <si>
    <t>284a_1</t>
  </si>
  <si>
    <t>360a_1</t>
  </si>
  <si>
    <t>052a_2</t>
  </si>
  <si>
    <t>130a_2</t>
  </si>
  <si>
    <t>207a_2</t>
  </si>
  <si>
    <t>360a_2</t>
  </si>
  <si>
    <t>Non-derivatized sample</t>
  </si>
  <si>
    <t>Vial washed "old method", rinsed 3 times with water, incubated with water for one week and blow dried with pressurized nitrogen</t>
  </si>
  <si>
    <t>N2N3w2-1</t>
  </si>
  <si>
    <t>N2N3w2-2</t>
  </si>
  <si>
    <t>N2N3w2-3</t>
  </si>
  <si>
    <t>N2N3w2-4</t>
  </si>
  <si>
    <t>BLK-IS-NaCl</t>
  </si>
  <si>
    <t>SALT1_309</t>
  </si>
  <si>
    <t>Sample without derivatization: 2 mL sample without further treatment</t>
  </si>
  <si>
    <t>284a_2</t>
  </si>
  <si>
    <t>284_a2</t>
  </si>
  <si>
    <t>MOOS052a + MOOS130a + MOOS207a + MOOS284a + MOOS360a</t>
  </si>
  <si>
    <t>u</t>
  </si>
  <si>
    <t>MOOS4_NO_DERV.D</t>
  </si>
  <si>
    <t>052_A1_I.D</t>
  </si>
  <si>
    <t>130_A1_I.D</t>
  </si>
  <si>
    <t>207_A1_I.D</t>
  </si>
  <si>
    <t>284_A1_I.D</t>
  </si>
  <si>
    <t>360_A1_I.D</t>
  </si>
  <si>
    <t>052_A2_I.D</t>
  </si>
  <si>
    <t>130_A2_I.D</t>
  </si>
  <si>
    <t>207_A2_I.D</t>
  </si>
  <si>
    <t>284_A2_I.D</t>
  </si>
  <si>
    <t>360_A2_I.D</t>
  </si>
  <si>
    <t>SALT1_309_I.D</t>
  </si>
  <si>
    <t>052_A1_II.D</t>
  </si>
  <si>
    <t>130_A1_II.D</t>
  </si>
  <si>
    <t>207_A1_II.D</t>
  </si>
  <si>
    <t>284_A1_II.D</t>
  </si>
  <si>
    <t>360_A1_II.D</t>
  </si>
  <si>
    <t>052_A2_II.D</t>
  </si>
  <si>
    <t>130_A2_II.D</t>
  </si>
  <si>
    <t>207_A2_II.D</t>
  </si>
  <si>
    <t>284_A2_II.D</t>
  </si>
  <si>
    <t>360_A2_II.D</t>
  </si>
  <si>
    <t>SALT1_309_II.D</t>
  </si>
  <si>
    <t>052_A1_III.D</t>
  </si>
  <si>
    <t>130_A1_III.D</t>
  </si>
  <si>
    <t>207_A1_III.D</t>
  </si>
  <si>
    <t>284_A1_III.D</t>
  </si>
  <si>
    <t>360_A1_III.D</t>
  </si>
  <si>
    <t>052_A2_III.D</t>
  </si>
  <si>
    <t>130_A2_III.D</t>
  </si>
  <si>
    <t>207_A2_III.D</t>
  </si>
  <si>
    <t>284_A2_III.D</t>
  </si>
  <si>
    <t>360_A2_III.D</t>
  </si>
  <si>
    <t>SALT1_309_III.D</t>
  </si>
  <si>
    <t>ST_1.D</t>
  </si>
  <si>
    <t>MOOS4_1.D</t>
  </si>
  <si>
    <t>ST_2.D</t>
  </si>
  <si>
    <t>MOOS4_2.D</t>
  </si>
  <si>
    <t>ST_3.D</t>
  </si>
  <si>
    <t>MOOS4_3.D</t>
  </si>
  <si>
    <t>ST_4.D</t>
  </si>
  <si>
    <t>MOOS4_4.D</t>
  </si>
  <si>
    <t>ST_5.D</t>
  </si>
  <si>
    <t>MOOS4_5.D</t>
  </si>
  <si>
    <t>ST_6.D</t>
  </si>
  <si>
    <t>MOOS4_6.D</t>
  </si>
  <si>
    <t>ST_7.D</t>
  </si>
  <si>
    <t>MOOS4_7.D</t>
  </si>
  <si>
    <t>Phosphate signals</t>
  </si>
  <si>
    <t>2. Determination of phosphate by UV-vis w2d1</t>
  </si>
  <si>
    <t>1. Determination of nitrate by IDMS w2d1</t>
  </si>
  <si>
    <t>3/5/2024 2:15:27 PM</t>
  </si>
  <si>
    <t>3/5/2024 2:16:17 PM</t>
  </si>
  <si>
    <t>3/5/2024 2:16:59 PM</t>
  </si>
  <si>
    <t>3/5/2024 2:17:47 PM</t>
  </si>
  <si>
    <t>3/5/2024 2:18:34 PM</t>
  </si>
  <si>
    <t>3/5/2024 2:19:35 PM</t>
  </si>
  <si>
    <t>3/5/2024 2:20:26 PM</t>
  </si>
  <si>
    <t>3/5/2024 2:21:31 PM</t>
  </si>
  <si>
    <t>3/5/2024 2:22:33 PM</t>
  </si>
  <si>
    <t>3/5/2024 2:23:35 PM</t>
  </si>
  <si>
    <t>3/5/2024 2:24:35 PM</t>
  </si>
  <si>
    <t>3/5/2024 2:25:25 PM</t>
  </si>
  <si>
    <t>3/5/2024 2:26:44 PM</t>
  </si>
  <si>
    <t>3/5/2024 2:27:38 PM</t>
  </si>
  <si>
    <t>3/5/2024 2:28:21 PM</t>
  </si>
  <si>
    <t>3/5/2024 2:29:01 PM</t>
  </si>
  <si>
    <t>3/5/2024 2:29:44 PM</t>
  </si>
  <si>
    <t>3/5/2024 2:30:29 PM</t>
  </si>
  <si>
    <t>3/5/2024 2:31:12 PM</t>
  </si>
  <si>
    <t>3/5/2024 2:32:00 PM</t>
  </si>
  <si>
    <t>3/5/2024 2:32:40 PM</t>
  </si>
  <si>
    <t>3/5/2024 2:33:28 PM</t>
  </si>
  <si>
    <t>3/5/2024 2:34:57 PM</t>
  </si>
  <si>
    <t>3/5/2024 2:35:55 PM</t>
  </si>
  <si>
    <t>3/6/2024 1:16:24 PM</t>
  </si>
  <si>
    <t>3/6/2024 1:17:07 PM</t>
  </si>
  <si>
    <t>3/6/2024 1:17:47 PM</t>
  </si>
  <si>
    <t>3/6/2024 1:18:28 PM</t>
  </si>
  <si>
    <t>3/6/2024 1:19:12 PM</t>
  </si>
  <si>
    <t>3/6/2024 1:20:00 PM</t>
  </si>
  <si>
    <t>3/6/2024 1:20:56 PM</t>
  </si>
  <si>
    <t>3/6/2024 1:21:48 PM</t>
  </si>
  <si>
    <t>3/6/2024 1:22:41 PM</t>
  </si>
  <si>
    <t>3/6/2024 1:23:31 PM</t>
  </si>
  <si>
    <t>3/6/2024 1:24:25 PM</t>
  </si>
  <si>
    <t>3/6/2024 1:25:14 PM</t>
  </si>
  <si>
    <t>3/6/2024 1:26:28 PM</t>
  </si>
  <si>
    <t>3/6/2024 1:27:11 PM</t>
  </si>
  <si>
    <t>3/6/2024 1:28:49 PM</t>
  </si>
  <si>
    <t>3/6/2024 1:29:29 PM</t>
  </si>
  <si>
    <t>3/6/2024 1:30:11 PM</t>
  </si>
  <si>
    <t>3/6/2024 1:30:55 PM</t>
  </si>
  <si>
    <t>3/6/2024 1:31:41 PM</t>
  </si>
  <si>
    <t>3/6/2024 1:32:33 PM</t>
  </si>
  <si>
    <t>3/6/2024 1:33:24 PM</t>
  </si>
  <si>
    <t>3/6/2024 1:34:16 PM</t>
  </si>
  <si>
    <t>3/6/2024 1:35:30 PM</t>
  </si>
  <si>
    <t>3/6/2024 1:36:25 PM</t>
  </si>
  <si>
    <t>3/6/2024 1:38:06 PM</t>
  </si>
  <si>
    <t>Relative</t>
  </si>
  <si>
    <t>to 50 g (%)</t>
  </si>
  <si>
    <t>Average delta mass relative to 50 g without trilaminate bag:</t>
  </si>
  <si>
    <t>Average delta mass relative to 50 g with trilaminate bag:</t>
  </si>
  <si>
    <t>Validation can be found:</t>
  </si>
  <si>
    <t xml:space="preserve">   - In this document</t>
  </si>
  <si>
    <t xml:space="preserve">   - DOC_MANAGER\Archive\Software\CM-Form-P208_Macro_ID4MS</t>
  </si>
  <si>
    <t xml:space="preserve">   - Within project SALT-1 and CCQM K161</t>
  </si>
  <si>
    <t>CM-Form-P208_Macro_ID4MS. Macro used to perform ID4MS calculation (result; uncertainty)</t>
  </si>
  <si>
    <t>Source code can be found in Module 1 (ALT + F11)</t>
  </si>
  <si>
    <r>
      <rPr>
        <i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 xml:space="preserve"> /</t>
    </r>
    <r>
      <rPr>
        <sz val="11"/>
        <color theme="1"/>
        <rFont val="Calibri"/>
        <family val="2"/>
      </rPr>
      <t>°</t>
    </r>
    <r>
      <rPr>
        <sz val="9.35"/>
        <color theme="1"/>
        <rFont val="Arial"/>
        <family val="2"/>
      </rPr>
      <t>C</t>
    </r>
  </si>
  <si>
    <t>RH /%</t>
  </si>
  <si>
    <t>temperature</t>
  </si>
  <si>
    <t>relative humidity</t>
  </si>
  <si>
    <t>Source code can be found in Module 2 (ALT + F11)</t>
  </si>
  <si>
    <t xml:space="preserve">   - DOC_MANAGER\Archive\Software\CM-Form-51_Macro_density</t>
  </si>
  <si>
    <t>CM-Form-051_density_of_liquids. Macro used to calculate density of liquids by pycnometry (result; uncertainty)</t>
  </si>
  <si>
    <t xml:space="preserve">   - Documentation associated to CM-Form-051 rev 4 (Jenn Bates)</t>
  </si>
  <si>
    <r>
      <t xml:space="preserve">Dilution of one solution containing </t>
    </r>
    <r>
      <rPr>
        <b/>
        <i/>
        <sz val="11"/>
        <color theme="1"/>
        <rFont val="Arial"/>
        <family val="2"/>
      </rPr>
      <t>n</t>
    </r>
    <r>
      <rPr>
        <b/>
        <sz val="11"/>
        <color theme="1"/>
        <rFont val="Arial"/>
        <family val="2"/>
      </rPr>
      <t xml:space="preserve"> analytes</t>
    </r>
  </si>
  <si>
    <t>1. Case 1: dilution of one solution containing one analyte</t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</si>
  <si>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1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</si>
  <si>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</si>
  <si>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0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</si>
  <si>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</si>
  <si>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</si>
  <si>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0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</si>
  <si>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</si>
  <si>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</si>
  <si>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1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</si>
  <si>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>)</t>
    </r>
  </si>
  <si>
    <t>Manual</t>
  </si>
  <si>
    <t>Verify</t>
  </si>
  <si>
    <t>2024-04-05: https://uncertainty.nist.gov/</t>
  </si>
  <si>
    <t>NIST unc</t>
  </si>
  <si>
    <t>2. Case 2: dilution of one solution containing two analytes</t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</si>
  <si>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2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</si>
  <si>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</si>
  <si>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2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</si>
  <si>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</si>
  <si>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t>2024-04-08: https://uncertainty.nist.gov/</t>
  </si>
  <si>
    <t>3. Case 3: dilution of one solution containing three analytes</t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</si>
  <si>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3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</si>
  <si>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</si>
  <si>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3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</si>
  <si>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)</t>
    </r>
  </si>
  <si>
    <t xml:space="preserve">   - DOC_MANAGER\Archive\Software\Gravimetric_dilutions</t>
  </si>
  <si>
    <t>Gravimetric dilutions WnA1S macro: dilution of 1 solution containing n analytes</t>
  </si>
  <si>
    <t>Gravimetric dilutions WnAnS macro: mixing n solutions containing 1 analytes each and further dilute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</si>
  <si>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</si>
  <si>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</si>
  <si>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um</t>
    </r>
    <r>
      <rPr>
        <b/>
        <vertAlign val="subscript"/>
        <sz val="11"/>
        <rFont val="Arial"/>
        <family val="2"/>
      </rPr>
      <t>0</t>
    </r>
  </si>
  <si>
    <r>
      <rPr>
        <b/>
        <i/>
        <sz val="11"/>
        <rFont val="Arial"/>
        <family val="2"/>
      </rPr>
      <t>um</t>
    </r>
    <r>
      <rPr>
        <b/>
        <vertAlign val="subscript"/>
        <sz val="1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</si>
  <si>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um</t>
    </r>
    <r>
      <rPr>
        <b/>
        <vertAlign val="subscript"/>
        <sz val="1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</si>
  <si>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t>2. Case 2: dilution of two solutions containing one analyte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</si>
  <si>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</si>
  <si>
    <r>
      <rPr>
        <b/>
        <i/>
        <sz val="11"/>
        <rFont val="Arial"/>
        <family val="2"/>
      </rPr>
      <t>um</t>
    </r>
    <r>
      <rPr>
        <b/>
        <vertAlign val="sub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</si>
  <si>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3. Case 3: dilution of three solutions containing one analyte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</si>
  <si>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</si>
  <si>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</si>
  <si>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um</t>
    </r>
    <r>
      <rPr>
        <b/>
        <vertAlign val="subscript"/>
        <sz val="1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</si>
  <si>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t>Source code can be found in Module 3 (ALT + F11)</t>
  </si>
  <si>
    <t>1. Module for calculation of external calibration results - linear model OLS (result, uncertainty)</t>
  </si>
  <si>
    <t>Data type</t>
  </si>
  <si>
    <t>Note</t>
  </si>
  <si>
    <t>Experimental data</t>
  </si>
  <si>
    <t>PRIM ST</t>
  </si>
  <si>
    <t>Certified primary standard</t>
  </si>
  <si>
    <t>Calculation by ResultEXLN_GS</t>
  </si>
  <si>
    <t>Calculation by ResultEXLN_MT</t>
  </si>
  <si>
    <t>Manual calculation</t>
  </si>
  <si>
    <t>NIST uncertainty machine - https://uncertainty.nist.gov/ (2024-04-09)</t>
  </si>
  <si>
    <r>
      <t>LINEST(</t>
    </r>
    <r>
      <rPr>
        <b/>
        <i/>
        <sz val="11"/>
        <color theme="1"/>
        <rFont val="Arial"/>
        <family val="2"/>
      </rPr>
      <t>y</t>
    </r>
    <r>
      <rPr>
        <b/>
        <sz val="11"/>
        <color theme="1"/>
        <rFont val="Arial"/>
        <family val="2"/>
      </rPr>
      <t>,</t>
    </r>
    <r>
      <rPr>
        <b/>
        <i/>
        <sz val="11"/>
        <color theme="1"/>
        <rFont val="Arial"/>
        <family val="2"/>
      </rPr>
      <t>x</t>
    </r>
    <r>
      <rPr>
        <b/>
        <sz val="11"/>
        <color theme="1"/>
        <rFont val="Arial"/>
        <family val="2"/>
      </rPr>
      <t>,TRUE,TRUE)</t>
    </r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</si>
  <si>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1</t>
    </r>
  </si>
  <si>
    <r>
      <rPr>
        <b/>
        <i/>
        <sz val="11"/>
        <color theme="1"/>
        <rFont val="Arial"/>
        <family val="2"/>
      </rPr>
      <t>a</t>
    </r>
    <r>
      <rPr>
        <b/>
        <vertAlign val="subscript"/>
        <sz val="11"/>
        <color theme="1"/>
        <rFont val="Arial"/>
        <family val="2"/>
      </rPr>
      <t>0</t>
    </r>
  </si>
  <si>
    <t>2. Calculation of the derivatives</t>
  </si>
  <si>
    <r>
      <t>d</t>
    </r>
    <r>
      <rPr>
        <i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/d</t>
    </r>
    <r>
      <rPr>
        <i/>
        <sz val="11"/>
        <color theme="1"/>
        <rFont val="Arial"/>
        <family val="2"/>
      </rPr>
      <t>y</t>
    </r>
    <r>
      <rPr>
        <vertAlign val="subscript"/>
        <sz val="11"/>
        <color theme="1"/>
        <rFont val="Arial"/>
        <family val="2"/>
      </rPr>
      <t>S</t>
    </r>
  </si>
  <si>
    <r>
      <t>d</t>
    </r>
    <r>
      <rPr>
        <i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</si>
  <si>
    <r>
      <t>d</t>
    </r>
    <r>
      <rPr>
        <i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</si>
  <si>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t>3. Correlation coefficient</t>
  </si>
  <si>
    <r>
      <rPr>
        <i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(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,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)</t>
    </r>
  </si>
  <si>
    <t>4. When the uncertainty on the primary standard is not zero (ResultEXLN_GS)</t>
  </si>
  <si>
    <t>Validation</t>
  </si>
  <si>
    <t>5. Comparing ResultEXLN_GS with other methods</t>
  </si>
  <si>
    <t>ResultEXLN_GS</t>
  </si>
  <si>
    <t>vs</t>
  </si>
  <si>
    <t>ResultEXLN_MT</t>
  </si>
  <si>
    <t xml:space="preserve">   - DOC_MANAGER\Archive\Software\EX_linear</t>
  </si>
  <si>
    <t>Source code can be found in Module 4 (ALT + F11)</t>
  </si>
  <si>
    <t>Source code can be found in Module 5 (ALT + F11)</t>
  </si>
  <si>
    <t xml:space="preserve">   - DOC_MANAGER\Archive\Software\IDMS_fitting</t>
  </si>
  <si>
    <t>0. Number of Monte Carlo simulations:</t>
  </si>
  <si>
    <t>1. Case when gravimetric correction for mA and mB is taken into consideration</t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</si>
  <si>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A*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</si>
  <si>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A*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</si>
  <si>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B</t>
    </r>
    <r>
      <rPr>
        <b/>
        <sz val="11"/>
        <color theme="1"/>
        <rFont val="Arial"/>
        <family val="2"/>
      </rPr>
      <t>))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</si>
  <si>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A*B</t>
    </r>
    <r>
      <rPr>
        <b/>
        <sz val="11"/>
        <color theme="1"/>
        <rFont val="Arial"/>
        <family val="2"/>
      </rPr>
      <t>)</t>
    </r>
  </si>
  <si>
    <t>C0</t>
  </si>
  <si>
    <t>C1</t>
  </si>
  <si>
    <t>C2</t>
  </si>
  <si>
    <t>C3</t>
  </si>
  <si>
    <t>C4</t>
  </si>
  <si>
    <t>C5</t>
  </si>
  <si>
    <t>C6</t>
  </si>
  <si>
    <t>Gauss's method (GUM's Linear Approximation)</t>
  </si>
  <si>
    <t>Monte Carlo method</t>
  </si>
  <si>
    <r>
      <t xml:space="preserve">Ratio 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</si>
  <si>
    <r>
      <t>Ratio</t>
    </r>
    <r>
      <rPr>
        <b/>
        <i/>
        <sz val="11"/>
        <color theme="1"/>
        <rFont val="Arial"/>
        <family val="2"/>
      </rPr>
      <t xml:space="preserve"> 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</si>
  <si>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m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</si>
  <si>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AB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</si>
  <si>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</si>
  <si>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)</t>
    </r>
  </si>
  <si>
    <t>R^2</t>
  </si>
  <si>
    <t>GC/MT</t>
  </si>
  <si>
    <t>Sample A_1</t>
  </si>
  <si>
    <t>Sample A_2</t>
  </si>
  <si>
    <t>Sample A_3</t>
  </si>
  <si>
    <t>Sample A_4</t>
  </si>
  <si>
    <t>Sample A_5</t>
  </si>
  <si>
    <r>
      <t xml:space="preserve">The uncertainty on the primary standard </t>
    </r>
    <r>
      <rPr>
        <b/>
        <i/>
        <sz val="11"/>
        <color rgb="FF000000"/>
        <rFont val="Arial"/>
        <family val="2"/>
      </rPr>
      <t>w</t>
    </r>
    <r>
      <rPr>
        <b/>
        <vertAlign val="subscript"/>
        <sz val="11"/>
        <color rgb="FF000000"/>
        <rFont val="Arial"/>
        <family val="2"/>
      </rPr>
      <t>A*</t>
    </r>
    <r>
      <rPr>
        <b/>
        <sz val="11"/>
        <color rgb="FF000000"/>
        <rFont val="Arial"/>
        <family val="2"/>
      </rPr>
      <t xml:space="preserve"> should be added at the end for both Gauss method and Monte Carlo</t>
    </r>
  </si>
  <si>
    <t>2. Case when gravimetric correction for mA and mB is not taken into consideration</t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</si>
  <si>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</t>
    </r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)</t>
    </r>
  </si>
  <si>
    <t>n/a</t>
  </si>
  <si>
    <t>Macro for the calculation of IDMS result by fitting a rational function to the calibration plot. Gauss method (ResultIDMS_GS) and Monte Carlo (ResultIDMS_MC)</t>
  </si>
  <si>
    <t>Macro for the calculation of external calibration results (linear model) by Gauss method (ResultEXLN_GS) and by Monte Carlo (ResultEXLN_MC)</t>
  </si>
  <si>
    <t>Macro for the calculation of external calibration results using a quadratic model (ResultEXQD)</t>
  </si>
  <si>
    <t>Source code can be found in Module 6 (ALT + F11)</t>
  </si>
  <si>
    <r>
      <t xml:space="preserve">Equation: </t>
    </r>
    <r>
      <rPr>
        <i/>
        <sz val="11"/>
        <color theme="1"/>
        <rFont val="Arial"/>
        <family val="2"/>
      </rPr>
      <t>y</t>
    </r>
    <r>
      <rPr>
        <sz val="11"/>
        <color theme="1"/>
        <rFont val="Arial"/>
        <family val="2"/>
      </rPr>
      <t xml:space="preserve"> =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x +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i/>
        <sz val="11"/>
        <color theme="1"/>
        <rFont val="Arial"/>
        <family val="2"/>
      </rPr>
      <t>x</t>
    </r>
    <r>
      <rPr>
        <vertAlign val="superscript"/>
        <sz val="11"/>
        <color theme="1"/>
        <rFont val="Arial"/>
        <family val="2"/>
      </rPr>
      <t>2</t>
    </r>
  </si>
  <si>
    <r>
      <t xml:space="preserve">Solution: </t>
    </r>
    <r>
      <rPr>
        <i/>
        <sz val="11"/>
        <color theme="1"/>
        <rFont val="Arial"/>
        <family val="2"/>
      </rPr>
      <t>x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= {-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+ [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- 4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(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 - </t>
    </r>
    <r>
      <rPr>
        <i/>
        <sz val="11"/>
        <color theme="1"/>
        <rFont val="Arial"/>
        <family val="2"/>
      </rPr>
      <t>y</t>
    </r>
    <r>
      <rPr>
        <sz val="11"/>
        <color theme="1"/>
        <rFont val="Arial"/>
        <family val="2"/>
      </rPr>
      <t>)]</t>
    </r>
    <r>
      <rPr>
        <vertAlign val="superscript"/>
        <sz val="11"/>
        <color theme="1"/>
        <rFont val="Arial"/>
        <family val="2"/>
      </rPr>
      <t>1/2</t>
    </r>
    <r>
      <rPr>
        <sz val="11"/>
        <color theme="1"/>
        <rFont val="Arial"/>
        <family val="2"/>
      </rPr>
      <t>}/(2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</si>
  <si>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 xml:space="preserve">Equation: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i/>
        <sz val="11"/>
        <color theme="1"/>
        <rFont val="Arial"/>
        <family val="2"/>
      </rPr>
      <t>x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i/>
        <sz val="11"/>
        <color theme="1"/>
        <rFont val="Arial"/>
        <family val="2"/>
      </rPr>
      <t>x</t>
    </r>
    <r>
      <rPr>
        <sz val="11"/>
        <color theme="1"/>
        <rFont val="Arial"/>
        <family val="2"/>
      </rPr>
      <t xml:space="preserve"> + 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 - </t>
    </r>
    <r>
      <rPr>
        <i/>
        <sz val="11"/>
        <color theme="1"/>
        <rFont val="Arial"/>
        <family val="2"/>
      </rPr>
      <t>y</t>
    </r>
    <r>
      <rPr>
        <sz val="11"/>
        <color theme="1"/>
        <rFont val="Arial"/>
        <family val="2"/>
      </rPr>
      <t xml:space="preserve"> = 0</t>
    </r>
  </si>
  <si>
    <r>
      <t xml:space="preserve">Solution: </t>
    </r>
    <r>
      <rPr>
        <i/>
        <sz val="11"/>
        <color theme="1"/>
        <rFont val="Arial"/>
        <family val="2"/>
      </rPr>
      <t>x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= {-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- [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1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- 4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 (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 - </t>
    </r>
    <r>
      <rPr>
        <i/>
        <sz val="11"/>
        <color theme="1"/>
        <rFont val="Arial"/>
        <family val="2"/>
      </rPr>
      <t>y</t>
    </r>
    <r>
      <rPr>
        <sz val="11"/>
        <color theme="1"/>
        <rFont val="Arial"/>
        <family val="2"/>
      </rPr>
      <t>)]</t>
    </r>
    <r>
      <rPr>
        <vertAlign val="superscript"/>
        <sz val="11"/>
        <color theme="1"/>
        <rFont val="Arial"/>
        <family val="2"/>
      </rPr>
      <t>1/2</t>
    </r>
    <r>
      <rPr>
        <sz val="11"/>
        <color theme="1"/>
        <rFont val="Arial"/>
        <family val="2"/>
      </rPr>
      <t>}/(2</t>
    </r>
    <r>
      <rPr>
        <i/>
        <sz val="11"/>
        <color theme="1"/>
        <rFont val="Arial"/>
        <family val="2"/>
      </rPr>
      <t>a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</si>
  <si>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t>2024-01-15 Nitrate short-term stability by ID HS GC-MS (verified on 2024-04-09)</t>
  </si>
  <si>
    <t>2024-01-15 Nitrite short-term stability by UV-vis (verified on 2024-04-09)</t>
  </si>
  <si>
    <t>2024-01-15 Phosphate short-term stability by UV-vis (verified 2024-04-09)</t>
  </si>
  <si>
    <t>2024-01-15 Silicate short-term stability by UV-vis (verified on 2024-04-09)</t>
  </si>
  <si>
    <t>2024-02-06 Standardization of Nitrite standard from Sigma Aldrich vs NIST 3185 by IDMS (verified on 2024-04-09)</t>
  </si>
  <si>
    <t>2024-02-13 Standardization of Nitrite standard from Sigma Aldrich vs NIST 3185 by IDMS: verify the RA to RA' difference (verified 2024-04-09)</t>
  </si>
  <si>
    <t>2024-02-14 Validation of nitrite and nitrate method and preliminary results on MOOS-4 and SEAN-1 (verified on 2024-04-09)</t>
  </si>
  <si>
    <r>
      <t>A</t>
    </r>
    <r>
      <rPr>
        <b/>
        <vertAlign val="subscript"/>
        <sz val="11"/>
        <color theme="1"/>
        <rFont val="Arial"/>
        <family val="2"/>
      </rPr>
      <t>0</t>
    </r>
  </si>
  <si>
    <r>
      <t>BLK_1 = A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+ S(EtONO)</t>
    </r>
  </si>
  <si>
    <r>
      <t>S(EtONO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</si>
  <si>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r>
      <t>A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is the nitrate blank present as NO3 at the moment of the derivatization</t>
    </r>
  </si>
  <si>
    <t>2024-02-20 CHAR MOOS4 NO3 w1d1 - GCMS (verified on 2024-04-09)</t>
  </si>
  <si>
    <t>2024-02-21 CHAR MOOS4 NO2 w1d2 - GCMS (verified on 2024-04-09)</t>
  </si>
  <si>
    <t>2024-02-20 CHAR MOOS4 NO2 w1d1 - spectrophotometry (verified on 2024-04-09)</t>
  </si>
  <si>
    <t>2024-02-20 CHAR MOOS4 PO4 w1d1 - spectrophotometry (verified on 2024-04-09)</t>
  </si>
  <si>
    <t>2024-02-21 CHAR MOOS4 SiO2 w1d2 - spectrophotometry (verified on 2024-04-09)</t>
  </si>
  <si>
    <t>2024-02-21 CHAR MOOS4 NO2 w1d2 - spectrophotometry (verified on 2024-04-09)</t>
  </si>
  <si>
    <t>2024-03-05 CHAR MOOS4 NO3 w2d1 - GCMS (verified on 2024-04-09)</t>
  </si>
  <si>
    <t>2024-03-05 CHAR MOOS4 PO4 w2d1 - spectrophotometry (verified on 2024-04-09)</t>
  </si>
  <si>
    <t>2024-03-06 CHAR MOOS4 NO2 w2d2 - GCMS (verified on 2024-04-09)</t>
  </si>
  <si>
    <t>2024-03-06 CHAR MOOS4 SiO2 w2d2 - spectrophotometry (verified on 2024-04-09)</t>
  </si>
  <si>
    <t>CHAR week 1 GC-MS, UV-vis Enea, density</t>
  </si>
  <si>
    <t>CHAR week 2 GC-MS, UV-vis Enea, density</t>
  </si>
  <si>
    <t>CHAR Silicate LC-ICPMS Zuzana</t>
  </si>
  <si>
    <t>When the samples are kept in trilaminate bags the transpiration is reduced by a factor of 10</t>
  </si>
  <si>
    <t>Homogeneity of nitrate on the base of the stability data by ID HS GC-MS (verified on 2024-04-10)</t>
  </si>
  <si>
    <t>Short term stability nitrite by UV-Vis (verified 2024-04-10)</t>
  </si>
  <si>
    <t>Homogeneity of nitrite on the base of the stability data by UV-vis (verified on 2024-04-10)</t>
  </si>
  <si>
    <t>Short term stability phosphate by UV-Vis (verified on 2024-04-10)</t>
  </si>
  <si>
    <t>Homogeneity of phosphate on the base of the stability data by UV-vis (verified on 2024-04-10)</t>
  </si>
  <si>
    <t>Short term stability silicate by UV-Vis (verified on 2024-04-10)</t>
  </si>
  <si>
    <t>Homogeneity of silicate on the base of the stability data by UV-vis (verified on 2024-04-10)</t>
  </si>
  <si>
    <t>Temperature and relative humidity measured with fisherbrand 15-077-963 11724196 S/N 230419093 (Expiry date 21 Jun 2025)</t>
  </si>
  <si>
    <t>Balance: MS204S in B5</t>
  </si>
  <si>
    <t>um</t>
  </si>
  <si>
    <t>from 0.1 g to 200 g</t>
  </si>
  <si>
    <t xml:space="preserve">When measuring the mass of a cold solution the possible effect of condensation on the bottle should be accounted </t>
  </si>
  <si>
    <t>Determination of density MOOS-4, LNWS, SALT-1, MOOS-3 (verified on 2024-04-10)</t>
  </si>
  <si>
    <t>Uncertainty on mass measurements (verified on 2024-04-10)</t>
  </si>
  <si>
    <r>
      <t xml:space="preserve">Certified value as NO2 with </t>
    </r>
    <r>
      <rPr>
        <i/>
        <sz val="11"/>
        <rFont val="Arial"/>
        <family val="2"/>
      </rPr>
      <t>k</t>
    </r>
    <r>
      <rPr>
        <sz val="11"/>
        <rFont val="Arial"/>
        <family val="2"/>
      </rPr>
      <t xml:space="preserve"> = 1</t>
    </r>
  </si>
  <si>
    <t>Access: 2024-02-16</t>
  </si>
  <si>
    <t>Commission on Isotopic Abundances and Atomic Weights (ciaaw.org)</t>
  </si>
  <si>
    <t>Calculation of nutrient concentration in the SALT-1 solution</t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</si>
  <si>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 xml:space="preserve"> (</t>
    </r>
    <r>
      <rPr>
        <b/>
        <i/>
        <sz val="11"/>
        <color theme="1"/>
        <rFont val="Arial"/>
        <family val="2"/>
      </rPr>
      <t xml:space="preserve">k </t>
    </r>
    <r>
      <rPr>
        <b/>
        <sz val="11"/>
        <color theme="1"/>
        <rFont val="Arial"/>
        <family val="2"/>
      </rPr>
      <t>= 1)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</si>
  <si>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 xml:space="preserve"> (</t>
    </r>
    <r>
      <rPr>
        <b/>
        <i/>
        <sz val="11"/>
        <color theme="1"/>
        <rFont val="Arial"/>
        <family val="2"/>
      </rPr>
      <t xml:space="preserve">k </t>
    </r>
    <r>
      <rPr>
        <b/>
        <sz val="11"/>
        <color theme="1"/>
        <rFont val="Arial"/>
        <family val="2"/>
      </rPr>
      <t>= 2)</t>
    </r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</si>
  <si>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sz val="11"/>
        <color theme="1"/>
        <rFont val="Arial"/>
        <family val="2"/>
      </rPr>
      <t xml:space="preserve"> (%)</t>
    </r>
  </si>
  <si>
    <t>units</t>
  </si>
  <si>
    <t>Reference</t>
  </si>
  <si>
    <t>At the time of bottling</t>
  </si>
  <si>
    <t>measurand</t>
  </si>
  <si>
    <t>SALT-1 mass</t>
  </si>
  <si>
    <t>SALT-1 certified values (verified on 2024-04-10)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</si>
  <si>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</si>
  <si>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</si>
  <si>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</si>
  <si>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</si>
  <si>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</si>
  <si>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</si>
  <si>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t>Preparation of the SALT-1 QC sample (verified 2024-04-10)</t>
  </si>
  <si>
    <t>CHAR date</t>
  </si>
  <si>
    <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>)</t>
    </r>
  </si>
  <si>
    <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>)</t>
    </r>
  </si>
  <si>
    <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>)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</si>
  <si>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</si>
  <si>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</si>
  <si>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t>N/A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</si>
  <si>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= vial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</si>
  <si>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SiO2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</si>
  <si>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DIW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</si>
  <si>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NO2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</si>
  <si>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PO4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</si>
  <si>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+ SiO2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</si>
  <si>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4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+ LNSW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</si>
  <si>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</si>
  <si>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</si>
  <si>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>)</t>
    </r>
  </si>
  <si>
    <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4</t>
    </r>
    <r>
      <rPr>
        <b/>
        <sz val="11"/>
        <rFont val="Arial"/>
        <family val="2"/>
      </rPr>
      <t>)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</si>
  <si>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</si>
  <si>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LNSW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</si>
  <si>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NO3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</si>
  <si>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+ DIW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</si>
  <si>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>)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</si>
  <si>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>)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</si>
  <si>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>)</t>
    </r>
  </si>
  <si>
    <t>2024-02-20 and 2024-02-21 Characterization MOOS-4 [WEEK 1; DAY 1 and 2]: sample preparation (verified 2024-04-11)</t>
  </si>
  <si>
    <r>
      <rPr>
        <b/>
        <i/>
        <sz val="9"/>
        <color theme="1"/>
        <rFont val="Arial"/>
        <family val="2"/>
      </rPr>
      <t>w</t>
    </r>
    <r>
      <rPr>
        <b/>
        <vertAlign val="subscript"/>
        <sz val="9"/>
        <color theme="1"/>
        <rFont val="Arial"/>
        <family val="2"/>
      </rPr>
      <t>A*</t>
    </r>
    <r>
      <rPr>
        <b/>
        <sz val="9"/>
        <color theme="1"/>
        <rFont val="Arial"/>
        <family val="2"/>
      </rPr>
      <t>(</t>
    </r>
    <r>
      <rPr>
        <b/>
        <i/>
        <sz val="9"/>
        <color theme="1"/>
        <rFont val="Arial"/>
        <family val="2"/>
      </rPr>
      <t>m</t>
    </r>
    <r>
      <rPr>
        <b/>
        <vertAlign val="subscript"/>
        <sz val="9"/>
        <color theme="1"/>
        <rFont val="Arial"/>
        <family val="2"/>
      </rPr>
      <t>A*</t>
    </r>
    <r>
      <rPr>
        <b/>
        <sz val="9"/>
        <color theme="1"/>
        <rFont val="Arial"/>
        <family val="2"/>
      </rPr>
      <t>/</t>
    </r>
    <r>
      <rPr>
        <b/>
        <i/>
        <sz val="9"/>
        <color theme="1"/>
        <rFont val="Arial"/>
        <family val="2"/>
      </rPr>
      <t>m</t>
    </r>
    <r>
      <rPr>
        <b/>
        <vertAlign val="subscript"/>
        <sz val="9"/>
        <color theme="1"/>
        <rFont val="Arial"/>
        <family val="2"/>
      </rPr>
      <t>B</t>
    </r>
    <r>
      <rPr>
        <b/>
        <sz val="9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</si>
  <si>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u</t>
    </r>
    <r>
      <rPr>
        <b/>
        <sz val="9"/>
        <color theme="1"/>
        <rFont val="Arial"/>
        <family val="2"/>
      </rPr>
      <t>(</t>
    </r>
    <r>
      <rPr>
        <b/>
        <i/>
        <sz val="9"/>
        <color theme="1"/>
        <rFont val="Arial"/>
        <family val="2"/>
      </rPr>
      <t>w</t>
    </r>
    <r>
      <rPr>
        <b/>
        <vertAlign val="subscript"/>
        <sz val="9"/>
        <color theme="1"/>
        <rFont val="Arial"/>
        <family val="2"/>
      </rPr>
      <t>A*</t>
    </r>
    <r>
      <rPr>
        <b/>
        <sz val="9"/>
        <color theme="1"/>
        <rFont val="Arial"/>
        <family val="2"/>
      </rPr>
      <t>(</t>
    </r>
    <r>
      <rPr>
        <b/>
        <i/>
        <sz val="9"/>
        <color theme="1"/>
        <rFont val="Arial"/>
        <family val="2"/>
      </rPr>
      <t>m</t>
    </r>
    <r>
      <rPr>
        <b/>
        <vertAlign val="subscript"/>
        <sz val="9"/>
        <color theme="1"/>
        <rFont val="Arial"/>
        <family val="2"/>
      </rPr>
      <t>A*</t>
    </r>
    <r>
      <rPr>
        <b/>
        <sz val="9"/>
        <color theme="1"/>
        <rFont val="Arial"/>
        <family val="2"/>
      </rPr>
      <t>/</t>
    </r>
    <r>
      <rPr>
        <b/>
        <i/>
        <sz val="9"/>
        <color theme="1"/>
        <rFont val="Arial"/>
        <family val="2"/>
      </rPr>
      <t>m</t>
    </r>
    <r>
      <rPr>
        <b/>
        <vertAlign val="subscript"/>
        <sz val="9"/>
        <color theme="1"/>
        <rFont val="Arial"/>
        <family val="2"/>
      </rPr>
      <t>B</t>
    </r>
    <r>
      <rPr>
        <b/>
        <sz val="9"/>
        <color theme="1"/>
        <rFont val="Arial"/>
        <family val="2"/>
      </rPr>
      <t>))</t>
    </r>
  </si>
  <si>
    <r>
      <t xml:space="preserve">uncertainty on the difference between two masses </t>
    </r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-</t>
    </r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0</t>
    </r>
  </si>
  <si>
    <t>CRM</t>
  </si>
  <si>
    <t>μ</t>
  </si>
  <si>
    <t>unc</t>
  </si>
  <si>
    <t>IRMM</t>
  </si>
  <si>
    <t>ISO</t>
  </si>
  <si>
    <t>Wald</t>
  </si>
  <si>
    <t>Measurement</t>
  </si>
  <si>
    <t>Comparability</t>
  </si>
  <si>
    <r>
      <rPr>
        <i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>-test</t>
    </r>
  </si>
  <si>
    <r>
      <t xml:space="preserve">Mood, </t>
    </r>
    <r>
      <rPr>
        <i/>
        <sz val="11"/>
        <color theme="1"/>
        <rFont val="Arial"/>
        <family val="2"/>
      </rPr>
      <t>B</t>
    </r>
    <r>
      <rPr>
        <sz val="11"/>
        <color theme="1"/>
        <rFont val="Arial"/>
        <family val="2"/>
      </rPr>
      <t>=2</t>
    </r>
  </si>
  <si>
    <r>
      <t>x</t>
    </r>
    <r>
      <rPr>
        <sz val="11"/>
        <color theme="1"/>
        <rFont val="Arial"/>
        <family val="2"/>
      </rPr>
      <t>/</t>
    </r>
    <r>
      <rPr>
        <i/>
        <sz val="11"/>
        <color theme="1"/>
        <rFont val="Arial"/>
        <family val="2"/>
      </rPr>
      <t>μ</t>
    </r>
  </si>
  <si>
    <r>
      <rPr>
        <i/>
        <sz val="11"/>
        <color theme="1"/>
        <rFont val="Arial"/>
        <family val="2"/>
      </rPr>
      <t>n</t>
    </r>
    <r>
      <rPr>
        <sz val="11"/>
        <color theme="1"/>
        <rFont val="Arial"/>
        <family val="2"/>
      </rPr>
      <t xml:space="preserve"> = 3 as the isotope ratio was measured in triplicate</t>
    </r>
  </si>
  <si>
    <t>At this point the MOOS-3 was not a reliable CRM for validation of nitrite. Comparison of the data with the independent UV-vis method is a better alternative for validation</t>
  </si>
  <si>
    <r>
      <t>S</t>
    </r>
    <r>
      <rPr>
        <vertAlign val="subscript"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 xml:space="preserve"> = corrected analytical signal that would have been observed if the sample matrix was matched with LNSW</t>
    </r>
  </si>
  <si>
    <r>
      <t>S</t>
    </r>
    <r>
      <rPr>
        <vertAlign val="subscript"/>
        <sz val="11"/>
        <color theme="1"/>
        <rFont val="Arial"/>
        <family val="2"/>
      </rPr>
      <t>M</t>
    </r>
    <r>
      <rPr>
        <sz val="11"/>
        <color theme="1"/>
        <rFont val="Arial"/>
        <family val="2"/>
      </rPr>
      <t xml:space="preserve"> = analytical signal measured in the sample matrix</t>
    </r>
  </si>
  <si>
    <t>Linear model: Gauss's method (GUM's Linear Approximation)</t>
  </si>
  <si>
    <t>Ratio Gauss vs Monte Carlo</t>
  </si>
  <si>
    <t>Manual Calculation</t>
  </si>
  <si>
    <t>Using ResultEXQD</t>
  </si>
  <si>
    <r>
      <t>x</t>
    </r>
    <r>
      <rPr>
        <b/>
        <vertAlign val="subscript"/>
        <sz val="11"/>
        <color theme="1"/>
        <rFont val="Arial"/>
        <family val="2"/>
      </rPr>
      <t>1</t>
    </r>
  </si>
  <si>
    <r>
      <t>x</t>
    </r>
    <r>
      <rPr>
        <b/>
        <vertAlign val="subscript"/>
        <sz val="11"/>
        <color theme="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</si>
  <si>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t>Linest with quadratic model</t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</si>
  <si>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</si>
  <si>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</si>
  <si>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t>vs quadratic</t>
  </si>
  <si>
    <t>Ratio linear</t>
  </si>
  <si>
    <r>
      <rPr>
        <b/>
        <i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(890)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</si>
  <si>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)]</t>
    </r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</si>
  <si>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</si>
  <si>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sz val="11"/>
        <color theme="1"/>
        <rFont val="Arial"/>
        <family val="2"/>
      </rPr>
      <t>)</t>
    </r>
  </si>
  <si>
    <t>5. Determination of silicate by UV-vis w1d2</t>
  </si>
  <si>
    <r>
      <rPr>
        <b/>
        <i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(810)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</si>
  <si>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</t>
    </r>
    <r>
      <rPr>
        <sz val="11"/>
        <color theme="1"/>
        <rFont val="Arial"/>
        <family val="2"/>
      </rPr>
      <t>[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)]</t>
    </r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</si>
  <si>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</si>
  <si>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w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</si>
  <si>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t xml:space="preserve">Note ICM-21-02 for MOOS-3 stability: silicate (n = 7) 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 xml:space="preserve"> = 1.747 μg/g, </t>
    </r>
    <r>
      <rPr>
        <i/>
        <sz val="11"/>
        <color theme="1"/>
        <rFont val="Arial"/>
        <family val="2"/>
      </rPr>
      <t>uw</t>
    </r>
    <r>
      <rPr>
        <sz val="11"/>
        <color theme="1"/>
        <rFont val="Arial"/>
        <family val="2"/>
      </rPr>
      <t xml:space="preserve"> = 0.010 μg/g</t>
    </r>
  </si>
  <si>
    <r>
      <t xml:space="preserve">Note ICM-21-02 for MOOS-3 stability: phosphate (n = 21) 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 xml:space="preserve"> = 0.1569 μg/g, </t>
    </r>
    <r>
      <rPr>
        <i/>
        <sz val="11"/>
        <color theme="1"/>
        <rFont val="Arial"/>
        <family val="2"/>
      </rPr>
      <t>uw</t>
    </r>
    <r>
      <rPr>
        <sz val="11"/>
        <color theme="1"/>
        <rFont val="Arial"/>
        <family val="2"/>
      </rPr>
      <t xml:space="preserve"> = 0.0095 μg/g</t>
    </r>
  </si>
  <si>
    <r>
      <t xml:space="preserve">Note ICM-21-02 for MOOS-3 stability: nitrate (n = 14) 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 xml:space="preserve"> = 0.1535 μg/g, </t>
    </r>
    <r>
      <rPr>
        <i/>
        <sz val="11"/>
        <color theme="1"/>
        <rFont val="Arial"/>
        <family val="2"/>
      </rPr>
      <t>uw</t>
    </r>
    <r>
      <rPr>
        <sz val="11"/>
        <color theme="1"/>
        <rFont val="Arial"/>
        <family val="2"/>
      </rPr>
      <t xml:space="preserve"> = 0.020 μg/g</t>
    </r>
  </si>
  <si>
    <r>
      <t xml:space="preserve">Note ICM-21-02 for MOOS-3 stability: nitrate (n = 21) </t>
    </r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 xml:space="preserve"> = 1.3921 μg/g, </t>
    </r>
    <r>
      <rPr>
        <i/>
        <sz val="11"/>
        <color theme="1"/>
        <rFont val="Arial"/>
        <family val="2"/>
      </rPr>
      <t>uw</t>
    </r>
    <r>
      <rPr>
        <sz val="11"/>
        <color theme="1"/>
        <rFont val="Arial"/>
        <family val="2"/>
      </rPr>
      <t xml:space="preserve"> = 0.020 μg/g</t>
    </r>
  </si>
  <si>
    <t>2024-02-20 and 2024-02-21 Characterization MOOS-4 [WEEK 1; DAY 1 and 2]: data analysis (verified 2024-04-19)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</si>
  <si>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</si>
  <si>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</si>
  <si>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0</t>
    </r>
    <r>
      <rPr>
        <b/>
        <sz val="11"/>
        <rFont val="Arial"/>
        <family val="2"/>
      </rPr>
      <t xml:space="preserve"> + PO4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</si>
  <si>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+ SiO2 standard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</si>
  <si>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 xml:space="preserve"> = 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b/>
        <sz val="11"/>
        <rFont val="Arial"/>
        <family val="2"/>
      </rPr>
      <t xml:space="preserve"> + LNSW</t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</si>
  <si>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</si>
  <si>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3</t>
    </r>
    <r>
      <rPr>
        <b/>
        <sz val="11"/>
        <rFont val="Arial"/>
        <family val="2"/>
      </rPr>
      <t>)</t>
    </r>
  </si>
  <si>
    <t>RA and RA* : 2 mL of sample (or AB2 standard ) following derivatization method</t>
  </si>
  <si>
    <t>1. Determination of nitrate by IDMS w1d1</t>
  </si>
  <si>
    <t>2. Determination of nitrite by IDMS w1d2</t>
  </si>
  <si>
    <t>2024-03-05 and 2024-03-06 Characterization MOOS-4 [WEEK 2; DAY 1 and 2]: sample preparation (verified 2024-04-19)</t>
  </si>
  <si>
    <t>3. Determination of nitrite by IDMS w2d2</t>
  </si>
  <si>
    <t>GS/MT</t>
  </si>
  <si>
    <t>4. Determination of silicate by UV-vis w2d2</t>
  </si>
  <si>
    <t>2024-03-05 and 2024-03-06 Characterization MOOS-4 [WEEK 2; DAY 1 and 2]: data analysis (verified 2024-04-19)</t>
  </si>
  <si>
    <t>Preparation of the "MOOS-4 spike" nitrite solution</t>
  </si>
  <si>
    <t>NO2-SAMPLE</t>
  </si>
  <si>
    <t>SIGMA</t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</si>
  <si>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1</t>
    </r>
    <r>
      <rPr>
        <sz val="11"/>
        <color theme="1"/>
        <rFont val="Calibri"/>
        <family val="2"/>
        <scheme val="minor"/>
      </rPr>
      <t/>
    </r>
  </si>
  <si>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2</t>
    </r>
    <r>
      <rPr>
        <sz val="11"/>
        <color theme="1"/>
        <rFont val="Calibri"/>
        <family val="2"/>
        <scheme val="minor"/>
      </rPr>
      <t/>
    </r>
  </si>
  <si>
    <t>8. Oxidation of the sample and dilution</t>
  </si>
  <si>
    <t>9. Analysis by GC-MS</t>
  </si>
  <si>
    <t>10. Difference between Isotopic composition of sample (NO2 Sigma) and standard (NO3 NIST)</t>
  </si>
  <si>
    <t>Same oxidation process as reported above</t>
  </si>
  <si>
    <t>11. Quantitative conversion of nitrite by permanganate</t>
  </si>
  <si>
    <t>stdev</t>
  </si>
  <si>
    <t>Therefore the nitrite conversion by permanganate was quantitative</t>
  </si>
  <si>
    <t>12. No endogenous nitrate found in the Sigma nitrite standard</t>
  </si>
  <si>
    <t>NO2 (A at 45)</t>
  </si>
  <si>
    <t>File</t>
  </si>
  <si>
    <r>
      <t>(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B</t>
    </r>
    <r>
      <rPr>
        <b/>
        <sz val="11"/>
        <rFont val="Arial"/>
        <family val="2"/>
      </rPr>
      <t>/</t>
    </r>
    <r>
      <rPr>
        <b/>
        <i/>
        <sz val="11"/>
        <rFont val="Arial"/>
        <family val="2"/>
      </rPr>
      <t>m</t>
    </r>
    <r>
      <rPr>
        <b/>
        <vertAlign val="subscript"/>
        <sz val="11"/>
        <rFont val="Arial"/>
        <family val="2"/>
      </rPr>
      <t>A</t>
    </r>
    <r>
      <rPr>
        <b/>
        <sz val="11"/>
        <rFont val="Arial"/>
        <family val="2"/>
      </rPr>
      <t>)*</t>
    </r>
    <r>
      <rPr>
        <b/>
        <i/>
        <sz val="11"/>
        <rFont val="Arial"/>
        <family val="2"/>
      </rPr>
      <t>r</t>
    </r>
    <r>
      <rPr>
        <b/>
        <vertAlign val="subscript"/>
        <sz val="11"/>
        <rFont val="Arial"/>
        <family val="2"/>
      </rPr>
      <t>AB</t>
    </r>
  </si>
  <si>
    <r>
      <rPr>
        <b/>
        <i/>
        <sz val="11"/>
        <rFont val="Arial"/>
        <family val="2"/>
      </rPr>
      <t>u</t>
    </r>
    <r>
      <rPr>
        <b/>
        <sz val="11"/>
        <rFont val="Arial"/>
        <family val="2"/>
      </rPr>
      <t>(</t>
    </r>
    <r>
      <rPr>
        <b/>
        <i/>
        <sz val="11"/>
        <rFont val="Arial"/>
        <family val="2"/>
      </rPr>
      <t>r</t>
    </r>
    <r>
      <rPr>
        <b/>
        <vertAlign val="subscript"/>
        <sz val="11"/>
        <rFont val="Arial"/>
        <family val="2"/>
      </rPr>
      <t>AB</t>
    </r>
    <r>
      <rPr>
        <b/>
        <sz val="11"/>
        <rFont val="Arial"/>
        <family val="2"/>
      </rPr>
      <t>)</t>
    </r>
  </si>
  <si>
    <t>12. Quantitation of nitrate in the Sigma Aldrich standard BCCK5026 after KMnO4 conversion (exact-matching, blank-matching)</t>
  </si>
  <si>
    <t>There is no detectable nitrate in the Sigma Aldrich standard BCCK5026</t>
  </si>
  <si>
    <t>Consensus value</t>
  </si>
  <si>
    <t>The 95 % coverage interval (DerSimonian-Laird, NIST consensus builder, 2024-04-22) is 101.7 to 102.6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</si>
  <si>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</si>
  <si>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>)</t>
    </r>
  </si>
  <si>
    <t>Solution</t>
  </si>
  <si>
    <t>14. Calculation of the nitrite mass fraction in the Sigma Aldrich standard BCCK5026</t>
  </si>
  <si>
    <t>13. Including the uncertainty from the primary standard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</si>
  <si>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sz val="11"/>
        <color theme="1"/>
        <rFont val="Arial"/>
        <family val="2"/>
      </rPr>
      <t xml:space="preserve"> (analysis)</t>
    </r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</si>
  <si>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sz val="11"/>
        <color theme="1"/>
        <rFont val="Arial"/>
        <family val="2"/>
      </rPr>
      <t xml:space="preserve"> (standard)</t>
    </r>
  </si>
  <si>
    <t>15. Consistency IDMS results vs value reported by Sigma Aldrich</t>
  </si>
  <si>
    <t>Certified value of nitrite IDMS</t>
  </si>
  <si>
    <t>Primary standards and atomic weights (verified on 2024-04-10)</t>
  </si>
  <si>
    <r>
      <t>Standardization 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-</t>
    </r>
    <r>
      <rPr>
        <b/>
        <sz val="11"/>
        <color theme="1"/>
        <rFont val="Arial"/>
        <family val="2"/>
      </rPr>
      <t xml:space="preserve"> Sigma Aldrich (verified 2024-04-22)</t>
    </r>
  </si>
  <si>
    <t>5. The former derivatization method witn NH3 ammonia buffer and N18O2- internal standard is not promissing for the determination of low level nitrite and nitrate in seawater</t>
  </si>
  <si>
    <t>Purification of oxonium reagent for nitrate measurement</t>
  </si>
  <si>
    <t>1 g of Et3OBF4 was transferred into a teflon vial</t>
  </si>
  <si>
    <t>It was capped with a cap with two openings which allowed introduction of Argon and evaquation of the overpressure into a bottle containing water</t>
  </si>
  <si>
    <t>In a fumehood the headspace of the vial was flushed with Ar for 5 minutes</t>
  </si>
  <si>
    <t>Then the vial was removed from the hot block and kept under Argon flushing for another 10 minutes</t>
  </si>
  <si>
    <t>Then the vial under was placed in a hot block at 50 °C and kept under Argon flushing</t>
  </si>
  <si>
    <t>The reagent was then capped with a solid cap and kept at -20 °C</t>
  </si>
  <si>
    <t>The PAL3 autosampler vials where cleanned by rinsing three times in water and then stored full of water for one week (dryed the day of analysis under N2)</t>
  </si>
  <si>
    <t>[The w1d1 nitrate measurement was performed using vials cleaned in HCl 10 %. It is likely that the higher blank was due to the use of HCl for cleaning. Use only water for cleaning]</t>
  </si>
  <si>
    <t>The purification of the Et3OBF4 reagent improved the blank by a factor of 10</t>
  </si>
  <si>
    <t>Nitrite 31</t>
  </si>
  <si>
    <t>Nitrate 46</t>
  </si>
  <si>
    <t>No endogenous EtONO or EtONO2 were detected in the underivatized MOOS-4 sample</t>
  </si>
  <si>
    <t>EtONO and EtONO2 signals on MOOS-4 without derivatization</t>
  </si>
  <si>
    <r>
      <t>Difference between isotopic composition of sample (</t>
    </r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) and standard (</t>
    </r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A*</t>
    </r>
    <r>
      <rPr>
        <b/>
        <sz val="11"/>
        <color theme="1"/>
        <rFont val="Arial"/>
        <family val="2"/>
      </rPr>
      <t>)</t>
    </r>
  </si>
  <si>
    <t>MOOS4_1</t>
  </si>
  <si>
    <t>MOOS4_2</t>
  </si>
  <si>
    <t>MOOS4_3</t>
  </si>
  <si>
    <t>MOOS4_4</t>
  </si>
  <si>
    <t>MOOS4_5</t>
  </si>
  <si>
    <t>MOOS4_6</t>
  </si>
  <si>
    <t>MOOS4_7</t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</si>
  <si>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 xml:space="preserve">AB </t>
    </r>
    <r>
      <rPr>
        <b/>
        <sz val="11"/>
        <color theme="1"/>
        <rFont val="Arial"/>
        <family val="2"/>
      </rPr>
      <t>(nitrate)</t>
    </r>
  </si>
  <si>
    <t>1. Isotope ratio Nitrate</t>
  </si>
  <si>
    <t>2. Isotope ratio Nitrite</t>
  </si>
  <si>
    <t xml:space="preserve">   - In this document (validation was also obtained by comparing results produced by previous macros used for CCQM-K161 and SALT-1)</t>
  </si>
  <si>
    <t>Dilution 1</t>
  </si>
  <si>
    <t>ZG</t>
  </si>
  <si>
    <t>XPE304</t>
  </si>
  <si>
    <t>Dilution 2</t>
  </si>
  <si>
    <t>AB2</t>
  </si>
  <si>
    <t>Preparation of isotope dilution blends for SiO2 analysis by LC ICPMS</t>
  </si>
  <si>
    <t>181_A1</t>
  </si>
  <si>
    <t>181_A2</t>
  </si>
  <si>
    <t>335_A1</t>
  </si>
  <si>
    <t>335_A2</t>
  </si>
  <si>
    <t>027_A2</t>
  </si>
  <si>
    <t>SALT1_309_1</t>
  </si>
  <si>
    <t>SALT1_309_2</t>
  </si>
  <si>
    <t>QC m2 recalculated assuming the same internal standard solution used for MOOS-4 samples (MOOS4_SEAN1\CERT\DATA\20240320_Silicate_LCICPMS_Zuzana)</t>
  </si>
  <si>
    <t>2024-03-21 CHAR MOOS4 SiO2 - LC-ICPMS (verified on 2024-04-24)</t>
  </si>
  <si>
    <r>
      <rPr>
        <b/>
        <i/>
        <sz val="11"/>
        <color theme="1"/>
        <rFont val="Arial"/>
        <family val="2"/>
      </rPr>
      <t>r</t>
    </r>
    <r>
      <rPr>
        <b/>
        <vertAlign val="subscript"/>
        <sz val="11"/>
        <color theme="1"/>
        <rFont val="Arial"/>
        <family val="2"/>
      </rPr>
      <t>28/30</t>
    </r>
  </si>
  <si>
    <r>
      <rPr>
        <b/>
        <i/>
        <sz val="11"/>
        <color theme="1"/>
        <rFont val="Arial"/>
        <family val="2"/>
      </rPr>
      <t>ur</t>
    </r>
    <r>
      <rPr>
        <b/>
        <vertAlign val="subscript"/>
        <sz val="11"/>
        <color theme="1"/>
        <rFont val="Arial"/>
        <family val="2"/>
      </rPr>
      <t>28/30</t>
    </r>
  </si>
  <si>
    <t>1. Determination of silicate by IDMS (LC-ICPMS Zuzana)</t>
  </si>
  <si>
    <t>2024-03-21 Characterization MOOS-4 [Silicate LC-ICPMS Zuzana]: sample preparation (verified 2024-04-24)</t>
  </si>
  <si>
    <t>2. Target mass fraction in LNSW</t>
  </si>
  <si>
    <t>signal SiO2 LNWS</t>
  </si>
  <si>
    <t>signal SiO2 MOOS-4</t>
  </si>
  <si>
    <t>Silicate from Sw2d1-D 2024-03-05</t>
  </si>
  <si>
    <t>4. Preparation of the LNSW standard matched to the MOOS-4</t>
  </si>
  <si>
    <t>NPS-1</t>
  </si>
  <si>
    <t>NPS-MOOS</t>
  </si>
  <si>
    <t>3. Preparation mix dilution nitrite, phosphate and silicate in LNSW (to be used also as spike)</t>
  </si>
  <si>
    <t>5. Preparation of the blends</t>
  </si>
  <si>
    <t>Spike</t>
  </si>
  <si>
    <t>LNSW_0</t>
  </si>
  <si>
    <t>LNSW_1</t>
  </si>
  <si>
    <t>LNSW_2</t>
  </si>
  <si>
    <t>LNSW_3</t>
  </si>
  <si>
    <t>MOOS_0</t>
  </si>
  <si>
    <t>MOOS_1</t>
  </si>
  <si>
    <t>MOOS_2</t>
  </si>
  <si>
    <t>MOOS_3</t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</si>
  <si>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SAMPLE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</si>
  <si>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SPIKE</t>
    </r>
  </si>
  <si>
    <t>LNSW = NPS-MOOS standard</t>
  </si>
  <si>
    <t>MOOS = MOOS-4 CRM</t>
  </si>
  <si>
    <t>SPIKE = NPS-1 solution</t>
  </si>
  <si>
    <t>6. Nitrite sample preparation</t>
  </si>
  <si>
    <t>7. Phosphate sample preparation</t>
  </si>
  <si>
    <t>LNSW_N0</t>
  </si>
  <si>
    <t>LNSW_N1</t>
  </si>
  <si>
    <t>LNSW_N2</t>
  </si>
  <si>
    <t>LNSW_N3</t>
  </si>
  <si>
    <t>MOOS_N0</t>
  </si>
  <si>
    <t>MOOS_N1</t>
  </si>
  <si>
    <t>MOOS_N2</t>
  </si>
  <si>
    <t>MOOS_N3</t>
  </si>
  <si>
    <t>LNSW_P0</t>
  </si>
  <si>
    <t>LNSW_P1</t>
  </si>
  <si>
    <t>LNSW_P2</t>
  </si>
  <si>
    <t>LNSW_P3</t>
  </si>
  <si>
    <t>MOOS_P0</t>
  </si>
  <si>
    <t>MOOS_P1</t>
  </si>
  <si>
    <t>MOOS_P2</t>
  </si>
  <si>
    <t>MOOS_P3</t>
  </si>
  <si>
    <t>LNSW_Si0</t>
  </si>
  <si>
    <t>LNSW_Si1</t>
  </si>
  <si>
    <t>LNSW_Si2</t>
  </si>
  <si>
    <t>LNSW_Si3</t>
  </si>
  <si>
    <t>MOOS_Si0</t>
  </si>
  <si>
    <t>MOOS_Si1</t>
  </si>
  <si>
    <t>MOOS_Si2</t>
  </si>
  <si>
    <t>MOOS_Si3</t>
  </si>
  <si>
    <t>8. Silicate sample preparation</t>
  </si>
  <si>
    <t>Temperature effect on the determination of nitrite, phosphate and silicate by UV-vis</t>
  </si>
  <si>
    <t>1. Preparation of the LNSW standard matched to the MOOS-4</t>
  </si>
  <si>
    <t>Measure 3 times each nutrient at each temperature</t>
  </si>
  <si>
    <t>18 vials total</t>
  </si>
  <si>
    <t>50 mL in the fridge and 50 mL at room temperature for one day</t>
  </si>
  <si>
    <t>Silicate interference on phosphate</t>
  </si>
  <si>
    <t>SP-SiO2</t>
  </si>
  <si>
    <t>2. Nitrite sample preparation</t>
  </si>
  <si>
    <t>RT_N1</t>
  </si>
  <si>
    <t>RT_N2</t>
  </si>
  <si>
    <t>RT_N3</t>
  </si>
  <si>
    <t>Fridge_N1</t>
  </si>
  <si>
    <t>Fridge_N2</t>
  </si>
  <si>
    <t>Fridge_N3</t>
  </si>
  <si>
    <t>3. Phosphate sample preparation</t>
  </si>
  <si>
    <t>RT_P1</t>
  </si>
  <si>
    <t>RT_P2</t>
  </si>
  <si>
    <t>RT_P3</t>
  </si>
  <si>
    <t>Fridge_P1</t>
  </si>
  <si>
    <t>Fridge_P2</t>
  </si>
  <si>
    <t>Fridge_P3</t>
  </si>
  <si>
    <t>4. Silicate sample preparation</t>
  </si>
  <si>
    <t>RT_Si1</t>
  </si>
  <si>
    <t>RT_Si2</t>
  </si>
  <si>
    <t>RT_Si3</t>
  </si>
  <si>
    <t>Fridge_Si1</t>
  </si>
  <si>
    <t>Fridge_Si2</t>
  </si>
  <si>
    <t>Fridge_Si3</t>
  </si>
  <si>
    <r>
      <t>u</t>
    </r>
    <r>
      <rPr>
        <sz val="11"/>
        <color theme="1"/>
        <rFont val="Arial"/>
        <family val="2"/>
      </rPr>
      <t>(</t>
    </r>
    <r>
      <rPr>
        <i/>
        <sz val="11"/>
        <color theme="1"/>
        <rFont val="Arial"/>
        <family val="2"/>
      </rPr>
      <t>m</t>
    </r>
    <r>
      <rPr>
        <vertAlign val="subscript"/>
        <sz val="11"/>
        <color theme="1"/>
        <rFont val="Arial"/>
        <family val="2"/>
      </rPr>
      <t>1</t>
    </r>
    <r>
      <rPr>
        <i/>
        <sz val="11"/>
        <color theme="1"/>
        <rFont val="Arial"/>
        <family val="2"/>
      </rPr>
      <t>-m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>)</t>
    </r>
  </si>
  <si>
    <t>Cal/Method</t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</si>
  <si>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</si>
  <si>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t>ID/GCMS</t>
  </si>
  <si>
    <t>YYYYMMDD</t>
  </si>
  <si>
    <t>Gauss</t>
  </si>
  <si>
    <t>EX/UV-VIS</t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</si>
  <si>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</si>
  <si>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libri"/>
        <family val="2"/>
      </rPr>
      <t>3−</t>
    </r>
    <r>
      <rPr>
        <b/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</si>
  <si>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libri"/>
        <family val="2"/>
      </rPr>
      <t>3−</t>
    </r>
    <r>
      <rPr>
        <b/>
        <sz val="11"/>
        <color theme="1"/>
        <rFont val="Arial"/>
        <family val="2"/>
      </rPr>
      <t>)</t>
    </r>
  </si>
  <si>
    <t>ID/LC-ICPMS</t>
  </si>
  <si>
    <r>
      <rPr>
        <b/>
        <i/>
        <sz val="11"/>
        <color theme="1"/>
        <rFont val="Arial"/>
        <family val="2"/>
      </rPr>
      <t>Z</t>
    </r>
    <r>
      <rPr>
        <b/>
        <sz val="11"/>
        <color theme="1"/>
        <rFont val="Arial"/>
        <family val="2"/>
      </rPr>
      <t>-score</t>
    </r>
  </si>
  <si>
    <t>Matrix effect evaluation</t>
  </si>
  <si>
    <t>MOOS104a</t>
  </si>
  <si>
    <t>MOOS258a</t>
  </si>
  <si>
    <t>Blend</t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</si>
  <si>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BLEND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</si>
  <si>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TOTAL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</si>
  <si>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SAMPLE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</si>
  <si>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SPIKE</t>
    </r>
  </si>
  <si>
    <t>LNSW-N0</t>
  </si>
  <si>
    <t>5/2/2024 1:45:33 PM</t>
  </si>
  <si>
    <t>MOOS-N0</t>
  </si>
  <si>
    <t>5/2/2024 1:46:24 PM</t>
  </si>
  <si>
    <t>LNSW-N1</t>
  </si>
  <si>
    <t>5/2/2024 1:47:21 PM</t>
  </si>
  <si>
    <t>MOOS-N1</t>
  </si>
  <si>
    <t>5/2/2024 1:48:10 PM</t>
  </si>
  <si>
    <t>LNSW-N2</t>
  </si>
  <si>
    <t>5/2/2024 1:49:04 PM</t>
  </si>
  <si>
    <t>MOOS-N2</t>
  </si>
  <si>
    <t>5/2/2024 1:50:09 PM</t>
  </si>
  <si>
    <t>LNSW-N3</t>
  </si>
  <si>
    <t>5/2/2024 1:51:00 PM</t>
  </si>
  <si>
    <t>MOOS-N3</t>
  </si>
  <si>
    <t>5/2/2024 1:51:52 PM</t>
  </si>
  <si>
    <r>
      <rPr>
        <i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>(541)</t>
    </r>
  </si>
  <si>
    <t>Raw signal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</si>
  <si>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  <r>
      <rPr>
        <b/>
        <vertAlign val="subscript"/>
        <sz val="11"/>
        <color theme="1"/>
        <rFont val="Arial"/>
        <family val="2"/>
      </rPr>
      <t>ADD</t>
    </r>
  </si>
  <si>
    <t>LINEST LNSW</t>
  </si>
  <si>
    <t>LINEST MOOS-4</t>
  </si>
  <si>
    <r>
      <rPr>
        <i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>(890)</t>
    </r>
  </si>
  <si>
    <t>LNSW-P0</t>
  </si>
  <si>
    <t>5/2/2024 2:34:04 PM</t>
  </si>
  <si>
    <t>MOOS-P0</t>
  </si>
  <si>
    <t>5/2/2024 2:34:55 PM</t>
  </si>
  <si>
    <t>LNSW-P1</t>
  </si>
  <si>
    <t>5/2/2024 2:35:58 PM</t>
  </si>
  <si>
    <t>MOOS-P1</t>
  </si>
  <si>
    <t>5/2/2024 2:36:52 PM</t>
  </si>
  <si>
    <t>LNSW-P2</t>
  </si>
  <si>
    <t>5/2/2024 2:37:49 PM</t>
  </si>
  <si>
    <t>MOOS-P2</t>
  </si>
  <si>
    <t>5/2/2024 2:38:43 PM</t>
  </si>
  <si>
    <t>LNSW-P3</t>
  </si>
  <si>
    <t>5/2/2024 2:40:06 PM</t>
  </si>
  <si>
    <t>MOOS-P3</t>
  </si>
  <si>
    <t>5/2/2024 2:41:16 PM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</si>
  <si>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libri"/>
        <family val="2"/>
      </rPr>
      <t>3−</t>
    </r>
    <r>
      <rPr>
        <b/>
        <sz val="11"/>
        <color theme="1"/>
        <rFont val="Arial"/>
        <family val="2"/>
      </rPr>
      <t>)</t>
    </r>
    <r>
      <rPr>
        <b/>
        <vertAlign val="subscript"/>
        <sz val="11"/>
        <color theme="1"/>
        <rFont val="Arial"/>
        <family val="2"/>
      </rPr>
      <t>ADD</t>
    </r>
  </si>
  <si>
    <r>
      <rPr>
        <i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>(810)</t>
    </r>
  </si>
  <si>
    <t>LNSW-Si0</t>
  </si>
  <si>
    <t>5/2/2024 4:09:51 PM</t>
  </si>
  <si>
    <t>MOOS-Si0</t>
  </si>
  <si>
    <t>5/2/2024 4:10:44 PM</t>
  </si>
  <si>
    <t>LNSW-Si1</t>
  </si>
  <si>
    <t>5/2/2024 4:11:37 PM</t>
  </si>
  <si>
    <t>MOOS-Si1</t>
  </si>
  <si>
    <t>5/2/2024 4:12:32 PM</t>
  </si>
  <si>
    <t>LNSW-Si2</t>
  </si>
  <si>
    <t>5/2/2024 4:13:29 PM</t>
  </si>
  <si>
    <t>MOOS-Si2</t>
  </si>
  <si>
    <t>5/2/2024 4:14:25 PM</t>
  </si>
  <si>
    <t>LNSW-Si3</t>
  </si>
  <si>
    <t>5/2/2024 4:15:19 PM</t>
  </si>
  <si>
    <t>MOOS-Si3</t>
  </si>
  <si>
    <t>5/2/2024 4:16:09 PM</t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</si>
  <si>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  <r>
      <rPr>
        <b/>
        <vertAlign val="subscript"/>
        <sz val="11"/>
        <color theme="1"/>
        <rFont val="Arial"/>
        <family val="2"/>
      </rPr>
      <t>ADD</t>
    </r>
  </si>
  <si>
    <t>α</t>
  </si>
  <si>
    <t>α →</t>
  </si>
  <si>
    <t>α is the signal suppression due to matrix Signal (matrix) = α * Signal (standard)</t>
  </si>
  <si>
    <r>
      <t>BLK_2 = α * A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+ S(EtONO)</t>
    </r>
  </si>
  <si>
    <r>
      <t>BLK_1 - BLK_2 = A</t>
    </r>
    <r>
      <rPr>
        <vertAlign val="subscript"/>
        <sz val="11"/>
        <rFont val="Arial"/>
        <family val="2"/>
      </rPr>
      <t>0</t>
    </r>
    <r>
      <rPr>
        <sz val="11"/>
        <rFont val="Arial"/>
        <family val="2"/>
      </rPr>
      <t xml:space="preserve"> * ( 1 - α )</t>
    </r>
  </si>
  <si>
    <t>S(matrix) = α * S(standard)</t>
  </si>
  <si>
    <r>
      <t>S</t>
    </r>
    <r>
      <rPr>
        <vertAlign val="subscript"/>
        <sz val="11"/>
        <color theme="1"/>
        <rFont val="Arial"/>
        <family val="2"/>
      </rPr>
      <t>M</t>
    </r>
    <r>
      <rPr>
        <sz val="11"/>
        <color theme="1"/>
        <rFont val="Arial"/>
        <family val="2"/>
      </rPr>
      <t xml:space="preserve"> = α * S</t>
    </r>
    <r>
      <rPr>
        <vertAlign val="subscript"/>
        <sz val="11"/>
        <color theme="1"/>
        <rFont val="Arial"/>
        <family val="2"/>
      </rPr>
      <t>C</t>
    </r>
  </si>
  <si>
    <t xml:space="preserve">α is the ratio between the slope of the calibration plot obtain from the sample (MOOS-4) and the slope of the calibration plot obtained from the standard (LNSW) </t>
  </si>
  <si>
    <r>
      <t>S</t>
    </r>
    <r>
      <rPr>
        <vertAlign val="subscript"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 xml:space="preserve"> = S</t>
    </r>
    <r>
      <rPr>
        <vertAlign val="subscript"/>
        <sz val="11"/>
        <color theme="1"/>
        <rFont val="Arial"/>
        <family val="2"/>
      </rPr>
      <t>M</t>
    </r>
    <r>
      <rPr>
        <sz val="11"/>
        <color theme="1"/>
        <rFont val="Arial"/>
        <family val="2"/>
      </rPr>
      <t xml:space="preserve"> / α</t>
    </r>
  </si>
  <si>
    <r>
      <rPr>
        <b/>
        <i/>
        <sz val="11"/>
        <color theme="1"/>
        <rFont val="Arial"/>
        <family val="2"/>
      </rPr>
      <t>u</t>
    </r>
    <r>
      <rPr>
        <b/>
        <sz val="11"/>
        <color theme="1"/>
        <rFont val="Arial"/>
        <family val="2"/>
      </rPr>
      <t>(α)</t>
    </r>
  </si>
  <si>
    <t>Matrix effect for nitrite, phosphate, silicate by UV-vis (MOOS-4 matrix vs LNSW, verified 2024-05-03)</t>
  </si>
  <si>
    <r>
      <t>α(NO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Arial"/>
        <family val="2"/>
      </rPr>
      <t>−</t>
    </r>
    <r>
      <rPr>
        <b/>
        <sz val="11"/>
        <color theme="1"/>
        <rFont val="Arial"/>
        <family val="2"/>
      </rPr>
      <t>)</t>
    </r>
  </si>
  <si>
    <r>
      <t>α(PO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Arial"/>
        <family val="2"/>
      </rPr>
      <t>3−</t>
    </r>
    <r>
      <rPr>
        <b/>
        <sz val="11"/>
        <color theme="1"/>
        <rFont val="Arial"/>
        <family val="2"/>
      </rPr>
      <t>)</t>
    </r>
  </si>
  <si>
    <r>
      <t>α(SiO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</si>
  <si>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t>No matrix effect, α is not statistically different then 1</t>
  </si>
  <si>
    <t>2024-05-02 Nitrite matrix effects (verified 2024-05-03)</t>
  </si>
  <si>
    <t>2024-05-02 Phosphate matrix effects (verified 2024-05-03)</t>
  </si>
  <si>
    <t>2024-05-02 Silicate matrix effects (verified 2024-05-03)</t>
  </si>
  <si>
    <t>Study matrix effects MOOS-4 by photometry (nitrite, phosphate, silicate; verified 2024-05-03)</t>
  </si>
  <si>
    <t>DIW</t>
  </si>
  <si>
    <t xml:space="preserve">Linear pooling: combining data single day and single method 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</si>
  <si>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3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</si>
  <si>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t>DerSimonian-Laird: combining data different day and/or method</t>
  </si>
  <si>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3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</si>
  <si>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uw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3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</si>
  <si>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r>
      <rPr>
        <b/>
        <i/>
        <sz val="9"/>
        <color theme="1"/>
        <rFont val="Arial"/>
        <family val="2"/>
      </rPr>
      <t>u</t>
    </r>
    <r>
      <rPr>
        <b/>
        <vertAlign val="subscript"/>
        <sz val="9"/>
        <color theme="1"/>
        <rFont val="Arial"/>
        <family val="2"/>
      </rPr>
      <t>R</t>
    </r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3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</si>
  <si>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t>CHAR summary nitrate (verified 2024-05-08)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</si>
  <si>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(NO</t>
    </r>
    <r>
      <rPr>
        <b/>
        <vertAlign val="subscript"/>
        <sz val="11"/>
        <color theme="1"/>
        <rFont val="Arial"/>
        <family val="2"/>
      </rPr>
      <t>2</t>
    </r>
    <r>
      <rPr>
        <b/>
        <vertAlign val="superscript"/>
        <sz val="11"/>
        <color theme="1"/>
        <rFont val="Calibri"/>
        <family val="2"/>
      </rPr>
      <t>−</t>
    </r>
    <r>
      <rPr>
        <b/>
        <sz val="11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</si>
  <si>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2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</si>
  <si>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uw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2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</si>
  <si>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r>
      <rPr>
        <b/>
        <i/>
        <sz val="9"/>
        <color theme="1"/>
        <rFont val="Arial"/>
        <family val="2"/>
      </rPr>
      <t>u</t>
    </r>
    <r>
      <rPr>
        <b/>
        <vertAlign val="subscript"/>
        <sz val="9"/>
        <color theme="1"/>
        <rFont val="Arial"/>
        <family val="2"/>
      </rPr>
      <t>R</t>
    </r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(NO</t>
    </r>
    <r>
      <rPr>
        <b/>
        <vertAlign val="subscript"/>
        <sz val="9"/>
        <color theme="1"/>
        <rFont val="Arial"/>
        <family val="2"/>
      </rPr>
      <t>2</t>
    </r>
    <r>
      <rPr>
        <b/>
        <vertAlign val="superscript"/>
        <sz val="9"/>
        <color theme="1"/>
        <rFont val="Calibri"/>
        <family val="2"/>
      </rPr>
      <t>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</si>
  <si>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t>CHAR summary nitrite (verified 2024-05-08)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</si>
  <si>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libri"/>
        <family val="2"/>
      </rPr>
      <t>3−</t>
    </r>
    <r>
      <rPr>
        <b/>
        <sz val="11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</si>
  <si>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(PO</t>
    </r>
    <r>
      <rPr>
        <b/>
        <vertAlign val="subscript"/>
        <sz val="9"/>
        <color theme="1"/>
        <rFont val="Arial"/>
        <family val="2"/>
      </rPr>
      <t>4</t>
    </r>
    <r>
      <rPr>
        <b/>
        <vertAlign val="superscript"/>
        <sz val="9"/>
        <color theme="1"/>
        <rFont val="Calibri"/>
        <family val="2"/>
      </rPr>
      <t>3−</t>
    </r>
    <r>
      <rPr>
        <b/>
        <sz val="9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</si>
  <si>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uw</t>
    </r>
    <r>
      <rPr>
        <b/>
        <sz val="9"/>
        <color theme="1"/>
        <rFont val="Arial"/>
        <family val="2"/>
      </rPr>
      <t>(PO</t>
    </r>
    <r>
      <rPr>
        <b/>
        <vertAlign val="subscript"/>
        <sz val="9"/>
        <color theme="1"/>
        <rFont val="Arial"/>
        <family val="2"/>
      </rPr>
      <t>4</t>
    </r>
    <r>
      <rPr>
        <b/>
        <vertAlign val="superscript"/>
        <sz val="9"/>
        <color theme="1"/>
        <rFont val="Calibri"/>
        <family val="2"/>
      </rPr>
      <t>3−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</si>
  <si>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r>
      <rPr>
        <b/>
        <i/>
        <sz val="9"/>
        <color theme="1"/>
        <rFont val="Arial"/>
        <family val="2"/>
      </rPr>
      <t>u</t>
    </r>
    <r>
      <rPr>
        <b/>
        <vertAlign val="subscript"/>
        <sz val="9"/>
        <color theme="1"/>
        <rFont val="Arial"/>
        <family val="2"/>
      </rPr>
      <t>R</t>
    </r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(PO</t>
    </r>
    <r>
      <rPr>
        <b/>
        <vertAlign val="subscript"/>
        <sz val="9"/>
        <color theme="1"/>
        <rFont val="Arial"/>
        <family val="2"/>
      </rPr>
      <t>4</t>
    </r>
    <r>
      <rPr>
        <b/>
        <vertAlign val="superscript"/>
        <sz val="9"/>
        <color theme="1"/>
        <rFont val="Calibri"/>
        <family val="2"/>
      </rPr>
      <t>3−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</si>
  <si>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t>*** Data not linked. Calculation performed in R and crossed-validated with https://consensus.nist.gov/app/nicob***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</si>
  <si>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</t>
    </r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(SiO</t>
    </r>
    <r>
      <rPr>
        <b/>
        <vertAlign val="subscript"/>
        <sz val="11"/>
        <color theme="1"/>
        <rFont val="Arial"/>
        <family val="2"/>
      </rPr>
      <t>2</t>
    </r>
    <r>
      <rPr>
        <b/>
        <sz val="11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</si>
  <si>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(SiO</t>
    </r>
    <r>
      <rPr>
        <b/>
        <vertAlign val="subscript"/>
        <sz val="9"/>
        <color theme="1"/>
        <rFont val="Arial"/>
        <family val="2"/>
      </rPr>
      <t>2</t>
    </r>
    <r>
      <rPr>
        <b/>
        <sz val="9"/>
        <color theme="1"/>
        <rFont val="Arial"/>
        <family val="2"/>
      </rPr>
      <t>)</t>
    </r>
  </si>
  <si>
    <r>
      <rPr>
        <b/>
        <i/>
        <sz val="9"/>
        <color theme="1"/>
        <rFont val="Arial"/>
        <family val="2"/>
      </rPr>
      <t>uw</t>
    </r>
    <r>
      <rPr>
        <b/>
        <sz val="9"/>
        <color theme="1"/>
        <rFont val="Arial"/>
        <family val="2"/>
      </rPr>
      <t>(SiO</t>
    </r>
    <r>
      <rPr>
        <b/>
        <vertAlign val="subscript"/>
        <sz val="9"/>
        <color theme="1"/>
        <rFont val="Calibri"/>
        <family val="2"/>
      </rPr>
      <t>2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</si>
  <si>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r>
      <rPr>
        <b/>
        <i/>
        <sz val="9"/>
        <color theme="1"/>
        <rFont val="Arial"/>
        <family val="2"/>
      </rPr>
      <t>u</t>
    </r>
    <r>
      <rPr>
        <b/>
        <vertAlign val="subscript"/>
        <sz val="9"/>
        <color theme="1"/>
        <rFont val="Arial"/>
        <family val="2"/>
      </rPr>
      <t>R</t>
    </r>
    <r>
      <rPr>
        <b/>
        <i/>
        <sz val="9"/>
        <color theme="1"/>
        <rFont val="Arial"/>
        <family val="2"/>
      </rPr>
      <t>w</t>
    </r>
    <r>
      <rPr>
        <b/>
        <sz val="9"/>
        <color theme="1"/>
        <rFont val="Arial"/>
        <family val="2"/>
      </rPr>
      <t>(SiO</t>
    </r>
    <r>
      <rPr>
        <b/>
        <vertAlign val="subscript"/>
        <sz val="9"/>
        <color theme="1"/>
        <rFont val="Calibri"/>
        <family val="2"/>
      </rPr>
      <t>2</t>
    </r>
    <r>
      <rPr>
        <b/>
        <sz val="9"/>
        <color theme="1"/>
        <rFont val="Arial"/>
        <family val="2"/>
      </rPr>
      <t>)</t>
    </r>
    <r>
      <rPr>
        <b/>
        <vertAlign val="subscript"/>
        <sz val="9"/>
        <color theme="1"/>
        <rFont val="Arial"/>
        <family val="2"/>
      </rPr>
      <t>CHAR</t>
    </r>
  </si>
  <si>
    <r>
      <t xml:space="preserve">ID/GCMS
2024-02-21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</si>
  <si>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t>EX/UV-VIS
2024-02-20
n = 10</t>
  </si>
  <si>
    <r>
      <t xml:space="preserve">EX/UV-VIS
2024-02-21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5</t>
    </r>
  </si>
  <si>
    <r>
      <t xml:space="preserve">ID/GCMS
2024-03-06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</si>
  <si>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r>
      <t xml:space="preserve">ID/GCMS
2024-02-20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8</t>
    </r>
  </si>
  <si>
    <r>
      <t xml:space="preserve">ID/GCMS
2024-03-05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</si>
  <si>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r>
      <t xml:space="preserve">EX/UV-VIS
2024-02-20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</si>
  <si>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r>
      <t xml:space="preserve">EX/UV-VIS
2024-03-05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</si>
  <si>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t>CHAR summary phosphate (verified 2024-05-08)</t>
  </si>
  <si>
    <r>
      <t xml:space="preserve">EX/UV-VIS
2024-02-21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</si>
  <si>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r>
      <t xml:space="preserve">EX/UV-VIS
2024-03-06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10</t>
    </r>
  </si>
  <si>
    <r>
      <t xml:space="preserve">ID/LC-ICPMS
2024-03-21
</t>
    </r>
    <r>
      <rPr>
        <i/>
        <sz val="8"/>
        <color theme="1"/>
        <rFont val="Arial"/>
        <family val="2"/>
      </rPr>
      <t>n</t>
    </r>
    <r>
      <rPr>
        <sz val="8"/>
        <color theme="1"/>
        <rFont val="Arial"/>
        <family val="2"/>
      </rPr>
      <t xml:space="preserve"> = 5</t>
    </r>
  </si>
  <si>
    <t>CHAR summary silicate (verified 2024-05-08)</t>
  </si>
  <si>
    <t xml:space="preserve">*** Data not linked. Calculation performed in R </t>
  </si>
  <si>
    <t>and crossed-validated with https://consensus.nist.gov/app/nicob***</t>
  </si>
  <si>
    <t>No HOM component was found for phosphate</t>
  </si>
  <si>
    <t>HOM data phosphate (verified 2024-05-09)</t>
  </si>
  <si>
    <t>Clancy, V., Willie, S. Preparation and certification of a reference material for the determination of nutrients in seawater. Anal Bioanal Chem 378, 1239–1242 (2004). https://doi.org/10.1007/s00216-003-2473-1</t>
  </si>
  <si>
    <t>The MOOS-3 material was collected in 1996 and sterilized by gamma radiation:</t>
  </si>
  <si>
    <t>The MOOS-3 was re-blended in 2011 and released in Novemebr 2013 and distributed until December 2022</t>
  </si>
  <si>
    <t>Certification data by SA/LC-ICPMS and SA/UV-VIS</t>
  </si>
  <si>
    <t>c. Phosphate stability data</t>
  </si>
  <si>
    <t>a. Nitrite stability data</t>
  </si>
  <si>
    <t>Certification data by ID/GCMS</t>
  </si>
  <si>
    <t>b. Nitrate stability data</t>
  </si>
  <si>
    <t>d. Silicate stability data</t>
  </si>
  <si>
    <t>Certification data by SA/LC-ICPMS, SA/UV-VIS and SA/ICPOES</t>
  </si>
  <si>
    <t>CM-13-18 by ID/GCMS</t>
  </si>
  <si>
    <t>CM-14-27 by ID/GCMS</t>
  </si>
  <si>
    <t>CM-15-08 by ID/GCMS</t>
  </si>
  <si>
    <t>CM-16-03 by ID/GCMS</t>
  </si>
  <si>
    <t>CM-16-03 by SA/UV-VIS</t>
  </si>
  <si>
    <t>CM-16-05 by SA/UV-VIS</t>
  </si>
  <si>
    <t>CM-17-12 by SA/UV-VIS</t>
  </si>
  <si>
    <t>CM-17-12 by ID/GCMS</t>
  </si>
  <si>
    <t>CM-17-19 by ID/GCMS</t>
  </si>
  <si>
    <t>CM-19-05 by ID/GCMS</t>
  </si>
  <si>
    <t>CM-19-05 by SA/UV-VIS</t>
  </si>
  <si>
    <t>ICM-21-02 by EX/UV-VIS</t>
  </si>
  <si>
    <t>ICM-21-02 by ID/GCMS</t>
  </si>
  <si>
    <t>Long term stability of the MOOS-3: summary (verified 2024-05-09)</t>
  </si>
  <si>
    <t>The MOOS-3 which was produced similarly to the MOOS-4 shows no trends in nutrient</t>
  </si>
  <si>
    <t>mass fraction during a period of 7+ years</t>
  </si>
  <si>
    <r>
      <t xml:space="preserve">Phosphate shows a trend at 40 </t>
    </r>
    <r>
      <rPr>
        <sz val="11"/>
        <color rgb="FF800000"/>
        <rFont val="Calibri"/>
        <family val="2"/>
      </rPr>
      <t>°</t>
    </r>
    <r>
      <rPr>
        <sz val="11"/>
        <color rgb="FF800000"/>
        <rFont val="Arial"/>
        <family val="2"/>
      </rPr>
      <t>C which will be considered to estimate the stability under storage conditions</t>
    </r>
  </si>
  <si>
    <t>formation %</t>
  </si>
  <si>
    <r>
      <t>PO</t>
    </r>
    <r>
      <rPr>
        <b/>
        <vertAlign val="subscript"/>
        <sz val="11"/>
        <color theme="1"/>
        <rFont val="Arial"/>
        <family val="2"/>
      </rPr>
      <t>4</t>
    </r>
    <r>
      <rPr>
        <b/>
        <vertAlign val="superscript"/>
        <sz val="11"/>
        <color theme="1"/>
        <rFont val="Cambria"/>
        <family val="1"/>
      </rPr>
      <t>3−</t>
    </r>
  </si>
  <si>
    <t>Isochronous phosphate (21 °C)</t>
  </si>
  <si>
    <t>Isochronous phosphate (40 °C)</t>
  </si>
  <si>
    <t>LINEST at 21 °C</t>
  </si>
  <si>
    <t>LINEST at 40 °C</t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</si>
  <si>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R,LONG</t>
    </r>
  </si>
  <si>
    <r>
      <t>Q</t>
    </r>
    <r>
      <rPr>
        <b/>
        <vertAlign val="subscript"/>
        <sz val="11"/>
        <color theme="1"/>
        <rFont val="Arial"/>
        <family val="2"/>
      </rPr>
      <t>10</t>
    </r>
    <r>
      <rPr>
        <b/>
        <sz val="11"/>
        <color theme="1"/>
        <rFont val="Arial"/>
        <family val="2"/>
      </rPr>
      <t xml:space="preserve"> temperature coefficient</t>
    </r>
  </si>
  <si>
    <t xml:space="preserve">Adina Paytan and Karen McLaughlin, the Oceanic Phosphorus Cycle, Chem. Rev. 2007, 107, 563−576
</t>
  </si>
  <si>
    <t xml:space="preserve">Claudia R. Benitez-Nelson, The biogeochemical cycling of phosphorus in marine systems, Earth-Science Reviews 51 (2000) 109–135
</t>
  </si>
  <si>
    <t>Phosphate formation is minor and seems to be an order zero reaction</t>
  </si>
  <si>
    <t>Phosphate formation could be due to the hydrolysis of non-reactive P-compounds:</t>
  </si>
  <si>
    <r>
      <t>Covering a 4 yr period (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 xml:space="preserve"> = 1)</t>
    </r>
  </si>
  <si>
    <r>
      <rPr>
        <i/>
        <sz val="11"/>
        <color theme="1"/>
        <rFont val="Arial"/>
        <family val="2"/>
      </rPr>
      <t xml:space="preserve">v </t>
    </r>
    <r>
      <rPr>
        <sz val="11"/>
        <color theme="1"/>
        <rFont val="Arial"/>
        <family val="2"/>
      </rPr>
      <t>(5 °C)</t>
    </r>
  </si>
  <si>
    <t>Long-term stability phosphate MOOS-4 (verified 2024-05-09)</t>
  </si>
  <si>
    <t>certified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</si>
  <si>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vertAlign val="superscript"/>
        <sz val="11"/>
        <color theme="1"/>
        <rFont val="Arial"/>
        <family val="2"/>
      </rPr>
      <t>−</t>
    </r>
    <r>
      <rPr>
        <sz val="11"/>
        <color theme="1"/>
        <rFont val="Arial"/>
        <family val="2"/>
      </rPr>
      <t>)</t>
    </r>
  </si>
  <si>
    <t>μmol/L</t>
  </si>
  <si>
    <t>Linear pooling 2024-05-09, https://consensus.nist.gov/app/nicob</t>
  </si>
  <si>
    <t>type</t>
  </si>
  <si>
    <t>Chemical</t>
  </si>
  <si>
    <r>
      <rPr>
        <i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2</t>
    </r>
    <r>
      <rPr>
        <vertAlign val="superscript"/>
        <sz val="11"/>
        <color theme="1"/>
        <rFont val="Arial"/>
        <family val="2"/>
      </rPr>
      <t>−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</si>
  <si>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R,CHAR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</si>
  <si>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R,PRIM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</si>
  <si>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R,HOM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</si>
  <si>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R,SHORT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</si>
  <si>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R,LONG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</si>
  <si>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</t>
    </r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</si>
  <si>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</t>
    </r>
  </si>
  <si>
    <t>relative standard uncertainty due to homogeneiety</t>
  </si>
  <si>
    <t>relative standard uncertainty due to characterization</t>
  </si>
  <si>
    <t>relative standard uncertainty due to the primary standard</t>
  </si>
  <si>
    <t>relative standard uncertainty due to short-term (transportation) conditions</t>
  </si>
  <si>
    <t>HOM data nitrite (verified 2024-05-10)</t>
  </si>
  <si>
    <t>No HOM component was found for nitrite</t>
  </si>
  <si>
    <t>relative standard uncertainty (combined)</t>
  </si>
  <si>
    <r>
      <t xml:space="preserve">relative expanded uncertainty (combined, 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 xml:space="preserve"> = 2)</t>
    </r>
  </si>
  <si>
    <t>notes</t>
  </si>
  <si>
    <t>exp uncert.</t>
  </si>
  <si>
    <t>unit</t>
  </si>
  <si>
    <t>b. Molar concentration nitrite: uncertainty</t>
  </si>
  <si>
    <r>
      <rPr>
        <i/>
        <sz val="11"/>
        <color theme="1"/>
        <rFont val="Arial"/>
        <family val="2"/>
      </rPr>
      <t>u</t>
    </r>
    <r>
      <rPr>
        <vertAlign val="subscript"/>
        <sz val="11"/>
        <color theme="1"/>
        <rFont val="Arial"/>
        <family val="2"/>
      </rPr>
      <t>R,DENSITY</t>
    </r>
  </si>
  <si>
    <t>relative standard uncertainty due to unit conversion (density)</t>
  </si>
  <si>
    <t>c. Nitrite: value assignment</t>
  </si>
  <si>
    <t>Mass fraction</t>
  </si>
  <si>
    <r>
      <t>NO</t>
    </r>
    <r>
      <rPr>
        <vertAlign val="subscript"/>
        <sz val="11"/>
        <color theme="1"/>
        <rFont val="Arial"/>
        <family val="2"/>
      </rPr>
      <t>2</t>
    </r>
    <r>
      <rPr>
        <vertAlign val="superscript"/>
        <sz val="11"/>
        <color theme="1"/>
        <rFont val="Arial"/>
        <family val="2"/>
      </rPr>
      <t>−</t>
    </r>
  </si>
  <si>
    <t>a. Mass fraction nitrite: uncertainty</t>
  </si>
  <si>
    <t>a. Mass fraction nitrate: uncertainty</t>
  </si>
  <si>
    <t>b. Molar concentration nitrate: uncertainty</t>
  </si>
  <si>
    <t>c. Nitrate: value assignment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</si>
  <si>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3</t>
    </r>
    <r>
      <rPr>
        <vertAlign val="superscript"/>
        <sz val="11"/>
        <color theme="1"/>
        <rFont val="Arial"/>
        <family val="2"/>
      </rPr>
      <t>−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</si>
  <si>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>(NO</t>
    </r>
    <r>
      <rPr>
        <vertAlign val="subscript"/>
        <sz val="11"/>
        <color theme="1"/>
        <rFont val="Arial"/>
        <family val="2"/>
      </rPr>
      <t>3</t>
    </r>
    <r>
      <rPr>
        <vertAlign val="superscript"/>
        <sz val="11"/>
        <color theme="1"/>
        <rFont val="Arial"/>
        <family val="2"/>
      </rPr>
      <t>−</t>
    </r>
    <r>
      <rPr>
        <sz val="11"/>
        <color theme="1"/>
        <rFont val="Arial"/>
        <family val="2"/>
      </rPr>
      <t>)</t>
    </r>
  </si>
  <si>
    <r>
      <t>NO</t>
    </r>
    <r>
      <rPr>
        <vertAlign val="subscript"/>
        <sz val="11"/>
        <color theme="1"/>
        <rFont val="Arial"/>
        <family val="2"/>
      </rPr>
      <t>3</t>
    </r>
    <r>
      <rPr>
        <vertAlign val="superscript"/>
        <sz val="11"/>
        <color theme="1"/>
        <rFont val="Arial"/>
        <family val="2"/>
      </rPr>
      <t>−</t>
    </r>
  </si>
  <si>
    <t>a. Mass fraction phosphate: uncertainty</t>
  </si>
  <si>
    <t>b. Molar concentration phosphate: uncertainty</t>
  </si>
  <si>
    <t>c. Phosphate: value assignment</t>
  </si>
  <si>
    <r>
      <rPr>
        <i/>
        <sz val="11"/>
        <color theme="1"/>
        <rFont val="Arial"/>
        <family val="2"/>
      </rPr>
      <t>w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vertAlign val="superscript"/>
        <sz val="11"/>
        <color theme="1"/>
        <rFont val="Arial"/>
        <family val="2"/>
      </rPr>
      <t>3−</t>
    </r>
    <r>
      <rPr>
        <sz val="11"/>
        <color theme="1"/>
        <rFont val="Arial"/>
        <family val="2"/>
      </rPr>
      <t>)</t>
    </r>
  </si>
  <si>
    <r>
      <rPr>
        <i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>(PO</t>
    </r>
    <r>
      <rPr>
        <vertAlign val="subscript"/>
        <sz val="11"/>
        <color theme="1"/>
        <rFont val="Arial"/>
        <family val="2"/>
      </rPr>
      <t>4</t>
    </r>
    <r>
      <rPr>
        <vertAlign val="superscript"/>
        <sz val="11"/>
        <color theme="1"/>
        <rFont val="Arial"/>
        <family val="2"/>
      </rPr>
      <t>3−</t>
    </r>
    <r>
      <rPr>
        <sz val="11"/>
        <color theme="1"/>
        <rFont val="Arial"/>
        <family val="2"/>
      </rPr>
      <t>)</t>
    </r>
  </si>
  <si>
    <r>
      <t>PO</t>
    </r>
    <r>
      <rPr>
        <vertAlign val="subscript"/>
        <sz val="11"/>
        <color theme="1"/>
        <rFont val="Arial"/>
        <family val="2"/>
      </rPr>
      <t>4</t>
    </r>
    <r>
      <rPr>
        <vertAlign val="superscript"/>
        <sz val="11"/>
        <color theme="1"/>
        <rFont val="Arial"/>
        <family val="2"/>
      </rPr>
      <t>3−</t>
    </r>
  </si>
  <si>
    <r>
      <t>SiO</t>
    </r>
    <r>
      <rPr>
        <vertAlign val="subscript"/>
        <sz val="11"/>
        <color theme="1"/>
        <rFont val="Arial"/>
        <family val="2"/>
      </rPr>
      <t>2</t>
    </r>
  </si>
  <si>
    <t>a. Mass fraction silicate: uncertainty</t>
  </si>
  <si>
    <t>HOM data silicate (verified 2024-05-10)</t>
  </si>
  <si>
    <t>No HOM component was found for silicate</t>
  </si>
  <si>
    <t>b. Molar concentration silicate: uncertainty</t>
  </si>
  <si>
    <r>
      <rPr>
        <i/>
        <sz val="11"/>
        <color theme="1"/>
        <rFont val="Arial"/>
        <family val="2"/>
      </rPr>
      <t>c</t>
    </r>
    <r>
      <rPr>
        <sz val="11"/>
        <color theme="1"/>
        <rFont val="Arial"/>
        <family val="2"/>
      </rPr>
      <t>(SiO</t>
    </r>
    <r>
      <rPr>
        <vertAlign val="sub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)</t>
    </r>
  </si>
  <si>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DIW</t>
    </r>
  </si>
  <si>
    <t>5/6/2024 1:20:17 PM</t>
  </si>
  <si>
    <t>5/6/2024 1:21:01 PM</t>
  </si>
  <si>
    <t>5/6/2024 1:21:47 PM</t>
  </si>
  <si>
    <t>5/6/2024 1:22:32 PM</t>
  </si>
  <si>
    <t>5/6/2024 1:23:21 PM</t>
  </si>
  <si>
    <t>5/6/2024 1:24:04 PM</t>
  </si>
  <si>
    <t>5/6/2024 1:24:49 PM</t>
  </si>
  <si>
    <t>2024-05-06 Silicate interference on phosphate data (verified 2024-05-10)</t>
  </si>
  <si>
    <t>890nm</t>
  </si>
  <si>
    <t>Abs</t>
  </si>
  <si>
    <t>Abs (norm)</t>
  </si>
  <si>
    <t>Spike with silicate the LNSW and than measure the phosphate signal in a 5 cm cuvette</t>
  </si>
  <si>
    <t>At 3.0 mg/L silicate, the effect on phosphate is only 0.0001 abs, whereas at 0.5 mg/kg the effect is negligible</t>
  </si>
  <si>
    <t>Uncertainty estimated from the performance verification on the instrument</t>
  </si>
  <si>
    <t>541nm</t>
  </si>
  <si>
    <t>RT-N1</t>
  </si>
  <si>
    <t>5/7/2024 11:27:36 AM</t>
  </si>
  <si>
    <t>Fridge-N1</t>
  </si>
  <si>
    <t>5/7/2024 11:28:15 AM</t>
  </si>
  <si>
    <t>RT-N2</t>
  </si>
  <si>
    <t>5/7/2024 11:28:56 AM</t>
  </si>
  <si>
    <t>Fridge-N2</t>
  </si>
  <si>
    <t>5/7/2024 11:29:37 AM</t>
  </si>
  <si>
    <t>RT-N3</t>
  </si>
  <si>
    <t>5/7/2024 11:30:20 AM</t>
  </si>
  <si>
    <t>Fridge-N3</t>
  </si>
  <si>
    <t>5/7/2024 11:30:59 AM</t>
  </si>
  <si>
    <t>2024-05-07 Temperature effect on nitrite determination (verified 2024-05-10)</t>
  </si>
  <si>
    <r>
      <t>F&lt;F</t>
    </r>
    <r>
      <rPr>
        <vertAlign val="subscript"/>
        <sz val="11"/>
        <color rgb="FFC00000"/>
        <rFont val="Arial"/>
        <family val="2"/>
      </rPr>
      <t>CRITICAL</t>
    </r>
    <r>
      <rPr>
        <sz val="11"/>
        <color rgb="FFC00000"/>
        <rFont val="Arial"/>
        <family val="2"/>
      </rPr>
      <t xml:space="preserve"> no difference for nitrite when the color development is carried out in the sample at 4 °C or room temperature (21-22 °C)</t>
    </r>
  </si>
  <si>
    <t>RT-P1</t>
  </si>
  <si>
    <t>5/7/2024 12:21:47 PM</t>
  </si>
  <si>
    <t>Fridge-P1</t>
  </si>
  <si>
    <t>5/7/2024 12:22:40 PM</t>
  </si>
  <si>
    <t>RT-P2</t>
  </si>
  <si>
    <t>5/7/2024 12:23:27 PM</t>
  </si>
  <si>
    <t>Fridge-P2</t>
  </si>
  <si>
    <t>5/7/2024 12:24:09 PM</t>
  </si>
  <si>
    <t>RT-P3</t>
  </si>
  <si>
    <t>5/7/2024 12:24:56 PM</t>
  </si>
  <si>
    <t>Fridge-P3</t>
  </si>
  <si>
    <t>5/7/2024 12:25:40 PM</t>
  </si>
  <si>
    <t>2024-05-07 Temperature effect on phosphate determination (verified 2024-05-10)</t>
  </si>
  <si>
    <r>
      <t>F&lt;F</t>
    </r>
    <r>
      <rPr>
        <vertAlign val="subscript"/>
        <sz val="11"/>
        <color rgb="FFC00000"/>
        <rFont val="Arial"/>
        <family val="2"/>
      </rPr>
      <t>CRITICAL</t>
    </r>
    <r>
      <rPr>
        <sz val="11"/>
        <color rgb="FFC00000"/>
        <rFont val="Arial"/>
        <family val="2"/>
      </rPr>
      <t xml:space="preserve"> no difference for phosphate when the color development is carried out in the sample at 4 °C or room temperature (21-22 °C)</t>
    </r>
  </si>
  <si>
    <t>810nm</t>
  </si>
  <si>
    <t>RT-Si1</t>
  </si>
  <si>
    <t>5/7/2024 1:13:58 PM</t>
  </si>
  <si>
    <t>Fridge-Si1</t>
  </si>
  <si>
    <t>5/7/2024 1:14:43 PM</t>
  </si>
  <si>
    <t>RT-Si2</t>
  </si>
  <si>
    <t>5/7/2024 1:15:26 PM</t>
  </si>
  <si>
    <t>Fridge-Si2</t>
  </si>
  <si>
    <t>5/7/2024 1:16:10 PM</t>
  </si>
  <si>
    <t>RT-Si3</t>
  </si>
  <si>
    <t>5/7/2024 1:16:53 PM</t>
  </si>
  <si>
    <t>Fridge-Si3</t>
  </si>
  <si>
    <t>5/7/2024 1:17:38 PM</t>
  </si>
  <si>
    <t>2024-05-07 Temperature effect on silicate determination (verified 2024-05-10)</t>
  </si>
  <si>
    <t>Signal suppression at 4°C:</t>
  </si>
  <si>
    <t xml:space="preserve">For silicate it is important to carry out the derivatization at constant room temperaure </t>
  </si>
  <si>
    <t>relative standard uncertainty due to long-term (storage at 5 °C) conditions</t>
  </si>
  <si>
    <t>Value assignment for density in MOOS-4 (verified 2024-05-10)</t>
  </si>
  <si>
    <t>Value assignment for nitrite in MOOS-4 (verified 2024-05-10)</t>
  </si>
  <si>
    <t>Value assignment for nitrate in MOOS-4 (verified 2024-05-10)</t>
  </si>
  <si>
    <t>c. Silicate: value assignment</t>
  </si>
  <si>
    <t>formula</t>
  </si>
  <si>
    <t>Molar concentration</t>
  </si>
  <si>
    <t>MOOS-4 certified values (verified 2024-05-10)</t>
  </si>
  <si>
    <t>2024-03-21 Characterization MOOS-4 [Silicate LC-ICPMS Zuzana]: data analysis (verified 2024-05-10)</t>
  </si>
  <si>
    <t>Degree of</t>
  </si>
  <si>
    <t>matching</t>
  </si>
  <si>
    <t>Monitoring of MOOS-4 and expiry date</t>
  </si>
  <si>
    <t>Certification</t>
  </si>
  <si>
    <t>March, 2024</t>
  </si>
  <si>
    <t>Expiry date</t>
  </si>
  <si>
    <t>Stability</t>
  </si>
  <si>
    <t>In practice there is no difference between the nitrite signal observed in the sample and in the nitrate standard</t>
  </si>
  <si>
    <t>Short term stability nitrate by HS ID GC-MS (verified on 2024-04-10)</t>
  </si>
  <si>
    <t>Nitrate DSL (R MetRology) experiment</t>
  </si>
  <si>
    <t>Nitrite DSL (R MetRology) experiment</t>
  </si>
  <si>
    <t>Linear pooling: combining data single day and single method</t>
  </si>
  <si>
    <r>
      <rPr>
        <b/>
        <i/>
        <sz val="11"/>
        <color theme="1"/>
        <rFont val="Arial"/>
        <family val="2"/>
      </rPr>
      <t>uw</t>
    </r>
    <r>
      <rPr>
        <b/>
        <sz val="11"/>
        <color theme="1"/>
        <rFont val="Arial"/>
        <family val="2"/>
      </rPr>
      <t>/SD</t>
    </r>
  </si>
  <si>
    <r>
      <rPr>
        <b/>
        <i/>
        <sz val="11"/>
        <color theme="1"/>
        <rFont val="Arial"/>
        <family val="2"/>
      </rPr>
      <t>w</t>
    </r>
    <r>
      <rPr>
        <b/>
        <sz val="11"/>
        <color theme="1"/>
        <rFont val="Arial"/>
        <family val="2"/>
      </rPr>
      <t>/average</t>
    </r>
  </si>
  <si>
    <t>MOOS</t>
  </si>
  <si>
    <t>STANDARD</t>
  </si>
  <si>
    <t>Number of MonteCarlo simulations for uncertainty evaluation set at 2000</t>
  </si>
  <si>
    <r>
      <t xml:space="preserve">Value with </t>
    </r>
    <r>
      <rPr>
        <i/>
        <sz val="11"/>
        <color rgb="FFC00000"/>
        <rFont val="Arial"/>
        <family val="2"/>
      </rPr>
      <t>Z</t>
    </r>
    <r>
      <rPr>
        <sz val="11"/>
        <color rgb="FFC00000"/>
        <rFont val="Arial"/>
        <family val="2"/>
      </rPr>
      <t>-score &gt; 2.5: random contamination of nitrate was the likely cause for these higher results which were excluded for technical reasons</t>
    </r>
  </si>
  <si>
    <t>*** Uncertainty from primary standard was not considered here, but enrolled in CERT tab ***</t>
  </si>
  <si>
    <t>On the base of Q10 calculated in cell:</t>
  </si>
  <si>
    <t>it was possible to calculate an uncertainty component (short-term, transportation) equivalent to 10 days at 30 °C</t>
  </si>
  <si>
    <r>
      <rPr>
        <i/>
        <sz val="11"/>
        <color theme="1"/>
        <rFont val="Arial"/>
        <family val="2"/>
      </rPr>
      <t xml:space="preserve">v </t>
    </r>
    <r>
      <rPr>
        <sz val="11"/>
        <color theme="1"/>
        <rFont val="Arial"/>
        <family val="2"/>
      </rPr>
      <t>(30 °C)</t>
    </r>
  </si>
  <si>
    <r>
      <t>Covering a 10 days period (</t>
    </r>
    <r>
      <rPr>
        <i/>
        <sz val="11"/>
        <color theme="1"/>
        <rFont val="Arial"/>
        <family val="2"/>
      </rPr>
      <t>k</t>
    </r>
    <r>
      <rPr>
        <sz val="11"/>
        <color theme="1"/>
        <rFont val="Arial"/>
        <family val="2"/>
      </rPr>
      <t xml:space="preserve"> = 1)</t>
    </r>
  </si>
  <si>
    <r>
      <rPr>
        <b/>
        <i/>
        <sz val="11"/>
        <color theme="1"/>
        <rFont val="Arial"/>
        <family val="2"/>
      </rPr>
      <t>u</t>
    </r>
    <r>
      <rPr>
        <b/>
        <vertAlign val="subscript"/>
        <sz val="11"/>
        <color theme="1"/>
        <rFont val="Arial"/>
        <family val="2"/>
      </rPr>
      <t>R,SHORT</t>
    </r>
  </si>
  <si>
    <t>Comparing the uncertainty with previous CRMs</t>
  </si>
  <si>
    <t>Int ST</t>
  </si>
  <si>
    <t>ST dev</t>
  </si>
  <si>
    <t>Fit IDMS</t>
  </si>
  <si>
    <t>Height</t>
  </si>
  <si>
    <t>Height, RSM x 1</t>
  </si>
  <si>
    <r>
      <t>Overlap between 1 blank and 1 signal at 42.6 ng/g SiO</t>
    </r>
    <r>
      <rPr>
        <b/>
        <vertAlign val="subscript"/>
        <sz val="11"/>
        <color theme="1"/>
        <rFont val="Arial"/>
        <family val="2"/>
      </rPr>
      <t>2</t>
    </r>
  </si>
  <si>
    <r>
      <rPr>
        <b/>
        <i/>
        <sz val="11"/>
        <color theme="1"/>
        <rFont val="Arial"/>
        <family val="2"/>
      </rPr>
      <t>w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*(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A</t>
    </r>
    <r>
      <rPr>
        <b/>
        <sz val="11"/>
        <color theme="1"/>
        <rFont val="Arial"/>
        <family val="2"/>
      </rPr>
      <t>/</t>
    </r>
    <r>
      <rPr>
        <b/>
        <i/>
        <sz val="11"/>
        <color theme="1"/>
        <rFont val="Arial"/>
        <family val="2"/>
      </rPr>
      <t>m</t>
    </r>
    <r>
      <rPr>
        <b/>
        <vertAlign val="subscript"/>
        <sz val="11"/>
        <color theme="1"/>
        <rFont val="Arial"/>
        <family val="2"/>
      </rPr>
      <t>B</t>
    </r>
    <r>
      <rPr>
        <b/>
        <sz val="11"/>
        <color theme="1"/>
        <rFont val="Arial"/>
        <family val="2"/>
      </rPr>
      <t>)</t>
    </r>
  </si>
  <si>
    <t>in MOOS-4</t>
  </si>
  <si>
    <t>in DIW</t>
  </si>
  <si>
    <r>
      <t xml:space="preserve">Area </t>
    </r>
    <r>
      <rPr>
        <b/>
        <vertAlign val="superscript"/>
        <sz val="11"/>
        <color theme="1"/>
        <rFont val="Arial"/>
        <family val="2"/>
      </rPr>
      <t>30</t>
    </r>
    <r>
      <rPr>
        <b/>
        <sz val="11"/>
        <color theme="1"/>
        <rFont val="Arial"/>
        <family val="2"/>
      </rPr>
      <t>Si</t>
    </r>
  </si>
  <si>
    <t>Conclusion: no detectable matrix suppression, LC separate the matrix efficiently</t>
  </si>
  <si>
    <r>
      <t xml:space="preserve">Area </t>
    </r>
    <r>
      <rPr>
        <b/>
        <vertAlign val="superscript"/>
        <sz val="11"/>
        <color theme="1"/>
        <rFont val="Arial"/>
        <family val="2"/>
      </rPr>
      <t>28</t>
    </r>
    <r>
      <rPr>
        <b/>
        <sz val="11"/>
        <color theme="1"/>
        <rFont val="Arial"/>
        <family val="2"/>
      </rPr>
      <t>Si</t>
    </r>
  </si>
  <si>
    <r>
      <t xml:space="preserve">Matrix effect estimated on the signal of the internal standard </t>
    </r>
    <r>
      <rPr>
        <b/>
        <vertAlign val="superscript"/>
        <sz val="11"/>
        <color theme="1"/>
        <rFont val="Arial"/>
        <family val="2"/>
      </rPr>
      <t>30</t>
    </r>
    <r>
      <rPr>
        <b/>
        <sz val="11"/>
        <color theme="1"/>
        <rFont val="Arial"/>
        <family val="2"/>
      </rPr>
      <t>Si and repeatability of the analytical signal within MOOS-4</t>
    </r>
  </si>
  <si>
    <t>LOQ</t>
  </si>
  <si>
    <t>Range</t>
  </si>
  <si>
    <t>Validation of silicate by LC-ICPMS: calibration plot, analytical range, matrix effect, LOD, LOQ, signal repeatability</t>
  </si>
  <si>
    <r>
      <t>LOD estimation and range as SiO</t>
    </r>
    <r>
      <rPr>
        <b/>
        <vertAlign val="subscript"/>
        <sz val="11"/>
        <color theme="1"/>
        <rFont val="Arial"/>
        <family val="2"/>
      </rPr>
      <t>2</t>
    </r>
  </si>
  <si>
    <t>U</t>
  </si>
  <si>
    <t>March, 2028</t>
  </si>
  <si>
    <t>March-September, 2026</t>
  </si>
  <si>
    <t>Comparability tests are for information only</t>
  </si>
  <si>
    <t>MOOS-3 is expired and not properly informative as a QC sample at this point</t>
  </si>
  <si>
    <t>Value assignment for phosphate in MOOS-4 (verified 2024-05-10)</t>
  </si>
  <si>
    <t>Value assignment for silicate in MOOS-4 (verified 2024-05-10)</t>
  </si>
  <si>
    <t>1 cm cuvette</t>
  </si>
  <si>
    <t>corr EP 2024-06-25 internal audit</t>
  </si>
  <si>
    <t>2024-06-25 internal audit</t>
  </si>
  <si>
    <t>Considering the trend obsered in the phosphate data, value in cell</t>
  </si>
  <si>
    <t>was not used as an estimate for u(hom). Instead the result from cell</t>
  </si>
  <si>
    <t>was used</t>
  </si>
  <si>
    <t>3 blanks and 3 standards LOD</t>
  </si>
  <si>
    <t>Area 31</t>
  </si>
  <si>
    <t>Area 32</t>
  </si>
  <si>
    <t>Area 46</t>
  </si>
  <si>
    <t>Area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</si>
</sst>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0000"/>
    <numFmt numFmtId="165" formatCode="0.0000"/>
    <numFmt numFmtId="166" formatCode="0.000"/>
    <numFmt numFmtId="167" formatCode="0.0%"/>
    <numFmt numFmtId="168" formatCode="0.0000000000000000"/>
    <numFmt numFmtId="169" formatCode="0000"/>
    <numFmt numFmtId="170" formatCode="0.000000"/>
    <numFmt numFmtId="171" formatCode="yyyy/mm/dd;@"/>
    <numFmt numFmtId="172" formatCode="0.0"/>
    <numFmt numFmtId="173" formatCode="yyyy/mm/dd\ h:mm:ss\ AM/PM"/>
    <numFmt numFmtId="174" formatCode="yyyy\-mm\-dd\ h:mm:ss\ AM/PM"/>
    <numFmt numFmtId="175" formatCode="0.000%"/>
    <numFmt numFmtId="176" formatCode="0.000000000"/>
    <numFmt numFmtId="177" formatCode="0.0000000"/>
    <numFmt numFmtId="178" formatCode="0.000000000000000000000000000000000"/>
    <numFmt numFmtId="179" formatCode="0.0E+00"/>
    <numFmt numFmtId="180" formatCode="0.00000%"/>
  </numFmts>
  <fonts count="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theme="9" tint="-0.499984740745262"/>
      <name val="Arial"/>
      <family val="2"/>
    </font>
    <font>
      <b/>
      <i/>
      <sz val="10"/>
      <color theme="9" tint="-0.499984740745262"/>
      <name val="Arial"/>
      <family val="2"/>
    </font>
    <font>
      <b/>
      <vertAlign val="subscript"/>
      <sz val="10"/>
      <color theme="9" tint="-0.49998474074526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-0.499984740745262"/>
      <name val="Arial"/>
      <family val="2"/>
    </font>
    <font>
      <b/>
      <sz val="10"/>
      <color theme="3"/>
      <name val="Arial"/>
      <family val="2"/>
    </font>
    <font>
      <b/>
      <i/>
      <sz val="10"/>
      <color theme="3"/>
      <name val="Arial"/>
      <family val="2"/>
    </font>
    <font>
      <b/>
      <vertAlign val="subscript"/>
      <sz val="10"/>
      <color theme="3"/>
      <name val="Arial"/>
      <family val="2"/>
    </font>
    <font>
      <sz val="10"/>
      <color theme="3"/>
      <name val="Arial"/>
      <family val="2"/>
    </font>
    <font>
      <b/>
      <vertAlign val="superscript"/>
      <sz val="10"/>
      <name val="Arial"/>
      <family val="2"/>
    </font>
    <font>
      <b/>
      <vertAlign val="superscript"/>
      <sz val="10"/>
      <color theme="9" tint="-0.49998474074526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3"/>
      <name val="Arial"/>
      <family val="2"/>
    </font>
    <font>
      <sz val="11"/>
      <name val="Arial"/>
      <family val="2"/>
    </font>
    <font>
      <b/>
      <sz val="11"/>
      <color theme="3"/>
      <name val="Arial"/>
      <family val="2"/>
    </font>
    <font>
      <b/>
      <sz val="11"/>
      <name val="Arial"/>
      <family val="2"/>
    </font>
    <font>
      <b/>
      <i/>
      <sz val="11"/>
      <color theme="1"/>
      <name val="Arial"/>
      <family val="2"/>
    </font>
    <font>
      <b/>
      <sz val="11"/>
      <color rgb="FFC00000"/>
      <name val="Arial"/>
      <family val="2"/>
    </font>
    <font>
      <sz val="11"/>
      <color rgb="FFC00000"/>
      <name val="Arial"/>
      <family val="2"/>
    </font>
    <font>
      <sz val="11"/>
      <color theme="0"/>
      <name val="Arial"/>
      <family val="2"/>
    </font>
    <font>
      <b/>
      <i/>
      <sz val="11"/>
      <color theme="3"/>
      <name val="Arial"/>
      <family val="2"/>
    </font>
    <font>
      <b/>
      <vertAlign val="subscript"/>
      <sz val="11"/>
      <color theme="3"/>
      <name val="Arial"/>
      <family val="2"/>
    </font>
    <font>
      <b/>
      <vertAlign val="subscript"/>
      <sz val="11"/>
      <color theme="1"/>
      <name val="Arial"/>
      <family val="2"/>
    </font>
    <font>
      <i/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b/>
      <sz val="11"/>
      <color theme="0"/>
      <name val="Arial"/>
      <family val="2"/>
    </font>
    <font>
      <b/>
      <i/>
      <sz val="11"/>
      <name val="Arial"/>
      <family val="2"/>
    </font>
    <font>
      <b/>
      <vertAlign val="subscript"/>
      <sz val="11"/>
      <name val="Arial"/>
      <family val="2"/>
    </font>
    <font>
      <b/>
      <sz val="11"/>
      <color theme="9" tint="-0.499984740745262"/>
      <name val="Arial"/>
      <family val="2"/>
    </font>
    <font>
      <b/>
      <i/>
      <sz val="11"/>
      <color theme="9" tint="-0.499984740745262"/>
      <name val="Arial"/>
      <family val="2"/>
    </font>
    <font>
      <b/>
      <vertAlign val="subscript"/>
      <sz val="11"/>
      <color theme="9" tint="-0.499984740745262"/>
      <name val="Arial"/>
      <family val="2"/>
    </font>
    <font>
      <b/>
      <vertAlign val="superscript"/>
      <sz val="11"/>
      <name val="Arial"/>
      <family val="2"/>
    </font>
    <font>
      <b/>
      <vertAlign val="superscript"/>
      <sz val="11"/>
      <color theme="9" tint="-0.499984740745262"/>
      <name val="Arial"/>
      <family val="2"/>
    </font>
    <font>
      <sz val="11"/>
      <color theme="9" tint="-0.499984740745262"/>
      <name val="Arial"/>
      <family val="2"/>
    </font>
    <font>
      <i/>
      <sz val="11"/>
      <name val="Arial"/>
      <family val="2"/>
    </font>
    <font>
      <vertAlign val="subscript"/>
      <sz val="11"/>
      <name val="Arial"/>
      <family val="2"/>
    </font>
    <font>
      <i/>
      <sz val="11"/>
      <color rgb="FFC00000"/>
      <name val="Arial"/>
      <family val="2"/>
    </font>
    <font>
      <vertAlign val="superscript"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800000"/>
      <name val="Arial"/>
      <family val="2"/>
    </font>
    <font>
      <b/>
      <sz val="11"/>
      <color rgb="FF800000"/>
      <name val="Arial"/>
      <family val="2"/>
    </font>
    <font>
      <vertAlign val="superscript"/>
      <sz val="11"/>
      <color theme="1"/>
      <name val="Calibri"/>
      <family val="2"/>
    </font>
    <font>
      <b/>
      <sz val="11"/>
      <color theme="1"/>
      <name val="Arial "/>
    </font>
    <font>
      <b/>
      <vertAlign val="superscript"/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B050"/>
      <name val="Arial"/>
      <family val="2"/>
    </font>
    <font>
      <sz val="11"/>
      <color theme="3" tint="0.39997558519241921"/>
      <name val="Arial"/>
      <family val="2"/>
    </font>
    <font>
      <sz val="11"/>
      <color theme="1"/>
      <name val="Consolas"/>
      <family val="3"/>
    </font>
    <font>
      <b/>
      <vertAlign val="superscript"/>
      <sz val="11"/>
      <color theme="1"/>
      <name val="Arial"/>
      <family val="2"/>
    </font>
    <font>
      <b/>
      <sz val="11"/>
      <color rgb="FF00B050"/>
      <name val="Arial"/>
      <family val="2"/>
    </font>
    <font>
      <i/>
      <sz val="11"/>
      <color theme="1"/>
      <name val="Calibri"/>
      <family val="2"/>
      <scheme val="minor"/>
    </font>
    <font>
      <sz val="11"/>
      <color rgb="FF800000"/>
      <name val="Calibri"/>
      <family val="2"/>
    </font>
    <font>
      <b/>
      <i/>
      <sz val="11"/>
      <color theme="0"/>
      <name val="Arial"/>
      <family val="2"/>
    </font>
    <font>
      <b/>
      <vertAlign val="subscript"/>
      <sz val="11"/>
      <color theme="0"/>
      <name val="Arial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.35"/>
      <color theme="1"/>
      <name val="Arial"/>
      <family val="2"/>
    </font>
    <font>
      <sz val="10"/>
      <color theme="1"/>
      <name val="Calibri"/>
      <family val="2"/>
      <scheme val="minor"/>
    </font>
    <font>
      <sz val="9.35"/>
      <color theme="1"/>
      <name val="Arial"/>
      <family val="2"/>
    </font>
    <font>
      <b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b/>
      <vertAlign val="subscript"/>
      <sz val="11"/>
      <color rgb="FF000000"/>
      <name val="Arial"/>
      <family val="2"/>
    </font>
    <font>
      <i/>
      <sz val="11"/>
      <color rgb="FF800000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i/>
      <sz val="11"/>
      <color rgb="FFFF0000"/>
      <name val="Arial"/>
      <family val="2"/>
    </font>
    <font>
      <sz val="9"/>
      <color theme="1"/>
      <name val="Arial"/>
      <family val="2"/>
    </font>
    <font>
      <i/>
      <sz val="9"/>
      <color rgb="FFC00000"/>
      <name val="Arial"/>
      <family val="2"/>
    </font>
    <font>
      <i/>
      <strike/>
      <sz val="11"/>
      <color rgb="FFC00000"/>
      <name val="Arial"/>
      <family val="2"/>
    </font>
    <font>
      <sz val="9"/>
      <name val="Arial"/>
      <family val="2"/>
    </font>
    <font>
      <i/>
      <sz val="6"/>
      <color rgb="FFC00000"/>
      <name val="Arial"/>
      <family val="2"/>
    </font>
    <font>
      <b/>
      <vertAlign val="superscript"/>
      <sz val="9"/>
      <color theme="1"/>
      <name val="Calibri"/>
      <family val="2"/>
    </font>
    <font>
      <b/>
      <vertAlign val="subscript"/>
      <sz val="9"/>
      <color theme="1"/>
      <name val="Calibri"/>
      <family val="2"/>
    </font>
    <font>
      <sz val="8"/>
      <color theme="1"/>
      <name val="Arial"/>
      <family val="2"/>
    </font>
    <font>
      <i/>
      <sz val="8"/>
      <color theme="1"/>
      <name val="Arial"/>
      <family val="2"/>
    </font>
    <font>
      <b/>
      <vertAlign val="superscript"/>
      <sz val="11"/>
      <color theme="1"/>
      <name val="Cambria"/>
      <family val="1"/>
    </font>
    <font>
      <vertAlign val="subscript"/>
      <sz val="11"/>
      <color rgb="FFC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10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3">
    <xf numFmtId="0" fontId="0" fillId="0" borderId="0" xfId="0"/>
    <xf numFmtId="0" fontId="3" fillId="0" borderId="0" xfId="0" applyFont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3" borderId="16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164" fontId="5" fillId="0" borderId="7" xfId="0" applyNumberFormat="1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164" fontId="12" fillId="0" borderId="2" xfId="0" applyNumberFormat="1" applyFont="1" applyBorder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164" fontId="13" fillId="0" borderId="15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64" fontId="12" fillId="0" borderId="0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164" fontId="12" fillId="0" borderId="7" xfId="0" applyNumberFormat="1" applyFont="1" applyBorder="1" applyAlignment="1">
      <alignment horizontal="left" vertical="center"/>
    </xf>
    <xf numFmtId="164" fontId="13" fillId="0" borderId="7" xfId="0" applyNumberFormat="1" applyFont="1" applyBorder="1" applyAlignment="1">
      <alignment horizontal="left" vertical="center"/>
    </xf>
    <xf numFmtId="164" fontId="13" fillId="0" borderId="19" xfId="0" applyNumberFormat="1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5" fontId="12" fillId="0" borderId="0" xfId="0" applyNumberFormat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3" borderId="20" xfId="0" applyFont="1" applyFill="1" applyBorder="1" applyAlignment="1">
      <alignment horizontal="right" vertical="center"/>
    </xf>
    <xf numFmtId="0" fontId="14" fillId="3" borderId="0" xfId="0" applyFont="1" applyFill="1" applyBorder="1" applyAlignment="1">
      <alignment horizontal="right" vertical="center"/>
    </xf>
    <xf numFmtId="0" fontId="14" fillId="3" borderId="15" xfId="0" applyFont="1" applyFill="1" applyBorder="1" applyAlignment="1">
      <alignment horizontal="right" vertical="center"/>
    </xf>
    <xf numFmtId="0" fontId="11" fillId="0" borderId="11" xfId="0" applyFont="1" applyBorder="1" applyAlignment="1">
      <alignment horizontal="left" vertical="center"/>
    </xf>
    <xf numFmtId="164" fontId="12" fillId="0" borderId="11" xfId="0" applyNumberFormat="1" applyFont="1" applyBorder="1" applyAlignment="1">
      <alignment horizontal="left" vertical="center"/>
    </xf>
    <xf numFmtId="164" fontId="13" fillId="0" borderId="11" xfId="0" applyNumberFormat="1" applyFont="1" applyBorder="1" applyAlignment="1">
      <alignment horizontal="left" vertical="center"/>
    </xf>
    <xf numFmtId="166" fontId="5" fillId="5" borderId="11" xfId="0" applyNumberFormat="1" applyFont="1" applyFill="1" applyBorder="1" applyAlignment="1">
      <alignment horizontal="left" vertical="center"/>
    </xf>
    <xf numFmtId="166" fontId="8" fillId="5" borderId="11" xfId="0" applyNumberFormat="1" applyFont="1" applyFill="1" applyBorder="1" applyAlignment="1">
      <alignment horizontal="left" vertical="center"/>
    </xf>
    <xf numFmtId="167" fontId="17" fillId="3" borderId="21" xfId="1" applyNumberFormat="1" applyFont="1" applyFill="1" applyBorder="1" applyAlignment="1">
      <alignment horizontal="right" vertical="center"/>
    </xf>
    <xf numFmtId="167" fontId="17" fillId="3" borderId="11" xfId="1" applyNumberFormat="1" applyFont="1" applyFill="1" applyBorder="1" applyAlignment="1">
      <alignment horizontal="right" vertical="center"/>
    </xf>
    <xf numFmtId="167" fontId="17" fillId="3" borderId="22" xfId="1" applyNumberFormat="1" applyFont="1" applyFill="1" applyBorder="1" applyAlignment="1">
      <alignment horizontal="right" vertical="center"/>
    </xf>
    <xf numFmtId="165" fontId="3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4" fillId="3" borderId="24" xfId="0" applyFont="1" applyFill="1" applyBorder="1" applyAlignment="1">
      <alignment horizontal="right" vertical="center"/>
    </xf>
    <xf numFmtId="0" fontId="14" fillId="3" borderId="23" xfId="0" applyFont="1" applyFill="1" applyBorder="1" applyAlignment="1">
      <alignment horizontal="right" vertical="center"/>
    </xf>
    <xf numFmtId="2" fontId="11" fillId="5" borderId="11" xfId="0" applyNumberFormat="1" applyFont="1" applyFill="1" applyBorder="1" applyAlignment="1">
      <alignment horizontal="left" vertical="center"/>
    </xf>
    <xf numFmtId="2" fontId="8" fillId="5" borderId="1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2" fontId="3" fillId="0" borderId="32" xfId="0" applyNumberFormat="1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2" xfId="0" applyFont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Alignment="1" applyProtection="1">
      <alignment horizontal="left" vertical="center"/>
      <protection locked="0"/>
    </xf>
    <xf numFmtId="165" fontId="20" fillId="0" borderId="0" xfId="0" applyNumberFormat="1" applyFont="1" applyAlignment="1" applyProtection="1">
      <alignment horizontal="left" vertical="center"/>
      <protection locked="0"/>
    </xf>
    <xf numFmtId="2" fontId="20" fillId="0" borderId="0" xfId="0" applyNumberFormat="1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10" fontId="29" fillId="0" borderId="0" xfId="1" applyNumberFormat="1" applyFont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165" fontId="20" fillId="0" borderId="0" xfId="0" applyNumberFormat="1" applyFont="1" applyAlignment="1">
      <alignment horizontal="left" vertical="center"/>
    </xf>
    <xf numFmtId="0" fontId="25" fillId="0" borderId="0" xfId="0" applyFont="1" applyBorder="1" applyAlignment="1" applyProtection="1">
      <alignment horizontal="left" vertical="center"/>
      <protection locked="0"/>
    </xf>
    <xf numFmtId="0" fontId="27" fillId="0" borderId="0" xfId="0" applyFont="1" applyBorder="1" applyAlignment="1" applyProtection="1">
      <alignment horizontal="left" vertical="center"/>
      <protection locked="0"/>
    </xf>
    <xf numFmtId="0" fontId="23" fillId="0" borderId="7" xfId="0" applyFont="1" applyBorder="1" applyAlignment="1" applyProtection="1">
      <alignment horizontal="left" vertical="center"/>
      <protection locked="0"/>
    </xf>
    <xf numFmtId="165" fontId="20" fillId="7" borderId="2" xfId="0" applyNumberFormat="1" applyFont="1" applyFill="1" applyBorder="1" applyAlignment="1" applyProtection="1">
      <alignment horizontal="left" vertical="center"/>
      <protection locked="0"/>
    </xf>
    <xf numFmtId="169" fontId="23" fillId="8" borderId="2" xfId="0" applyNumberFormat="1" applyFont="1" applyFill="1" applyBorder="1" applyAlignment="1" applyProtection="1">
      <alignment horizontal="left" vertical="center"/>
      <protection locked="0"/>
    </xf>
    <xf numFmtId="171" fontId="23" fillId="8" borderId="2" xfId="0" applyNumberFormat="1" applyFont="1" applyFill="1" applyBorder="1" applyAlignment="1" applyProtection="1">
      <alignment horizontal="left" vertical="center"/>
      <protection locked="0"/>
    </xf>
    <xf numFmtId="165" fontId="23" fillId="8" borderId="2" xfId="0" applyNumberFormat="1" applyFont="1" applyFill="1" applyBorder="1" applyAlignment="1" applyProtection="1">
      <alignment horizontal="left" vertical="center"/>
      <protection locked="0"/>
    </xf>
    <xf numFmtId="171" fontId="23" fillId="8" borderId="0" xfId="0" applyNumberFormat="1" applyFont="1" applyFill="1" applyBorder="1" applyAlignment="1" applyProtection="1">
      <alignment horizontal="left" vertical="center"/>
      <protection locked="0"/>
    </xf>
    <xf numFmtId="165" fontId="23" fillId="8" borderId="0" xfId="0" applyNumberFormat="1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20" fillId="0" borderId="7" xfId="0" applyFont="1" applyFill="1" applyBorder="1" applyAlignment="1" applyProtection="1">
      <alignment horizontal="left" vertical="center"/>
      <protection locked="0"/>
    </xf>
    <xf numFmtId="171" fontId="20" fillId="0" borderId="2" xfId="0" applyNumberFormat="1" applyFont="1" applyFill="1" applyBorder="1" applyAlignment="1" applyProtection="1">
      <alignment horizontal="left" vertical="center"/>
      <protection locked="0"/>
    </xf>
    <xf numFmtId="171" fontId="20" fillId="0" borderId="0" xfId="0" applyNumberFormat="1" applyFont="1" applyFill="1" applyBorder="1" applyAlignment="1" applyProtection="1">
      <alignment horizontal="left" vertical="center"/>
      <protection locked="0"/>
    </xf>
    <xf numFmtId="171" fontId="23" fillId="8" borderId="7" xfId="0" applyNumberFormat="1" applyFont="1" applyFill="1" applyBorder="1" applyAlignment="1" applyProtection="1">
      <alignment horizontal="left" vertical="center"/>
      <protection locked="0"/>
    </xf>
    <xf numFmtId="171" fontId="20" fillId="0" borderId="7" xfId="0" applyNumberFormat="1" applyFont="1" applyFill="1" applyBorder="1" applyAlignment="1" applyProtection="1">
      <alignment horizontal="left" vertical="center"/>
      <protection locked="0"/>
    </xf>
    <xf numFmtId="165" fontId="23" fillId="8" borderId="7" xfId="0" applyNumberFormat="1" applyFont="1" applyFill="1" applyBorder="1" applyAlignment="1" applyProtection="1">
      <alignment horizontal="left" vertical="center"/>
      <protection locked="0"/>
    </xf>
    <xf numFmtId="165" fontId="24" fillId="0" borderId="0" xfId="0" applyNumberFormat="1" applyFont="1" applyAlignment="1" applyProtection="1">
      <alignment horizontal="left" vertical="center"/>
      <protection locked="0"/>
    </xf>
    <xf numFmtId="166" fontId="24" fillId="0" borderId="0" xfId="0" applyNumberFormat="1" applyFont="1" applyAlignment="1" applyProtection="1">
      <alignment horizontal="left" vertical="center"/>
      <protection locked="0"/>
    </xf>
    <xf numFmtId="0" fontId="20" fillId="0" borderId="2" xfId="0" applyFont="1" applyBorder="1" applyAlignment="1">
      <alignment horizontal="left" vertical="center"/>
    </xf>
    <xf numFmtId="165" fontId="20" fillId="0" borderId="0" xfId="0" applyNumberFormat="1" applyFont="1" applyBorder="1" applyAlignment="1">
      <alignment horizontal="left" vertical="center"/>
    </xf>
    <xf numFmtId="165" fontId="20" fillId="0" borderId="7" xfId="0" applyNumberFormat="1" applyFont="1" applyBorder="1" applyAlignment="1">
      <alignment horizontal="left" vertical="center"/>
    </xf>
    <xf numFmtId="165" fontId="20" fillId="0" borderId="2" xfId="0" applyNumberFormat="1" applyFont="1" applyBorder="1" applyAlignment="1">
      <alignment horizontal="left" vertical="center"/>
    </xf>
    <xf numFmtId="172" fontId="23" fillId="8" borderId="2" xfId="0" applyNumberFormat="1" applyFont="1" applyFill="1" applyBorder="1" applyAlignment="1" applyProtection="1">
      <alignment horizontal="left" vertical="center"/>
      <protection locked="0"/>
    </xf>
    <xf numFmtId="172" fontId="23" fillId="8" borderId="0" xfId="0" applyNumberFormat="1" applyFont="1" applyFill="1" applyBorder="1" applyAlignment="1" applyProtection="1">
      <alignment horizontal="left" vertical="center"/>
      <protection locked="0"/>
    </xf>
    <xf numFmtId="172" fontId="23" fillId="8" borderId="7" xfId="0" applyNumberFormat="1" applyFont="1" applyFill="1" applyBorder="1" applyAlignment="1" applyProtection="1">
      <alignment horizontal="left" vertical="center"/>
      <protection locked="0"/>
    </xf>
    <xf numFmtId="0" fontId="24" fillId="0" borderId="0" xfId="0" applyFont="1" applyFill="1" applyBorder="1" applyAlignment="1" applyProtection="1">
      <alignment horizontal="left" vertical="center"/>
      <protection locked="0"/>
    </xf>
    <xf numFmtId="165" fontId="24" fillId="0" borderId="0" xfId="0" applyNumberFormat="1" applyFont="1" applyFill="1" applyBorder="1" applyAlignment="1" applyProtection="1">
      <alignment horizontal="left" vertical="center"/>
      <protection locked="0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 applyProtection="1">
      <alignment horizontal="left" vertical="center"/>
      <protection locked="0"/>
    </xf>
    <xf numFmtId="0" fontId="39" fillId="0" borderId="0" xfId="0" applyFont="1" applyBorder="1" applyAlignment="1">
      <alignment horizontal="left" vertical="center"/>
    </xf>
    <xf numFmtId="0" fontId="25" fillId="3" borderId="0" xfId="0" applyFont="1" applyFill="1" applyBorder="1" applyAlignment="1">
      <alignment horizontal="right" vertical="center"/>
    </xf>
    <xf numFmtId="0" fontId="26" fillId="0" borderId="7" xfId="0" applyFont="1" applyBorder="1" applyAlignment="1">
      <alignment horizontal="left" vertical="center"/>
    </xf>
    <xf numFmtId="0" fontId="39" fillId="0" borderId="7" xfId="0" applyFont="1" applyBorder="1" applyAlignment="1">
      <alignment horizontal="left" vertical="center"/>
    </xf>
    <xf numFmtId="2" fontId="21" fillId="5" borderId="2" xfId="0" applyNumberFormat="1" applyFont="1" applyFill="1" applyBorder="1" applyAlignment="1">
      <alignment horizontal="left" vertical="center"/>
    </xf>
    <xf numFmtId="2" fontId="39" fillId="5" borderId="2" xfId="0" applyNumberFormat="1" applyFont="1" applyFill="1" applyBorder="1" applyAlignment="1">
      <alignment horizontal="left" vertical="center"/>
    </xf>
    <xf numFmtId="164" fontId="24" fillId="0" borderId="0" xfId="0" applyNumberFormat="1" applyFont="1" applyBorder="1" applyAlignment="1">
      <alignment horizontal="left" vertical="center"/>
    </xf>
    <xf numFmtId="2" fontId="21" fillId="5" borderId="0" xfId="0" applyNumberFormat="1" applyFont="1" applyFill="1" applyBorder="1" applyAlignment="1">
      <alignment horizontal="left" vertical="center"/>
    </xf>
    <xf numFmtId="2" fontId="39" fillId="5" borderId="0" xfId="0" applyNumberFormat="1" applyFont="1" applyFill="1" applyBorder="1" applyAlignment="1">
      <alignment horizontal="left" vertical="center"/>
    </xf>
    <xf numFmtId="167" fontId="23" fillId="3" borderId="0" xfId="1" applyNumberFormat="1" applyFont="1" applyFill="1" applyBorder="1" applyAlignment="1">
      <alignment horizontal="right" vertical="center"/>
    </xf>
    <xf numFmtId="164" fontId="24" fillId="0" borderId="7" xfId="0" applyNumberFormat="1" applyFont="1" applyBorder="1" applyAlignment="1">
      <alignment horizontal="left" vertical="center"/>
    </xf>
    <xf numFmtId="2" fontId="21" fillId="5" borderId="7" xfId="0" applyNumberFormat="1" applyFont="1" applyFill="1" applyBorder="1" applyAlignment="1">
      <alignment horizontal="left" vertical="center"/>
    </xf>
    <xf numFmtId="2" fontId="39" fillId="5" borderId="7" xfId="0" applyNumberFormat="1" applyFont="1" applyFill="1" applyBorder="1" applyAlignment="1">
      <alignment horizontal="left" vertical="center"/>
    </xf>
    <xf numFmtId="167" fontId="23" fillId="3" borderId="7" xfId="1" applyNumberFormat="1" applyFont="1" applyFill="1" applyBorder="1" applyAlignment="1">
      <alignment horizontal="right" vertical="center"/>
    </xf>
    <xf numFmtId="0" fontId="45" fillId="0" borderId="0" xfId="0" applyFont="1" applyAlignment="1" applyProtection="1">
      <alignment horizontal="left" vertical="center"/>
      <protection locked="0"/>
    </xf>
    <xf numFmtId="0" fontId="26" fillId="0" borderId="0" xfId="0" applyFont="1" applyBorder="1" applyAlignment="1" applyProtection="1">
      <alignment horizontal="left" vertical="center"/>
      <protection locked="0"/>
    </xf>
    <xf numFmtId="0" fontId="23" fillId="8" borderId="0" xfId="0" applyFont="1" applyFill="1" applyBorder="1" applyAlignment="1" applyProtection="1">
      <alignment horizontal="left" vertical="center"/>
      <protection locked="0"/>
    </xf>
    <xf numFmtId="0" fontId="26" fillId="0" borderId="2" xfId="0" applyFont="1" applyBorder="1" applyAlignment="1" applyProtection="1">
      <alignment horizontal="left" vertical="center"/>
      <protection locked="0"/>
    </xf>
    <xf numFmtId="0" fontId="23" fillId="8" borderId="2" xfId="0" applyFont="1" applyFill="1" applyBorder="1" applyAlignment="1" applyProtection="1">
      <alignment horizontal="left" vertical="center"/>
      <protection locked="0"/>
    </xf>
    <xf numFmtId="172" fontId="39" fillId="7" borderId="7" xfId="0" applyNumberFormat="1" applyFont="1" applyFill="1" applyBorder="1" applyAlignment="1" applyProtection="1">
      <alignment horizontal="left" vertical="center"/>
      <protection locked="0"/>
    </xf>
    <xf numFmtId="2" fontId="39" fillId="7" borderId="7" xfId="0" applyNumberFormat="1" applyFont="1" applyFill="1" applyBorder="1" applyAlignment="1" applyProtection="1">
      <alignment horizontal="left" vertical="center"/>
      <protection locked="0"/>
    </xf>
    <xf numFmtId="165" fontId="23" fillId="8" borderId="0" xfId="0" applyNumberFormat="1" applyFont="1" applyFill="1" applyAlignment="1" applyProtection="1">
      <alignment horizontal="left" vertical="center"/>
      <protection locked="0"/>
    </xf>
    <xf numFmtId="165" fontId="24" fillId="0" borderId="11" xfId="0" applyNumberFormat="1" applyFont="1" applyBorder="1" applyAlignment="1" applyProtection="1">
      <alignment horizontal="left" vertical="center"/>
      <protection locked="0"/>
    </xf>
    <xf numFmtId="166" fontId="24" fillId="0" borderId="11" xfId="0" applyNumberFormat="1" applyFont="1" applyBorder="1" applyAlignment="1" applyProtection="1">
      <alignment horizontal="left" vertical="center"/>
      <protection locked="0"/>
    </xf>
    <xf numFmtId="165" fontId="24" fillId="0" borderId="0" xfId="0" applyNumberFormat="1" applyFont="1" applyBorder="1" applyAlignment="1" applyProtection="1">
      <alignment horizontal="left" vertical="center"/>
      <protection locked="0"/>
    </xf>
    <xf numFmtId="172" fontId="24" fillId="0" borderId="2" xfId="0" applyNumberFormat="1" applyFont="1" applyFill="1" applyBorder="1" applyAlignment="1" applyProtection="1">
      <alignment horizontal="left" vertical="center"/>
      <protection locked="0"/>
    </xf>
    <xf numFmtId="172" fontId="24" fillId="0" borderId="0" xfId="0" applyNumberFormat="1" applyFont="1" applyFill="1" applyAlignment="1" applyProtection="1">
      <alignment horizontal="left" vertical="center"/>
      <protection locked="0"/>
    </xf>
    <xf numFmtId="0" fontId="24" fillId="0" borderId="2" xfId="0" applyFont="1" applyFill="1" applyBorder="1" applyAlignment="1" applyProtection="1">
      <alignment horizontal="left" vertical="center"/>
      <protection locked="0"/>
    </xf>
    <xf numFmtId="166" fontId="39" fillId="7" borderId="0" xfId="0" applyNumberFormat="1" applyFont="1" applyFill="1" applyBorder="1" applyAlignment="1" applyProtection="1">
      <alignment horizontal="left" vertical="center"/>
      <protection locked="0"/>
    </xf>
    <xf numFmtId="165" fontId="39" fillId="7" borderId="0" xfId="0" applyNumberFormat="1" applyFont="1" applyFill="1" applyBorder="1" applyAlignment="1" applyProtection="1">
      <alignment horizontal="left" vertical="center"/>
      <protection locked="0"/>
    </xf>
    <xf numFmtId="164" fontId="39" fillId="7" borderId="0" xfId="0" applyNumberFormat="1" applyFont="1" applyFill="1" applyBorder="1" applyAlignment="1" applyProtection="1">
      <alignment horizontal="left" vertical="center"/>
      <protection locked="0"/>
    </xf>
    <xf numFmtId="166" fontId="24" fillId="0" borderId="0" xfId="0" applyNumberFormat="1" applyFont="1" applyFill="1" applyBorder="1" applyAlignment="1" applyProtection="1">
      <alignment horizontal="left" vertical="center"/>
      <protection locked="0"/>
    </xf>
    <xf numFmtId="165" fontId="24" fillId="0" borderId="7" xfId="0" applyNumberFormat="1" applyFont="1" applyBorder="1" applyAlignment="1" applyProtection="1">
      <alignment horizontal="left" vertical="center"/>
      <protection locked="0"/>
    </xf>
    <xf numFmtId="164" fontId="39" fillId="7" borderId="7" xfId="0" applyNumberFormat="1" applyFont="1" applyFill="1" applyBorder="1" applyAlignment="1" applyProtection="1">
      <alignment horizontal="left" vertical="center"/>
      <protection locked="0"/>
    </xf>
    <xf numFmtId="0" fontId="24" fillId="0" borderId="7" xfId="0" applyFont="1" applyFill="1" applyBorder="1" applyAlignment="1" applyProtection="1">
      <alignment horizontal="left" vertical="center"/>
      <protection locked="0"/>
    </xf>
    <xf numFmtId="0" fontId="23" fillId="8" borderId="7" xfId="0" applyFont="1" applyFill="1" applyBorder="1" applyAlignment="1" applyProtection="1">
      <alignment horizontal="left" vertical="center"/>
      <protection locked="0"/>
    </xf>
    <xf numFmtId="10" fontId="24" fillId="0" borderId="0" xfId="1" applyNumberFormat="1" applyFont="1" applyBorder="1" applyAlignment="1" applyProtection="1">
      <alignment horizontal="left" vertical="center"/>
      <protection locked="0"/>
    </xf>
    <xf numFmtId="10" fontId="24" fillId="0" borderId="7" xfId="1" applyNumberFormat="1" applyFont="1" applyBorder="1" applyAlignment="1" applyProtection="1">
      <alignment horizontal="left" vertical="center"/>
      <protection locked="0"/>
    </xf>
    <xf numFmtId="0" fontId="47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 applyProtection="1">
      <alignment horizontal="left" vertical="center"/>
      <protection locked="0"/>
    </xf>
    <xf numFmtId="165" fontId="23" fillId="0" borderId="2" xfId="0" applyNumberFormat="1" applyFont="1" applyFill="1" applyBorder="1" applyAlignment="1" applyProtection="1">
      <alignment horizontal="left" vertical="center"/>
      <protection locked="0"/>
    </xf>
    <xf numFmtId="165" fontId="24" fillId="0" borderId="2" xfId="0" applyNumberFormat="1" applyFont="1" applyFill="1" applyBorder="1" applyAlignment="1" applyProtection="1">
      <alignment horizontal="left" vertical="center"/>
      <protection locked="0"/>
    </xf>
    <xf numFmtId="165" fontId="23" fillId="0" borderId="0" xfId="0" applyNumberFormat="1" applyFont="1" applyFill="1" applyBorder="1" applyAlignment="1" applyProtection="1">
      <alignment horizontal="left" vertical="center"/>
      <protection locked="0"/>
    </xf>
    <xf numFmtId="0" fontId="26" fillId="9" borderId="0" xfId="0" applyFont="1" applyFill="1" applyAlignment="1" applyProtection="1">
      <alignment horizontal="left" vertical="center"/>
      <protection locked="0"/>
    </xf>
    <xf numFmtId="0" fontId="24" fillId="9" borderId="0" xfId="0" applyFont="1" applyFill="1" applyAlignment="1" applyProtection="1">
      <alignment horizontal="left" vertical="center"/>
      <protection locked="0"/>
    </xf>
    <xf numFmtId="0" fontId="25" fillId="0" borderId="7" xfId="0" applyFont="1" applyBorder="1" applyAlignment="1">
      <alignment horizontal="left" vertical="center"/>
    </xf>
    <xf numFmtId="165" fontId="24" fillId="0" borderId="2" xfId="0" applyNumberFormat="1" applyFont="1" applyBorder="1" applyAlignment="1">
      <alignment horizontal="left" vertical="center"/>
    </xf>
    <xf numFmtId="165" fontId="23" fillId="8" borderId="2" xfId="0" applyNumberFormat="1" applyFont="1" applyFill="1" applyBorder="1" applyAlignment="1">
      <alignment horizontal="left" vertical="center"/>
    </xf>
    <xf numFmtId="165" fontId="24" fillId="0" borderId="0" xfId="0" applyNumberFormat="1" applyFont="1" applyBorder="1" applyAlignment="1">
      <alignment horizontal="left" vertical="center"/>
    </xf>
    <xf numFmtId="165" fontId="23" fillId="8" borderId="0" xfId="0" applyNumberFormat="1" applyFont="1" applyFill="1" applyBorder="1" applyAlignment="1">
      <alignment horizontal="left" vertical="center"/>
    </xf>
    <xf numFmtId="165" fontId="24" fillId="0" borderId="7" xfId="0" applyNumberFormat="1" applyFont="1" applyBorder="1" applyAlignment="1">
      <alignment horizontal="left" vertical="center"/>
    </xf>
    <xf numFmtId="165" fontId="23" fillId="8" borderId="7" xfId="0" applyNumberFormat="1" applyFont="1" applyFill="1" applyBorder="1" applyAlignment="1">
      <alignment horizontal="left" vertical="center"/>
    </xf>
    <xf numFmtId="166" fontId="20" fillId="0" borderId="0" xfId="0" applyNumberFormat="1" applyFont="1" applyAlignment="1">
      <alignment horizontal="left" vertical="center"/>
    </xf>
    <xf numFmtId="166" fontId="20" fillId="0" borderId="7" xfId="0" applyNumberFormat="1" applyFont="1" applyBorder="1" applyAlignment="1">
      <alignment horizontal="left" vertical="center"/>
    </xf>
    <xf numFmtId="172" fontId="20" fillId="0" borderId="0" xfId="0" applyNumberFormat="1" applyFont="1" applyAlignment="1">
      <alignment horizontal="left" vertical="center"/>
    </xf>
    <xf numFmtId="172" fontId="20" fillId="0" borderId="0" xfId="0" applyNumberFormat="1" applyFont="1" applyBorder="1" applyAlignment="1">
      <alignment horizontal="left" vertical="center"/>
    </xf>
    <xf numFmtId="172" fontId="20" fillId="0" borderId="7" xfId="0" applyNumberFormat="1" applyFont="1" applyBorder="1" applyAlignment="1">
      <alignment horizontal="left" vertical="center"/>
    </xf>
    <xf numFmtId="0" fontId="24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>
      <alignment horizontal="left" vertical="center"/>
    </xf>
    <xf numFmtId="0" fontId="20" fillId="9" borderId="0" xfId="0" applyFont="1" applyFill="1" applyAlignment="1">
      <alignment horizontal="left" vertical="center"/>
    </xf>
    <xf numFmtId="0" fontId="21" fillId="9" borderId="0" xfId="0" applyFont="1" applyFill="1" applyAlignment="1">
      <alignment horizontal="left" vertical="center"/>
    </xf>
    <xf numFmtId="173" fontId="20" fillId="0" borderId="0" xfId="0" applyNumberFormat="1" applyFont="1" applyAlignment="1">
      <alignment horizontal="left" vertical="center"/>
    </xf>
    <xf numFmtId="173" fontId="20" fillId="0" borderId="0" xfId="0" applyNumberFormat="1" applyFont="1" applyBorder="1" applyAlignment="1">
      <alignment horizontal="left" vertical="center"/>
    </xf>
    <xf numFmtId="173" fontId="20" fillId="0" borderId="7" xfId="0" applyNumberFormat="1" applyFont="1" applyBorder="1" applyAlignment="1">
      <alignment horizontal="left" vertical="center"/>
    </xf>
    <xf numFmtId="164" fontId="20" fillId="0" borderId="0" xfId="0" applyNumberFormat="1" applyFont="1" applyAlignment="1">
      <alignment horizontal="left" vertical="center"/>
    </xf>
    <xf numFmtId="164" fontId="20" fillId="0" borderId="7" xfId="0" applyNumberFormat="1" applyFont="1" applyBorder="1" applyAlignment="1">
      <alignment horizontal="left" vertical="center"/>
    </xf>
    <xf numFmtId="164" fontId="20" fillId="0" borderId="2" xfId="0" applyNumberFormat="1" applyFont="1" applyBorder="1" applyAlignment="1">
      <alignment horizontal="left" vertical="center"/>
    </xf>
    <xf numFmtId="164" fontId="20" fillId="0" borderId="0" xfId="0" applyNumberFormat="1" applyFont="1" applyBorder="1" applyAlignment="1">
      <alignment horizontal="left" vertical="center"/>
    </xf>
    <xf numFmtId="165" fontId="44" fillId="0" borderId="7" xfId="0" applyNumberFormat="1" applyFont="1" applyBorder="1" applyAlignment="1">
      <alignment horizontal="left" vertical="center"/>
    </xf>
    <xf numFmtId="165" fontId="44" fillId="0" borderId="2" xfId="0" applyNumberFormat="1" applyFont="1" applyBorder="1" applyAlignment="1">
      <alignment horizontal="left" vertical="center"/>
    </xf>
    <xf numFmtId="165" fontId="44" fillId="0" borderId="0" xfId="0" applyNumberFormat="1" applyFont="1" applyBorder="1" applyAlignment="1">
      <alignment horizontal="left" vertical="center"/>
    </xf>
    <xf numFmtId="10" fontId="20" fillId="0" borderId="0" xfId="1" applyNumberFormat="1" applyFont="1" applyAlignment="1">
      <alignment horizontal="left" vertical="center"/>
    </xf>
    <xf numFmtId="167" fontId="20" fillId="0" borderId="2" xfId="1" applyNumberFormat="1" applyFont="1" applyBorder="1" applyAlignment="1">
      <alignment horizontal="left" vertical="center"/>
    </xf>
    <xf numFmtId="173" fontId="20" fillId="9" borderId="0" xfId="0" applyNumberFormat="1" applyFont="1" applyFill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165" fontId="21" fillId="0" borderId="0" xfId="0" applyNumberFormat="1" applyFont="1" applyAlignment="1">
      <alignment horizontal="left" vertical="center"/>
    </xf>
    <xf numFmtId="2" fontId="20" fillId="0" borderId="0" xfId="0" applyNumberFormat="1" applyFont="1" applyAlignment="1">
      <alignment horizontal="left" vertical="center"/>
    </xf>
    <xf numFmtId="0" fontId="20" fillId="3" borderId="0" xfId="0" applyFont="1" applyFill="1" applyAlignment="1">
      <alignment horizontal="left" vertical="center"/>
    </xf>
    <xf numFmtId="173" fontId="20" fillId="3" borderId="0" xfId="0" applyNumberFormat="1" applyFont="1" applyFill="1" applyAlignment="1">
      <alignment horizontal="left" vertical="center"/>
    </xf>
    <xf numFmtId="2" fontId="20" fillId="0" borderId="7" xfId="0" applyNumberFormat="1" applyFont="1" applyBorder="1" applyAlignment="1">
      <alignment horizontal="left" vertical="center"/>
    </xf>
    <xf numFmtId="1" fontId="20" fillId="0" borderId="0" xfId="0" applyNumberFormat="1" applyFont="1" applyAlignment="1">
      <alignment horizontal="left" vertical="center"/>
    </xf>
    <xf numFmtId="1" fontId="20" fillId="0" borderId="0" xfId="0" applyNumberFormat="1" applyFont="1" applyBorder="1" applyAlignment="1">
      <alignment horizontal="left" vertical="center"/>
    </xf>
    <xf numFmtId="1" fontId="20" fillId="0" borderId="7" xfId="0" applyNumberFormat="1" applyFont="1" applyBorder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4" fillId="0" borderId="0" xfId="0" applyFont="1" applyBorder="1" applyAlignment="1" applyProtection="1">
      <alignment vertical="center"/>
      <protection locked="0"/>
    </xf>
    <xf numFmtId="0" fontId="21" fillId="0" borderId="7" xfId="0" applyFont="1" applyBorder="1" applyAlignment="1" applyProtection="1">
      <alignment horizontal="left" vertical="center"/>
      <protection locked="0"/>
    </xf>
    <xf numFmtId="165" fontId="20" fillId="0" borderId="7" xfId="0" applyNumberFormat="1" applyFont="1" applyBorder="1" applyAlignment="1" applyProtection="1">
      <alignment horizontal="left" vertical="center"/>
      <protection locked="0"/>
    </xf>
    <xf numFmtId="166" fontId="20" fillId="0" borderId="0" xfId="0" applyNumberFormat="1" applyFont="1" applyAlignment="1" applyProtection="1">
      <alignment horizontal="left" vertical="center"/>
      <protection locked="0"/>
    </xf>
    <xf numFmtId="165" fontId="21" fillId="0" borderId="0" xfId="0" applyNumberFormat="1" applyFont="1" applyAlignment="1" applyProtection="1">
      <alignment horizontal="left" vertical="center"/>
      <protection locked="0"/>
    </xf>
    <xf numFmtId="165" fontId="20" fillId="0" borderId="0" xfId="0" applyNumberFormat="1" applyFont="1" applyBorder="1" applyAlignment="1" applyProtection="1">
      <alignment horizontal="left" vertical="center"/>
      <protection locked="0"/>
    </xf>
    <xf numFmtId="0" fontId="50" fillId="0" borderId="0" xfId="0" applyFont="1" applyAlignment="1" applyProtection="1">
      <alignment horizontal="left" vertical="center"/>
      <protection locked="0"/>
    </xf>
    <xf numFmtId="165" fontId="23" fillId="8" borderId="0" xfId="0" applyNumberFormat="1" applyFont="1" applyFill="1" applyAlignment="1">
      <alignment horizontal="left" vertical="center"/>
    </xf>
    <xf numFmtId="165" fontId="23" fillId="0" borderId="0" xfId="0" applyNumberFormat="1" applyFont="1" applyFill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65" fontId="39" fillId="7" borderId="7" xfId="0" applyNumberFormat="1" applyFont="1" applyFill="1" applyBorder="1" applyAlignment="1" applyProtection="1">
      <alignment horizontal="left" vertical="center"/>
      <protection locked="0"/>
    </xf>
    <xf numFmtId="165" fontId="23" fillId="0" borderId="7" xfId="0" applyNumberFormat="1" applyFont="1" applyFill="1" applyBorder="1" applyAlignment="1" applyProtection="1">
      <alignment horizontal="left" vertical="center"/>
      <protection locked="0"/>
    </xf>
    <xf numFmtId="165" fontId="24" fillId="0" borderId="7" xfId="0" applyNumberFormat="1" applyFont="1" applyFill="1" applyBorder="1" applyAlignment="1" applyProtection="1">
      <alignment horizontal="left" vertical="center"/>
      <protection locked="0"/>
    </xf>
    <xf numFmtId="165" fontId="24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2" fontId="20" fillId="0" borderId="2" xfId="0" applyNumberFormat="1" applyFont="1" applyBorder="1" applyAlignment="1">
      <alignment horizontal="left" vertical="center"/>
    </xf>
    <xf numFmtId="2" fontId="44" fillId="0" borderId="2" xfId="0" applyNumberFormat="1" applyFont="1" applyBorder="1" applyAlignment="1">
      <alignment horizontal="left" vertical="center"/>
    </xf>
    <xf numFmtId="2" fontId="44" fillId="0" borderId="0" xfId="0" applyNumberFormat="1" applyFont="1" applyBorder="1" applyAlignment="1">
      <alignment horizontal="left" vertical="center"/>
    </xf>
    <xf numFmtId="2" fontId="44" fillId="0" borderId="7" xfId="0" applyNumberFormat="1" applyFont="1" applyBorder="1" applyAlignment="1">
      <alignment horizontal="left" vertical="center"/>
    </xf>
    <xf numFmtId="173" fontId="21" fillId="0" borderId="7" xfId="0" applyNumberFormat="1" applyFont="1" applyBorder="1" applyAlignment="1">
      <alignment horizontal="left" vertical="center"/>
    </xf>
    <xf numFmtId="173" fontId="20" fillId="0" borderId="2" xfId="0" applyNumberFormat="1" applyFont="1" applyBorder="1" applyAlignment="1">
      <alignment horizontal="left" vertical="center"/>
    </xf>
    <xf numFmtId="166" fontId="20" fillId="0" borderId="0" xfId="0" applyNumberFormat="1" applyFont="1" applyBorder="1" applyAlignment="1">
      <alignment horizontal="left" vertical="center"/>
    </xf>
    <xf numFmtId="167" fontId="29" fillId="0" borderId="0" xfId="1" applyNumberFormat="1" applyFont="1" applyBorder="1" applyAlignment="1">
      <alignment horizontal="left" vertical="center"/>
    </xf>
    <xf numFmtId="165" fontId="29" fillId="0" borderId="0" xfId="0" applyNumberFormat="1" applyFont="1" applyBorder="1" applyAlignment="1">
      <alignment horizontal="left" vertical="center"/>
    </xf>
    <xf numFmtId="10" fontId="20" fillId="0" borderId="0" xfId="1" applyNumberFormat="1" applyFont="1" applyBorder="1" applyAlignment="1">
      <alignment horizontal="left" vertical="center"/>
    </xf>
    <xf numFmtId="167" fontId="29" fillId="0" borderId="7" xfId="1" applyNumberFormat="1" applyFont="1" applyBorder="1" applyAlignment="1">
      <alignment horizontal="left" vertical="center"/>
    </xf>
    <xf numFmtId="10" fontId="20" fillId="0" borderId="7" xfId="1" applyNumberFormat="1" applyFont="1" applyBorder="1" applyAlignment="1">
      <alignment horizontal="left" vertical="center"/>
    </xf>
    <xf numFmtId="9" fontId="20" fillId="0" borderId="7" xfId="1" applyNumberFormat="1" applyFont="1" applyBorder="1" applyAlignment="1">
      <alignment horizontal="left" vertical="center"/>
    </xf>
    <xf numFmtId="167" fontId="20" fillId="0" borderId="0" xfId="1" applyNumberFormat="1" applyFont="1" applyAlignment="1">
      <alignment horizontal="left" vertical="center"/>
    </xf>
    <xf numFmtId="172" fontId="20" fillId="0" borderId="2" xfId="0" applyNumberFormat="1" applyFont="1" applyBorder="1" applyAlignment="1">
      <alignment horizontal="left" vertical="center"/>
    </xf>
    <xf numFmtId="167" fontId="20" fillId="0" borderId="0" xfId="1" applyNumberFormat="1" applyFont="1" applyBorder="1" applyAlignment="1">
      <alignment horizontal="left" vertical="center"/>
    </xf>
    <xf numFmtId="164" fontId="21" fillId="0" borderId="0" xfId="0" applyNumberFormat="1" applyFont="1" applyAlignment="1">
      <alignment horizontal="left" vertical="center"/>
    </xf>
    <xf numFmtId="167" fontId="20" fillId="0" borderId="7" xfId="1" applyNumberFormat="1" applyFont="1" applyBorder="1" applyAlignment="1">
      <alignment horizontal="left" vertical="center"/>
    </xf>
    <xf numFmtId="0" fontId="53" fillId="0" borderId="0" xfId="0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" fontId="20" fillId="0" borderId="5" xfId="0" applyNumberFormat="1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1" fontId="20" fillId="0" borderId="8" xfId="0" applyNumberFormat="1" applyFont="1" applyBorder="1" applyAlignment="1">
      <alignment horizontal="left" vertical="center"/>
    </xf>
    <xf numFmtId="175" fontId="20" fillId="0" borderId="7" xfId="1" applyNumberFormat="1" applyFont="1" applyBorder="1" applyAlignment="1">
      <alignment horizontal="left" vertical="center"/>
    </xf>
    <xf numFmtId="10" fontId="20" fillId="0" borderId="8" xfId="1" applyNumberFormat="1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51" fillId="0" borderId="4" xfId="0" applyFont="1" applyBorder="1" applyAlignment="1">
      <alignment horizontal="left" vertical="center"/>
    </xf>
    <xf numFmtId="0" fontId="50" fillId="0" borderId="0" xfId="0" applyFont="1" applyBorder="1" applyAlignment="1">
      <alignment horizontal="left" vertical="center"/>
    </xf>
    <xf numFmtId="2" fontId="50" fillId="0" borderId="5" xfId="0" applyNumberFormat="1" applyFont="1" applyBorder="1" applyAlignment="1">
      <alignment horizontal="left" vertical="center"/>
    </xf>
    <xf numFmtId="165" fontId="20" fillId="0" borderId="11" xfId="0" applyNumberFormat="1" applyFont="1" applyBorder="1" applyAlignment="1">
      <alignment horizontal="left" vertical="center"/>
    </xf>
    <xf numFmtId="1" fontId="20" fillId="0" borderId="10" xfId="0" applyNumberFormat="1" applyFont="1" applyBorder="1" applyAlignment="1">
      <alignment horizontal="left" vertical="center"/>
    </xf>
    <xf numFmtId="2" fontId="20" fillId="0" borderId="3" xfId="0" applyNumberFormat="1" applyFont="1" applyBorder="1" applyAlignment="1">
      <alignment horizontal="left" vertical="center"/>
    </xf>
    <xf numFmtId="165" fontId="21" fillId="0" borderId="3" xfId="0" applyNumberFormat="1" applyFont="1" applyBorder="1" applyAlignment="1">
      <alignment horizontal="left" vertical="center"/>
    </xf>
    <xf numFmtId="10" fontId="20" fillId="0" borderId="0" xfId="0" applyNumberFormat="1" applyFont="1" applyAlignment="1">
      <alignment horizontal="left" vertical="center"/>
    </xf>
    <xf numFmtId="166" fontId="20" fillId="0" borderId="2" xfId="0" applyNumberFormat="1" applyFont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>
      <alignment horizontal="left" vertical="center"/>
    </xf>
    <xf numFmtId="10" fontId="21" fillId="0" borderId="0" xfId="1" applyNumberFormat="1" applyFont="1" applyBorder="1" applyAlignment="1">
      <alignment horizontal="left"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165" fontId="21" fillId="0" borderId="0" xfId="0" applyNumberFormat="1" applyFont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10" fontId="20" fillId="0" borderId="7" xfId="0" applyNumberFormat="1" applyFont="1" applyBorder="1" applyAlignment="1">
      <alignment horizontal="left" vertical="center"/>
    </xf>
    <xf numFmtId="14" fontId="20" fillId="0" borderId="0" xfId="0" applyNumberFormat="1" applyFont="1" applyAlignment="1">
      <alignment horizontal="left" vertical="center"/>
    </xf>
    <xf numFmtId="14" fontId="20" fillId="0" borderId="7" xfId="0" applyNumberFormat="1" applyFont="1" applyBorder="1" applyAlignment="1">
      <alignment horizontal="left" vertical="center"/>
    </xf>
    <xf numFmtId="0" fontId="20" fillId="0" borderId="0" xfId="0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3" fillId="8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14" fontId="20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4" fillId="9" borderId="0" xfId="0" applyFont="1" applyFill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8" borderId="2" xfId="0" applyFont="1" applyFill="1" applyBorder="1" applyAlignment="1">
      <alignment horizontal="left" vertical="center"/>
    </xf>
    <xf numFmtId="0" fontId="23" fillId="8" borderId="7" xfId="0" applyFont="1" applyFill="1" applyBorder="1" applyAlignment="1">
      <alignment horizontal="left" vertical="center"/>
    </xf>
    <xf numFmtId="14" fontId="21" fillId="0" borderId="2" xfId="0" applyNumberFormat="1" applyFont="1" applyBorder="1" applyAlignment="1">
      <alignment horizontal="left" vertical="center"/>
    </xf>
    <xf numFmtId="166" fontId="20" fillId="0" borderId="2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6" fillId="9" borderId="0" xfId="0" applyFont="1" applyFill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6" fillId="0" borderId="7" xfId="0" applyFont="1" applyBorder="1" applyAlignment="1">
      <alignment horizontal="left" vertical="center"/>
    </xf>
    <xf numFmtId="0" fontId="57" fillId="0" borderId="0" xfId="0" applyFont="1" applyAlignment="1">
      <alignment horizontal="left" vertical="center"/>
    </xf>
    <xf numFmtId="0" fontId="57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7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" fontId="20" fillId="0" borderId="2" xfId="0" applyNumberFormat="1" applyFont="1" applyBorder="1" applyAlignment="1">
      <alignment horizontal="left" vertical="center"/>
    </xf>
    <xf numFmtId="167" fontId="21" fillId="0" borderId="0" xfId="1" applyNumberFormat="1" applyFont="1" applyAlignment="1">
      <alignment horizontal="left" vertical="center"/>
    </xf>
    <xf numFmtId="167" fontId="21" fillId="0" borderId="7" xfId="1" applyNumberFormat="1" applyFont="1" applyBorder="1" applyAlignment="1">
      <alignment horizontal="left" vertical="center"/>
    </xf>
    <xf numFmtId="167" fontId="29" fillId="0" borderId="0" xfId="1" applyNumberFormat="1" applyFont="1" applyAlignment="1">
      <alignment horizontal="left" vertical="center"/>
    </xf>
    <xf numFmtId="167" fontId="28" fillId="0" borderId="7" xfId="1" applyNumberFormat="1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4" fontId="20" fillId="0" borderId="0" xfId="0" applyNumberFormat="1" applyFont="1" applyFill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165" fontId="20" fillId="0" borderId="0" xfId="0" applyNumberFormat="1" applyFont="1" applyFill="1" applyAlignment="1">
      <alignment horizontal="left" vertical="center"/>
    </xf>
    <xf numFmtId="10" fontId="20" fillId="0" borderId="0" xfId="1" applyNumberFormat="1" applyFont="1" applyFill="1" applyAlignment="1">
      <alignment horizontal="left" vertical="center"/>
    </xf>
    <xf numFmtId="165" fontId="20" fillId="0" borderId="7" xfId="0" applyNumberFormat="1" applyFont="1" applyFill="1" applyBorder="1" applyAlignment="1">
      <alignment horizontal="left" vertical="center"/>
    </xf>
    <xf numFmtId="166" fontId="20" fillId="0" borderId="0" xfId="0" applyNumberFormat="1" applyFont="1" applyFill="1" applyAlignment="1">
      <alignment horizontal="left" vertical="center"/>
    </xf>
    <xf numFmtId="166" fontId="20" fillId="0" borderId="7" xfId="0" applyNumberFormat="1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8" fillId="0" borderId="11" xfId="0" applyFont="1" applyBorder="1" applyAlignment="1">
      <alignment horizontal="left" vertical="center"/>
    </xf>
    <xf numFmtId="10" fontId="29" fillId="0" borderId="11" xfId="1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65" fontId="21" fillId="0" borderId="0" xfId="0" applyNumberFormat="1" applyFont="1" applyFill="1" applyAlignment="1">
      <alignment horizontal="left" vertical="center"/>
    </xf>
    <xf numFmtId="165" fontId="21" fillId="0" borderId="7" xfId="0" applyNumberFormat="1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6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175" fontId="20" fillId="0" borderId="0" xfId="1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56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14" fontId="24" fillId="0" borderId="0" xfId="0" applyNumberFormat="1" applyFont="1" applyFill="1" applyBorder="1" applyAlignment="1">
      <alignment horizontal="left" vertical="center"/>
    </xf>
    <xf numFmtId="165" fontId="24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7" xfId="0" applyNumberFormat="1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60" fillId="0" borderId="0" xfId="0" applyFont="1" applyBorder="1" applyAlignment="1">
      <alignment horizontal="left" vertical="center"/>
    </xf>
    <xf numFmtId="164" fontId="21" fillId="0" borderId="0" xfId="0" applyNumberFormat="1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172" fontId="24" fillId="0" borderId="0" xfId="0" applyNumberFormat="1" applyFont="1" applyBorder="1" applyAlignment="1">
      <alignment horizontal="left" vertical="center"/>
    </xf>
    <xf numFmtId="172" fontId="24" fillId="0" borderId="7" xfId="0" applyNumberFormat="1" applyFont="1" applyBorder="1" applyAlignment="1">
      <alignment horizontal="left" vertical="center"/>
    </xf>
    <xf numFmtId="0" fontId="0" fillId="0" borderId="0" xfId="0" applyFill="1" applyBorder="1" applyAlignment="1"/>
    <xf numFmtId="0" fontId="0" fillId="0" borderId="35" xfId="0" applyFill="1" applyBorder="1" applyAlignment="1"/>
    <xf numFmtId="0" fontId="61" fillId="0" borderId="37" xfId="0" applyFont="1" applyFill="1" applyBorder="1" applyAlignment="1">
      <alignment horizontal="center"/>
    </xf>
    <xf numFmtId="0" fontId="0" fillId="0" borderId="0" xfId="0" applyAlignment="1"/>
    <xf numFmtId="165" fontId="24" fillId="0" borderId="0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4" fillId="0" borderId="0" xfId="0" applyNumberFormat="1" applyFont="1" applyBorder="1" applyAlignment="1">
      <alignment horizontal="left" vertical="center" wrapText="1"/>
    </xf>
    <xf numFmtId="164" fontId="24" fillId="0" borderId="0" xfId="0" applyNumberFormat="1" applyFont="1" applyBorder="1" applyAlignment="1">
      <alignment horizontal="left" vertical="center" wrapText="1"/>
    </xf>
    <xf numFmtId="0" fontId="61" fillId="0" borderId="37" xfId="0" applyFont="1" applyFill="1" applyBorder="1" applyAlignment="1">
      <alignment horizontal="center" wrapText="1"/>
    </xf>
    <xf numFmtId="165" fontId="24" fillId="0" borderId="0" xfId="0" applyNumberFormat="1" applyFont="1" applyBorder="1" applyAlignment="1">
      <alignment vertical="center" wrapText="1"/>
    </xf>
    <xf numFmtId="10" fontId="21" fillId="0" borderId="0" xfId="1" applyNumberFormat="1" applyFont="1" applyAlignment="1">
      <alignment horizontal="left" vertical="center"/>
    </xf>
    <xf numFmtId="0" fontId="5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164" fontId="26" fillId="0" borderId="2" xfId="0" applyNumberFormat="1" applyFont="1" applyBorder="1" applyAlignment="1">
      <alignment horizontal="left" vertical="center"/>
    </xf>
    <xf numFmtId="2" fontId="20" fillId="0" borderId="0" xfId="1" applyNumberFormat="1" applyFont="1" applyAlignment="1">
      <alignment horizontal="left" vertic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Alignment="1">
      <alignment horizontal="left" vertical="center"/>
    </xf>
    <xf numFmtId="1" fontId="20" fillId="0" borderId="0" xfId="1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11" fontId="24" fillId="0" borderId="0" xfId="0" applyNumberFormat="1" applyFont="1" applyAlignment="1">
      <alignment horizontal="left" vertical="center"/>
    </xf>
    <xf numFmtId="175" fontId="26" fillId="0" borderId="0" xfId="1" applyNumberFormat="1" applyFont="1" applyAlignment="1">
      <alignment horizontal="left" vertical="center"/>
    </xf>
    <xf numFmtId="175" fontId="21" fillId="0" borderId="0" xfId="1" applyNumberFormat="1" applyFont="1" applyAlignment="1">
      <alignment horizontal="left" vertical="center"/>
    </xf>
    <xf numFmtId="10" fontId="21" fillId="0" borderId="0" xfId="1" applyNumberFormat="1" applyFont="1" applyFill="1" applyAlignment="1">
      <alignment horizontal="left" vertical="center"/>
    </xf>
    <xf numFmtId="164" fontId="24" fillId="0" borderId="0" xfId="0" applyNumberFormat="1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72" fontId="24" fillId="0" borderId="0" xfId="0" applyNumberFormat="1" applyFont="1" applyFill="1" applyBorder="1" applyAlignment="1">
      <alignment horizontal="left" vertical="center"/>
    </xf>
    <xf numFmtId="175" fontId="24" fillId="0" borderId="0" xfId="1" applyNumberFormat="1" applyFont="1" applyFill="1" applyBorder="1" applyAlignment="1">
      <alignment horizontal="left" vertical="center"/>
    </xf>
    <xf numFmtId="165" fontId="26" fillId="0" borderId="0" xfId="0" applyNumberFormat="1" applyFont="1" applyFill="1" applyBorder="1" applyAlignment="1">
      <alignment horizontal="left" vertical="center"/>
    </xf>
    <xf numFmtId="165" fontId="24" fillId="0" borderId="7" xfId="0" applyNumberFormat="1" applyFont="1" applyFill="1" applyBorder="1" applyAlignment="1">
      <alignment horizontal="left" vertical="center"/>
    </xf>
    <xf numFmtId="172" fontId="24" fillId="0" borderId="7" xfId="0" applyNumberFormat="1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6" fillId="0" borderId="7" xfId="0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left" vertical="center"/>
    </xf>
    <xf numFmtId="166" fontId="21" fillId="0" borderId="0" xfId="0" applyNumberFormat="1" applyFont="1" applyAlignment="1">
      <alignment horizontal="left" vertical="center"/>
    </xf>
    <xf numFmtId="1" fontId="21" fillId="0" borderId="0" xfId="0" applyNumberFormat="1" applyFont="1" applyAlignment="1">
      <alignment horizontal="left" vertical="center"/>
    </xf>
    <xf numFmtId="172" fontId="24" fillId="0" borderId="0" xfId="0" applyNumberFormat="1" applyFont="1" applyFill="1" applyBorder="1" applyAlignment="1" applyProtection="1">
      <alignment horizontal="left" vertical="center"/>
      <protection locked="0"/>
    </xf>
    <xf numFmtId="172" fontId="24" fillId="0" borderId="7" xfId="0" applyNumberFormat="1" applyFont="1" applyFill="1" applyBorder="1" applyAlignment="1" applyProtection="1">
      <alignment horizontal="left" vertical="center"/>
      <protection locked="0"/>
    </xf>
    <xf numFmtId="166" fontId="39" fillId="7" borderId="7" xfId="0" applyNumberFormat="1" applyFont="1" applyFill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vertical="center"/>
      <protection locked="0"/>
    </xf>
    <xf numFmtId="0" fontId="26" fillId="0" borderId="7" xfId="0" applyFont="1" applyBorder="1" applyAlignment="1" applyProtection="1">
      <alignment vertical="center"/>
      <protection locked="0"/>
    </xf>
    <xf numFmtId="165" fontId="26" fillId="0" borderId="0" xfId="0" applyNumberFormat="1" applyFont="1" applyAlignment="1" applyProtection="1">
      <alignment horizontal="left" vertical="center"/>
      <protection locked="0"/>
    </xf>
    <xf numFmtId="165" fontId="26" fillId="0" borderId="0" xfId="0" applyNumberFormat="1" applyFont="1" applyBorder="1" applyAlignment="1" applyProtection="1">
      <alignment horizontal="left" vertical="center"/>
      <protection locked="0"/>
    </xf>
    <xf numFmtId="165" fontId="26" fillId="0" borderId="7" xfId="0" applyNumberFormat="1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4" fillId="0" borderId="0" xfId="1" applyFont="1" applyAlignment="1" applyProtection="1">
      <alignment horizontal="left" vertical="center"/>
      <protection locked="0"/>
    </xf>
    <xf numFmtId="9" fontId="24" fillId="0" borderId="0" xfId="1" applyFont="1" applyBorder="1" applyAlignment="1" applyProtection="1">
      <alignment horizontal="left" vertical="center"/>
      <protection locked="0"/>
    </xf>
    <xf numFmtId="9" fontId="24" fillId="0" borderId="7" xfId="1" applyFont="1" applyBorder="1" applyAlignment="1" applyProtection="1">
      <alignment horizontal="left" vertical="center"/>
      <protection locked="0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73" fontId="20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7" xfId="0" applyFont="1" applyBorder="1" applyAlignment="1" applyProtection="1">
      <alignment horizontal="left" vertical="center"/>
      <protection locked="0"/>
    </xf>
    <xf numFmtId="165" fontId="44" fillId="0" borderId="0" xfId="0" applyNumberFormat="1" applyFont="1" applyFill="1" applyBorder="1" applyAlignment="1">
      <alignment horizontal="left" vertical="center"/>
    </xf>
    <xf numFmtId="164" fontId="44" fillId="0" borderId="0" xfId="0" applyNumberFormat="1" applyFont="1" applyFill="1" applyBorder="1" applyAlignment="1">
      <alignment horizontal="left" vertical="center"/>
    </xf>
    <xf numFmtId="166" fontId="26" fillId="0" borderId="0" xfId="0" applyNumberFormat="1" applyFont="1" applyFill="1" applyBorder="1" applyAlignment="1">
      <alignment horizontal="left" vertical="center"/>
    </xf>
    <xf numFmtId="167" fontId="23" fillId="0" borderId="0" xfId="1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36" fillId="0" borderId="0" xfId="0" applyFont="1" applyFill="1" applyBorder="1" applyAlignment="1">
      <alignment vertical="center"/>
    </xf>
    <xf numFmtId="0" fontId="36" fillId="4" borderId="0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right" vertical="center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165" fontId="24" fillId="0" borderId="2" xfId="0" applyNumberFormat="1" applyFont="1" applyBorder="1" applyAlignment="1" applyProtection="1">
      <alignment horizontal="left" vertical="center"/>
      <protection locked="0"/>
    </xf>
    <xf numFmtId="0" fontId="24" fillId="0" borderId="11" xfId="0" applyFont="1" applyBorder="1" applyAlignment="1" applyProtection="1">
      <alignment horizontal="left" vertical="center"/>
      <protection locked="0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66" fillId="0" borderId="0" xfId="0" applyFont="1" applyFill="1" applyBorder="1" applyAlignment="1"/>
    <xf numFmtId="0" fontId="66" fillId="0" borderId="35" xfId="0" applyFont="1" applyFill="1" applyBorder="1" applyAlignment="1"/>
    <xf numFmtId="0" fontId="66" fillId="0" borderId="0" xfId="0" applyFont="1"/>
    <xf numFmtId="2" fontId="20" fillId="0" borderId="11" xfId="0" applyNumberFormat="1" applyFont="1" applyBorder="1" applyAlignment="1">
      <alignment horizontal="left" vertical="center"/>
    </xf>
    <xf numFmtId="9" fontId="20" fillId="0" borderId="0" xfId="1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43" fontId="20" fillId="0" borderId="0" xfId="3" applyFont="1" applyAlignment="1">
      <alignment horizontal="left" vertical="center"/>
    </xf>
    <xf numFmtId="10" fontId="20" fillId="0" borderId="2" xfId="1" applyNumberFormat="1" applyFont="1" applyBorder="1" applyAlignment="1">
      <alignment horizontal="left" vertical="center"/>
    </xf>
    <xf numFmtId="0" fontId="26" fillId="0" borderId="7" xfId="0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21" fillId="0" borderId="0" xfId="0" applyFont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24" fillId="0" borderId="7" xfId="0" applyFont="1" applyBorder="1" applyAlignment="1" applyProtection="1">
      <alignment horizontal="left" vertical="center"/>
      <protection locked="0"/>
    </xf>
    <xf numFmtId="164" fontId="24" fillId="0" borderId="11" xfId="0" applyNumberFormat="1" applyFont="1" applyBorder="1" applyAlignment="1" applyProtection="1">
      <alignment horizontal="left" vertical="center"/>
      <protection locked="0"/>
    </xf>
    <xf numFmtId="1" fontId="39" fillId="7" borderId="7" xfId="0" applyNumberFormat="1" applyFont="1" applyFill="1" applyBorder="1" applyAlignment="1" applyProtection="1">
      <alignment horizontal="left" vertical="center"/>
      <protection locked="0"/>
    </xf>
    <xf numFmtId="165" fontId="20" fillId="9" borderId="0" xfId="0" applyNumberFormat="1" applyFont="1" applyFill="1" applyBorder="1" applyAlignment="1">
      <alignment horizontal="left" vertical="center"/>
    </xf>
    <xf numFmtId="165" fontId="21" fillId="9" borderId="0" xfId="0" applyNumberFormat="1" applyFont="1" applyFill="1" applyBorder="1" applyAlignment="1">
      <alignment horizontal="left" vertical="center"/>
    </xf>
    <xf numFmtId="172" fontId="24" fillId="0" borderId="11" xfId="0" applyNumberFormat="1" applyFont="1" applyBorder="1" applyAlignment="1" applyProtection="1">
      <alignment horizontal="left" vertical="center"/>
      <protection locked="0"/>
    </xf>
    <xf numFmtId="165" fontId="23" fillId="8" borderId="11" xfId="0" applyNumberFormat="1" applyFont="1" applyFill="1" applyBorder="1" applyAlignment="1" applyProtection="1">
      <alignment horizontal="left" vertical="center"/>
      <protection locked="0"/>
    </xf>
    <xf numFmtId="166" fontId="39" fillId="7" borderId="11" xfId="0" applyNumberFormat="1" applyFont="1" applyFill="1" applyBorder="1" applyAlignment="1" applyProtection="1">
      <alignment horizontal="left" vertical="center"/>
      <protection locked="0"/>
    </xf>
    <xf numFmtId="0" fontId="23" fillId="8" borderId="11" xfId="0" applyFont="1" applyFill="1" applyBorder="1" applyAlignment="1" applyProtection="1">
      <alignment horizontal="left" vertical="center"/>
      <protection locked="0"/>
    </xf>
    <xf numFmtId="2" fontId="24" fillId="0" borderId="11" xfId="0" applyNumberFormat="1" applyFont="1" applyBorder="1" applyAlignment="1" applyProtection="1">
      <alignment horizontal="left" vertical="center"/>
      <protection locked="0"/>
    </xf>
    <xf numFmtId="165" fontId="20" fillId="0" borderId="0" xfId="0" applyNumberFormat="1" applyFont="1" applyFill="1" applyBorder="1" applyAlignment="1">
      <alignment horizontal="left" vertical="center"/>
    </xf>
    <xf numFmtId="1" fontId="24" fillId="0" borderId="11" xfId="0" applyNumberFormat="1" applyFont="1" applyBorder="1" applyAlignment="1" applyProtection="1">
      <alignment horizontal="left" vertical="center"/>
      <protection locked="0"/>
    </xf>
    <xf numFmtId="172" fontId="39" fillId="7" borderId="11" xfId="0" applyNumberFormat="1" applyFont="1" applyFill="1" applyBorder="1" applyAlignment="1" applyProtection="1">
      <alignment horizontal="left" vertical="center"/>
      <protection locked="0"/>
    </xf>
    <xf numFmtId="14" fontId="23" fillId="8" borderId="2" xfId="0" applyNumberFormat="1" applyFont="1" applyFill="1" applyBorder="1" applyAlignment="1" applyProtection="1">
      <alignment horizontal="left" vertical="center"/>
      <protection locked="0"/>
    </xf>
    <xf numFmtId="169" fontId="23" fillId="8" borderId="7" xfId="0" applyNumberFormat="1" applyFont="1" applyFill="1" applyBorder="1" applyAlignment="1" applyProtection="1">
      <alignment horizontal="left" vertical="center"/>
      <protection locked="0"/>
    </xf>
    <xf numFmtId="14" fontId="23" fillId="8" borderId="7" xfId="0" applyNumberFormat="1" applyFont="1" applyFill="1" applyBorder="1" applyAlignment="1" applyProtection="1">
      <alignment horizontal="left" vertical="center"/>
      <protection locked="0"/>
    </xf>
    <xf numFmtId="165" fontId="20" fillId="7" borderId="7" xfId="0" applyNumberFormat="1" applyFont="1" applyFill="1" applyBorder="1" applyAlignment="1" applyProtection="1">
      <alignment horizontal="left" vertical="center"/>
      <protection locked="0"/>
    </xf>
    <xf numFmtId="166" fontId="24" fillId="0" borderId="2" xfId="0" applyNumberFormat="1" applyFont="1" applyBorder="1" applyAlignment="1" applyProtection="1">
      <alignment horizontal="left" vertical="center"/>
      <protection locked="0"/>
    </xf>
    <xf numFmtId="164" fontId="39" fillId="7" borderId="2" xfId="0" applyNumberFormat="1" applyFont="1" applyFill="1" applyBorder="1" applyAlignment="1" applyProtection="1">
      <alignment horizontal="left" vertical="center"/>
      <protection locked="0"/>
    </xf>
    <xf numFmtId="166" fontId="24" fillId="0" borderId="0" xfId="0" applyNumberFormat="1" applyFont="1" applyBorder="1" applyAlignment="1" applyProtection="1">
      <alignment horizontal="left" vertical="center"/>
      <protection locked="0"/>
    </xf>
    <xf numFmtId="166" fontId="24" fillId="0" borderId="7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10" fontId="24" fillId="0" borderId="2" xfId="1" applyNumberFormat="1" applyFont="1" applyBorder="1" applyAlignment="1" applyProtection="1">
      <alignment horizontal="left" vertical="center"/>
      <protection locked="0"/>
    </xf>
    <xf numFmtId="14" fontId="24" fillId="0" borderId="0" xfId="0" applyNumberFormat="1" applyFont="1" applyFill="1" applyBorder="1" applyAlignment="1" applyProtection="1">
      <alignment horizontal="left" vertical="center"/>
      <protection locked="0"/>
    </xf>
    <xf numFmtId="14" fontId="24" fillId="0" borderId="7" xfId="0" applyNumberFormat="1" applyFont="1" applyFill="1" applyBorder="1" applyAlignment="1" applyProtection="1">
      <alignment horizontal="left" vertical="center"/>
      <protection locked="0"/>
    </xf>
    <xf numFmtId="14" fontId="24" fillId="0" borderId="0" xfId="0" applyNumberFormat="1" applyFont="1" applyBorder="1" applyAlignment="1" applyProtection="1">
      <alignment horizontal="left" vertical="center"/>
      <protection locked="0"/>
    </xf>
    <xf numFmtId="14" fontId="24" fillId="0" borderId="7" xfId="0" applyNumberFormat="1" applyFont="1" applyBorder="1" applyAlignment="1" applyProtection="1">
      <alignment horizontal="left" vertical="center"/>
      <protection locked="0"/>
    </xf>
    <xf numFmtId="165" fontId="28" fillId="0" borderId="0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74" fontId="24" fillId="0" borderId="0" xfId="0" applyNumberFormat="1" applyFont="1" applyAlignment="1" applyProtection="1">
      <alignment vertical="center"/>
      <protection locked="0"/>
    </xf>
    <xf numFmtId="2" fontId="24" fillId="0" borderId="0" xfId="0" applyNumberFormat="1" applyFont="1" applyAlignment="1" applyProtection="1">
      <alignment vertical="center"/>
      <protection locked="0"/>
    </xf>
    <xf numFmtId="164" fontId="39" fillId="0" borderId="0" xfId="0" applyNumberFormat="1" applyFont="1" applyFill="1" applyBorder="1" applyAlignment="1" applyProtection="1">
      <alignment horizontal="left" vertical="center"/>
      <protection locked="0"/>
    </xf>
    <xf numFmtId="9" fontId="24" fillId="0" borderId="0" xfId="1" applyFont="1" applyFill="1" applyBorder="1" applyAlignment="1" applyProtection="1">
      <alignment horizontal="left" vertical="center"/>
      <protection locked="0"/>
    </xf>
    <xf numFmtId="14" fontId="23" fillId="0" borderId="7" xfId="0" applyNumberFormat="1" applyFont="1" applyFill="1" applyBorder="1" applyAlignment="1" applyProtection="1">
      <alignment horizontal="left" vertical="center"/>
      <protection locked="0"/>
    </xf>
    <xf numFmtId="165" fontId="21" fillId="0" borderId="7" xfId="0" applyNumberFormat="1" applyFont="1" applyBorder="1" applyAlignment="1">
      <alignment horizontal="left" vertical="center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14" fontId="20" fillId="0" borderId="2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9" fontId="24" fillId="0" borderId="2" xfId="1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24" fillId="0" borderId="0" xfId="0" applyFont="1" applyBorder="1" applyAlignment="1" applyProtection="1">
      <alignment horizontal="left" vertical="center"/>
      <protection locked="0"/>
    </xf>
    <xf numFmtId="0" fontId="24" fillId="0" borderId="7" xfId="0" applyFont="1" applyBorder="1" applyAlignment="1" applyProtection="1">
      <alignment horizontal="left" vertical="center"/>
      <protection locked="0"/>
    </xf>
    <xf numFmtId="0" fontId="26" fillId="0" borderId="7" xfId="0" applyFont="1" applyBorder="1" applyAlignment="1" applyProtection="1">
      <alignment horizontal="left" vertical="center"/>
      <protection locked="0"/>
    </xf>
    <xf numFmtId="0" fontId="24" fillId="0" borderId="2" xfId="0" applyFont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2" fontId="24" fillId="0" borderId="2" xfId="0" applyNumberFormat="1" applyFont="1" applyBorder="1" applyAlignment="1" applyProtection="1">
      <alignment horizontal="left" vertical="center"/>
      <protection locked="0"/>
    </xf>
    <xf numFmtId="2" fontId="24" fillId="0" borderId="0" xfId="0" applyNumberFormat="1" applyFont="1" applyBorder="1" applyAlignment="1" applyProtection="1">
      <alignment horizontal="left" vertical="center"/>
      <protection locked="0"/>
    </xf>
    <xf numFmtId="2" fontId="24" fillId="0" borderId="7" xfId="0" applyNumberFormat="1" applyFont="1" applyBorder="1" applyAlignment="1" applyProtection="1">
      <alignment horizontal="left" vertical="center"/>
      <protection locked="0"/>
    </xf>
    <xf numFmtId="165" fontId="39" fillId="7" borderId="2" xfId="0" applyNumberFormat="1" applyFont="1" applyFill="1" applyBorder="1" applyAlignment="1" applyProtection="1">
      <alignment horizontal="left" vertical="center"/>
      <protection locked="0"/>
    </xf>
    <xf numFmtId="0" fontId="20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64" fontId="20" fillId="0" borderId="0" xfId="0" applyNumberFormat="1" applyFont="1" applyFill="1" applyBorder="1" applyAlignment="1">
      <alignment horizontal="left" vertical="center"/>
    </xf>
    <xf numFmtId="166" fontId="20" fillId="0" borderId="0" xfId="0" applyNumberFormat="1" applyFont="1" applyFill="1" applyBorder="1" applyAlignment="1">
      <alignment horizontal="left" vertical="center"/>
    </xf>
    <xf numFmtId="172" fontId="20" fillId="0" borderId="0" xfId="0" applyNumberFormat="1" applyFont="1" applyFill="1" applyBorder="1" applyAlignment="1">
      <alignment horizontal="left" vertical="center"/>
    </xf>
    <xf numFmtId="172" fontId="20" fillId="0" borderId="7" xfId="0" applyNumberFormat="1" applyFont="1" applyFill="1" applyBorder="1" applyAlignment="1">
      <alignment horizontal="left" vertical="center"/>
    </xf>
    <xf numFmtId="14" fontId="23" fillId="8" borderId="11" xfId="0" applyNumberFormat="1" applyFont="1" applyFill="1" applyBorder="1" applyAlignment="1" applyProtection="1">
      <alignment horizontal="left" vertical="center"/>
      <protection locked="0"/>
    </xf>
    <xf numFmtId="0" fontId="20" fillId="10" borderId="1" xfId="0" applyFont="1" applyFill="1" applyBorder="1" applyAlignment="1">
      <alignment horizontal="left" vertical="center"/>
    </xf>
    <xf numFmtId="0" fontId="20" fillId="10" borderId="3" xfId="0" applyFont="1" applyFill="1" applyBorder="1" applyAlignment="1">
      <alignment horizontal="left" vertical="center"/>
    </xf>
    <xf numFmtId="0" fontId="20" fillId="10" borderId="6" xfId="0" applyFont="1" applyFill="1" applyBorder="1" applyAlignment="1">
      <alignment horizontal="left" vertical="center"/>
    </xf>
    <xf numFmtId="0" fontId="20" fillId="10" borderId="8" xfId="0" applyFont="1" applyFill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/>
    </xf>
    <xf numFmtId="0" fontId="20" fillId="5" borderId="3" xfId="0" applyFont="1" applyFill="1" applyBorder="1" applyAlignment="1">
      <alignment horizontal="left" vertical="center"/>
    </xf>
    <xf numFmtId="0" fontId="26" fillId="5" borderId="6" xfId="0" applyFont="1" applyFill="1" applyBorder="1" applyAlignment="1">
      <alignment horizontal="left" vertical="center"/>
    </xf>
    <xf numFmtId="0" fontId="26" fillId="5" borderId="8" xfId="0" applyFont="1" applyFill="1" applyBorder="1" applyAlignment="1">
      <alignment horizontal="left" vertical="center"/>
    </xf>
    <xf numFmtId="165" fontId="20" fillId="0" borderId="4" xfId="0" applyNumberFormat="1" applyFont="1" applyBorder="1" applyAlignment="1">
      <alignment horizontal="left" vertical="center"/>
    </xf>
    <xf numFmtId="165" fontId="20" fillId="0" borderId="6" xfId="0" applyNumberFormat="1" applyFont="1" applyBorder="1" applyAlignment="1">
      <alignment horizontal="left" vertical="center"/>
    </xf>
    <xf numFmtId="166" fontId="20" fillId="0" borderId="4" xfId="0" applyNumberFormat="1" applyFont="1" applyBorder="1" applyAlignment="1">
      <alignment horizontal="left" vertical="center"/>
    </xf>
    <xf numFmtId="166" fontId="20" fillId="0" borderId="6" xfId="0" applyNumberFormat="1" applyFont="1" applyBorder="1" applyAlignment="1">
      <alignment horizontal="left" vertical="center"/>
    </xf>
    <xf numFmtId="166" fontId="20" fillId="0" borderId="5" xfId="0" applyNumberFormat="1" applyFont="1" applyBorder="1" applyAlignment="1">
      <alignment horizontal="left" vertical="center"/>
    </xf>
    <xf numFmtId="165" fontId="20" fillId="0" borderId="5" xfId="0" applyNumberFormat="1" applyFont="1" applyBorder="1" applyAlignment="1">
      <alignment horizontal="left" vertical="center"/>
    </xf>
    <xf numFmtId="166" fontId="20" fillId="0" borderId="8" xfId="0" applyNumberFormat="1" applyFont="1" applyBorder="1" applyAlignment="1">
      <alignment horizontal="left" vertical="center"/>
    </xf>
    <xf numFmtId="10" fontId="26" fillId="0" borderId="0" xfId="0" applyNumberFormat="1" applyFont="1" applyAlignment="1">
      <alignment horizontal="left" vertical="center"/>
    </xf>
    <xf numFmtId="165" fontId="20" fillId="0" borderId="8" xfId="0" applyNumberFormat="1" applyFont="1" applyBorder="1" applyAlignment="1">
      <alignment horizontal="left" vertical="center"/>
    </xf>
    <xf numFmtId="164" fontId="20" fillId="0" borderId="7" xfId="0" applyNumberFormat="1" applyFont="1" applyFill="1" applyBorder="1" applyAlignment="1">
      <alignment horizontal="left" vertical="center"/>
    </xf>
    <xf numFmtId="0" fontId="21" fillId="3" borderId="0" xfId="0" applyFont="1" applyFill="1" applyAlignment="1">
      <alignment horizontal="left" vertical="center"/>
    </xf>
    <xf numFmtId="2" fontId="20" fillId="0" borderId="7" xfId="0" applyNumberFormat="1" applyFont="1" applyFill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165" fontId="20" fillId="0" borderId="1" xfId="0" applyNumberFormat="1" applyFont="1" applyBorder="1" applyAlignment="1">
      <alignment horizontal="left" vertical="center"/>
    </xf>
    <xf numFmtId="165" fontId="20" fillId="0" borderId="3" xfId="0" applyNumberFormat="1" applyFont="1" applyBorder="1" applyAlignment="1">
      <alignment horizontal="left" vertical="center"/>
    </xf>
    <xf numFmtId="10" fontId="20" fillId="0" borderId="0" xfId="1" applyNumberFormat="1" applyFont="1" applyFill="1" applyBorder="1" applyAlignment="1">
      <alignment horizontal="left" vertical="center"/>
    </xf>
    <xf numFmtId="165" fontId="21" fillId="9" borderId="0" xfId="0" applyNumberFormat="1" applyFont="1" applyFill="1" applyAlignment="1">
      <alignment horizontal="left" vertical="center"/>
    </xf>
    <xf numFmtId="173" fontId="21" fillId="9" borderId="0" xfId="0" applyNumberFormat="1" applyFont="1" applyFill="1" applyAlignment="1">
      <alignment horizontal="left" vertical="center"/>
    </xf>
    <xf numFmtId="164" fontId="20" fillId="0" borderId="11" xfId="0" applyNumberFormat="1" applyFont="1" applyBorder="1" applyAlignment="1">
      <alignment horizontal="left" vertical="center"/>
    </xf>
    <xf numFmtId="0" fontId="20" fillId="10" borderId="4" xfId="0" applyFont="1" applyFill="1" applyBorder="1" applyAlignment="1">
      <alignment horizontal="left" vertical="center"/>
    </xf>
    <xf numFmtId="0" fontId="20" fillId="10" borderId="5" xfId="0" applyFont="1" applyFill="1" applyBorder="1" applyAlignment="1">
      <alignment horizontal="left" vertical="center"/>
    </xf>
    <xf numFmtId="0" fontId="26" fillId="5" borderId="4" xfId="0" applyFont="1" applyFill="1" applyBorder="1" applyAlignment="1">
      <alignment horizontal="left" vertical="center"/>
    </xf>
    <xf numFmtId="0" fontId="26" fillId="5" borderId="5" xfId="0" applyFont="1" applyFill="1" applyBorder="1" applyAlignment="1">
      <alignment horizontal="left" vertical="center"/>
    </xf>
    <xf numFmtId="10" fontId="21" fillId="0" borderId="0" xfId="0" applyNumberFormat="1" applyFont="1" applyAlignment="1">
      <alignment horizontal="left" vertical="center"/>
    </xf>
    <xf numFmtId="10" fontId="20" fillId="0" borderId="7" xfId="1" applyNumberFormat="1" applyFont="1" applyFill="1" applyBorder="1" applyAlignment="1">
      <alignment horizontal="left" vertical="center"/>
    </xf>
    <xf numFmtId="10" fontId="26" fillId="0" borderId="0" xfId="0" applyNumberFormat="1" applyFont="1" applyFill="1" applyBorder="1" applyAlignment="1">
      <alignment horizontal="left" vertical="center"/>
    </xf>
    <xf numFmtId="175" fontId="26" fillId="0" borderId="0" xfId="0" applyNumberFormat="1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left" vertical="center"/>
    </xf>
    <xf numFmtId="0" fontId="68" fillId="0" borderId="0" xfId="0" applyFont="1"/>
    <xf numFmtId="165" fontId="13" fillId="0" borderId="11" xfId="0" applyNumberFormat="1" applyFont="1" applyBorder="1" applyAlignment="1">
      <alignment horizontal="left" vertical="center"/>
    </xf>
    <xf numFmtId="2" fontId="3" fillId="0" borderId="11" xfId="0" applyNumberFormat="1" applyFont="1" applyBorder="1" applyAlignment="1">
      <alignment horizontal="left" vertical="center"/>
    </xf>
    <xf numFmtId="2" fontId="13" fillId="0" borderId="11" xfId="0" applyNumberFormat="1" applyFont="1" applyBorder="1" applyAlignment="1">
      <alignment horizontal="left" vertical="center"/>
    </xf>
    <xf numFmtId="165" fontId="12" fillId="0" borderId="11" xfId="0" applyNumberFormat="1" applyFont="1" applyBorder="1" applyAlignment="1">
      <alignment horizontal="left" vertical="center"/>
    </xf>
    <xf numFmtId="165" fontId="20" fillId="0" borderId="11" xfId="0" applyNumberFormat="1" applyFont="1" applyBorder="1" applyAlignment="1" applyProtection="1">
      <alignment horizontal="left" vertical="center"/>
      <protection locked="0"/>
    </xf>
    <xf numFmtId="166" fontId="20" fillId="0" borderId="11" xfId="0" applyNumberFormat="1" applyFont="1" applyBorder="1" applyAlignment="1" applyProtection="1">
      <alignment horizontal="left" vertical="center"/>
      <protection locked="0"/>
    </xf>
    <xf numFmtId="166" fontId="20" fillId="0" borderId="11" xfId="1" applyNumberFormat="1" applyFont="1" applyBorder="1" applyAlignment="1">
      <alignment horizontal="left" vertical="center"/>
    </xf>
    <xf numFmtId="166" fontId="20" fillId="0" borderId="11" xfId="0" applyNumberFormat="1" applyFont="1" applyBorder="1" applyAlignment="1">
      <alignment horizontal="left" vertical="center"/>
    </xf>
    <xf numFmtId="170" fontId="23" fillId="8" borderId="0" xfId="0" applyNumberFormat="1" applyFont="1" applyFill="1" applyAlignment="1">
      <alignment horizontal="left" vertical="center"/>
    </xf>
    <xf numFmtId="164" fontId="23" fillId="8" borderId="0" xfId="0" applyNumberFormat="1" applyFont="1" applyFill="1" applyAlignment="1">
      <alignment horizontal="left" vertical="center"/>
    </xf>
    <xf numFmtId="170" fontId="23" fillId="8" borderId="7" xfId="0" applyNumberFormat="1" applyFont="1" applyFill="1" applyBorder="1" applyAlignment="1">
      <alignment horizontal="left" vertical="center"/>
    </xf>
    <xf numFmtId="164" fontId="23" fillId="8" borderId="7" xfId="0" applyNumberFormat="1" applyFont="1" applyFill="1" applyBorder="1" applyAlignment="1">
      <alignment horizontal="left" vertical="center"/>
    </xf>
    <xf numFmtId="2" fontId="23" fillId="8" borderId="11" xfId="0" applyNumberFormat="1" applyFont="1" applyFill="1" applyBorder="1" applyAlignment="1">
      <alignment horizontal="left" vertical="center"/>
    </xf>
    <xf numFmtId="164" fontId="23" fillId="8" borderId="11" xfId="0" applyNumberFormat="1" applyFont="1" applyFill="1" applyBorder="1" applyAlignment="1">
      <alignment horizontal="left" vertical="center"/>
    </xf>
    <xf numFmtId="170" fontId="20" fillId="0" borderId="0" xfId="0" applyNumberFormat="1" applyFont="1" applyAlignment="1">
      <alignment horizontal="left" vertical="center"/>
    </xf>
    <xf numFmtId="170" fontId="20" fillId="0" borderId="5" xfId="0" applyNumberFormat="1" applyFont="1" applyBorder="1" applyAlignment="1">
      <alignment horizontal="left" vertical="center"/>
    </xf>
    <xf numFmtId="164" fontId="20" fillId="0" borderId="8" xfId="0" applyNumberFormat="1" applyFont="1" applyBorder="1" applyAlignment="1">
      <alignment horizontal="left" vertical="center"/>
    </xf>
    <xf numFmtId="164" fontId="20" fillId="0" borderId="3" xfId="0" applyNumberFormat="1" applyFont="1" applyBorder="1" applyAlignment="1">
      <alignment horizontal="left" vertical="center"/>
    </xf>
    <xf numFmtId="11" fontId="20" fillId="0" borderId="8" xfId="0" applyNumberFormat="1" applyFont="1" applyBorder="1" applyAlignment="1">
      <alignment horizontal="left" vertical="center"/>
    </xf>
    <xf numFmtId="2" fontId="23" fillId="8" borderId="7" xfId="0" applyNumberFormat="1" applyFont="1" applyFill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177" fontId="20" fillId="0" borderId="2" xfId="0" applyNumberFormat="1" applyFont="1" applyBorder="1" applyAlignment="1">
      <alignment horizontal="left" vertical="center"/>
    </xf>
    <xf numFmtId="177" fontId="20" fillId="0" borderId="0" xfId="0" applyNumberFormat="1" applyFont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0" fontId="20" fillId="5" borderId="0" xfId="0" applyFont="1" applyFill="1" applyAlignment="1">
      <alignment horizontal="left" vertical="center"/>
    </xf>
    <xf numFmtId="0" fontId="21" fillId="7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left" vertical="center"/>
    </xf>
    <xf numFmtId="166" fontId="20" fillId="7" borderId="2" xfId="0" applyNumberFormat="1" applyFont="1" applyFill="1" applyBorder="1" applyAlignment="1">
      <alignment horizontal="left" vertical="center"/>
    </xf>
    <xf numFmtId="167" fontId="20" fillId="7" borderId="2" xfId="1" applyNumberFormat="1" applyFont="1" applyFill="1" applyBorder="1" applyAlignment="1">
      <alignment horizontal="left" vertical="center"/>
    </xf>
    <xf numFmtId="165" fontId="20" fillId="7" borderId="0" xfId="0" applyNumberFormat="1" applyFont="1" applyFill="1" applyAlignment="1">
      <alignment horizontal="left" vertical="center"/>
    </xf>
    <xf numFmtId="166" fontId="20" fillId="5" borderId="0" xfId="0" applyNumberFormat="1" applyFont="1" applyFill="1" applyAlignment="1">
      <alignment horizontal="left" vertical="center"/>
    </xf>
    <xf numFmtId="166" fontId="20" fillId="5" borderId="0" xfId="1" applyNumberFormat="1" applyFont="1" applyFill="1" applyAlignment="1">
      <alignment horizontal="left" vertical="center"/>
    </xf>
    <xf numFmtId="167" fontId="20" fillId="5" borderId="0" xfId="1" applyNumberFormat="1" applyFont="1" applyFill="1" applyAlignment="1">
      <alignment horizontal="left" vertical="center"/>
    </xf>
    <xf numFmtId="166" fontId="20" fillId="7" borderId="0" xfId="0" applyNumberFormat="1" applyFont="1" applyFill="1" applyAlignment="1">
      <alignment horizontal="left" vertical="center"/>
    </xf>
    <xf numFmtId="167" fontId="20" fillId="7" borderId="0" xfId="1" applyNumberFormat="1" applyFont="1" applyFill="1" applyBorder="1" applyAlignment="1">
      <alignment horizontal="left" vertical="center"/>
    </xf>
    <xf numFmtId="166" fontId="20" fillId="7" borderId="7" xfId="0" applyNumberFormat="1" applyFont="1" applyFill="1" applyBorder="1" applyAlignment="1">
      <alignment horizontal="left" vertical="center"/>
    </xf>
    <xf numFmtId="167" fontId="20" fillId="7" borderId="7" xfId="1" applyNumberFormat="1" applyFont="1" applyFill="1" applyBorder="1" applyAlignment="1">
      <alignment horizontal="left" vertical="center"/>
    </xf>
    <xf numFmtId="165" fontId="20" fillId="7" borderId="7" xfId="0" applyNumberFormat="1" applyFont="1" applyFill="1" applyBorder="1" applyAlignment="1">
      <alignment horizontal="left" vertical="center"/>
    </xf>
    <xf numFmtId="166" fontId="20" fillId="5" borderId="7" xfId="0" applyNumberFormat="1" applyFont="1" applyFill="1" applyBorder="1" applyAlignment="1">
      <alignment horizontal="left" vertical="center"/>
    </xf>
    <xf numFmtId="166" fontId="20" fillId="5" borderId="7" xfId="1" applyNumberFormat="1" applyFont="1" applyFill="1" applyBorder="1" applyAlignment="1">
      <alignment horizontal="left" vertical="center"/>
    </xf>
    <xf numFmtId="167" fontId="20" fillId="5" borderId="7" xfId="1" applyNumberFormat="1" applyFont="1" applyFill="1" applyBorder="1" applyAlignment="1">
      <alignment horizontal="left" vertical="center"/>
    </xf>
    <xf numFmtId="9" fontId="20" fillId="0" borderId="7" xfId="1" applyFont="1" applyBorder="1" applyAlignment="1">
      <alignment horizontal="left" vertical="center"/>
    </xf>
    <xf numFmtId="0" fontId="70" fillId="0" borderId="0" xfId="0" applyFont="1" applyAlignment="1">
      <alignment vertical="center"/>
    </xf>
    <xf numFmtId="172" fontId="73" fillId="0" borderId="7" xfId="0" applyNumberFormat="1" applyFont="1" applyBorder="1" applyAlignment="1">
      <alignment horizontal="left" vertical="center"/>
    </xf>
    <xf numFmtId="9" fontId="73" fillId="0" borderId="7" xfId="1" applyNumberFormat="1" applyFont="1" applyBorder="1" applyAlignment="1">
      <alignment horizontal="left" vertical="center"/>
    </xf>
    <xf numFmtId="1" fontId="73" fillId="0" borderId="8" xfId="0" applyNumberFormat="1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0" fillId="0" borderId="0" xfId="0" applyBorder="1"/>
    <xf numFmtId="0" fontId="61" fillId="0" borderId="0" xfId="0" applyFont="1" applyFill="1" applyBorder="1" applyAlignment="1">
      <alignment horizontal="center"/>
    </xf>
    <xf numFmtId="171" fontId="23" fillId="0" borderId="0" xfId="0" applyNumberFormat="1" applyFont="1" applyFill="1" applyBorder="1" applyAlignment="1" applyProtection="1">
      <alignment horizontal="left" vertical="center"/>
      <protection locked="0"/>
    </xf>
    <xf numFmtId="172" fontId="23" fillId="0" borderId="0" xfId="0" applyNumberFormat="1" applyFont="1" applyFill="1" applyBorder="1" applyAlignment="1" applyProtection="1">
      <alignment horizontal="left" vertical="center"/>
      <protection locked="0"/>
    </xf>
    <xf numFmtId="2" fontId="20" fillId="0" borderId="0" xfId="0" applyNumberFormat="1" applyFont="1" applyFill="1" applyBorder="1" applyAlignment="1">
      <alignment horizontal="left" vertical="center"/>
    </xf>
    <xf numFmtId="2" fontId="44" fillId="0" borderId="0" xfId="0" applyNumberFormat="1" applyFont="1" applyFill="1" applyBorder="1" applyAlignment="1">
      <alignment horizontal="left" vertical="center"/>
    </xf>
    <xf numFmtId="2" fontId="21" fillId="0" borderId="0" xfId="0" applyNumberFormat="1" applyFont="1" applyFill="1" applyBorder="1" applyAlignment="1">
      <alignment horizontal="left" vertical="center"/>
    </xf>
    <xf numFmtId="2" fontId="39" fillId="0" borderId="0" xfId="0" applyNumberFormat="1" applyFont="1" applyFill="1" applyBorder="1" applyAlignment="1">
      <alignment horizontal="left" vertical="center"/>
    </xf>
    <xf numFmtId="0" fontId="20" fillId="0" borderId="0" xfId="0" applyFont="1" applyFill="1" applyBorder="1" applyAlignment="1" applyProtection="1">
      <alignment horizontal="left" vertical="center"/>
      <protection locked="0"/>
    </xf>
    <xf numFmtId="169" fontId="23" fillId="0" borderId="0" xfId="0" applyNumberFormat="1" applyFont="1" applyFill="1" applyBorder="1" applyAlignment="1" applyProtection="1">
      <alignment horizontal="left" vertical="center"/>
      <protection locked="0"/>
    </xf>
    <xf numFmtId="14" fontId="23" fillId="0" borderId="0" xfId="0" applyNumberFormat="1" applyFont="1" applyFill="1" applyBorder="1" applyAlignment="1" applyProtection="1">
      <alignment horizontal="left" vertical="center"/>
      <protection locked="0"/>
    </xf>
    <xf numFmtId="165" fontId="20" fillId="0" borderId="0" xfId="0" applyNumberFormat="1" applyFont="1" applyFill="1" applyBorder="1" applyAlignment="1" applyProtection="1">
      <alignment horizontal="left" vertical="center"/>
      <protection locked="0"/>
    </xf>
    <xf numFmtId="0" fontId="21" fillId="0" borderId="7" xfId="0" applyFont="1" applyBorder="1" applyAlignment="1">
      <alignment vertical="center"/>
    </xf>
    <xf numFmtId="0" fontId="21" fillId="0" borderId="7" xfId="0" applyFont="1" applyFill="1" applyBorder="1" applyAlignment="1" applyProtection="1">
      <alignment horizontal="left" vertical="center"/>
      <protection locked="0"/>
    </xf>
    <xf numFmtId="0" fontId="20" fillId="0" borderId="2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165" fontId="26" fillId="0" borderId="0" xfId="0" applyNumberFormat="1" applyFont="1" applyFill="1" applyBorder="1" applyAlignment="1" applyProtection="1">
      <alignment horizontal="left" vertical="center"/>
      <protection locked="0"/>
    </xf>
    <xf numFmtId="166" fontId="24" fillId="0" borderId="2" xfId="0" applyNumberFormat="1" applyFont="1" applyFill="1" applyBorder="1" applyAlignment="1" applyProtection="1">
      <alignment horizontal="left" vertical="center"/>
      <protection locked="0"/>
    </xf>
    <xf numFmtId="166" fontId="24" fillId="0" borderId="7" xfId="0" applyNumberFormat="1" applyFont="1" applyFill="1" applyBorder="1" applyAlignment="1" applyProtection="1">
      <alignment horizontal="left" vertical="center"/>
      <protection locked="0"/>
    </xf>
    <xf numFmtId="165" fontId="21" fillId="0" borderId="0" xfId="0" applyNumberFormat="1" applyFont="1" applyFill="1" applyBorder="1" applyAlignment="1">
      <alignment horizontal="left" vertical="center"/>
    </xf>
    <xf numFmtId="175" fontId="20" fillId="0" borderId="0" xfId="1" applyNumberFormat="1" applyFont="1" applyBorder="1" applyAlignment="1">
      <alignment horizontal="left" vertical="center"/>
    </xf>
    <xf numFmtId="14" fontId="21" fillId="0" borderId="7" xfId="0" applyNumberFormat="1" applyFont="1" applyBorder="1" applyAlignment="1">
      <alignment horizontal="left" vertical="center"/>
    </xf>
    <xf numFmtId="0" fontId="37" fillId="0" borderId="0" xfId="0" applyFont="1" applyAlignment="1" applyProtection="1">
      <alignment horizontal="left" vertical="center"/>
      <protection locked="0"/>
    </xf>
    <xf numFmtId="2" fontId="24" fillId="0" borderId="0" xfId="0" applyNumberFormat="1" applyFont="1" applyAlignment="1" applyProtection="1">
      <alignment horizontal="left" vertical="center"/>
      <protection locked="0"/>
    </xf>
    <xf numFmtId="165" fontId="39" fillId="7" borderId="0" xfId="0" applyNumberFormat="1" applyFont="1" applyFill="1" applyAlignment="1" applyProtection="1">
      <alignment horizontal="left" vertical="center"/>
      <protection locked="0"/>
    </xf>
    <xf numFmtId="2" fontId="39" fillId="7" borderId="11" xfId="0" applyNumberFormat="1" applyFont="1" applyFill="1" applyBorder="1" applyAlignment="1" applyProtection="1">
      <alignment horizontal="left" vertical="center"/>
      <protection locked="0"/>
    </xf>
    <xf numFmtId="178" fontId="24" fillId="0" borderId="0" xfId="0" applyNumberFormat="1" applyFont="1" applyAlignment="1" applyProtection="1">
      <alignment horizontal="left" vertical="center"/>
      <protection locked="0"/>
    </xf>
    <xf numFmtId="9" fontId="24" fillId="0" borderId="2" xfId="1" applyNumberFormat="1" applyFont="1" applyBorder="1" applyAlignment="1" applyProtection="1">
      <alignment horizontal="left" vertical="center"/>
      <protection locked="0"/>
    </xf>
    <xf numFmtId="9" fontId="24" fillId="0" borderId="0" xfId="1" applyNumberFormat="1" applyFont="1" applyBorder="1" applyAlignment="1" applyProtection="1">
      <alignment horizontal="left" vertical="center"/>
      <protection locked="0"/>
    </xf>
    <xf numFmtId="9" fontId="24" fillId="0" borderId="7" xfId="1" applyNumberFormat="1" applyFont="1" applyBorder="1" applyAlignment="1" applyProtection="1">
      <alignment horizontal="left" vertical="center"/>
      <protection locked="0"/>
    </xf>
    <xf numFmtId="165" fontId="39" fillId="0" borderId="0" xfId="0" applyNumberFormat="1" applyFont="1" applyFill="1" applyBorder="1" applyAlignment="1" applyProtection="1">
      <alignment horizontal="left" vertical="center"/>
      <protection locked="0"/>
    </xf>
    <xf numFmtId="173" fontId="20" fillId="0" borderId="0" xfId="0" applyNumberFormat="1" applyFont="1" applyFill="1" applyAlignment="1">
      <alignment horizontal="left" vertical="center"/>
    </xf>
    <xf numFmtId="173" fontId="74" fillId="0" borderId="0" xfId="0" applyNumberFormat="1" applyFont="1" applyFill="1" applyAlignment="1">
      <alignment horizontal="left" vertical="center" wrapText="1"/>
    </xf>
    <xf numFmtId="164" fontId="20" fillId="0" borderId="0" xfId="0" applyNumberFormat="1" applyFont="1" applyFill="1" applyAlignment="1">
      <alignment horizontal="left" vertical="center"/>
    </xf>
    <xf numFmtId="173" fontId="74" fillId="0" borderId="7" xfId="0" applyNumberFormat="1" applyFont="1" applyFill="1" applyBorder="1" applyAlignment="1">
      <alignment horizontal="left" vertical="center" wrapText="1"/>
    </xf>
    <xf numFmtId="173" fontId="74" fillId="0" borderId="0" xfId="0" applyNumberFormat="1" applyFont="1" applyFill="1" applyBorder="1" applyAlignment="1">
      <alignment horizontal="left" vertical="center" wrapText="1"/>
    </xf>
    <xf numFmtId="0" fontId="75" fillId="0" borderId="7" xfId="0" applyFont="1" applyBorder="1" applyAlignment="1">
      <alignment horizontal="left" vertical="center"/>
    </xf>
    <xf numFmtId="0" fontId="20" fillId="0" borderId="2" xfId="0" applyFont="1" applyFill="1" applyBorder="1" applyAlignment="1">
      <alignment horizontal="left" vertical="center"/>
    </xf>
    <xf numFmtId="165" fontId="20" fillId="0" borderId="2" xfId="0" applyNumberFormat="1" applyFont="1" applyFill="1" applyBorder="1" applyAlignment="1">
      <alignment horizontal="left" vertical="center"/>
    </xf>
    <xf numFmtId="173" fontId="74" fillId="0" borderId="2" xfId="0" applyNumberFormat="1" applyFont="1" applyFill="1" applyBorder="1" applyAlignment="1">
      <alignment horizontal="left" vertical="center" wrapText="1"/>
    </xf>
    <xf numFmtId="167" fontId="20" fillId="0" borderId="0" xfId="1" applyNumberFormat="1" applyFont="1" applyFill="1" applyAlignment="1">
      <alignment horizontal="left" vertical="center"/>
    </xf>
    <xf numFmtId="2" fontId="20" fillId="0" borderId="0" xfId="0" applyNumberFormat="1" applyFont="1" applyFill="1" applyAlignment="1">
      <alignment horizontal="left" vertical="center"/>
    </xf>
    <xf numFmtId="164" fontId="20" fillId="0" borderId="2" xfId="0" applyNumberFormat="1" applyFont="1" applyFill="1" applyBorder="1" applyAlignment="1">
      <alignment horizontal="left" vertical="center"/>
    </xf>
    <xf numFmtId="172" fontId="20" fillId="0" borderId="0" xfId="0" applyNumberFormat="1" applyFont="1" applyFill="1" applyAlignment="1">
      <alignment horizontal="left" vertical="center"/>
    </xf>
    <xf numFmtId="2" fontId="20" fillId="0" borderId="2" xfId="0" applyNumberFormat="1" applyFont="1" applyFill="1" applyBorder="1" applyAlignment="1">
      <alignment horizontal="left" vertical="center"/>
    </xf>
    <xf numFmtId="0" fontId="20" fillId="11" borderId="0" xfId="0" applyFont="1" applyFill="1" applyAlignment="1">
      <alignment horizontal="left" vertical="center"/>
    </xf>
    <xf numFmtId="0" fontId="21" fillId="11" borderId="7" xfId="0" applyFont="1" applyFill="1" applyBorder="1" applyAlignment="1">
      <alignment horizontal="left" vertical="center"/>
    </xf>
    <xf numFmtId="166" fontId="20" fillId="11" borderId="0" xfId="0" applyNumberFormat="1" applyFont="1" applyFill="1" applyAlignment="1">
      <alignment horizontal="left" vertical="center"/>
    </xf>
    <xf numFmtId="167" fontId="20" fillId="11" borderId="0" xfId="1" applyNumberFormat="1" applyFont="1" applyFill="1" applyAlignment="1">
      <alignment horizontal="left" vertical="center"/>
    </xf>
    <xf numFmtId="165" fontId="20" fillId="11" borderId="0" xfId="0" applyNumberFormat="1" applyFont="1" applyFill="1" applyAlignment="1">
      <alignment horizontal="left" vertical="center"/>
    </xf>
    <xf numFmtId="166" fontId="20" fillId="11" borderId="0" xfId="0" applyNumberFormat="1" applyFont="1" applyFill="1" applyBorder="1" applyAlignment="1">
      <alignment horizontal="left" vertical="center"/>
    </xf>
    <xf numFmtId="167" fontId="20" fillId="11" borderId="0" xfId="1" applyNumberFormat="1" applyFont="1" applyFill="1" applyBorder="1" applyAlignment="1">
      <alignment horizontal="left" vertical="center"/>
    </xf>
    <xf numFmtId="165" fontId="20" fillId="11" borderId="0" xfId="0" applyNumberFormat="1" applyFont="1" applyFill="1" applyBorder="1" applyAlignment="1">
      <alignment horizontal="left" vertical="center"/>
    </xf>
    <xf numFmtId="166" fontId="20" fillId="11" borderId="7" xfId="0" applyNumberFormat="1" applyFont="1" applyFill="1" applyBorder="1" applyAlignment="1">
      <alignment horizontal="left" vertical="center"/>
    </xf>
    <xf numFmtId="167" fontId="20" fillId="11" borderId="7" xfId="1" applyNumberFormat="1" applyFont="1" applyFill="1" applyBorder="1" applyAlignment="1">
      <alignment horizontal="left" vertical="center"/>
    </xf>
    <xf numFmtId="165" fontId="20" fillId="11" borderId="7" xfId="0" applyNumberFormat="1" applyFont="1" applyFill="1" applyBorder="1" applyAlignment="1">
      <alignment horizontal="left" vertical="center"/>
    </xf>
    <xf numFmtId="166" fontId="20" fillId="11" borderId="2" xfId="0" applyNumberFormat="1" applyFont="1" applyFill="1" applyBorder="1" applyAlignment="1">
      <alignment horizontal="left" vertical="center"/>
    </xf>
    <xf numFmtId="167" fontId="20" fillId="11" borderId="2" xfId="1" applyNumberFormat="1" applyFont="1" applyFill="1" applyBorder="1" applyAlignment="1">
      <alignment horizontal="left" vertical="center"/>
    </xf>
    <xf numFmtId="165" fontId="20" fillId="11" borderId="2" xfId="0" applyNumberFormat="1" applyFont="1" applyFill="1" applyBorder="1" applyAlignment="1">
      <alignment horizontal="left" vertical="center"/>
    </xf>
    <xf numFmtId="167" fontId="20" fillId="7" borderId="0" xfId="1" applyNumberFormat="1" applyFont="1" applyFill="1" applyAlignment="1">
      <alignment horizontal="left" vertical="center"/>
    </xf>
    <xf numFmtId="166" fontId="20" fillId="7" borderId="0" xfId="0" applyNumberFormat="1" applyFont="1" applyFill="1" applyBorder="1" applyAlignment="1">
      <alignment horizontal="left" vertical="center"/>
    </xf>
    <xf numFmtId="165" fontId="24" fillId="0" borderId="0" xfId="0" applyNumberFormat="1" applyFont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65" fontId="20" fillId="0" borderId="11" xfId="0" applyNumberFormat="1" applyFont="1" applyFill="1" applyBorder="1" applyAlignment="1">
      <alignment horizontal="left" vertical="center"/>
    </xf>
    <xf numFmtId="173" fontId="74" fillId="0" borderId="11" xfId="0" applyNumberFormat="1" applyFont="1" applyFill="1" applyBorder="1" applyAlignment="1">
      <alignment horizontal="left" vertical="center" wrapText="1"/>
    </xf>
    <xf numFmtId="164" fontId="20" fillId="0" borderId="11" xfId="0" applyNumberFormat="1" applyFont="1" applyFill="1" applyBorder="1" applyAlignment="1">
      <alignment horizontal="left" vertical="center"/>
    </xf>
    <xf numFmtId="167" fontId="20" fillId="11" borderId="11" xfId="1" applyNumberFormat="1" applyFont="1" applyFill="1" applyBorder="1" applyAlignment="1">
      <alignment horizontal="left" vertical="center"/>
    </xf>
    <xf numFmtId="165" fontId="20" fillId="11" borderId="11" xfId="0" applyNumberFormat="1" applyFont="1" applyFill="1" applyBorder="1" applyAlignment="1">
      <alignment horizontal="left" vertical="center"/>
    </xf>
    <xf numFmtId="167" fontId="20" fillId="7" borderId="11" xfId="1" applyNumberFormat="1" applyFont="1" applyFill="1" applyBorder="1" applyAlignment="1">
      <alignment horizontal="left" vertical="center"/>
    </xf>
    <xf numFmtId="164" fontId="20" fillId="11" borderId="0" xfId="0" applyNumberFormat="1" applyFont="1" applyFill="1" applyAlignment="1">
      <alignment horizontal="left" vertical="center"/>
    </xf>
    <xf numFmtId="164" fontId="20" fillId="11" borderId="0" xfId="0" applyNumberFormat="1" applyFont="1" applyFill="1" applyBorder="1" applyAlignment="1">
      <alignment horizontal="left" vertical="center"/>
    </xf>
    <xf numFmtId="164" fontId="20" fillId="11" borderId="7" xfId="0" applyNumberFormat="1" applyFont="1" applyFill="1" applyBorder="1" applyAlignment="1">
      <alignment horizontal="left" vertical="center"/>
    </xf>
    <xf numFmtId="164" fontId="20" fillId="11" borderId="11" xfId="0" applyNumberFormat="1" applyFont="1" applyFill="1" applyBorder="1" applyAlignment="1">
      <alignment horizontal="left" vertical="center"/>
    </xf>
    <xf numFmtId="164" fontId="20" fillId="7" borderId="0" xfId="0" applyNumberFormat="1" applyFont="1" applyFill="1" applyAlignment="1">
      <alignment horizontal="left" vertical="center"/>
    </xf>
    <xf numFmtId="164" fontId="20" fillId="7" borderId="0" xfId="0" applyNumberFormat="1" applyFont="1" applyFill="1" applyBorder="1" applyAlignment="1">
      <alignment horizontal="left" vertical="center"/>
    </xf>
    <xf numFmtId="164" fontId="20" fillId="7" borderId="7" xfId="0" applyNumberFormat="1" applyFont="1" applyFill="1" applyBorder="1" applyAlignment="1">
      <alignment horizontal="left" vertical="center"/>
    </xf>
    <xf numFmtId="164" fontId="20" fillId="7" borderId="11" xfId="0" applyNumberFormat="1" applyFont="1" applyFill="1" applyBorder="1" applyAlignment="1">
      <alignment horizontal="left" vertical="center"/>
    </xf>
    <xf numFmtId="0" fontId="74" fillId="0" borderId="2" xfId="0" applyFont="1" applyBorder="1" applyAlignment="1">
      <alignment horizontal="left" vertical="center"/>
    </xf>
    <xf numFmtId="0" fontId="74" fillId="0" borderId="0" xfId="0" applyFont="1" applyBorder="1" applyAlignment="1">
      <alignment horizontal="left" vertical="center"/>
    </xf>
    <xf numFmtId="0" fontId="74" fillId="0" borderId="7" xfId="0" applyFont="1" applyBorder="1" applyAlignment="1">
      <alignment horizontal="left" vertical="center"/>
    </xf>
    <xf numFmtId="0" fontId="74" fillId="0" borderId="11" xfId="0" applyFont="1" applyBorder="1" applyAlignment="1">
      <alignment horizontal="left" vertical="center"/>
    </xf>
    <xf numFmtId="177" fontId="20" fillId="0" borderId="0" xfId="0" applyNumberFormat="1" applyFont="1" applyBorder="1" applyAlignment="1">
      <alignment horizontal="left" vertical="center"/>
    </xf>
    <xf numFmtId="0" fontId="20" fillId="11" borderId="0" xfId="0" applyFont="1" applyFill="1" applyBorder="1" applyAlignment="1">
      <alignment horizontal="left" vertical="center"/>
    </xf>
    <xf numFmtId="0" fontId="20" fillId="11" borderId="7" xfId="0" applyFont="1" applyFill="1" applyBorder="1" applyAlignment="1">
      <alignment horizontal="left" vertical="center"/>
    </xf>
    <xf numFmtId="0" fontId="20" fillId="7" borderId="0" xfId="0" applyFont="1" applyFill="1" applyBorder="1" applyAlignment="1">
      <alignment horizontal="left" vertical="center"/>
    </xf>
    <xf numFmtId="0" fontId="20" fillId="7" borderId="7" xfId="0" applyFont="1" applyFill="1" applyBorder="1" applyAlignment="1">
      <alignment horizontal="left" vertical="center"/>
    </xf>
    <xf numFmtId="164" fontId="29" fillId="0" borderId="0" xfId="0" applyNumberFormat="1" applyFont="1" applyFill="1" applyBorder="1" applyAlignment="1">
      <alignment horizontal="left" vertical="center"/>
    </xf>
    <xf numFmtId="164" fontId="29" fillId="0" borderId="7" xfId="0" applyNumberFormat="1" applyFont="1" applyFill="1" applyBorder="1" applyAlignment="1">
      <alignment horizontal="left" vertical="center"/>
    </xf>
    <xf numFmtId="168" fontId="20" fillId="0" borderId="0" xfId="0" applyNumberFormat="1" applyFont="1" applyAlignment="1">
      <alignment horizontal="left" vertical="center"/>
    </xf>
    <xf numFmtId="1" fontId="20" fillId="0" borderId="4" xfId="0" applyNumberFormat="1" applyFont="1" applyBorder="1" applyAlignment="1">
      <alignment horizontal="left" vertical="center"/>
    </xf>
    <xf numFmtId="11" fontId="20" fillId="0" borderId="7" xfId="0" applyNumberFormat="1" applyFont="1" applyBorder="1" applyAlignment="1">
      <alignment horizontal="left" vertical="center"/>
    </xf>
    <xf numFmtId="0" fontId="45" fillId="0" borderId="7" xfId="0" applyFont="1" applyBorder="1" applyAlignment="1">
      <alignment horizontal="left" vertical="center"/>
    </xf>
    <xf numFmtId="9" fontId="29" fillId="0" borderId="0" xfId="1" applyFont="1" applyBorder="1" applyAlignment="1">
      <alignment horizontal="left" vertical="center"/>
    </xf>
    <xf numFmtId="9" fontId="29" fillId="0" borderId="7" xfId="1" applyFont="1" applyBorder="1" applyAlignment="1">
      <alignment horizontal="left" vertical="center"/>
    </xf>
    <xf numFmtId="167" fontId="29" fillId="0" borderId="11" xfId="1" applyNumberFormat="1" applyFont="1" applyBorder="1" applyAlignment="1">
      <alignment horizontal="left" vertical="center"/>
    </xf>
    <xf numFmtId="9" fontId="29" fillId="0" borderId="11" xfId="1" applyFont="1" applyBorder="1" applyAlignment="1">
      <alignment horizontal="left" vertical="center"/>
    </xf>
    <xf numFmtId="172" fontId="34" fillId="0" borderId="0" xfId="0" applyNumberFormat="1" applyFont="1" applyBorder="1" applyAlignment="1">
      <alignment horizontal="left" vertical="center"/>
    </xf>
    <xf numFmtId="172" fontId="34" fillId="0" borderId="7" xfId="0" applyNumberFormat="1" applyFont="1" applyBorder="1" applyAlignment="1">
      <alignment horizontal="left" vertical="center"/>
    </xf>
    <xf numFmtId="165" fontId="29" fillId="0" borderId="7" xfId="0" applyNumberFormat="1" applyFont="1" applyBorder="1" applyAlignment="1">
      <alignment horizontal="left" vertical="center"/>
    </xf>
    <xf numFmtId="165" fontId="20" fillId="7" borderId="0" xfId="0" applyNumberFormat="1" applyFont="1" applyFill="1" applyBorder="1" applyAlignment="1">
      <alignment horizontal="left" vertical="center"/>
    </xf>
    <xf numFmtId="1" fontId="34" fillId="0" borderId="0" xfId="0" applyNumberFormat="1" applyFont="1" applyBorder="1" applyAlignment="1">
      <alignment horizontal="left" vertical="center"/>
    </xf>
    <xf numFmtId="1" fontId="34" fillId="0" borderId="7" xfId="0" applyNumberFormat="1" applyFont="1" applyBorder="1" applyAlignment="1">
      <alignment horizontal="left" vertical="center"/>
    </xf>
    <xf numFmtId="166" fontId="20" fillId="0" borderId="2" xfId="0" applyNumberFormat="1" applyFont="1" applyFill="1" applyBorder="1" applyAlignment="1">
      <alignment horizontal="left" vertical="center"/>
    </xf>
    <xf numFmtId="173" fontId="20" fillId="0" borderId="7" xfId="0" applyNumberFormat="1" applyFont="1" applyFill="1" applyBorder="1" applyAlignment="1">
      <alignment horizontal="left" vertical="center"/>
    </xf>
    <xf numFmtId="165" fontId="29" fillId="0" borderId="0" xfId="0" applyNumberFormat="1" applyFont="1" applyFill="1" applyAlignment="1">
      <alignment horizontal="left" vertical="center"/>
    </xf>
    <xf numFmtId="165" fontId="29" fillId="0" borderId="7" xfId="0" applyNumberFormat="1" applyFont="1" applyFill="1" applyBorder="1" applyAlignment="1">
      <alignment horizontal="left" vertical="center"/>
    </xf>
    <xf numFmtId="165" fontId="24" fillId="0" borderId="11" xfId="0" applyNumberFormat="1" applyFont="1" applyBorder="1" applyAlignment="1">
      <alignment horizontal="left" vertical="center"/>
    </xf>
    <xf numFmtId="1" fontId="34" fillId="0" borderId="11" xfId="0" applyNumberFormat="1" applyFont="1" applyBorder="1" applyAlignment="1">
      <alignment horizontal="left" vertical="center"/>
    </xf>
    <xf numFmtId="164" fontId="29" fillId="0" borderId="0" xfId="0" applyNumberFormat="1" applyFont="1" applyBorder="1" applyAlignment="1">
      <alignment horizontal="left" vertical="center"/>
    </xf>
    <xf numFmtId="164" fontId="29" fillId="0" borderId="7" xfId="0" applyNumberFormat="1" applyFont="1" applyBorder="1" applyAlignment="1">
      <alignment horizontal="left" vertical="center"/>
    </xf>
    <xf numFmtId="10" fontId="20" fillId="0" borderId="0" xfId="0" applyNumberFormat="1" applyFont="1" applyFill="1" applyBorder="1" applyAlignment="1">
      <alignment horizontal="left" vertical="center"/>
    </xf>
    <xf numFmtId="165" fontId="24" fillId="0" borderId="11" xfId="0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Fill="1" applyAlignment="1" applyProtection="1">
      <alignment horizontal="left" vertical="center"/>
      <protection locked="0"/>
    </xf>
    <xf numFmtId="164" fontId="78" fillId="0" borderId="0" xfId="0" applyNumberFormat="1" applyFont="1" applyBorder="1" applyAlignment="1">
      <alignment horizontal="left" vertical="center"/>
    </xf>
    <xf numFmtId="164" fontId="78" fillId="0" borderId="7" xfId="0" applyNumberFormat="1" applyFont="1" applyBorder="1" applyAlignment="1">
      <alignment horizontal="left" vertical="center"/>
    </xf>
    <xf numFmtId="0" fontId="26" fillId="0" borderId="0" xfId="0" applyFont="1" applyFill="1" applyBorder="1" applyAlignment="1" applyProtection="1">
      <alignment horizontal="left" vertical="center"/>
      <protection locked="0"/>
    </xf>
    <xf numFmtId="1" fontId="20" fillId="0" borderId="0" xfId="0" applyNumberFormat="1" applyFont="1" applyFill="1" applyBorder="1" applyAlignment="1">
      <alignment horizontal="left" vertical="center"/>
    </xf>
    <xf numFmtId="1" fontId="20" fillId="0" borderId="7" xfId="0" applyNumberFormat="1" applyFont="1" applyFill="1" applyBorder="1" applyAlignment="1">
      <alignment horizontal="left" vertical="center"/>
    </xf>
    <xf numFmtId="1" fontId="24" fillId="0" borderId="11" xfId="0" applyNumberFormat="1" applyFont="1" applyFill="1" applyBorder="1" applyAlignment="1">
      <alignment horizontal="left" vertical="center"/>
    </xf>
    <xf numFmtId="1" fontId="20" fillId="0" borderId="11" xfId="0" applyNumberFormat="1" applyFont="1" applyFill="1" applyBorder="1" applyAlignment="1">
      <alignment horizontal="left" vertical="center"/>
    </xf>
    <xf numFmtId="165" fontId="44" fillId="0" borderId="7" xfId="0" applyNumberFormat="1" applyFont="1" applyFill="1" applyBorder="1" applyAlignment="1">
      <alignment horizontal="left" vertical="center"/>
    </xf>
    <xf numFmtId="165" fontId="44" fillId="0" borderId="11" xfId="0" applyNumberFormat="1" applyFont="1" applyFill="1" applyBorder="1" applyAlignment="1">
      <alignment horizontal="left" vertical="center"/>
    </xf>
    <xf numFmtId="165" fontId="24" fillId="0" borderId="11" xfId="0" applyNumberFormat="1" applyFont="1" applyFill="1" applyBorder="1" applyAlignment="1">
      <alignment horizontal="left" vertical="center"/>
    </xf>
    <xf numFmtId="165" fontId="26" fillId="0" borderId="7" xfId="0" applyNumberFormat="1" applyFont="1" applyFill="1" applyBorder="1" applyAlignment="1">
      <alignment horizontal="left" vertical="center"/>
    </xf>
    <xf numFmtId="172" fontId="26" fillId="0" borderId="0" xfId="0" applyNumberFormat="1" applyFont="1" applyFill="1" applyBorder="1" applyAlignment="1">
      <alignment horizontal="left" vertical="center"/>
    </xf>
    <xf numFmtId="172" fontId="26" fillId="0" borderId="0" xfId="0" applyNumberFormat="1" applyFont="1" applyFill="1" applyAlignment="1">
      <alignment horizontal="left" vertical="center"/>
    </xf>
    <xf numFmtId="165" fontId="44" fillId="0" borderId="2" xfId="0" applyNumberFormat="1" applyFont="1" applyFill="1" applyBorder="1" applyAlignment="1">
      <alignment horizontal="left" vertical="center"/>
    </xf>
    <xf numFmtId="165" fontId="24" fillId="0" borderId="2" xfId="0" applyNumberFormat="1" applyFont="1" applyFill="1" applyBorder="1" applyAlignment="1">
      <alignment horizontal="left" vertical="center"/>
    </xf>
    <xf numFmtId="2" fontId="26" fillId="0" borderId="0" xfId="0" applyNumberFormat="1" applyFont="1" applyFill="1" applyBorder="1" applyAlignment="1">
      <alignment horizontal="left" vertical="center"/>
    </xf>
    <xf numFmtId="172" fontId="20" fillId="0" borderId="2" xfId="0" applyNumberFormat="1" applyFont="1" applyFill="1" applyBorder="1" applyAlignment="1">
      <alignment horizontal="left" vertical="center"/>
    </xf>
    <xf numFmtId="167" fontId="23" fillId="0" borderId="0" xfId="1" applyNumberFormat="1" applyFont="1" applyFill="1" applyBorder="1" applyAlignment="1">
      <alignment horizontal="left" vertical="center"/>
    </xf>
    <xf numFmtId="2" fontId="20" fillId="11" borderId="2" xfId="0" applyNumberFormat="1" applyFont="1" applyFill="1" applyBorder="1" applyAlignment="1">
      <alignment horizontal="left" vertical="center"/>
    </xf>
    <xf numFmtId="2" fontId="20" fillId="11" borderId="0" xfId="0" applyNumberFormat="1" applyFont="1" applyFill="1" applyBorder="1" applyAlignment="1">
      <alignment horizontal="left" vertical="center"/>
    </xf>
    <xf numFmtId="2" fontId="20" fillId="11" borderId="7" xfId="0" applyNumberFormat="1" applyFont="1" applyFill="1" applyBorder="1" applyAlignment="1">
      <alignment horizontal="left" vertical="center"/>
    </xf>
    <xf numFmtId="43" fontId="23" fillId="0" borderId="0" xfId="3" applyFont="1" applyFill="1" applyBorder="1" applyAlignment="1">
      <alignment horizontal="left" vertical="center"/>
    </xf>
    <xf numFmtId="43" fontId="23" fillId="0" borderId="0" xfId="3" applyFont="1" applyFill="1" applyBorder="1" applyAlignment="1">
      <alignment horizontal="right" vertical="center"/>
    </xf>
    <xf numFmtId="2" fontId="26" fillId="0" borderId="0" xfId="1" applyNumberFormat="1" applyFont="1" applyFill="1" applyBorder="1" applyAlignment="1">
      <alignment horizontal="left" vertical="center"/>
    </xf>
    <xf numFmtId="10" fontId="26" fillId="0" borderId="0" xfId="1" applyNumberFormat="1" applyFont="1" applyFill="1" applyBorder="1" applyAlignment="1">
      <alignment horizontal="left" vertical="center"/>
    </xf>
    <xf numFmtId="10" fontId="20" fillId="11" borderId="2" xfId="1" applyNumberFormat="1" applyFont="1" applyFill="1" applyBorder="1" applyAlignment="1">
      <alignment horizontal="left" vertical="center"/>
    </xf>
    <xf numFmtId="10" fontId="20" fillId="11" borderId="0" xfId="1" applyNumberFormat="1" applyFont="1" applyFill="1" applyBorder="1" applyAlignment="1">
      <alignment horizontal="left" vertical="center"/>
    </xf>
    <xf numFmtId="10" fontId="20" fillId="11" borderId="7" xfId="1" applyNumberFormat="1" applyFont="1" applyFill="1" applyBorder="1" applyAlignment="1">
      <alignment horizontal="left" vertical="center"/>
    </xf>
    <xf numFmtId="0" fontId="29" fillId="0" borderId="7" xfId="0" applyFont="1" applyFill="1" applyBorder="1" applyAlignment="1">
      <alignment horizontal="left" vertical="center"/>
    </xf>
    <xf numFmtId="172" fontId="29" fillId="0" borderId="7" xfId="0" applyNumberFormat="1" applyFont="1" applyFill="1" applyBorder="1" applyAlignment="1">
      <alignment horizontal="left" vertical="center"/>
    </xf>
    <xf numFmtId="173" fontId="74" fillId="0" borderId="0" xfId="0" applyNumberFormat="1" applyFont="1" applyAlignment="1">
      <alignment horizontal="left" vertical="center"/>
    </xf>
    <xf numFmtId="173" fontId="74" fillId="0" borderId="7" xfId="0" applyNumberFormat="1" applyFont="1" applyBorder="1" applyAlignment="1">
      <alignment horizontal="left" vertical="center"/>
    </xf>
    <xf numFmtId="0" fontId="79" fillId="0" borderId="0" xfId="0" applyFont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79" fillId="0" borderId="7" xfId="0" applyFont="1" applyBorder="1" applyAlignment="1">
      <alignment horizontal="left" vertical="center"/>
    </xf>
    <xf numFmtId="0" fontId="74" fillId="0" borderId="0" xfId="0" applyFont="1" applyAlignment="1">
      <alignment horizontal="left" vertical="center"/>
    </xf>
    <xf numFmtId="173" fontId="74" fillId="0" borderId="0" xfId="0" applyNumberFormat="1" applyFont="1" applyBorder="1" applyAlignment="1">
      <alignment horizontal="left" vertical="center"/>
    </xf>
    <xf numFmtId="0" fontId="79" fillId="0" borderId="0" xfId="0" applyFont="1" applyBorder="1" applyAlignment="1">
      <alignment horizontal="left" vertical="center"/>
    </xf>
    <xf numFmtId="173" fontId="74" fillId="0" borderId="11" xfId="0" applyNumberFormat="1" applyFont="1" applyBorder="1" applyAlignment="1">
      <alignment horizontal="left" vertical="center"/>
    </xf>
    <xf numFmtId="173" fontId="74" fillId="0" borderId="2" xfId="0" applyNumberFormat="1" applyFont="1" applyBorder="1" applyAlignment="1">
      <alignment horizontal="left" vertical="center"/>
    </xf>
    <xf numFmtId="2" fontId="20" fillId="0" borderId="1" xfId="0" applyNumberFormat="1" applyFont="1" applyBorder="1" applyAlignment="1">
      <alignment horizontal="left" vertical="center"/>
    </xf>
    <xf numFmtId="2" fontId="20" fillId="0" borderId="4" xfId="0" applyNumberFormat="1" applyFont="1" applyBorder="1" applyAlignment="1">
      <alignment horizontal="left" vertical="center"/>
    </xf>
    <xf numFmtId="2" fontId="20" fillId="0" borderId="6" xfId="0" applyNumberFormat="1" applyFont="1" applyBorder="1" applyAlignment="1">
      <alignment horizontal="left" vertical="center"/>
    </xf>
    <xf numFmtId="172" fontId="20" fillId="0" borderId="1" xfId="0" applyNumberFormat="1" applyFont="1" applyBorder="1" applyAlignment="1">
      <alignment horizontal="left" vertical="center"/>
    </xf>
    <xf numFmtId="172" fontId="20" fillId="0" borderId="4" xfId="0" applyNumberFormat="1" applyFont="1" applyBorder="1" applyAlignment="1">
      <alignment horizontal="left" vertical="center"/>
    </xf>
    <xf numFmtId="172" fontId="20" fillId="0" borderId="6" xfId="0" applyNumberFormat="1" applyFont="1" applyBorder="1" applyAlignment="1">
      <alignment horizontal="left" vertical="center"/>
    </xf>
    <xf numFmtId="0" fontId="81" fillId="0" borderId="0" xfId="0" applyFont="1" applyFill="1" applyBorder="1" applyAlignment="1">
      <alignment horizontal="left" vertical="center"/>
    </xf>
    <xf numFmtId="0" fontId="81" fillId="0" borderId="7" xfId="0" applyFont="1" applyFill="1" applyBorder="1" applyAlignment="1">
      <alignment horizontal="left" vertical="center"/>
    </xf>
    <xf numFmtId="2" fontId="24" fillId="0" borderId="0" xfId="0" applyNumberFormat="1" applyFont="1" applyFill="1" applyBorder="1" applyAlignment="1">
      <alignment horizontal="left" vertical="center"/>
    </xf>
    <xf numFmtId="2" fontId="81" fillId="0" borderId="0" xfId="0" applyNumberFormat="1" applyFont="1" applyFill="1" applyBorder="1" applyAlignment="1">
      <alignment horizontal="left" vertical="center"/>
    </xf>
    <xf numFmtId="2" fontId="24" fillId="0" borderId="7" xfId="0" applyNumberFormat="1" applyFont="1" applyFill="1" applyBorder="1" applyAlignment="1">
      <alignment horizontal="left" vertical="center"/>
    </xf>
    <xf numFmtId="2" fontId="81" fillId="0" borderId="7" xfId="0" applyNumberFormat="1" applyFont="1" applyFill="1" applyBorder="1" applyAlignment="1">
      <alignment horizontal="left" vertical="center"/>
    </xf>
    <xf numFmtId="166" fontId="39" fillId="7" borderId="2" xfId="0" applyNumberFormat="1" applyFont="1" applyFill="1" applyBorder="1" applyAlignment="1" applyProtection="1">
      <alignment horizontal="left" vertical="center"/>
      <protection locked="0"/>
    </xf>
    <xf numFmtId="0" fontId="82" fillId="0" borderId="2" xfId="0" applyFont="1" applyBorder="1" applyAlignment="1" applyProtection="1">
      <alignment horizontal="left" vertical="center"/>
      <protection locked="0"/>
    </xf>
    <xf numFmtId="14" fontId="24" fillId="0" borderId="2" xfId="0" applyNumberFormat="1" applyFont="1" applyBorder="1" applyAlignment="1" applyProtection="1">
      <alignment horizontal="left" vertical="center"/>
      <protection locked="0"/>
    </xf>
    <xf numFmtId="0" fontId="82" fillId="0" borderId="7" xfId="0" applyFont="1" applyBorder="1" applyAlignment="1" applyProtection="1">
      <alignment horizontal="left" vertical="center"/>
      <protection locked="0"/>
    </xf>
    <xf numFmtId="165" fontId="47" fillId="8" borderId="2" xfId="0" applyNumberFormat="1" applyFont="1" applyFill="1" applyBorder="1" applyAlignment="1" applyProtection="1">
      <alignment horizontal="left" vertical="center"/>
      <protection locked="0"/>
    </xf>
    <xf numFmtId="165" fontId="47" fillId="8" borderId="7" xfId="0" applyNumberFormat="1" applyFont="1" applyFill="1" applyBorder="1" applyAlignment="1" applyProtection="1">
      <alignment horizontal="left" vertical="center"/>
      <protection locked="0"/>
    </xf>
    <xf numFmtId="14" fontId="23" fillId="8" borderId="0" xfId="0" applyNumberFormat="1" applyFont="1" applyFill="1" applyBorder="1" applyAlignment="1" applyProtection="1">
      <alignment horizontal="left" vertical="center"/>
      <protection locked="0"/>
    </xf>
    <xf numFmtId="14" fontId="74" fillId="0" borderId="0" xfId="0" applyNumberFormat="1" applyFont="1" applyFill="1" applyAlignment="1">
      <alignment horizontal="left" vertical="center" wrapText="1"/>
    </xf>
    <xf numFmtId="14" fontId="74" fillId="0" borderId="2" xfId="0" applyNumberFormat="1" applyFont="1" applyFill="1" applyBorder="1" applyAlignment="1">
      <alignment horizontal="left" vertical="center" wrapText="1"/>
    </xf>
    <xf numFmtId="14" fontId="74" fillId="0" borderId="0" xfId="0" applyNumberFormat="1" applyFont="1" applyFill="1" applyBorder="1" applyAlignment="1">
      <alignment horizontal="left" vertical="center" wrapText="1"/>
    </xf>
    <xf numFmtId="14" fontId="74" fillId="0" borderId="7" xfId="0" applyNumberFormat="1" applyFont="1" applyFill="1" applyBorder="1" applyAlignment="1">
      <alignment horizontal="left" vertical="center" wrapText="1"/>
    </xf>
    <xf numFmtId="0" fontId="79" fillId="0" borderId="0" xfId="0" applyFont="1" applyFill="1" applyBorder="1" applyAlignment="1">
      <alignment horizontal="left" vertical="center"/>
    </xf>
    <xf numFmtId="0" fontId="79" fillId="0" borderId="2" xfId="0" applyFont="1" applyBorder="1" applyAlignment="1">
      <alignment horizontal="left" vertical="center"/>
    </xf>
    <xf numFmtId="0" fontId="79" fillId="0" borderId="7" xfId="0" applyFont="1" applyFill="1" applyBorder="1" applyAlignment="1">
      <alignment horizontal="left" vertical="center"/>
    </xf>
    <xf numFmtId="165" fontId="20" fillId="9" borderId="0" xfId="0" applyNumberFormat="1" applyFont="1" applyFill="1" applyAlignment="1">
      <alignment horizontal="left" vertical="center"/>
    </xf>
    <xf numFmtId="9" fontId="24" fillId="0" borderId="11" xfId="1" applyFont="1" applyBorder="1" applyAlignment="1" applyProtection="1">
      <alignment horizontal="left" vertical="center"/>
      <protection locked="0"/>
    </xf>
    <xf numFmtId="165" fontId="39" fillId="7" borderId="11" xfId="0" applyNumberFormat="1" applyFont="1" applyFill="1" applyBorder="1" applyAlignment="1" applyProtection="1">
      <alignment horizontal="left" vertical="center"/>
      <protection locked="0"/>
    </xf>
    <xf numFmtId="0" fontId="20" fillId="0" borderId="0" xfId="0" quotePrefix="1" applyFont="1" applyAlignment="1">
      <alignment horizontal="left" vertical="center"/>
    </xf>
    <xf numFmtId="173" fontId="21" fillId="0" borderId="0" xfId="0" applyNumberFormat="1" applyFont="1" applyBorder="1" applyAlignment="1">
      <alignment horizontal="left" vertical="center"/>
    </xf>
    <xf numFmtId="11" fontId="20" fillId="0" borderId="0" xfId="0" applyNumberFormat="1" applyFont="1" applyAlignment="1">
      <alignment horizontal="left" vertical="center"/>
    </xf>
    <xf numFmtId="0" fontId="47" fillId="0" borderId="0" xfId="0" applyFont="1" applyFill="1" applyAlignment="1">
      <alignment horizontal="left" vertical="center"/>
    </xf>
    <xf numFmtId="165" fontId="47" fillId="0" borderId="0" xfId="0" applyNumberFormat="1" applyFont="1" applyFill="1" applyAlignment="1">
      <alignment horizontal="left" vertical="center"/>
    </xf>
    <xf numFmtId="173" fontId="83" fillId="0" borderId="0" xfId="0" applyNumberFormat="1" applyFont="1" applyFill="1" applyAlignment="1">
      <alignment horizontal="left" vertical="center" wrapText="1"/>
    </xf>
    <xf numFmtId="164" fontId="47" fillId="0" borderId="0" xfId="0" applyNumberFormat="1" applyFont="1" applyFill="1" applyAlignment="1">
      <alignment horizontal="left" vertical="center"/>
    </xf>
    <xf numFmtId="166" fontId="47" fillId="11" borderId="0" xfId="0" applyNumberFormat="1" applyFont="1" applyFill="1" applyAlignment="1">
      <alignment horizontal="left" vertical="center"/>
    </xf>
    <xf numFmtId="167" fontId="47" fillId="11" borderId="0" xfId="1" applyNumberFormat="1" applyFont="1" applyFill="1" applyAlignment="1">
      <alignment horizontal="left" vertical="center"/>
    </xf>
    <xf numFmtId="165" fontId="47" fillId="11" borderId="0" xfId="0" applyNumberFormat="1" applyFont="1" applyFill="1" applyAlignment="1">
      <alignment horizontal="left" vertical="center"/>
    </xf>
    <xf numFmtId="166" fontId="47" fillId="7" borderId="0" xfId="0" applyNumberFormat="1" applyFont="1" applyFill="1" applyAlignment="1">
      <alignment horizontal="left" vertical="center"/>
    </xf>
    <xf numFmtId="167" fontId="47" fillId="7" borderId="0" xfId="1" applyNumberFormat="1" applyFont="1" applyFill="1" applyAlignment="1">
      <alignment horizontal="left" vertical="center"/>
    </xf>
    <xf numFmtId="172" fontId="47" fillId="0" borderId="0" xfId="0" applyNumberFormat="1" applyFont="1" applyFill="1" applyAlignment="1">
      <alignment horizontal="left" vertical="center"/>
    </xf>
    <xf numFmtId="0" fontId="47" fillId="0" borderId="7" xfId="0" applyFont="1" applyFill="1" applyBorder="1" applyAlignment="1">
      <alignment horizontal="left" vertical="center"/>
    </xf>
    <xf numFmtId="165" fontId="47" fillId="0" borderId="7" xfId="0" applyNumberFormat="1" applyFont="1" applyFill="1" applyBorder="1" applyAlignment="1">
      <alignment horizontal="left" vertical="center"/>
    </xf>
    <xf numFmtId="173" fontId="83" fillId="0" borderId="7" xfId="0" applyNumberFormat="1" applyFont="1" applyFill="1" applyBorder="1" applyAlignment="1">
      <alignment horizontal="left" vertical="center" wrapText="1"/>
    </xf>
    <xf numFmtId="164" fontId="47" fillId="0" borderId="7" xfId="0" applyNumberFormat="1" applyFont="1" applyFill="1" applyBorder="1" applyAlignment="1">
      <alignment horizontal="left" vertical="center"/>
    </xf>
    <xf numFmtId="166" fontId="47" fillId="11" borderId="7" xfId="0" applyNumberFormat="1" applyFont="1" applyFill="1" applyBorder="1" applyAlignment="1">
      <alignment horizontal="left" vertical="center"/>
    </xf>
    <xf numFmtId="167" fontId="47" fillId="11" borderId="7" xfId="1" applyNumberFormat="1" applyFont="1" applyFill="1" applyBorder="1" applyAlignment="1">
      <alignment horizontal="left" vertical="center"/>
    </xf>
    <xf numFmtId="165" fontId="47" fillId="11" borderId="7" xfId="0" applyNumberFormat="1" applyFont="1" applyFill="1" applyBorder="1" applyAlignment="1">
      <alignment horizontal="left" vertical="center"/>
    </xf>
    <xf numFmtId="166" fontId="47" fillId="7" borderId="7" xfId="0" applyNumberFormat="1" applyFont="1" applyFill="1" applyBorder="1" applyAlignment="1">
      <alignment horizontal="left" vertical="center"/>
    </xf>
    <xf numFmtId="167" fontId="47" fillId="7" borderId="7" xfId="1" applyNumberFormat="1" applyFont="1" applyFill="1" applyBorder="1" applyAlignment="1">
      <alignment horizontal="left" vertical="center"/>
    </xf>
    <xf numFmtId="172" fontId="47" fillId="0" borderId="7" xfId="0" applyNumberFormat="1" applyFont="1" applyFill="1" applyBorder="1" applyAlignment="1">
      <alignment horizontal="left" vertical="center"/>
    </xf>
    <xf numFmtId="166" fontId="20" fillId="0" borderId="1" xfId="0" applyNumberFormat="1" applyFont="1" applyBorder="1" applyAlignment="1">
      <alignment horizontal="left" vertical="center"/>
    </xf>
    <xf numFmtId="170" fontId="20" fillId="0" borderId="3" xfId="0" applyNumberFormat="1" applyFont="1" applyBorder="1" applyAlignment="1">
      <alignment horizontal="left" vertical="center"/>
    </xf>
    <xf numFmtId="164" fontId="20" fillId="0" borderId="5" xfId="0" applyNumberFormat="1" applyFont="1" applyBorder="1" applyAlignment="1">
      <alignment horizontal="left" vertical="center"/>
    </xf>
    <xf numFmtId="164" fontId="20" fillId="0" borderId="4" xfId="0" applyNumberFormat="1" applyFont="1" applyBorder="1" applyAlignment="1">
      <alignment horizontal="left" vertical="center"/>
    </xf>
    <xf numFmtId="11" fontId="20" fillId="0" borderId="5" xfId="0" applyNumberFormat="1" applyFont="1" applyBorder="1" applyAlignment="1">
      <alignment horizontal="left" vertical="center"/>
    </xf>
    <xf numFmtId="179" fontId="20" fillId="0" borderId="8" xfId="0" applyNumberFormat="1" applyFont="1" applyBorder="1" applyAlignment="1">
      <alignment horizontal="left" vertical="center"/>
    </xf>
    <xf numFmtId="14" fontId="21" fillId="0" borderId="11" xfId="0" applyNumberFormat="1" applyFont="1" applyBorder="1" applyAlignment="1">
      <alignment horizontal="left" vertical="center"/>
    </xf>
    <xf numFmtId="14" fontId="29" fillId="0" borderId="0" xfId="0" applyNumberFormat="1" applyFont="1" applyBorder="1" applyAlignment="1">
      <alignment horizontal="left" vertical="center"/>
    </xf>
    <xf numFmtId="167" fontId="20" fillId="0" borderId="0" xfId="1" applyNumberFormat="1" applyFont="1" applyFill="1" applyBorder="1" applyAlignment="1">
      <alignment horizontal="left" vertical="center"/>
    </xf>
    <xf numFmtId="169" fontId="23" fillId="8" borderId="0" xfId="0" applyNumberFormat="1" applyFont="1" applyFill="1" applyBorder="1" applyAlignment="1" applyProtection="1">
      <alignment horizontal="left" vertical="center"/>
      <protection locked="0"/>
    </xf>
    <xf numFmtId="165" fontId="20" fillId="7" borderId="0" xfId="0" applyNumberFormat="1" applyFont="1" applyFill="1" applyBorder="1" applyAlignment="1" applyProtection="1">
      <alignment horizontal="left" vertical="center"/>
      <protection locked="0"/>
    </xf>
    <xf numFmtId="164" fontId="29" fillId="0" borderId="2" xfId="0" applyNumberFormat="1" applyFont="1" applyBorder="1" applyAlignment="1">
      <alignment horizontal="left" vertical="center"/>
    </xf>
    <xf numFmtId="165" fontId="29" fillId="0" borderId="2" xfId="0" applyNumberFormat="1" applyFont="1" applyBorder="1" applyAlignment="1">
      <alignment horizontal="left" vertical="center"/>
    </xf>
    <xf numFmtId="165" fontId="29" fillId="0" borderId="11" xfId="0" applyNumberFormat="1" applyFont="1" applyBorder="1" applyAlignment="1">
      <alignment horizontal="left" vertical="center"/>
    </xf>
    <xf numFmtId="0" fontId="75" fillId="0" borderId="0" xfId="0" applyFont="1" applyBorder="1" applyAlignment="1">
      <alignment horizontal="left" vertical="center"/>
    </xf>
    <xf numFmtId="165" fontId="29" fillId="7" borderId="11" xfId="0" applyNumberFormat="1" applyFont="1" applyFill="1" applyBorder="1" applyAlignment="1">
      <alignment horizontal="left" vertical="center"/>
    </xf>
    <xf numFmtId="167" fontId="29" fillId="7" borderId="11" xfId="1" applyNumberFormat="1" applyFont="1" applyFill="1" applyBorder="1" applyAlignment="1">
      <alignment horizontal="left" vertical="center"/>
    </xf>
    <xf numFmtId="166" fontId="29" fillId="7" borderId="11" xfId="0" applyNumberFormat="1" applyFont="1" applyFill="1" applyBorder="1" applyAlignment="1">
      <alignment horizontal="left" vertical="center"/>
    </xf>
    <xf numFmtId="164" fontId="29" fillId="0" borderId="11" xfId="0" applyNumberFormat="1" applyFont="1" applyBorder="1" applyAlignment="1">
      <alignment horizontal="left" vertical="center"/>
    </xf>
    <xf numFmtId="164" fontId="29" fillId="7" borderId="11" xfId="0" applyNumberFormat="1" applyFont="1" applyFill="1" applyBorder="1" applyAlignment="1">
      <alignment horizontal="left" vertical="center"/>
    </xf>
    <xf numFmtId="166" fontId="29" fillId="0" borderId="2" xfId="0" applyNumberFormat="1" applyFont="1" applyBorder="1" applyAlignment="1">
      <alignment horizontal="left" vertical="center"/>
    </xf>
    <xf numFmtId="166" fontId="29" fillId="0" borderId="7" xfId="0" applyNumberFormat="1" applyFont="1" applyBorder="1" applyAlignment="1">
      <alignment horizontal="left" vertical="center"/>
    </xf>
    <xf numFmtId="173" fontId="86" fillId="0" borderId="2" xfId="0" applyNumberFormat="1" applyFont="1" applyBorder="1" applyAlignment="1">
      <alignment horizontal="left" vertical="center" wrapText="1"/>
    </xf>
    <xf numFmtId="173" fontId="86" fillId="0" borderId="0" xfId="0" applyNumberFormat="1" applyFont="1" applyBorder="1" applyAlignment="1">
      <alignment horizontal="left" vertical="center" wrapText="1"/>
    </xf>
    <xf numFmtId="0" fontId="86" fillId="0" borderId="0" xfId="0" applyFont="1" applyBorder="1" applyAlignment="1">
      <alignment horizontal="left" vertical="center" wrapText="1"/>
    </xf>
    <xf numFmtId="173" fontId="86" fillId="0" borderId="7" xfId="0" applyNumberFormat="1" applyFont="1" applyBorder="1" applyAlignment="1">
      <alignment horizontal="left" vertical="center" wrapText="1"/>
    </xf>
    <xf numFmtId="166" fontId="29" fillId="0" borderId="11" xfId="0" applyNumberFormat="1" applyFont="1" applyBorder="1" applyAlignment="1">
      <alignment horizontal="left" vertical="center"/>
    </xf>
    <xf numFmtId="0" fontId="75" fillId="0" borderId="0" xfId="0" applyFont="1" applyFill="1" applyBorder="1" applyAlignment="1">
      <alignment horizontal="left" vertical="center"/>
    </xf>
    <xf numFmtId="167" fontId="29" fillId="0" borderId="0" xfId="1" applyNumberFormat="1" applyFont="1" applyFill="1" applyBorder="1" applyAlignment="1">
      <alignment horizontal="left" vertical="center"/>
    </xf>
    <xf numFmtId="14" fontId="24" fillId="0" borderId="7" xfId="0" applyNumberFormat="1" applyFont="1" applyFill="1" applyBorder="1" applyAlignment="1">
      <alignment horizontal="left" vertical="center"/>
    </xf>
    <xf numFmtId="171" fontId="20" fillId="0" borderId="0" xfId="0" applyNumberFormat="1" applyFont="1" applyAlignment="1">
      <alignment horizontal="left" vertical="center"/>
    </xf>
    <xf numFmtId="171" fontId="20" fillId="0" borderId="7" xfId="0" applyNumberFormat="1" applyFont="1" applyBorder="1" applyAlignment="1">
      <alignment horizontal="left" vertical="center"/>
    </xf>
    <xf numFmtId="179" fontId="20" fillId="0" borderId="0" xfId="0" applyNumberFormat="1" applyFont="1" applyAlignment="1">
      <alignment horizontal="left" vertical="center"/>
    </xf>
    <xf numFmtId="179" fontId="20" fillId="0" borderId="1" xfId="0" applyNumberFormat="1" applyFont="1" applyBorder="1" applyAlignment="1">
      <alignment horizontal="left" vertical="center"/>
    </xf>
    <xf numFmtId="179" fontId="20" fillId="0" borderId="4" xfId="0" applyNumberFormat="1" applyFont="1" applyBorder="1" applyAlignment="1">
      <alignment horizontal="left" vertical="center"/>
    </xf>
    <xf numFmtId="166" fontId="21" fillId="0" borderId="4" xfId="0" applyNumberFormat="1" applyFont="1" applyBorder="1" applyAlignment="1">
      <alignment horizontal="left" vertical="center"/>
    </xf>
    <xf numFmtId="179" fontId="20" fillId="0" borderId="6" xfId="0" applyNumberFormat="1" applyFont="1" applyBorder="1" applyAlignment="1">
      <alignment horizontal="left" vertical="center"/>
    </xf>
    <xf numFmtId="10" fontId="20" fillId="0" borderId="11" xfId="1" applyNumberFormat="1" applyFont="1" applyBorder="1" applyAlignment="1">
      <alignment horizontal="left" vertical="center"/>
    </xf>
    <xf numFmtId="170" fontId="29" fillId="0" borderId="2" xfId="0" applyNumberFormat="1" applyFont="1" applyBorder="1" applyAlignment="1">
      <alignment horizontal="left" vertical="center"/>
    </xf>
    <xf numFmtId="170" fontId="29" fillId="0" borderId="7" xfId="0" applyNumberFormat="1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14" fontId="20" fillId="9" borderId="0" xfId="0" applyNumberFormat="1" applyFont="1" applyFill="1" applyAlignment="1">
      <alignment horizontal="left" vertical="center"/>
    </xf>
    <xf numFmtId="180" fontId="20" fillId="0" borderId="0" xfId="0" applyNumberFormat="1" applyFont="1" applyAlignment="1">
      <alignment horizontal="left" vertical="center"/>
    </xf>
    <xf numFmtId="0" fontId="75" fillId="0" borderId="0" xfId="0" applyFont="1" applyAlignment="1">
      <alignment horizontal="left" vertical="center"/>
    </xf>
    <xf numFmtId="0" fontId="75" fillId="0" borderId="7" xfId="0" applyFont="1" applyFill="1" applyBorder="1" applyAlignment="1">
      <alignment horizontal="left" vertical="center"/>
    </xf>
    <xf numFmtId="2" fontId="21" fillId="0" borderId="7" xfId="0" applyNumberFormat="1" applyFont="1" applyFill="1" applyBorder="1" applyAlignment="1">
      <alignment horizontal="left" vertical="center"/>
    </xf>
    <xf numFmtId="0" fontId="34" fillId="0" borderId="11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horizontal="left" vertical="center"/>
    </xf>
    <xf numFmtId="9" fontId="20" fillId="0" borderId="0" xfId="1" applyFont="1" applyFill="1" applyBorder="1" applyAlignment="1">
      <alignment horizontal="left" vertical="center"/>
    </xf>
    <xf numFmtId="10" fontId="29" fillId="7" borderId="11" xfId="1" applyNumberFormat="1" applyFont="1" applyFill="1" applyBorder="1" applyAlignment="1">
      <alignment horizontal="left" vertical="center"/>
    </xf>
    <xf numFmtId="167" fontId="23" fillId="0" borderId="0" xfId="1" applyNumberFormat="1" applyFont="1" applyFill="1" applyBorder="1" applyAlignment="1">
      <alignment vertical="center"/>
    </xf>
    <xf numFmtId="0" fontId="23" fillId="0" borderId="0" xfId="1" applyNumberFormat="1" applyFont="1" applyFill="1" applyBorder="1" applyAlignment="1">
      <alignment horizontal="right" vertical="center"/>
    </xf>
    <xf numFmtId="9" fontId="20" fillId="0" borderId="0" xfId="1" applyFont="1" applyFill="1" applyAlignment="1">
      <alignment horizontal="left" vertical="center"/>
    </xf>
    <xf numFmtId="9" fontId="20" fillId="0" borderId="7" xfId="1" applyFont="1" applyFill="1" applyBorder="1" applyAlignment="1">
      <alignment horizontal="left" vertical="center"/>
    </xf>
    <xf numFmtId="9" fontId="20" fillId="0" borderId="0" xfId="1" applyFont="1" applyBorder="1" applyAlignment="1">
      <alignment horizontal="left" vertical="center"/>
    </xf>
    <xf numFmtId="10" fontId="20" fillId="7" borderId="2" xfId="1" applyNumberFormat="1" applyFont="1" applyFill="1" applyBorder="1" applyAlignment="1">
      <alignment horizontal="left" vertical="center"/>
    </xf>
    <xf numFmtId="10" fontId="20" fillId="7" borderId="0" xfId="1" applyNumberFormat="1" applyFont="1" applyFill="1" applyBorder="1" applyAlignment="1">
      <alignment horizontal="left" vertical="center"/>
    </xf>
    <xf numFmtId="10" fontId="20" fillId="7" borderId="7" xfId="1" applyNumberFormat="1" applyFont="1" applyFill="1" applyBorder="1" applyAlignment="1">
      <alignment horizontal="left" vertical="center"/>
    </xf>
    <xf numFmtId="165" fontId="78" fillId="0" borderId="0" xfId="0" applyNumberFormat="1" applyFont="1" applyAlignment="1">
      <alignment horizontal="left" vertical="center"/>
    </xf>
    <xf numFmtId="0" fontId="20" fillId="0" borderId="0" xfId="1" applyNumberFormat="1" applyFont="1" applyFill="1" applyAlignment="1">
      <alignment horizontal="left" vertical="center"/>
    </xf>
    <xf numFmtId="9" fontId="47" fillId="0" borderId="0" xfId="1" applyFont="1" applyFill="1" applyAlignment="1">
      <alignment horizontal="left" vertical="center"/>
    </xf>
    <xf numFmtId="9" fontId="47" fillId="0" borderId="7" xfId="1" applyFont="1" applyFill="1" applyBorder="1" applyAlignment="1">
      <alignment horizontal="left" vertical="center"/>
    </xf>
    <xf numFmtId="167" fontId="47" fillId="0" borderId="0" xfId="1" applyNumberFormat="1" applyFont="1" applyFill="1" applyAlignment="1">
      <alignment horizontal="left" vertical="center"/>
    </xf>
    <xf numFmtId="167" fontId="47" fillId="0" borderId="7" xfId="1" applyNumberFormat="1" applyFont="1" applyFill="1" applyBorder="1" applyAlignment="1">
      <alignment horizontal="left" vertical="center"/>
    </xf>
    <xf numFmtId="167" fontId="20" fillId="0" borderId="7" xfId="1" applyNumberFormat="1" applyFont="1" applyFill="1" applyBorder="1" applyAlignment="1">
      <alignment horizontal="left" vertical="center"/>
    </xf>
    <xf numFmtId="10" fontId="20" fillId="0" borderId="0" xfId="0" applyNumberFormat="1" applyFont="1" applyFill="1" applyAlignment="1">
      <alignment horizontal="left" vertical="center"/>
    </xf>
    <xf numFmtId="9" fontId="20" fillId="0" borderId="11" xfId="1" applyFont="1" applyFill="1" applyBorder="1" applyAlignment="1">
      <alignment horizontal="left" vertical="center"/>
    </xf>
    <xf numFmtId="167" fontId="20" fillId="0" borderId="11" xfId="1" applyNumberFormat="1" applyFont="1" applyFill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2" fontId="24" fillId="0" borderId="0" xfId="0" applyNumberFormat="1" applyFont="1" applyAlignment="1">
      <alignment horizontal="left" vertical="center"/>
    </xf>
    <xf numFmtId="173" fontId="29" fillId="0" borderId="0" xfId="0" applyNumberFormat="1" applyFont="1" applyAlignment="1">
      <alignment horizontal="left" vertical="center"/>
    </xf>
    <xf numFmtId="0" fontId="81" fillId="0" borderId="2" xfId="0" applyFont="1" applyBorder="1" applyAlignment="1">
      <alignment horizontal="left" vertical="center"/>
    </xf>
    <xf numFmtId="0" fontId="81" fillId="0" borderId="0" xfId="0" applyFont="1" applyAlignment="1">
      <alignment horizontal="left" vertical="center"/>
    </xf>
    <xf numFmtId="175" fontId="29" fillId="0" borderId="0" xfId="1" applyNumberFormat="1" applyFont="1" applyAlignment="1">
      <alignment horizontal="left" vertical="center"/>
    </xf>
    <xf numFmtId="164" fontId="20" fillId="0" borderId="0" xfId="0" applyNumberFormat="1" applyFont="1" applyAlignment="1" applyProtection="1">
      <alignment horizontal="left" vertical="center"/>
      <protection locked="0"/>
    </xf>
    <xf numFmtId="1" fontId="20" fillId="0" borderId="0" xfId="0" applyNumberFormat="1" applyFont="1" applyFill="1" applyAlignment="1">
      <alignment horizontal="left" vertical="center"/>
    </xf>
    <xf numFmtId="44" fontId="23" fillId="0" borderId="0" xfId="2" applyFont="1" applyFill="1" applyAlignment="1">
      <alignment horizontal="left" vertical="center"/>
    </xf>
    <xf numFmtId="44" fontId="20" fillId="0" borderId="0" xfId="2" applyFont="1" applyFill="1" applyAlignment="1">
      <alignment horizontal="left" vertical="center"/>
    </xf>
    <xf numFmtId="9" fontId="29" fillId="0" borderId="0" xfId="0" applyNumberFormat="1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11" fillId="6" borderId="7" xfId="0" applyFont="1" applyFill="1" applyBorder="1" applyAlignment="1">
      <alignment horizontal="left" vertical="center"/>
    </xf>
    <xf numFmtId="168" fontId="11" fillId="6" borderId="0" xfId="0" applyNumberFormat="1" applyFont="1" applyFill="1" applyAlignment="1">
      <alignment horizontal="left" vertical="center"/>
    </xf>
    <xf numFmtId="0" fontId="36" fillId="2" borderId="12" xfId="0" applyFont="1" applyFill="1" applyBorder="1" applyAlignment="1">
      <alignment horizontal="center" vertical="center"/>
    </xf>
    <xf numFmtId="0" fontId="36" fillId="2" borderId="13" xfId="0" applyFont="1" applyFill="1" applyBorder="1" applyAlignment="1">
      <alignment horizontal="center" vertical="center"/>
    </xf>
    <xf numFmtId="0" fontId="36" fillId="2" borderId="14" xfId="0" applyFont="1" applyFill="1" applyBorder="1" applyAlignment="1">
      <alignment horizontal="center" vertical="center"/>
    </xf>
    <xf numFmtId="0" fontId="36" fillId="4" borderId="12" xfId="0" applyFont="1" applyFill="1" applyBorder="1" applyAlignment="1">
      <alignment horizontal="center" vertical="center"/>
    </xf>
    <xf numFmtId="0" fontId="36" fillId="4" borderId="13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1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0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/>
    </xf>
    <xf numFmtId="0" fontId="49" fillId="0" borderId="0" xfId="0" applyFont="1" applyFill="1" applyAlignment="1">
      <alignment horizontal="left" vertical="center"/>
    </xf>
  </cellXfs>
  <cellStyles count="4">
    <cellStyle name="Comma" xfId="3" builtinId="3"/>
    <cellStyle name="Currency" xfId="2" builtinId="4"/>
    <cellStyle name="Normal" xfId="0" builtinId="0"/>
    <cellStyle name="Percent" xfId="1" builtinId="5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00000"/>
      <color rgb="FF004600"/>
      <color rgb="FFF5FFF5"/>
      <color rgb="FFF2F5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Calibration plot nitrite without 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20133143421792785"/>
                  <c:y val="0.3579166509102561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RND!$B$1385:$B$1389</c:f>
              <c:numCache>
                <c:formatCode>0.0000</c:formatCode>
                <c:ptCount val="5"/>
                <c:pt idx="0">
                  <c:v>1.0186967681726103E-2</c:v>
                </c:pt>
                <c:pt idx="1">
                  <c:v>2.5496229161586594E-2</c:v>
                </c:pt>
                <c:pt idx="2">
                  <c:v>5.0618634010520872E-2</c:v>
                </c:pt>
                <c:pt idx="3">
                  <c:v>7.6254247684852047E-2</c:v>
                </c:pt>
                <c:pt idx="4" formatCode="0.000">
                  <c:v>0.10193159441676131</c:v>
                </c:pt>
              </c:numCache>
            </c:numRef>
          </c:xVal>
          <c:yVal>
            <c:numRef>
              <c:f>RND!$C$1385:$C$1389</c:f>
              <c:numCache>
                <c:formatCode>0</c:formatCode>
                <c:ptCount val="5"/>
                <c:pt idx="0">
                  <c:v>420.01536480731301</c:v>
                </c:pt>
                <c:pt idx="1">
                  <c:v>983.78527671960001</c:v>
                </c:pt>
                <c:pt idx="2">
                  <c:v>1962.4017101664001</c:v>
                </c:pt>
                <c:pt idx="3">
                  <c:v>2713.22957376265</c:v>
                </c:pt>
                <c:pt idx="4">
                  <c:v>3559.5853708925401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7D-4857-A5B0-ED3A56D09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289791"/>
        <c:axId val="432458735"/>
      </c:scatterChart>
      <c:valAx>
        <c:axId val="247289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 i="1"/>
                  <a:t>w</a:t>
                </a:r>
                <a:r>
                  <a:rPr lang="en-US" b="1"/>
                  <a:t>(NO</a:t>
                </a:r>
                <a:r>
                  <a:rPr lang="en-US" b="1" baseline="-25000"/>
                  <a:t>2</a:t>
                </a:r>
                <a:r>
                  <a:rPr lang="en-US" b="1" baseline="30000"/>
                  <a:t>−</a:t>
                </a:r>
                <a:r>
                  <a:rPr lang="en-US" b="1"/>
                  <a:t>) </a:t>
                </a:r>
                <a:r>
                  <a:rPr lang="el-GR" b="1"/>
                  <a:t>μ</a:t>
                </a:r>
                <a:r>
                  <a:rPr lang="en-CA" b="1"/>
                  <a:t>g/g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0.44371027777777777"/>
              <c:y val="0.876527777777777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2458735"/>
        <c:crosses val="autoZero"/>
        <c:crossBetween val="midCat"/>
      </c:valAx>
      <c:valAx>
        <c:axId val="43245873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Signal </a:t>
                </a:r>
                <a:r>
                  <a:rPr lang="en-US" b="1" i="1"/>
                  <a:t>m</a:t>
                </a:r>
                <a:r>
                  <a:rPr lang="en-US" b="1"/>
                  <a:t>/</a:t>
                </a:r>
                <a:r>
                  <a:rPr lang="en-US" b="1" i="1"/>
                  <a:t>z </a:t>
                </a:r>
                <a:r>
                  <a:rPr lang="en-US" b="1"/>
                  <a:t>31</a:t>
                </a:r>
              </a:p>
            </c:rich>
          </c:tx>
          <c:layout>
            <c:manualLayout>
              <c:xMode val="edge"/>
              <c:yMode val="edge"/>
              <c:x val="2.4694444444444446E-2"/>
              <c:y val="0.316152380952380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47289791"/>
        <c:crosses val="autoZero"/>
        <c:crossBetween val="midCat"/>
        <c:majorUnit val="1000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Calibration plot nitrite with 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2279861111111111"/>
                  <c:y val="0.4429880952380952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RND!$D$1385:$D$1389</c:f>
              <c:numCache>
                <c:formatCode>0.00000</c:formatCode>
                <c:ptCount val="5"/>
                <c:pt idx="0">
                  <c:v>0.10303054110629335</c:v>
                </c:pt>
                <c:pt idx="1">
                  <c:v>0.2574671843054247</c:v>
                </c:pt>
                <c:pt idx="2">
                  <c:v>0.51183324299482502</c:v>
                </c:pt>
                <c:pt idx="3">
                  <c:v>0.77054304801626095</c:v>
                </c:pt>
                <c:pt idx="4">
                  <c:v>1.0251770108465712</c:v>
                </c:pt>
              </c:numCache>
            </c:numRef>
          </c:xVal>
          <c:yVal>
            <c:numRef>
              <c:f>RND!$E$1385:$E$1389</c:f>
              <c:numCache>
                <c:formatCode>0.000</c:formatCode>
                <c:ptCount val="5"/>
                <c:pt idx="0">
                  <c:v>0.13775579518278977</c:v>
                </c:pt>
                <c:pt idx="1">
                  <c:v>0.32179545140362381</c:v>
                </c:pt>
                <c:pt idx="2">
                  <c:v>0.62331768969463186</c:v>
                </c:pt>
                <c:pt idx="3">
                  <c:v>0.92548042500367966</c:v>
                </c:pt>
                <c:pt idx="4">
                  <c:v>1.2246603023114977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E0D-43BD-90FD-5FDD04029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289791"/>
        <c:axId val="432458735"/>
      </c:scatterChart>
      <c:valAx>
        <c:axId val="247289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 i="0"/>
                  <a:t>(</a:t>
                </a:r>
                <a:r>
                  <a:rPr lang="en-US" b="1" i="1"/>
                  <a:t>m</a:t>
                </a:r>
                <a:r>
                  <a:rPr lang="en-US" b="1" i="0" baseline="-25000"/>
                  <a:t>A*</a:t>
                </a:r>
                <a:r>
                  <a:rPr lang="en-US" b="1" i="0"/>
                  <a:t>/</a:t>
                </a:r>
                <a:r>
                  <a:rPr lang="en-US" b="1" i="1"/>
                  <a:t>m</a:t>
                </a:r>
                <a:r>
                  <a:rPr lang="en-US" b="1" i="0" baseline="-25000"/>
                  <a:t>B</a:t>
                </a:r>
                <a:r>
                  <a:rPr lang="en-US" b="1" i="0"/>
                  <a:t>)*</a:t>
                </a:r>
                <a:r>
                  <a:rPr lang="en-US" b="1" i="1"/>
                  <a:t>w</a:t>
                </a:r>
                <a:r>
                  <a:rPr lang="en-US" b="1"/>
                  <a:t>(NO</a:t>
                </a:r>
                <a:r>
                  <a:rPr lang="en-US" b="1" baseline="-25000"/>
                  <a:t>2</a:t>
                </a:r>
                <a:r>
                  <a:rPr lang="en-US" b="1" baseline="30000"/>
                  <a:t>−</a:t>
                </a:r>
                <a:r>
                  <a:rPr lang="en-US" b="1"/>
                  <a:t>) </a:t>
                </a:r>
                <a:r>
                  <a:rPr lang="el-GR" b="1"/>
                  <a:t>μ</a:t>
                </a:r>
                <a:r>
                  <a:rPr lang="en-CA" b="1"/>
                  <a:t>g/g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0.36609916666666664"/>
              <c:y val="0.881567460317460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2458735"/>
        <c:crosses val="autoZero"/>
        <c:crossBetween val="midCat"/>
      </c:valAx>
      <c:valAx>
        <c:axId val="432458735"/>
        <c:scaling>
          <c:orientation val="minMax"/>
          <c:max val="1.3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Isotope ratio 31/32</a:t>
                </a:r>
              </a:p>
            </c:rich>
          </c:tx>
          <c:layout>
            <c:manualLayout>
              <c:xMode val="edge"/>
              <c:yMode val="edge"/>
              <c:x val="2.4694444444444446E-2"/>
              <c:y val="0.25567619047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47289791"/>
        <c:crosses val="autoZero"/>
        <c:crossBetween val="midCat"/>
        <c:majorUnit val="0.4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Calibration plot nitrate without 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6658328479761852"/>
                  <c:y val="0.3427508275601822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RND!$B$1405:$B$1409</c:f>
              <c:numCache>
                <c:formatCode>0.0000</c:formatCode>
                <c:ptCount val="5"/>
                <c:pt idx="0">
                  <c:v>0.10549327243787689</c:v>
                </c:pt>
                <c:pt idx="1">
                  <c:v>0.26403152862717738</c:v>
                </c:pt>
                <c:pt idx="2">
                  <c:v>0.52419184147252063</c:v>
                </c:pt>
                <c:pt idx="3">
                  <c:v>0.78966679554640506</c:v>
                </c:pt>
                <c:pt idx="4" formatCode="0.000">
                  <c:v>1.0555739250183371</c:v>
                </c:pt>
              </c:numCache>
            </c:numRef>
          </c:xVal>
          <c:yVal>
            <c:numRef>
              <c:f>RND!$C$1405:$C$1409</c:f>
              <c:numCache>
                <c:formatCode>0</c:formatCode>
                <c:ptCount val="5"/>
                <c:pt idx="0">
                  <c:v>2196.9591549872998</c:v>
                </c:pt>
                <c:pt idx="1">
                  <c:v>4876.6445000000103</c:v>
                </c:pt>
                <c:pt idx="2">
                  <c:v>9719.6390318673002</c:v>
                </c:pt>
                <c:pt idx="3">
                  <c:v>12998.823248955599</c:v>
                </c:pt>
                <c:pt idx="4">
                  <c:v>17380.055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9A-46BA-9FA4-A01907E16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289791"/>
        <c:axId val="432458735"/>
      </c:scatterChart>
      <c:valAx>
        <c:axId val="247289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 i="1"/>
                  <a:t>w</a:t>
                </a:r>
                <a:r>
                  <a:rPr lang="en-US" b="1"/>
                  <a:t>(NO</a:t>
                </a:r>
                <a:r>
                  <a:rPr lang="en-US" b="1" baseline="-25000"/>
                  <a:t>3</a:t>
                </a:r>
                <a:r>
                  <a:rPr lang="en-US" b="1" baseline="30000"/>
                  <a:t>−</a:t>
                </a:r>
                <a:r>
                  <a:rPr lang="en-US" b="1"/>
                  <a:t>) </a:t>
                </a:r>
                <a:r>
                  <a:rPr lang="el-GR" b="1"/>
                  <a:t>μ</a:t>
                </a:r>
                <a:r>
                  <a:rPr lang="en-CA" b="1"/>
                  <a:t>g/g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0.44371027777777777"/>
              <c:y val="0.876527777777777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2458735"/>
        <c:crosses val="autoZero"/>
        <c:crossBetween val="midCat"/>
      </c:valAx>
      <c:valAx>
        <c:axId val="432458735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Signal </a:t>
                </a:r>
                <a:r>
                  <a:rPr lang="en-US" b="1" i="1"/>
                  <a:t>m</a:t>
                </a:r>
                <a:r>
                  <a:rPr lang="en-US" b="1"/>
                  <a:t>/</a:t>
                </a:r>
                <a:r>
                  <a:rPr lang="en-US" b="1" i="1"/>
                  <a:t>z </a:t>
                </a:r>
                <a:r>
                  <a:rPr lang="en-US" b="1"/>
                  <a:t>46</a:t>
                </a:r>
              </a:p>
            </c:rich>
          </c:tx>
          <c:layout>
            <c:manualLayout>
              <c:xMode val="edge"/>
              <c:yMode val="edge"/>
              <c:x val="2.4694444444444446E-2"/>
              <c:y val="0.316152380952380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47289791"/>
        <c:crosses val="autoZero"/>
        <c:crossBetween val="midCat"/>
        <c:majorUnit val="4000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Calibration plot nitrate with 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203374975537681"/>
                  <c:y val="0.3326401836793508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RND!$D$1405:$D$1409</c:f>
              <c:numCache>
                <c:formatCode>0.00000</c:formatCode>
                <c:ptCount val="5"/>
                <c:pt idx="0">
                  <c:v>1.0669542970913211</c:v>
                </c:pt>
                <c:pt idx="1">
                  <c:v>2.666255225926367</c:v>
                </c:pt>
                <c:pt idx="2">
                  <c:v>5.3003960975427482</c:v>
                </c:pt>
                <c:pt idx="3">
                  <c:v>7.9795195419445974</c:v>
                </c:pt>
                <c:pt idx="4">
                  <c:v>10.616434750871869</c:v>
                </c:pt>
              </c:numCache>
            </c:numRef>
          </c:xVal>
          <c:yVal>
            <c:numRef>
              <c:f>RND!$E$1405:$E$1409</c:f>
              <c:numCache>
                <c:formatCode>0.000</c:formatCode>
                <c:ptCount val="5"/>
                <c:pt idx="0">
                  <c:v>0.11711059830346386</c:v>
                </c:pt>
                <c:pt idx="1">
                  <c:v>0.26028930762693142</c:v>
                </c:pt>
                <c:pt idx="2">
                  <c:v>0.50287399185372339</c:v>
                </c:pt>
                <c:pt idx="3">
                  <c:v>0.74325239405146837</c:v>
                </c:pt>
                <c:pt idx="4">
                  <c:v>0.99849221755285988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AFA-4CDB-B782-8468E70A7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289791"/>
        <c:axId val="432458735"/>
      </c:scatterChart>
      <c:valAx>
        <c:axId val="247289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 i="1"/>
                  <a:t>w</a:t>
                </a:r>
                <a:r>
                  <a:rPr lang="en-US" b="1"/>
                  <a:t>(NO</a:t>
                </a:r>
                <a:r>
                  <a:rPr lang="en-US" b="1" baseline="-25000"/>
                  <a:t>3</a:t>
                </a:r>
                <a:r>
                  <a:rPr lang="en-US" b="1" baseline="30000"/>
                  <a:t>−</a:t>
                </a:r>
                <a:r>
                  <a:rPr lang="en-US" b="1"/>
                  <a:t>) </a:t>
                </a:r>
                <a:r>
                  <a:rPr lang="el-GR" b="1"/>
                  <a:t>μ</a:t>
                </a:r>
                <a:r>
                  <a:rPr lang="en-CA" b="1"/>
                  <a:t>g/g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0.44371027777777777"/>
              <c:y val="0.876527777777777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32458735"/>
        <c:crosses val="autoZero"/>
        <c:crossBetween val="midCat"/>
      </c:valAx>
      <c:valAx>
        <c:axId val="432458735"/>
        <c:scaling>
          <c:orientation val="minMax"/>
          <c:max val="1.1000000000000001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Isotope ratio</a:t>
                </a:r>
                <a:r>
                  <a:rPr lang="en-US" b="1" baseline="0"/>
                  <a:t> 46/47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2.4694444444444446E-2"/>
              <c:y val="0.250636507936507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47289791"/>
        <c:crosses val="autoZero"/>
        <c:crossBetween val="midCat"/>
        <c:majorUnit val="0.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100" b="1"/>
              <a:t>SiO</a:t>
            </a:r>
            <a:r>
              <a:rPr lang="en-US" sz="1100" b="1" baseline="-25000"/>
              <a:t>2</a:t>
            </a:r>
            <a:r>
              <a:rPr lang="en-US" sz="1100" b="1"/>
              <a:t> interference on PO</a:t>
            </a:r>
            <a:r>
              <a:rPr lang="en-US" sz="1100" b="1" baseline="-25000"/>
              <a:t>4</a:t>
            </a:r>
            <a:r>
              <a:rPr lang="en-US" sz="1100" b="1" baseline="30000"/>
              <a:t>3−</a:t>
            </a:r>
            <a:r>
              <a:rPr lang="en-US" sz="1100" b="1"/>
              <a:t> signal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errBars>
            <c:errDir val="y"/>
            <c:errBarType val="both"/>
            <c:errValType val="fixedVal"/>
            <c:noEndCap val="0"/>
            <c:val val="8.7000000000000028E-5"/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RND!$K$1668:$K$1674</c:f>
              <c:numCache>
                <c:formatCode>0.000</c:formatCode>
                <c:ptCount val="7"/>
                <c:pt idx="0">
                  <c:v>0</c:v>
                </c:pt>
                <c:pt idx="1">
                  <c:v>0.10140375203147373</c:v>
                </c:pt>
                <c:pt idx="2">
                  <c:v>0.40180537185367482</c:v>
                </c:pt>
                <c:pt idx="3">
                  <c:v>0.9920816821880809</c:v>
                </c:pt>
                <c:pt idx="4">
                  <c:v>1.5589446976383701</c:v>
                </c:pt>
                <c:pt idx="5">
                  <c:v>2.1162241965906503</c:v>
                </c:pt>
                <c:pt idx="6">
                  <c:v>2.8334982020717776</c:v>
                </c:pt>
              </c:numCache>
            </c:numRef>
          </c:xVal>
          <c:yVal>
            <c:numRef>
              <c:f>RND!$O$1668:$O$1674</c:f>
              <c:numCache>
                <c:formatCode>0.00000</c:formatCode>
                <c:ptCount val="7"/>
                <c:pt idx="0">
                  <c:v>0</c:v>
                </c:pt>
                <c:pt idx="1">
                  <c:v>-6.0588516977333647E-6</c:v>
                </c:pt>
                <c:pt idx="2">
                  <c:v>-1.9247466507746726E-6</c:v>
                </c:pt>
                <c:pt idx="3">
                  <c:v>8.7865470494954316E-5</c:v>
                </c:pt>
                <c:pt idx="4">
                  <c:v>-3.3785295801303417E-5</c:v>
                </c:pt>
                <c:pt idx="5">
                  <c:v>2.0331800290015166E-4</c:v>
                </c:pt>
                <c:pt idx="6">
                  <c:v>9.3704334195946534E-5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3C1-40B9-ACD9-C4569C117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6853968"/>
        <c:axId val="1456856880"/>
      </c:scatterChart>
      <c:valAx>
        <c:axId val="1456853968"/>
        <c:scaling>
          <c:orientation val="minMax"/>
          <c:max val="3.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Silicate mass fraction (mg/kg)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" sourceLinked="0"/>
        <c:majorTickMark val="out"/>
        <c:minorTickMark val="out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56856880"/>
        <c:crosses val="autoZero"/>
        <c:crossBetween val="midCat"/>
      </c:valAx>
      <c:valAx>
        <c:axId val="14568568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Phosphate abs at 890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56853968"/>
        <c:crosses val="autoZero"/>
        <c:crossBetween val="midCat"/>
        <c:majorUnit val="2.0000000000000006E-4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100" b="1"/>
              <a:t>SiO</a:t>
            </a:r>
            <a:r>
              <a:rPr lang="en-US" sz="1100" b="1" baseline="-25000"/>
              <a:t>2</a:t>
            </a:r>
            <a:r>
              <a:rPr lang="en-US" sz="1100" b="1"/>
              <a:t> by LC-ICPMS calibration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CalPLOT</c:v>
          </c:tx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RND!$G$1686:$G$1690</c:f>
              <c:numCache>
                <c:formatCode>0.00</c:formatCode>
                <c:ptCount val="5"/>
                <c:pt idx="0">
                  <c:v>0</c:v>
                </c:pt>
                <c:pt idx="1">
                  <c:v>42.613985337342385</c:v>
                </c:pt>
                <c:pt idx="2">
                  <c:v>206.18193976627882</c:v>
                </c:pt>
                <c:pt idx="3">
                  <c:v>412.37815006750242</c:v>
                </c:pt>
                <c:pt idx="4">
                  <c:v>848.14423191685739</c:v>
                </c:pt>
              </c:numCache>
            </c:numRef>
          </c:xVal>
          <c:yVal>
            <c:numRef>
              <c:f>RND!$H$1686:$H$1690</c:f>
              <c:numCache>
                <c:formatCode>0.000</c:formatCode>
                <c:ptCount val="5"/>
                <c:pt idx="0">
                  <c:v>0</c:v>
                </c:pt>
                <c:pt idx="1">
                  <c:v>0.1214381677909188</c:v>
                </c:pt>
                <c:pt idx="2">
                  <c:v>0.44778046525111509</c:v>
                </c:pt>
                <c:pt idx="3">
                  <c:v>0.91565415118151761</c:v>
                </c:pt>
                <c:pt idx="4">
                  <c:v>1.727007334876614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B5-41B3-93DA-3BB110BD4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6853968"/>
        <c:axId val="1456856880"/>
      </c:scatterChart>
      <c:scatterChart>
        <c:scatterStyle val="smoothMarker"/>
        <c:varyColors val="0"/>
        <c:ser>
          <c:idx val="1"/>
          <c:order val="1"/>
          <c:tx>
            <c:v>IDMSFit</c:v>
          </c:tx>
          <c:spPr>
            <a:ln w="95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RND!$B$1709:$HX$1709</c:f>
              <c:numCache>
                <c:formatCode>General</c:formatCode>
                <c:ptCount val="231"/>
                <c:pt idx="0">
                  <c:v>0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16</c:v>
                </c:pt>
                <c:pt idx="5">
                  <c:v>20</c:v>
                </c:pt>
                <c:pt idx="6">
                  <c:v>24</c:v>
                </c:pt>
                <c:pt idx="7">
                  <c:v>28</c:v>
                </c:pt>
                <c:pt idx="8">
                  <c:v>32</c:v>
                </c:pt>
                <c:pt idx="9">
                  <c:v>36</c:v>
                </c:pt>
                <c:pt idx="10">
                  <c:v>40</c:v>
                </c:pt>
                <c:pt idx="11">
                  <c:v>44</c:v>
                </c:pt>
                <c:pt idx="12">
                  <c:v>48</c:v>
                </c:pt>
                <c:pt idx="13">
                  <c:v>52</c:v>
                </c:pt>
                <c:pt idx="14">
                  <c:v>56</c:v>
                </c:pt>
                <c:pt idx="15">
                  <c:v>60</c:v>
                </c:pt>
                <c:pt idx="16">
                  <c:v>64</c:v>
                </c:pt>
                <c:pt idx="17">
                  <c:v>68</c:v>
                </c:pt>
                <c:pt idx="18">
                  <c:v>72</c:v>
                </c:pt>
                <c:pt idx="19">
                  <c:v>76</c:v>
                </c:pt>
                <c:pt idx="20">
                  <c:v>80</c:v>
                </c:pt>
                <c:pt idx="21">
                  <c:v>84</c:v>
                </c:pt>
                <c:pt idx="22">
                  <c:v>88</c:v>
                </c:pt>
                <c:pt idx="23">
                  <c:v>92</c:v>
                </c:pt>
                <c:pt idx="24">
                  <c:v>96</c:v>
                </c:pt>
                <c:pt idx="25">
                  <c:v>100</c:v>
                </c:pt>
                <c:pt idx="26">
                  <c:v>104</c:v>
                </c:pt>
                <c:pt idx="27">
                  <c:v>108</c:v>
                </c:pt>
                <c:pt idx="28">
                  <c:v>112</c:v>
                </c:pt>
                <c:pt idx="29">
                  <c:v>116</c:v>
                </c:pt>
                <c:pt idx="30">
                  <c:v>120</c:v>
                </c:pt>
                <c:pt idx="31">
                  <c:v>124</c:v>
                </c:pt>
                <c:pt idx="32">
                  <c:v>128</c:v>
                </c:pt>
                <c:pt idx="33">
                  <c:v>132</c:v>
                </c:pt>
                <c:pt idx="34">
                  <c:v>136</c:v>
                </c:pt>
                <c:pt idx="35">
                  <c:v>140</c:v>
                </c:pt>
                <c:pt idx="36">
                  <c:v>144</c:v>
                </c:pt>
                <c:pt idx="37">
                  <c:v>148</c:v>
                </c:pt>
                <c:pt idx="38">
                  <c:v>152</c:v>
                </c:pt>
                <c:pt idx="39">
                  <c:v>156</c:v>
                </c:pt>
                <c:pt idx="40">
                  <c:v>160</c:v>
                </c:pt>
                <c:pt idx="41">
                  <c:v>164</c:v>
                </c:pt>
                <c:pt idx="42">
                  <c:v>168</c:v>
                </c:pt>
                <c:pt idx="43">
                  <c:v>172</c:v>
                </c:pt>
                <c:pt idx="44">
                  <c:v>176</c:v>
                </c:pt>
                <c:pt idx="45">
                  <c:v>180</c:v>
                </c:pt>
                <c:pt idx="46">
                  <c:v>184</c:v>
                </c:pt>
                <c:pt idx="47">
                  <c:v>188</c:v>
                </c:pt>
                <c:pt idx="48">
                  <c:v>192</c:v>
                </c:pt>
                <c:pt idx="49">
                  <c:v>196</c:v>
                </c:pt>
                <c:pt idx="50">
                  <c:v>200</c:v>
                </c:pt>
                <c:pt idx="51">
                  <c:v>204</c:v>
                </c:pt>
                <c:pt idx="52">
                  <c:v>208</c:v>
                </c:pt>
                <c:pt idx="53">
                  <c:v>212</c:v>
                </c:pt>
                <c:pt idx="54">
                  <c:v>216</c:v>
                </c:pt>
                <c:pt idx="55">
                  <c:v>220</c:v>
                </c:pt>
                <c:pt idx="56">
                  <c:v>224</c:v>
                </c:pt>
                <c:pt idx="57">
                  <c:v>228</c:v>
                </c:pt>
                <c:pt idx="58">
                  <c:v>232</c:v>
                </c:pt>
                <c:pt idx="59">
                  <c:v>236</c:v>
                </c:pt>
                <c:pt idx="60">
                  <c:v>240</c:v>
                </c:pt>
                <c:pt idx="61">
                  <c:v>244</c:v>
                </c:pt>
                <c:pt idx="62">
                  <c:v>248</c:v>
                </c:pt>
                <c:pt idx="63">
                  <c:v>252</c:v>
                </c:pt>
                <c:pt idx="64">
                  <c:v>256</c:v>
                </c:pt>
                <c:pt idx="65">
                  <c:v>260</c:v>
                </c:pt>
                <c:pt idx="66">
                  <c:v>264</c:v>
                </c:pt>
                <c:pt idx="67">
                  <c:v>268</c:v>
                </c:pt>
                <c:pt idx="68">
                  <c:v>272</c:v>
                </c:pt>
                <c:pt idx="69">
                  <c:v>276</c:v>
                </c:pt>
                <c:pt idx="70">
                  <c:v>280</c:v>
                </c:pt>
                <c:pt idx="71">
                  <c:v>284</c:v>
                </c:pt>
                <c:pt idx="72">
                  <c:v>288</c:v>
                </c:pt>
                <c:pt idx="73">
                  <c:v>292</c:v>
                </c:pt>
                <c:pt idx="74">
                  <c:v>296</c:v>
                </c:pt>
                <c:pt idx="75">
                  <c:v>300</c:v>
                </c:pt>
                <c:pt idx="76">
                  <c:v>304</c:v>
                </c:pt>
                <c:pt idx="77">
                  <c:v>308</c:v>
                </c:pt>
                <c:pt idx="78">
                  <c:v>312</c:v>
                </c:pt>
                <c:pt idx="79">
                  <c:v>316</c:v>
                </c:pt>
                <c:pt idx="80">
                  <c:v>320</c:v>
                </c:pt>
                <c:pt idx="81">
                  <c:v>324</c:v>
                </c:pt>
                <c:pt idx="82">
                  <c:v>328</c:v>
                </c:pt>
                <c:pt idx="83">
                  <c:v>332</c:v>
                </c:pt>
                <c:pt idx="84">
                  <c:v>336</c:v>
                </c:pt>
                <c:pt idx="85">
                  <c:v>340</c:v>
                </c:pt>
                <c:pt idx="86">
                  <c:v>344</c:v>
                </c:pt>
                <c:pt idx="87">
                  <c:v>348</c:v>
                </c:pt>
                <c:pt idx="88">
                  <c:v>352</c:v>
                </c:pt>
                <c:pt idx="89">
                  <c:v>356</c:v>
                </c:pt>
                <c:pt idx="90">
                  <c:v>360</c:v>
                </c:pt>
                <c:pt idx="91">
                  <c:v>364</c:v>
                </c:pt>
                <c:pt idx="92">
                  <c:v>368</c:v>
                </c:pt>
                <c:pt idx="93">
                  <c:v>372</c:v>
                </c:pt>
                <c:pt idx="94">
                  <c:v>376</c:v>
                </c:pt>
                <c:pt idx="95">
                  <c:v>380</c:v>
                </c:pt>
                <c:pt idx="96">
                  <c:v>384</c:v>
                </c:pt>
                <c:pt idx="97">
                  <c:v>388</c:v>
                </c:pt>
                <c:pt idx="98">
                  <c:v>392</c:v>
                </c:pt>
                <c:pt idx="99">
                  <c:v>396</c:v>
                </c:pt>
                <c:pt idx="100">
                  <c:v>400</c:v>
                </c:pt>
                <c:pt idx="101">
                  <c:v>404</c:v>
                </c:pt>
                <c:pt idx="102">
                  <c:v>408</c:v>
                </c:pt>
                <c:pt idx="103">
                  <c:v>412</c:v>
                </c:pt>
                <c:pt idx="104">
                  <c:v>416</c:v>
                </c:pt>
                <c:pt idx="105">
                  <c:v>420</c:v>
                </c:pt>
                <c:pt idx="106">
                  <c:v>424</c:v>
                </c:pt>
                <c:pt idx="107">
                  <c:v>428</c:v>
                </c:pt>
                <c:pt idx="108">
                  <c:v>432</c:v>
                </c:pt>
                <c:pt idx="109">
                  <c:v>436</c:v>
                </c:pt>
                <c:pt idx="110">
                  <c:v>440</c:v>
                </c:pt>
                <c:pt idx="111">
                  <c:v>444</c:v>
                </c:pt>
                <c:pt idx="112">
                  <c:v>448</c:v>
                </c:pt>
                <c:pt idx="113">
                  <c:v>452</c:v>
                </c:pt>
                <c:pt idx="114">
                  <c:v>456</c:v>
                </c:pt>
                <c:pt idx="115">
                  <c:v>460</c:v>
                </c:pt>
                <c:pt idx="116">
                  <c:v>464</c:v>
                </c:pt>
                <c:pt idx="117">
                  <c:v>468</c:v>
                </c:pt>
                <c:pt idx="118">
                  <c:v>472</c:v>
                </c:pt>
                <c:pt idx="119">
                  <c:v>476</c:v>
                </c:pt>
                <c:pt idx="120">
                  <c:v>480</c:v>
                </c:pt>
                <c:pt idx="121">
                  <c:v>484</c:v>
                </c:pt>
                <c:pt idx="122">
                  <c:v>488</c:v>
                </c:pt>
                <c:pt idx="123">
                  <c:v>492</c:v>
                </c:pt>
                <c:pt idx="124">
                  <c:v>496</c:v>
                </c:pt>
                <c:pt idx="125">
                  <c:v>500</c:v>
                </c:pt>
                <c:pt idx="126">
                  <c:v>504</c:v>
                </c:pt>
                <c:pt idx="127">
                  <c:v>508</c:v>
                </c:pt>
                <c:pt idx="128">
                  <c:v>512</c:v>
                </c:pt>
                <c:pt idx="129">
                  <c:v>516</c:v>
                </c:pt>
                <c:pt idx="130">
                  <c:v>520</c:v>
                </c:pt>
                <c:pt idx="131">
                  <c:v>524</c:v>
                </c:pt>
                <c:pt idx="132">
                  <c:v>528</c:v>
                </c:pt>
                <c:pt idx="133">
                  <c:v>532</c:v>
                </c:pt>
                <c:pt idx="134">
                  <c:v>536</c:v>
                </c:pt>
                <c:pt idx="135">
                  <c:v>540</c:v>
                </c:pt>
                <c:pt idx="136">
                  <c:v>544</c:v>
                </c:pt>
                <c:pt idx="137">
                  <c:v>548</c:v>
                </c:pt>
                <c:pt idx="138">
                  <c:v>552</c:v>
                </c:pt>
                <c:pt idx="139">
                  <c:v>556</c:v>
                </c:pt>
                <c:pt idx="140">
                  <c:v>560</c:v>
                </c:pt>
                <c:pt idx="141">
                  <c:v>564</c:v>
                </c:pt>
                <c:pt idx="142">
                  <c:v>568</c:v>
                </c:pt>
                <c:pt idx="143">
                  <c:v>572</c:v>
                </c:pt>
                <c:pt idx="144">
                  <c:v>576</c:v>
                </c:pt>
                <c:pt idx="145">
                  <c:v>580</c:v>
                </c:pt>
                <c:pt idx="146">
                  <c:v>584</c:v>
                </c:pt>
                <c:pt idx="147">
                  <c:v>588</c:v>
                </c:pt>
                <c:pt idx="148">
                  <c:v>592</c:v>
                </c:pt>
                <c:pt idx="149">
                  <c:v>596</c:v>
                </c:pt>
                <c:pt idx="150">
                  <c:v>600</c:v>
                </c:pt>
                <c:pt idx="151">
                  <c:v>604</c:v>
                </c:pt>
                <c:pt idx="152">
                  <c:v>608</c:v>
                </c:pt>
                <c:pt idx="153">
                  <c:v>612</c:v>
                </c:pt>
                <c:pt idx="154">
                  <c:v>616</c:v>
                </c:pt>
                <c:pt idx="155">
                  <c:v>620</c:v>
                </c:pt>
                <c:pt idx="156">
                  <c:v>624</c:v>
                </c:pt>
                <c:pt idx="157">
                  <c:v>628</c:v>
                </c:pt>
                <c:pt idx="158">
                  <c:v>632</c:v>
                </c:pt>
                <c:pt idx="159">
                  <c:v>636</c:v>
                </c:pt>
                <c:pt idx="160">
                  <c:v>640</c:v>
                </c:pt>
                <c:pt idx="161">
                  <c:v>644</c:v>
                </c:pt>
                <c:pt idx="162">
                  <c:v>648</c:v>
                </c:pt>
                <c:pt idx="163">
                  <c:v>652</c:v>
                </c:pt>
                <c:pt idx="164">
                  <c:v>656</c:v>
                </c:pt>
                <c:pt idx="165">
                  <c:v>660</c:v>
                </c:pt>
                <c:pt idx="166">
                  <c:v>664</c:v>
                </c:pt>
                <c:pt idx="167">
                  <c:v>668</c:v>
                </c:pt>
                <c:pt idx="168">
                  <c:v>672</c:v>
                </c:pt>
                <c:pt idx="169">
                  <c:v>676</c:v>
                </c:pt>
                <c:pt idx="170">
                  <c:v>680</c:v>
                </c:pt>
                <c:pt idx="171">
                  <c:v>684</c:v>
                </c:pt>
                <c:pt idx="172">
                  <c:v>688</c:v>
                </c:pt>
                <c:pt idx="173">
                  <c:v>692</c:v>
                </c:pt>
                <c:pt idx="174">
                  <c:v>696</c:v>
                </c:pt>
                <c:pt idx="175">
                  <c:v>700</c:v>
                </c:pt>
                <c:pt idx="176">
                  <c:v>704</c:v>
                </c:pt>
                <c:pt idx="177">
                  <c:v>708</c:v>
                </c:pt>
                <c:pt idx="178">
                  <c:v>712</c:v>
                </c:pt>
                <c:pt idx="179">
                  <c:v>716</c:v>
                </c:pt>
                <c:pt idx="180">
                  <c:v>720</c:v>
                </c:pt>
                <c:pt idx="181">
                  <c:v>724</c:v>
                </c:pt>
                <c:pt idx="182">
                  <c:v>728</c:v>
                </c:pt>
                <c:pt idx="183">
                  <c:v>732</c:v>
                </c:pt>
                <c:pt idx="184">
                  <c:v>736</c:v>
                </c:pt>
                <c:pt idx="185">
                  <c:v>740</c:v>
                </c:pt>
                <c:pt idx="186">
                  <c:v>744</c:v>
                </c:pt>
                <c:pt idx="187">
                  <c:v>748</c:v>
                </c:pt>
                <c:pt idx="188">
                  <c:v>752</c:v>
                </c:pt>
                <c:pt idx="189">
                  <c:v>756</c:v>
                </c:pt>
                <c:pt idx="190">
                  <c:v>760</c:v>
                </c:pt>
                <c:pt idx="191">
                  <c:v>764</c:v>
                </c:pt>
                <c:pt idx="192">
                  <c:v>768</c:v>
                </c:pt>
                <c:pt idx="193">
                  <c:v>772</c:v>
                </c:pt>
                <c:pt idx="194">
                  <c:v>776</c:v>
                </c:pt>
                <c:pt idx="195">
                  <c:v>780</c:v>
                </c:pt>
                <c:pt idx="196">
                  <c:v>784</c:v>
                </c:pt>
                <c:pt idx="197">
                  <c:v>788</c:v>
                </c:pt>
                <c:pt idx="198">
                  <c:v>792</c:v>
                </c:pt>
                <c:pt idx="199">
                  <c:v>796</c:v>
                </c:pt>
                <c:pt idx="200">
                  <c:v>800</c:v>
                </c:pt>
                <c:pt idx="201">
                  <c:v>804</c:v>
                </c:pt>
                <c:pt idx="202">
                  <c:v>808</c:v>
                </c:pt>
                <c:pt idx="203">
                  <c:v>812</c:v>
                </c:pt>
                <c:pt idx="204">
                  <c:v>816</c:v>
                </c:pt>
                <c:pt idx="205">
                  <c:v>820</c:v>
                </c:pt>
                <c:pt idx="206">
                  <c:v>824</c:v>
                </c:pt>
                <c:pt idx="207">
                  <c:v>828</c:v>
                </c:pt>
                <c:pt idx="208">
                  <c:v>832</c:v>
                </c:pt>
                <c:pt idx="209">
                  <c:v>836</c:v>
                </c:pt>
                <c:pt idx="210">
                  <c:v>840</c:v>
                </c:pt>
                <c:pt idx="211">
                  <c:v>844</c:v>
                </c:pt>
                <c:pt idx="212">
                  <c:v>848</c:v>
                </c:pt>
                <c:pt idx="213">
                  <c:v>852</c:v>
                </c:pt>
                <c:pt idx="214">
                  <c:v>856</c:v>
                </c:pt>
                <c:pt idx="215">
                  <c:v>860</c:v>
                </c:pt>
                <c:pt idx="216">
                  <c:v>864</c:v>
                </c:pt>
                <c:pt idx="217">
                  <c:v>868</c:v>
                </c:pt>
                <c:pt idx="218">
                  <c:v>872</c:v>
                </c:pt>
                <c:pt idx="219">
                  <c:v>876</c:v>
                </c:pt>
                <c:pt idx="220">
                  <c:v>880</c:v>
                </c:pt>
                <c:pt idx="221">
                  <c:v>884</c:v>
                </c:pt>
                <c:pt idx="222">
                  <c:v>888</c:v>
                </c:pt>
                <c:pt idx="223">
                  <c:v>892</c:v>
                </c:pt>
                <c:pt idx="224">
                  <c:v>896</c:v>
                </c:pt>
                <c:pt idx="225">
                  <c:v>900</c:v>
                </c:pt>
                <c:pt idx="226">
                  <c:v>904</c:v>
                </c:pt>
                <c:pt idx="227">
                  <c:v>908</c:v>
                </c:pt>
                <c:pt idx="228">
                  <c:v>912</c:v>
                </c:pt>
                <c:pt idx="229">
                  <c:v>916</c:v>
                </c:pt>
                <c:pt idx="230">
                  <c:v>920</c:v>
                </c:pt>
              </c:numCache>
            </c:numRef>
          </c:xVal>
          <c:yVal>
            <c:numRef>
              <c:f>RND!$B$1710:$HX$1710</c:f>
              <c:numCache>
                <c:formatCode>General</c:formatCode>
                <c:ptCount val="231"/>
                <c:pt idx="0">
                  <c:v>6.3039595019898087E-3</c:v>
                </c:pt>
                <c:pt idx="1">
                  <c:v>1.5606174687104494E-2</c:v>
                </c:pt>
                <c:pt idx="2">
                  <c:v>2.4895669197039661E-2</c:v>
                </c:pt>
                <c:pt idx="3">
                  <c:v>3.4172469107037966E-2</c:v>
                </c:pt>
                <c:pt idx="4">
                  <c:v>4.3436600421124245E-2</c:v>
                </c:pt>
                <c:pt idx="5">
                  <c:v>5.268808907234851E-2</c:v>
                </c:pt>
                <c:pt idx="6">
                  <c:v>6.1926960923027886E-2</c:v>
                </c:pt>
                <c:pt idx="7">
                  <c:v>7.1153241764987663E-2</c:v>
                </c:pt>
                <c:pt idx="8">
                  <c:v>8.0366957319801244E-2</c:v>
                </c:pt>
                <c:pt idx="9">
                  <c:v>8.9568133239029207E-2</c:v>
                </c:pt>
                <c:pt idx="10">
                  <c:v>9.8756795104457382E-2</c:v>
                </c:pt>
                <c:pt idx="11">
                  <c:v>0.10793296842833387</c:v>
                </c:pt>
                <c:pt idx="12">
                  <c:v>0.11709667865360519</c:v>
                </c:pt>
                <c:pt idx="13">
                  <c:v>0.12624795115415144</c:v>
                </c:pt>
                <c:pt idx="14">
                  <c:v>0.1353868112350205</c:v>
                </c:pt>
                <c:pt idx="15">
                  <c:v>0.14451328413266123</c:v>
                </c:pt>
                <c:pt idx="16">
                  <c:v>0.15362739501515582</c:v>
                </c:pt>
                <c:pt idx="17">
                  <c:v>0.16272916898245118</c:v>
                </c:pt>
                <c:pt idx="18">
                  <c:v>0.17181863106658918</c:v>
                </c:pt>
                <c:pt idx="19">
                  <c:v>0.18089580623193638</c:v>
                </c:pt>
                <c:pt idx="20">
                  <c:v>0.18996071937541237</c:v>
                </c:pt>
                <c:pt idx="21">
                  <c:v>0.1990133953267175</c:v>
                </c:pt>
                <c:pt idx="22">
                  <c:v>0.20805385884855956</c:v>
                </c:pt>
                <c:pt idx="23">
                  <c:v>0.21708213463687959</c:v>
                </c:pt>
                <c:pt idx="24">
                  <c:v>0.22609824732107664</c:v>
                </c:pt>
                <c:pt idx="25">
                  <c:v>0.23510222146423201</c:v>
                </c:pt>
                <c:pt idx="26">
                  <c:v>0.24409408156333195</c:v>
                </c:pt>
                <c:pt idx="27">
                  <c:v>0.25307385204949018</c:v>
                </c:pt>
                <c:pt idx="28">
                  <c:v>0.26204155728816864</c:v>
                </c:pt>
                <c:pt idx="29">
                  <c:v>0.27099722157939865</c:v>
                </c:pt>
                <c:pt idx="30">
                  <c:v>0.27994086915799971</c:v>
                </c:pt>
                <c:pt idx="31">
                  <c:v>0.28887252419379839</c:v>
                </c:pt>
                <c:pt idx="32">
                  <c:v>0.29779221079184587</c:v>
                </c:pt>
                <c:pt idx="33">
                  <c:v>0.30669995299263525</c:v>
                </c:pt>
                <c:pt idx="34">
                  <c:v>0.31559577477231698</c:v>
                </c:pt>
                <c:pt idx="35">
                  <c:v>0.32447970004291432</c:v>
                </c:pt>
                <c:pt idx="36">
                  <c:v>0.33335175265253736</c:v>
                </c:pt>
                <c:pt idx="37">
                  <c:v>0.34221195638559665</c:v>
                </c:pt>
                <c:pt idx="38">
                  <c:v>0.35106033496301575</c:v>
                </c:pt>
                <c:pt idx="39">
                  <c:v>0.35989691204244256</c:v>
                </c:pt>
                <c:pt idx="40">
                  <c:v>0.36872171121846053</c:v>
                </c:pt>
                <c:pt idx="41">
                  <c:v>0.3775347560227984</c:v>
                </c:pt>
                <c:pt idx="42">
                  <c:v>0.38633606992453984</c:v>
                </c:pt>
                <c:pt idx="43">
                  <c:v>0.39512567633033113</c:v>
                </c:pt>
                <c:pt idx="44">
                  <c:v>0.40390359858458891</c:v>
                </c:pt>
                <c:pt idx="45">
                  <c:v>0.41266985996970712</c:v>
                </c:pt>
                <c:pt idx="46">
                  <c:v>0.42142448370626262</c:v>
                </c:pt>
                <c:pt idx="47">
                  <c:v>0.43016749295321999</c:v>
                </c:pt>
                <c:pt idx="48">
                  <c:v>0.43889891080813609</c:v>
                </c:pt>
                <c:pt idx="49">
                  <c:v>0.44761876030736347</c:v>
                </c:pt>
                <c:pt idx="50">
                  <c:v>0.45632706442625276</c:v>
                </c:pt>
                <c:pt idx="51">
                  <c:v>0.46502384607935443</c:v>
                </c:pt>
                <c:pt idx="52">
                  <c:v>0.47370912812061994</c:v>
                </c:pt>
                <c:pt idx="53">
                  <c:v>0.48238293334360194</c:v>
                </c:pt>
                <c:pt idx="54">
                  <c:v>0.49104528448165363</c:v>
                </c:pt>
                <c:pt idx="55">
                  <c:v>0.4996962042081271</c:v>
                </c:pt>
                <c:pt idx="56">
                  <c:v>0.5083357151365715</c:v>
                </c:pt>
                <c:pt idx="57">
                  <c:v>0.51696383982093019</c:v>
                </c:pt>
                <c:pt idx="58">
                  <c:v>0.52558060075573665</c:v>
                </c:pt>
                <c:pt idx="59">
                  <c:v>0.53418602037630991</c:v>
                </c:pt>
                <c:pt idx="60">
                  <c:v>0.54278012105894957</c:v>
                </c:pt>
                <c:pt idx="61">
                  <c:v>0.55136292512112983</c:v>
                </c:pt>
                <c:pt idx="62">
                  <c:v>0.55993445482169224</c:v>
                </c:pt>
                <c:pt idx="63">
                  <c:v>0.5684947323610382</c:v>
                </c:pt>
                <c:pt idx="64">
                  <c:v>0.57704377988132116</c:v>
                </c:pt>
                <c:pt idx="65">
                  <c:v>0.585581619466637</c:v>
                </c:pt>
                <c:pt idx="66">
                  <c:v>0.59410827314321435</c:v>
                </c:pt>
                <c:pt idx="67">
                  <c:v>0.60262376287960406</c:v>
                </c:pt>
                <c:pt idx="68">
                  <c:v>0.61112811058686745</c:v>
                </c:pt>
                <c:pt idx="69">
                  <c:v>0.61962133811876507</c:v>
                </c:pt>
                <c:pt idx="70">
                  <c:v>0.62810346727194322</c:v>
                </c:pt>
                <c:pt idx="71">
                  <c:v>0.63657451978612045</c:v>
                </c:pt>
                <c:pt idx="72">
                  <c:v>0.64503451734427375</c:v>
                </c:pt>
                <c:pt idx="73">
                  <c:v>0.65348348157282299</c:v>
                </c:pt>
                <c:pt idx="74">
                  <c:v>0.6619214340418158</c:v>
                </c:pt>
                <c:pt idx="75">
                  <c:v>0.67034839626511056</c:v>
                </c:pt>
                <c:pt idx="76">
                  <c:v>0.6787643897005593</c:v>
                </c:pt>
                <c:pt idx="77">
                  <c:v>0.68716943575019029</c:v>
                </c:pt>
                <c:pt idx="78">
                  <c:v>0.69556355576038931</c:v>
                </c:pt>
                <c:pt idx="79">
                  <c:v>0.7039467710220797</c:v>
                </c:pt>
                <c:pt idx="80">
                  <c:v>0.71231910277090338</c:v>
                </c:pt>
                <c:pt idx="81">
                  <c:v>0.72068057218739945</c:v>
                </c:pt>
                <c:pt idx="82">
                  <c:v>0.72903120039718317</c:v>
                </c:pt>
                <c:pt idx="83">
                  <c:v>0.73737100847112369</c:v>
                </c:pt>
                <c:pt idx="84">
                  <c:v>0.74570001742552106</c:v>
                </c:pt>
                <c:pt idx="85">
                  <c:v>0.75401824822228347</c:v>
                </c:pt>
                <c:pt idx="86">
                  <c:v>0.76232572176910229</c:v>
                </c:pt>
                <c:pt idx="87">
                  <c:v>0.77062245891962777</c:v>
                </c:pt>
                <c:pt idx="88">
                  <c:v>0.77890848047364325</c:v>
                </c:pt>
                <c:pt idx="89">
                  <c:v>0.78718380717723946</c:v>
                </c:pt>
                <c:pt idx="90">
                  <c:v>0.79544845972298683</c:v>
                </c:pt>
                <c:pt idx="91">
                  <c:v>0.80370245875010893</c:v>
                </c:pt>
                <c:pt idx="92">
                  <c:v>0.81194582484465305</c:v>
                </c:pt>
                <c:pt idx="93">
                  <c:v>0.82017857853966269</c:v>
                </c:pt>
                <c:pt idx="94">
                  <c:v>0.82840074031534738</c:v>
                </c:pt>
                <c:pt idx="95">
                  <c:v>0.83661233059925222</c:v>
                </c:pt>
                <c:pt idx="96">
                  <c:v>0.84481336976642762</c:v>
                </c:pt>
                <c:pt idx="97">
                  <c:v>0.85300387813959766</c:v>
                </c:pt>
                <c:pt idx="98">
                  <c:v>0.86118387598932755</c:v>
                </c:pt>
                <c:pt idx="99">
                  <c:v>0.86935338353419178</c:v>
                </c:pt>
                <c:pt idx="100">
                  <c:v>0.8775124209409394</c:v>
                </c:pt>
                <c:pt idx="101">
                  <c:v>0.88566100832466099</c:v>
                </c:pt>
                <c:pt idx="102">
                  <c:v>0.89379916574895402</c:v>
                </c:pt>
                <c:pt idx="103">
                  <c:v>0.90192691322608631</c:v>
                </c:pt>
                <c:pt idx="104">
                  <c:v>0.91004427071716165</c:v>
                </c:pt>
                <c:pt idx="105">
                  <c:v>0.91815125813228193</c:v>
                </c:pt>
                <c:pt idx="106">
                  <c:v>0.92624789533071128</c:v>
                </c:pt>
                <c:pt idx="107">
                  <c:v>0.93433420212103646</c:v>
                </c:pt>
                <c:pt idx="108">
                  <c:v>0.94241019826132988</c:v>
                </c:pt>
                <c:pt idx="109">
                  <c:v>0.95047590345930955</c:v>
                </c:pt>
                <c:pt idx="110">
                  <c:v>0.95853133737250051</c:v>
                </c:pt>
                <c:pt idx="111">
                  <c:v>0.96657651960839319</c:v>
                </c:pt>
                <c:pt idx="112">
                  <c:v>0.97461146972460377</c:v>
                </c:pt>
                <c:pt idx="113">
                  <c:v>0.98263620722903156</c:v>
                </c:pt>
                <c:pt idx="114">
                  <c:v>0.99065075158001714</c:v>
                </c:pt>
                <c:pt idx="115">
                  <c:v>0.99865512218650077</c:v>
                </c:pt>
                <c:pt idx="116">
                  <c:v>1.0066493384081772</c:v>
                </c:pt>
                <c:pt idx="117">
                  <c:v>1.0146334195556537</c:v>
                </c:pt>
                <c:pt idx="118">
                  <c:v>1.0226073848906034</c:v>
                </c:pt>
                <c:pt idx="119">
                  <c:v>1.0305712536259217</c:v>
                </c:pt>
                <c:pt idx="120">
                  <c:v>1.0385250449258812</c:v>
                </c:pt>
                <c:pt idx="121">
                  <c:v>1.0464687779062831</c:v>
                </c:pt>
                <c:pt idx="122">
                  <c:v>1.0544024716346125</c:v>
                </c:pt>
                <c:pt idx="123">
                  <c:v>1.0623261451301897</c:v>
                </c:pt>
                <c:pt idx="124">
                  <c:v>1.0702398173643233</c:v>
                </c:pt>
                <c:pt idx="125">
                  <c:v>1.0781435072604595</c:v>
                </c:pt>
                <c:pt idx="126">
                  <c:v>1.086037233694336</c:v>
                </c:pt>
                <c:pt idx="127">
                  <c:v>1.0939210154941299</c:v>
                </c:pt>
                <c:pt idx="128">
                  <c:v>1.1017948714406078</c:v>
                </c:pt>
                <c:pt idx="129">
                  <c:v>1.1096588202672764</c:v>
                </c:pt>
                <c:pt idx="130">
                  <c:v>1.1175128806605279</c:v>
                </c:pt>
                <c:pt idx="131">
                  <c:v>1.1253570712597925</c:v>
                </c:pt>
                <c:pt idx="132">
                  <c:v>1.1331914106576815</c:v>
                </c:pt>
                <c:pt idx="133">
                  <c:v>1.1410159174001371</c:v>
                </c:pt>
                <c:pt idx="134">
                  <c:v>1.1488306099865773</c:v>
                </c:pt>
                <c:pt idx="135">
                  <c:v>1.156635506870042</c:v>
                </c:pt>
                <c:pt idx="136">
                  <c:v>1.164430626457339</c:v>
                </c:pt>
                <c:pt idx="137">
                  <c:v>1.1722159871091873</c:v>
                </c:pt>
                <c:pt idx="138">
                  <c:v>1.1799916071403627</c:v>
                </c:pt>
                <c:pt idx="139">
                  <c:v>1.1877575048198403</c:v>
                </c:pt>
                <c:pt idx="140">
                  <c:v>1.1955136983709385</c:v>
                </c:pt>
                <c:pt idx="141">
                  <c:v>1.2032602059714601</c:v>
                </c:pt>
                <c:pt idx="142">
                  <c:v>1.2109970457538364</c:v>
                </c:pt>
                <c:pt idx="143">
                  <c:v>1.218724235805267</c:v>
                </c:pt>
                <c:pt idx="144">
                  <c:v>1.2264417941678614</c:v>
                </c:pt>
                <c:pt idx="145">
                  <c:v>1.234149738838779</c:v>
                </c:pt>
                <c:pt idx="146">
                  <c:v>1.2418480877703697</c:v>
                </c:pt>
                <c:pt idx="147">
                  <c:v>1.2495368588703131</c:v>
                </c:pt>
                <c:pt idx="148">
                  <c:v>1.2572160700017563</c:v>
                </c:pt>
                <c:pt idx="149">
                  <c:v>1.2648857389834542</c:v>
                </c:pt>
                <c:pt idx="150">
                  <c:v>1.2725458835899053</c:v>
                </c:pt>
                <c:pt idx="151">
                  <c:v>1.2801965215514899</c:v>
                </c:pt>
                <c:pt idx="152">
                  <c:v>1.2878376705546077</c:v>
                </c:pt>
                <c:pt idx="153">
                  <c:v>1.2954693482418131</c:v>
                </c:pt>
                <c:pt idx="154">
                  <c:v>1.3030915722119503</c:v>
                </c:pt>
                <c:pt idx="155">
                  <c:v>1.3107043600202903</c:v>
                </c:pt>
                <c:pt idx="156">
                  <c:v>1.3183077291786649</c:v>
                </c:pt>
                <c:pt idx="157">
                  <c:v>1.3259016971556001</c:v>
                </c:pt>
                <c:pt idx="158">
                  <c:v>1.3334862813764519</c:v>
                </c:pt>
                <c:pt idx="159">
                  <c:v>1.341061499223537</c:v>
                </c:pt>
                <c:pt idx="160">
                  <c:v>1.3486273680362681</c:v>
                </c:pt>
                <c:pt idx="161">
                  <c:v>1.3561839051112845</c:v>
                </c:pt>
                <c:pt idx="162">
                  <c:v>1.3637311277025843</c:v>
                </c:pt>
                <c:pt idx="163">
                  <c:v>1.3712690530216567</c:v>
                </c:pt>
                <c:pt idx="164">
                  <c:v>1.3787976982376111</c:v>
                </c:pt>
                <c:pt idx="165">
                  <c:v>1.3863170804773091</c:v>
                </c:pt>
                <c:pt idx="166">
                  <c:v>1.393827216825493</c:v>
                </c:pt>
                <c:pt idx="167">
                  <c:v>1.4013281243249163</c:v>
                </c:pt>
                <c:pt idx="168">
                  <c:v>1.4088198199764723</c:v>
                </c:pt>
                <c:pt idx="169">
                  <c:v>1.4163023207393217</c:v>
                </c:pt>
                <c:pt idx="170">
                  <c:v>1.4237756435310218</c:v>
                </c:pt>
                <c:pt idx="171">
                  <c:v>1.431239805227654</c:v>
                </c:pt>
                <c:pt idx="172">
                  <c:v>1.4386948226639493</c:v>
                </c:pt>
                <c:pt idx="173">
                  <c:v>1.446140712633416</c:v>
                </c:pt>
                <c:pt idx="174">
                  <c:v>1.4535774918884665</c:v>
                </c:pt>
                <c:pt idx="175">
                  <c:v>1.4610051771405412</c:v>
                </c:pt>
                <c:pt idx="176">
                  <c:v>1.4684237850602351</c:v>
                </c:pt>
                <c:pt idx="177">
                  <c:v>1.475833332277422</c:v>
                </c:pt>
                <c:pt idx="178">
                  <c:v>1.4832338353813781</c:v>
                </c:pt>
                <c:pt idx="179">
                  <c:v>1.4906253109209076</c:v>
                </c:pt>
                <c:pt idx="180">
                  <c:v>1.4980077754044638</c:v>
                </c:pt>
                <c:pt idx="181">
                  <c:v>1.505381245300274</c:v>
                </c:pt>
                <c:pt idx="182">
                  <c:v>1.5127457370364608</c:v>
                </c:pt>
                <c:pt idx="183">
                  <c:v>1.5201012670011635</c:v>
                </c:pt>
                <c:pt idx="184">
                  <c:v>1.5274478515426622</c:v>
                </c:pt>
                <c:pt idx="185">
                  <c:v>1.5347855069694967</c:v>
                </c:pt>
                <c:pt idx="186">
                  <c:v>1.542114249550586</c:v>
                </c:pt>
                <c:pt idx="187">
                  <c:v>1.5494340955153529</c:v>
                </c:pt>
                <c:pt idx="188">
                  <c:v>1.55674506105384</c:v>
                </c:pt>
                <c:pt idx="189">
                  <c:v>1.5640471623168299</c:v>
                </c:pt>
                <c:pt idx="190">
                  <c:v>1.5713404154159649</c:v>
                </c:pt>
                <c:pt idx="191">
                  <c:v>1.5786248364238651</c:v>
                </c:pt>
                <c:pt idx="192">
                  <c:v>1.5859004413742464</c:v>
                </c:pt>
                <c:pt idx="193">
                  <c:v>1.5931672462620379</c:v>
                </c:pt>
                <c:pt idx="194">
                  <c:v>1.6004252670434993</c:v>
                </c:pt>
                <c:pt idx="195">
                  <c:v>1.6076745196363391</c:v>
                </c:pt>
                <c:pt idx="196">
                  <c:v>1.6149150199198277</c:v>
                </c:pt>
                <c:pt idx="197">
                  <c:v>1.6221467837349166</c:v>
                </c:pt>
                <c:pt idx="198">
                  <c:v>1.6293698268843522</c:v>
                </c:pt>
                <c:pt idx="199">
                  <c:v>1.636584165132791</c:v>
                </c:pt>
                <c:pt idx="200">
                  <c:v>1.6437898142069161</c:v>
                </c:pt>
                <c:pt idx="201">
                  <c:v>1.6509867897955475</c:v>
                </c:pt>
                <c:pt idx="202">
                  <c:v>1.6581751075497602</c:v>
                </c:pt>
                <c:pt idx="203">
                  <c:v>1.6653547830829962</c:v>
                </c:pt>
                <c:pt idx="204">
                  <c:v>1.6725258319711758</c:v>
                </c:pt>
                <c:pt idx="205">
                  <c:v>1.6796882697528126</c:v>
                </c:pt>
                <c:pt idx="206">
                  <c:v>1.6868421119291248</c:v>
                </c:pt>
                <c:pt idx="207">
                  <c:v>1.6939873739641467</c:v>
                </c:pt>
                <c:pt idx="208">
                  <c:v>1.701124071284841</c:v>
                </c:pt>
                <c:pt idx="209">
                  <c:v>1.7082522192812089</c:v>
                </c:pt>
                <c:pt idx="210">
                  <c:v>1.7153718333064008</c:v>
                </c:pt>
                <c:pt idx="211">
                  <c:v>1.7224829286768275</c:v>
                </c:pt>
                <c:pt idx="212">
                  <c:v>1.7295855206722692</c:v>
                </c:pt>
                <c:pt idx="213">
                  <c:v>1.736679624535985</c:v>
                </c:pt>
                <c:pt idx="214">
                  <c:v>1.7437652554748222</c:v>
                </c:pt>
                <c:pt idx="215">
                  <c:v>1.7508424286593247</c:v>
                </c:pt>
                <c:pt idx="216">
                  <c:v>1.7579111592238412</c:v>
                </c:pt>
                <c:pt idx="217">
                  <c:v>1.7649714622666344</c:v>
                </c:pt>
                <c:pt idx="218">
                  <c:v>1.7720233528499849</c:v>
                </c:pt>
                <c:pt idx="219">
                  <c:v>1.7790668460003041</c:v>
                </c:pt>
                <c:pt idx="220">
                  <c:v>1.7861019567082357</c:v>
                </c:pt>
                <c:pt idx="221">
                  <c:v>1.7931286999287632</c:v>
                </c:pt>
                <c:pt idx="222">
                  <c:v>1.8001470905813184</c:v>
                </c:pt>
                <c:pt idx="223">
                  <c:v>1.8071571435498845</c:v>
                </c:pt>
                <c:pt idx="224">
                  <c:v>1.8141588736831018</c:v>
                </c:pt>
                <c:pt idx="225">
                  <c:v>1.8211522957943729</c:v>
                </c:pt>
                <c:pt idx="226">
                  <c:v>1.8281374246619675</c:v>
                </c:pt>
                <c:pt idx="227">
                  <c:v>1.8351142750291254</c:v>
                </c:pt>
                <c:pt idx="228">
                  <c:v>1.8420828616041611</c:v>
                </c:pt>
                <c:pt idx="229">
                  <c:v>1.8490431990605678</c:v>
                </c:pt>
                <c:pt idx="230">
                  <c:v>1.8559953020371176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7B5-41B3-93DA-3BB110BD4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6853968"/>
        <c:axId val="1456856880"/>
      </c:scatterChart>
      <c:valAx>
        <c:axId val="1456853968"/>
        <c:scaling>
          <c:orientation val="minMax"/>
          <c:max val="900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Silicate mass fraction (ng/g)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out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56856880"/>
        <c:crosses val="autoZero"/>
        <c:crossBetween val="midCat"/>
        <c:majorUnit val="150"/>
      </c:valAx>
      <c:valAx>
        <c:axId val="1456856880"/>
        <c:scaling>
          <c:orientation val="minMax"/>
          <c:max val="2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Isotope</a:t>
                </a:r>
                <a:r>
                  <a:rPr lang="en-US" b="1" baseline="0"/>
                  <a:t> ratio </a:t>
                </a:r>
                <a:r>
                  <a:rPr lang="en-US" b="1" baseline="30000"/>
                  <a:t>28</a:t>
                </a:r>
                <a:r>
                  <a:rPr lang="en-US" b="1" baseline="0"/>
                  <a:t>Si/</a:t>
                </a:r>
                <a:r>
                  <a:rPr lang="en-US" b="1" baseline="30000"/>
                  <a:t>30</a:t>
                </a:r>
                <a:r>
                  <a:rPr lang="en-US" b="1" baseline="0"/>
                  <a:t>Si</a:t>
                </a:r>
                <a:endParaRPr lang="en-US" b="1"/>
              </a:p>
            </c:rich>
          </c:tx>
          <c:layout>
            <c:manualLayout>
              <c:xMode val="edge"/>
              <c:yMode val="edge"/>
              <c:x val="3.2891307824440705E-2"/>
              <c:y val="0.185607771395217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456853968"/>
        <c:crosses val="autoZero"/>
        <c:crossBetween val="midCat"/>
        <c:majorUnit val="0.5"/>
        <c:minorUnit val="5.000000000000001E-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nitrate at 21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SHORT_HOM!$C$143:$C$147</c:f>
                <c:numCache>
                  <c:formatCode>General</c:formatCode>
                  <c:ptCount val="5"/>
                  <c:pt idx="0">
                    <c:v>1.938999435879061E-3</c:v>
                  </c:pt>
                  <c:pt idx="1">
                    <c:v>1.9334424119676755E-3</c:v>
                  </c:pt>
                  <c:pt idx="2">
                    <c:v>1.9347646377533968E-3</c:v>
                  </c:pt>
                  <c:pt idx="3">
                    <c:v>1.9313567145219116E-3</c:v>
                  </c:pt>
                  <c:pt idx="4">
                    <c:v>1.9346943668258334E-3</c:v>
                  </c:pt>
                </c:numCache>
              </c:numRef>
            </c:plus>
            <c:minus>
              <c:numRef>
                <c:f>SHORT_HOM!$C$143:$C$147</c:f>
                <c:numCache>
                  <c:formatCode>General</c:formatCode>
                  <c:ptCount val="5"/>
                  <c:pt idx="0">
                    <c:v>1.938999435879061E-3</c:v>
                  </c:pt>
                  <c:pt idx="1">
                    <c:v>1.9334424119676755E-3</c:v>
                  </c:pt>
                  <c:pt idx="2">
                    <c:v>1.9347646377533968E-3</c:v>
                  </c:pt>
                  <c:pt idx="3">
                    <c:v>1.9313567145219116E-3</c:v>
                  </c:pt>
                  <c:pt idx="4">
                    <c:v>1.9346943668258334E-3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SHORT_HOM!$A$143:$A$147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SHORT_HOM!$B$143:$B$147</c:f>
              <c:numCache>
                <c:formatCode>0.0000</c:formatCode>
                <c:ptCount val="5"/>
                <c:pt idx="0">
                  <c:v>1</c:v>
                </c:pt>
                <c:pt idx="1">
                  <c:v>0.99713407657137032</c:v>
                </c:pt>
                <c:pt idx="2">
                  <c:v>0.99781598795373316</c:v>
                </c:pt>
                <c:pt idx="3">
                  <c:v>0.99605842002028</c:v>
                </c:pt>
                <c:pt idx="4">
                  <c:v>0.99777974713475071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716-4794-A50C-25B965852A25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06"/>
          <c:min val="0.9939999999999999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2.0000000000000005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nitrate at 40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SHORT_HOM!$H$143:$H$147</c:f>
                <c:numCache>
                  <c:formatCode>General</c:formatCode>
                  <c:ptCount val="5"/>
                  <c:pt idx="0">
                    <c:v>1.938999435879061E-3</c:v>
                  </c:pt>
                  <c:pt idx="1">
                    <c:v>1.9432712016015394E-3</c:v>
                  </c:pt>
                  <c:pt idx="2">
                    <c:v>1.9396919808649272E-3</c:v>
                  </c:pt>
                  <c:pt idx="3">
                    <c:v>1.9400141328379218E-3</c:v>
                  </c:pt>
                  <c:pt idx="4">
                    <c:v>1.9450192865673455E-3</c:v>
                  </c:pt>
                </c:numCache>
              </c:numRef>
            </c:plus>
            <c:minus>
              <c:numRef>
                <c:f>SHORT_HOM!$H$143:$H$147</c:f>
                <c:numCache>
                  <c:formatCode>General</c:formatCode>
                  <c:ptCount val="5"/>
                  <c:pt idx="0">
                    <c:v>1.938999435879061E-3</c:v>
                  </c:pt>
                  <c:pt idx="1">
                    <c:v>1.9432712016015394E-3</c:v>
                  </c:pt>
                  <c:pt idx="2">
                    <c:v>1.9396919808649272E-3</c:v>
                  </c:pt>
                  <c:pt idx="3">
                    <c:v>1.9400141328379218E-3</c:v>
                  </c:pt>
                  <c:pt idx="4">
                    <c:v>1.9450192865673455E-3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SHORT_HOM!$F$143:$F$147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SHORT_HOM!$G$143:$G$147</c:f>
              <c:numCache>
                <c:formatCode>0.0000</c:formatCode>
                <c:ptCount val="5"/>
                <c:pt idx="0">
                  <c:v>1</c:v>
                </c:pt>
                <c:pt idx="1">
                  <c:v>1.0022030773415578</c:v>
                </c:pt>
                <c:pt idx="2">
                  <c:v>1.0003571661616044</c:v>
                </c:pt>
                <c:pt idx="3">
                  <c:v>1.0005233095688864</c:v>
                </c:pt>
                <c:pt idx="4">
                  <c:v>1.0031046170395379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5D-42DE-A5C4-500B08C75308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in val="0.9939999999999999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2.0000000000000005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nitrite at 21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SHORT_HOM!$C$286:$C$290</c:f>
                <c:numCache>
                  <c:formatCode>General</c:formatCode>
                  <c:ptCount val="5"/>
                  <c:pt idx="0">
                    <c:v>7.5027145540475255E-3</c:v>
                  </c:pt>
                  <c:pt idx="1">
                    <c:v>7.5950940996761026E-3</c:v>
                  </c:pt>
                  <c:pt idx="2">
                    <c:v>7.564855367769273E-3</c:v>
                  </c:pt>
                  <c:pt idx="3">
                    <c:v>7.5849399253794005E-3</c:v>
                  </c:pt>
                  <c:pt idx="4">
                    <c:v>7.6143940119850944E-3</c:v>
                  </c:pt>
                </c:numCache>
              </c:numRef>
            </c:plus>
            <c:minus>
              <c:numRef>
                <c:f>SHORT_HOM!$C$286:$C$290</c:f>
                <c:numCache>
                  <c:formatCode>General</c:formatCode>
                  <c:ptCount val="5"/>
                  <c:pt idx="0">
                    <c:v>7.5027145540475255E-3</c:v>
                  </c:pt>
                  <c:pt idx="1">
                    <c:v>7.5950940996761026E-3</c:v>
                  </c:pt>
                  <c:pt idx="2">
                    <c:v>7.564855367769273E-3</c:v>
                  </c:pt>
                  <c:pt idx="3">
                    <c:v>7.5849399253794005E-3</c:v>
                  </c:pt>
                  <c:pt idx="4">
                    <c:v>7.6143940119850944E-3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SHORT_HOM!$A$286:$A$290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SHORT_HOM!$B$286:$B$290</c:f>
              <c:numCache>
                <c:formatCode>0.0000</c:formatCode>
                <c:ptCount val="5"/>
                <c:pt idx="0">
                  <c:v>1</c:v>
                </c:pt>
                <c:pt idx="1">
                  <c:v>1.0123128162431212</c:v>
                </c:pt>
                <c:pt idx="2">
                  <c:v>1.0082824440772873</c:v>
                </c:pt>
                <c:pt idx="3">
                  <c:v>1.0109594161872408</c:v>
                </c:pt>
                <c:pt idx="4">
                  <c:v>1.0148852068318821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4D-4DFA-9F8C-9A1B98DAF021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3"/>
          <c:min val="0.9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1.0000000000000002E-2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nitrite at 40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SHORT_HOM!$H$286:$H$290</c:f>
                <c:numCache>
                  <c:formatCode>General</c:formatCode>
                  <c:ptCount val="5"/>
                  <c:pt idx="0">
                    <c:v>7.5027145540475255E-3</c:v>
                  </c:pt>
                  <c:pt idx="1">
                    <c:v>7.6207825623154013E-3</c:v>
                  </c:pt>
                  <c:pt idx="2">
                    <c:v>7.6181686875636577E-3</c:v>
                  </c:pt>
                  <c:pt idx="3">
                    <c:v>7.542381453291478E-3</c:v>
                  </c:pt>
                  <c:pt idx="4">
                    <c:v>7.5052896942058309E-3</c:v>
                  </c:pt>
                </c:numCache>
              </c:numRef>
            </c:plus>
            <c:minus>
              <c:numRef>
                <c:f>SHORT_HOM!$H$286:$H$290</c:f>
                <c:numCache>
                  <c:formatCode>General</c:formatCode>
                  <c:ptCount val="5"/>
                  <c:pt idx="0">
                    <c:v>7.5027145540475255E-3</c:v>
                  </c:pt>
                  <c:pt idx="1">
                    <c:v>7.6207825623154013E-3</c:v>
                  </c:pt>
                  <c:pt idx="2">
                    <c:v>7.6181686875636577E-3</c:v>
                  </c:pt>
                  <c:pt idx="3">
                    <c:v>7.542381453291478E-3</c:v>
                  </c:pt>
                  <c:pt idx="4">
                    <c:v>7.5052896942058309E-3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SHORT_HOM!$F$286:$F$290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SHORT_HOM!$G$286:$G$290</c:f>
              <c:numCache>
                <c:formatCode>0.0000</c:formatCode>
                <c:ptCount val="5"/>
                <c:pt idx="0">
                  <c:v>1</c:v>
                </c:pt>
                <c:pt idx="1">
                  <c:v>1.0157367053507562</c:v>
                </c:pt>
                <c:pt idx="2">
                  <c:v>1.0153883148138494</c:v>
                </c:pt>
                <c:pt idx="3">
                  <c:v>1.0052870063172741</c:v>
                </c:pt>
                <c:pt idx="4">
                  <c:v>1.0003432277930548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3D-4A2E-8342-E890F018451D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3"/>
          <c:min val="0.9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1.0000000000000002E-2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phosphate at 21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SHORT_HOM!$C$429:$C$433</c:f>
                <c:numCache>
                  <c:formatCode>General</c:formatCode>
                  <c:ptCount val="5"/>
                  <c:pt idx="0">
                    <c:v>1.7930896300182087E-3</c:v>
                  </c:pt>
                  <c:pt idx="1">
                    <c:v>1.7904369224247092E-3</c:v>
                  </c:pt>
                  <c:pt idx="2">
                    <c:v>1.7940107861546502E-3</c:v>
                  </c:pt>
                  <c:pt idx="3">
                    <c:v>1.7940862109463863E-3</c:v>
                  </c:pt>
                  <c:pt idx="4">
                    <c:v>1.7947475724216643E-3</c:v>
                  </c:pt>
                </c:numCache>
              </c:numRef>
            </c:plus>
            <c:minus>
              <c:numRef>
                <c:f>SHORT_HOM!$C$429:$C$433</c:f>
                <c:numCache>
                  <c:formatCode>General</c:formatCode>
                  <c:ptCount val="5"/>
                  <c:pt idx="0">
                    <c:v>1.7930896300182087E-3</c:v>
                  </c:pt>
                  <c:pt idx="1">
                    <c:v>1.7904369224247092E-3</c:v>
                  </c:pt>
                  <c:pt idx="2">
                    <c:v>1.7940107861546502E-3</c:v>
                  </c:pt>
                  <c:pt idx="3">
                    <c:v>1.7940862109463863E-3</c:v>
                  </c:pt>
                  <c:pt idx="4">
                    <c:v>1.7947475724216643E-3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SHORT_HOM!$A$429:$A$433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SHORT_HOM!$B$429:$B$433</c:f>
              <c:numCache>
                <c:formatCode>0.0000</c:formatCode>
                <c:ptCount val="5"/>
                <c:pt idx="0">
                  <c:v>1</c:v>
                </c:pt>
                <c:pt idx="1">
                  <c:v>0.99852059397974846</c:v>
                </c:pt>
                <c:pt idx="2">
                  <c:v>1.0005137256504195</c:v>
                </c:pt>
                <c:pt idx="3">
                  <c:v>1.0005557898007404</c:v>
                </c:pt>
                <c:pt idx="4">
                  <c:v>1.0009246288505047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3-4E6D-855A-DAA6CDC798FC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049999999999999"/>
          <c:min val="0.995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2.0000000000000005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phosphate at 40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SHORT_HOM!$H$429:$H$433</c:f>
                <c:numCache>
                  <c:formatCode>General</c:formatCode>
                  <c:ptCount val="5"/>
                  <c:pt idx="0">
                    <c:v>1.7930896300182087E-3</c:v>
                  </c:pt>
                  <c:pt idx="1">
                    <c:v>1.7920091410364605E-3</c:v>
                  </c:pt>
                  <c:pt idx="2">
                    <c:v>1.8024875419851165E-3</c:v>
                  </c:pt>
                  <c:pt idx="3">
                    <c:v>1.8060573378208655E-3</c:v>
                  </c:pt>
                  <c:pt idx="4">
                    <c:v>1.8096208959778196E-3</c:v>
                  </c:pt>
                </c:numCache>
              </c:numRef>
            </c:plus>
            <c:minus>
              <c:numRef>
                <c:f>SHORT_HOM!$H$429:$H$433</c:f>
                <c:numCache>
                  <c:formatCode>General</c:formatCode>
                  <c:ptCount val="5"/>
                  <c:pt idx="0">
                    <c:v>1.7930896300182087E-3</c:v>
                  </c:pt>
                  <c:pt idx="1">
                    <c:v>1.7920091410364605E-3</c:v>
                  </c:pt>
                  <c:pt idx="2">
                    <c:v>1.8024875419851165E-3</c:v>
                  </c:pt>
                  <c:pt idx="3">
                    <c:v>1.8060573378208655E-3</c:v>
                  </c:pt>
                  <c:pt idx="4">
                    <c:v>1.8096208959778196E-3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SHORT_HOM!$F$429:$F$433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SHORT_HOM!$G$429:$G$433</c:f>
              <c:numCache>
                <c:formatCode>0.0000</c:formatCode>
                <c:ptCount val="5"/>
                <c:pt idx="0">
                  <c:v>1</c:v>
                </c:pt>
                <c:pt idx="1">
                  <c:v>0.99939741496261003</c:v>
                </c:pt>
                <c:pt idx="2">
                  <c:v>1.0052411836026358</c:v>
                </c:pt>
                <c:pt idx="3">
                  <c:v>1.0072320466225244</c:v>
                </c:pt>
                <c:pt idx="4">
                  <c:v>1.009219430910123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06-4A72-9386-C42E5042BF54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149999999999999"/>
          <c:min val="0.995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5.000000000000001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silicate at 21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SHORT_HOM!$C$584:$C$588</c:f>
                <c:numCache>
                  <c:formatCode>General</c:formatCode>
                  <c:ptCount val="5"/>
                  <c:pt idx="0">
                    <c:v>1.0628322978668316E-2</c:v>
                  </c:pt>
                  <c:pt idx="1">
                    <c:v>1.062832904191905E-2</c:v>
                  </c:pt>
                  <c:pt idx="2">
                    <c:v>1.0677254442609772E-2</c:v>
                  </c:pt>
                  <c:pt idx="3">
                    <c:v>1.0558279007423751E-2</c:v>
                  </c:pt>
                  <c:pt idx="4">
                    <c:v>1.0470619550587092E-2</c:v>
                  </c:pt>
                </c:numCache>
              </c:numRef>
            </c:plus>
            <c:minus>
              <c:numRef>
                <c:f>SHORT_HOM!$C$584:$C$588</c:f>
                <c:numCache>
                  <c:formatCode>General</c:formatCode>
                  <c:ptCount val="5"/>
                  <c:pt idx="0">
                    <c:v>1.0628322978668316E-2</c:v>
                  </c:pt>
                  <c:pt idx="1">
                    <c:v>1.062832904191905E-2</c:v>
                  </c:pt>
                  <c:pt idx="2">
                    <c:v>1.0677254442609772E-2</c:v>
                  </c:pt>
                  <c:pt idx="3">
                    <c:v>1.0558279007423751E-2</c:v>
                  </c:pt>
                  <c:pt idx="4">
                    <c:v>1.0470619550587092E-2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SHORT_HOM!$A$584:$A$588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SHORT_HOM!$B$584:$B$588</c:f>
              <c:numCache>
                <c:formatCode>0.0000</c:formatCode>
                <c:ptCount val="5"/>
                <c:pt idx="0">
                  <c:v>1</c:v>
                </c:pt>
                <c:pt idx="1">
                  <c:v>1.0000005704804744</c:v>
                </c:pt>
                <c:pt idx="2">
                  <c:v>1.0046038743873014</c:v>
                </c:pt>
                <c:pt idx="3">
                  <c:v>0.99340968736223512</c:v>
                </c:pt>
                <c:pt idx="4">
                  <c:v>0.98516196502517439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8A-45B7-8872-1CA4277CFA1D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3"/>
          <c:min val="0.9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1.0000000000000002E-2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silicate at 40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671828381051805"/>
          <c:y val="2.52940180643105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SHORT_HOM!$H$584:$H$588</c:f>
                <c:numCache>
                  <c:formatCode>General</c:formatCode>
                  <c:ptCount val="5"/>
                  <c:pt idx="0">
                    <c:v>1.0628322978668316E-2</c:v>
                  </c:pt>
                  <c:pt idx="1">
                    <c:v>1.0672224992479296E-2</c:v>
                  </c:pt>
                  <c:pt idx="2">
                    <c:v>1.0546841282354781E-2</c:v>
                  </c:pt>
                  <c:pt idx="3">
                    <c:v>1.0547478014804124E-2</c:v>
                  </c:pt>
                  <c:pt idx="4">
                    <c:v>1.0524275952377201E-2</c:v>
                  </c:pt>
                </c:numCache>
              </c:numRef>
            </c:plus>
            <c:minus>
              <c:numRef>
                <c:f>SHORT_HOM!$H$584:$H$588</c:f>
                <c:numCache>
                  <c:formatCode>General</c:formatCode>
                  <c:ptCount val="5"/>
                  <c:pt idx="0">
                    <c:v>1.0628322978668316E-2</c:v>
                  </c:pt>
                  <c:pt idx="1">
                    <c:v>1.0672224992479296E-2</c:v>
                  </c:pt>
                  <c:pt idx="2">
                    <c:v>1.0546841282354781E-2</c:v>
                  </c:pt>
                  <c:pt idx="3">
                    <c:v>1.0547478014804124E-2</c:v>
                  </c:pt>
                  <c:pt idx="4">
                    <c:v>1.0524275952377201E-2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SHORT_HOM!$F$584:$F$588</c:f>
              <c:numCache>
                <c:formatCode>0.0</c:formatCode>
                <c:ptCount val="5"/>
                <c:pt idx="0" formatCode="General">
                  <c:v>0</c:v>
                </c:pt>
                <c:pt idx="1">
                  <c:v>12</c:v>
                </c:pt>
                <c:pt idx="2">
                  <c:v>27</c:v>
                </c:pt>
                <c:pt idx="3">
                  <c:v>35</c:v>
                </c:pt>
                <c:pt idx="4">
                  <c:v>43</c:v>
                </c:pt>
              </c:numCache>
            </c:numRef>
          </c:xVal>
          <c:yVal>
            <c:numRef>
              <c:f>SHORT_HOM!$G$584:$G$588</c:f>
              <c:numCache>
                <c:formatCode>0.0000</c:formatCode>
                <c:ptCount val="5"/>
                <c:pt idx="0">
                  <c:v>1</c:v>
                </c:pt>
                <c:pt idx="1">
                  <c:v>1.0041306623725206</c:v>
                </c:pt>
                <c:pt idx="2">
                  <c:v>0.9923335321595822</c:v>
                </c:pt>
                <c:pt idx="3">
                  <c:v>0.99239344118291739</c:v>
                </c:pt>
                <c:pt idx="4">
                  <c:v>0.99021040040842356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9C-457C-ABB3-675434B1BEFE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-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3"/>
          <c:min val="0.97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Normalized response</a:t>
                </a:r>
              </a:p>
            </c:rich>
          </c:tx>
          <c:layout>
            <c:manualLayout>
              <c:xMode val="edge"/>
              <c:yMode val="edge"/>
              <c:x val="1.6448534292213612E-2"/>
              <c:y val="0.220612832232943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_ ;\-0.000\ 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1.0000000000000002E-2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Nitrite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CHAR_HOM!$L$1194:$L$1197</c:f>
                <c:numCache>
                  <c:formatCode>General</c:formatCode>
                  <c:ptCount val="4"/>
                  <c:pt idx="0">
                    <c:v>3.1851040000000001E-4</c:v>
                  </c:pt>
                  <c:pt idx="1">
                    <c:v>6.4255330000000002E-4</c:v>
                  </c:pt>
                  <c:pt idx="2">
                    <c:v>4.670877E-4</c:v>
                  </c:pt>
                  <c:pt idx="3">
                    <c:v>2.639405E-4</c:v>
                  </c:pt>
                </c:numCache>
              </c:numRef>
            </c:plus>
            <c:minus>
              <c:numRef>
                <c:f>CHAR_HOM!$L$1194:$L$1197</c:f>
                <c:numCache>
                  <c:formatCode>General</c:formatCode>
                  <c:ptCount val="4"/>
                  <c:pt idx="0">
                    <c:v>3.1851040000000001E-4</c:v>
                  </c:pt>
                  <c:pt idx="1">
                    <c:v>6.4255330000000002E-4</c:v>
                  </c:pt>
                  <c:pt idx="2">
                    <c:v>4.670877E-4</c:v>
                  </c:pt>
                  <c:pt idx="3">
                    <c:v>2.639405E-4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CHAR_HOM!$Q$1194:$Q$1197</c:f>
              <c:strCache>
                <c:ptCount val="4"/>
                <c:pt idx="0">
                  <c:v>ID/GCMS
2024-02-21
n = 10</c:v>
                </c:pt>
                <c:pt idx="1">
                  <c:v>EX/UV-VIS
2024-02-20
n = 10</c:v>
                </c:pt>
                <c:pt idx="2">
                  <c:v>EX/UV-VIS
2024-02-21
n = 5</c:v>
                </c:pt>
                <c:pt idx="3">
                  <c:v>ID/GCMS
2024-03-06
n = 10</c:v>
                </c:pt>
              </c:strCache>
            </c:strRef>
          </c:cat>
          <c:val>
            <c:numRef>
              <c:f>CHAR_HOM!$K$1194:$K$1197</c:f>
              <c:numCache>
                <c:formatCode>0.00000</c:formatCode>
                <c:ptCount val="4"/>
                <c:pt idx="0">
                  <c:v>7.5605610000000004E-2</c:v>
                </c:pt>
                <c:pt idx="1">
                  <c:v>7.5646469999999993E-2</c:v>
                </c:pt>
                <c:pt idx="2">
                  <c:v>7.5614580000000001E-2</c:v>
                </c:pt>
                <c:pt idx="3">
                  <c:v>7.5416269999999994E-2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2C-4C6D-B487-EEE38AC240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4473056"/>
        <c:axId val="464470560"/>
      </c:lineChart>
      <c:catAx>
        <c:axId val="46447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0560"/>
        <c:crosses val="autoZero"/>
        <c:auto val="1"/>
        <c:lblAlgn val="ctr"/>
        <c:lblOffset val="100"/>
        <c:tickMarkSkip val="1"/>
        <c:noMultiLvlLbl val="0"/>
      </c:catAx>
      <c:valAx>
        <c:axId val="464470560"/>
        <c:scaling>
          <c:orientation val="minMax"/>
          <c:min val="7.4800000000000005E-2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900" b="1" i="1"/>
                  <a:t>w</a:t>
                </a:r>
                <a:r>
                  <a:rPr lang="en-US" sz="900" b="1"/>
                  <a:t>(NO</a:t>
                </a:r>
                <a:r>
                  <a:rPr lang="en-US" sz="900" b="1" baseline="-25000"/>
                  <a:t>2</a:t>
                </a:r>
                <a:r>
                  <a:rPr lang="en-US" sz="900" b="1" baseline="30000"/>
                  <a:t>−</a:t>
                </a:r>
                <a:r>
                  <a:rPr lang="en-US" sz="900" b="1"/>
                  <a:t>) mg/kg</a:t>
                </a:r>
              </a:p>
            </c:rich>
          </c:tx>
          <c:layout>
            <c:manualLayout>
              <c:xMode val="edge"/>
              <c:yMode val="edge"/>
              <c:x val="2.0479343708654261E-2"/>
              <c:y val="0.2431651370824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3056"/>
        <c:crosses val="autoZero"/>
        <c:crossBetween val="between"/>
        <c:majorUnit val="4.0000000000000013E-4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CHAR_HOM!$L$1286:$L$1288</c:f>
                <c:numCache>
                  <c:formatCode>General</c:formatCode>
                  <c:ptCount val="3"/>
                  <c:pt idx="0">
                    <c:v>3.8782690000000002E-3</c:v>
                  </c:pt>
                  <c:pt idx="1">
                    <c:v>3.324965E-3</c:v>
                  </c:pt>
                  <c:pt idx="2">
                    <c:v>9.1489210000000008E-3</c:v>
                  </c:pt>
                </c:numCache>
              </c:numRef>
            </c:plus>
            <c:minus>
              <c:numRef>
                <c:f>CHAR_HOM!$L$1286:$L$1288</c:f>
                <c:numCache>
                  <c:formatCode>General</c:formatCode>
                  <c:ptCount val="3"/>
                  <c:pt idx="0">
                    <c:v>3.8782690000000002E-3</c:v>
                  </c:pt>
                  <c:pt idx="1">
                    <c:v>3.324965E-3</c:v>
                  </c:pt>
                  <c:pt idx="2">
                    <c:v>9.1489210000000008E-3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CHAR_HOM!$Q$1286:$Q$1288</c:f>
              <c:strCache>
                <c:ptCount val="3"/>
                <c:pt idx="0">
                  <c:v>EX/UV-VIS
2024-02-21
n = 10</c:v>
                </c:pt>
                <c:pt idx="1">
                  <c:v>EX/UV-VIS
2024-03-06
n = 10</c:v>
                </c:pt>
                <c:pt idx="2">
                  <c:v>ID/LC-ICPMS
2024-03-21
n = 5</c:v>
                </c:pt>
              </c:strCache>
            </c:strRef>
          </c:cat>
          <c:val>
            <c:numRef>
              <c:f>CHAR_HOM!$K$1286:$K$1288</c:f>
              <c:numCache>
                <c:formatCode>0.0000</c:formatCode>
                <c:ptCount val="3"/>
                <c:pt idx="0">
                  <c:v>0.42596000000000001</c:v>
                </c:pt>
                <c:pt idx="1">
                  <c:v>0.41783160000000003</c:v>
                </c:pt>
                <c:pt idx="2">
                  <c:v>0.42102349999999999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3D-408E-8DE0-87B2ADB1E67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4473056"/>
        <c:axId val="464470560"/>
      </c:lineChart>
      <c:catAx>
        <c:axId val="46447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0560"/>
        <c:crosses val="autoZero"/>
        <c:auto val="1"/>
        <c:lblAlgn val="ctr"/>
        <c:lblOffset val="100"/>
        <c:tickMarkSkip val="1"/>
        <c:noMultiLvlLbl val="0"/>
      </c:catAx>
      <c:valAx>
        <c:axId val="464470560"/>
        <c:scaling>
          <c:orientation val="minMax"/>
          <c:max val="0.43400000000000005"/>
          <c:min val="0.41000000000000003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900" b="1" i="1"/>
                  <a:t>w</a:t>
                </a:r>
                <a:r>
                  <a:rPr lang="en-US" sz="900" b="1"/>
                  <a:t>(SiO</a:t>
                </a:r>
                <a:r>
                  <a:rPr lang="en-US" sz="900" b="1" baseline="-25000"/>
                  <a:t>2</a:t>
                </a:r>
                <a:r>
                  <a:rPr lang="en-US" sz="900" b="1"/>
                  <a:t>) mg/kg</a:t>
                </a:r>
              </a:p>
            </c:rich>
          </c:tx>
          <c:layout>
            <c:manualLayout>
              <c:xMode val="edge"/>
              <c:yMode val="edge"/>
              <c:x val="2.0479343708654261E-2"/>
              <c:y val="0.2431651370824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3056"/>
        <c:crosses val="autoZero"/>
        <c:crossBetween val="between"/>
        <c:majorUnit val="6.0000000000000019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CHAR_HOM!$L$1260:$L$1261</c:f>
                <c:numCache>
                  <c:formatCode>General</c:formatCode>
                  <c:ptCount val="2"/>
                  <c:pt idx="0">
                    <c:v>1.4694790000000001E-3</c:v>
                  </c:pt>
                  <c:pt idx="1">
                    <c:v>1.082682E-3</c:v>
                  </c:pt>
                </c:numCache>
              </c:numRef>
            </c:plus>
            <c:minus>
              <c:numRef>
                <c:f>CHAR_HOM!$L$1260:$L$1261</c:f>
                <c:numCache>
                  <c:formatCode>General</c:formatCode>
                  <c:ptCount val="2"/>
                  <c:pt idx="0">
                    <c:v>1.4694790000000001E-3</c:v>
                  </c:pt>
                  <c:pt idx="1">
                    <c:v>1.082682E-3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CHAR_HOM!$Q$1260:$Q$1261</c:f>
              <c:strCache>
                <c:ptCount val="2"/>
                <c:pt idx="0">
                  <c:v>EX/UV-VIS
2024-02-20
n = 10</c:v>
                </c:pt>
                <c:pt idx="1">
                  <c:v>EX/UV-VIS
2024-03-05
n = 10</c:v>
                </c:pt>
              </c:strCache>
            </c:strRef>
          </c:cat>
          <c:val>
            <c:numRef>
              <c:f>CHAR_HOM!$K$1260:$K$1261</c:f>
              <c:numCache>
                <c:formatCode>0.0000</c:formatCode>
                <c:ptCount val="2"/>
                <c:pt idx="0">
                  <c:v>0.26318180000000002</c:v>
                </c:pt>
                <c:pt idx="1">
                  <c:v>0.26396209999999998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E55-4298-8942-469DEB959F2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4473056"/>
        <c:axId val="464470560"/>
      </c:lineChart>
      <c:catAx>
        <c:axId val="46447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0560"/>
        <c:crosses val="autoZero"/>
        <c:auto val="1"/>
        <c:lblAlgn val="ctr"/>
        <c:lblOffset val="100"/>
        <c:tickMarkSkip val="1"/>
        <c:noMultiLvlLbl val="0"/>
      </c:catAx>
      <c:valAx>
        <c:axId val="464470560"/>
        <c:scaling>
          <c:orientation val="minMax"/>
          <c:max val="0.26580000000000004"/>
          <c:min val="0.2610000000000000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900" b="1" i="1"/>
                  <a:t>w</a:t>
                </a:r>
                <a:r>
                  <a:rPr lang="en-US" sz="900" b="1"/>
                  <a:t>(PO</a:t>
                </a:r>
                <a:r>
                  <a:rPr lang="en-US" sz="900" b="1" baseline="-25000"/>
                  <a:t>4</a:t>
                </a:r>
                <a:r>
                  <a:rPr lang="en-US" sz="900" b="1" baseline="30000"/>
                  <a:t>3−</a:t>
                </a:r>
                <a:r>
                  <a:rPr lang="en-US" sz="900" b="1"/>
                  <a:t>) mg/kg</a:t>
                </a:r>
              </a:p>
            </c:rich>
          </c:tx>
          <c:layout>
            <c:manualLayout>
              <c:xMode val="edge"/>
              <c:yMode val="edge"/>
              <c:x val="2.0479343708654261E-2"/>
              <c:y val="0.2431651370824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3056"/>
        <c:crosses val="autoZero"/>
        <c:crossBetween val="between"/>
        <c:majorUnit val="1.2000000000000003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Nitrite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dLbls>
            <c:delete val="1"/>
          </c:dLbls>
          <c:errBars>
            <c:errDir val="y"/>
            <c:errBarType val="both"/>
            <c:errValType val="cust"/>
            <c:noEndCap val="0"/>
            <c:plus>
              <c:numRef>
                <c:f>CHAR_HOM!$L$1235:$L$1236</c:f>
                <c:numCache>
                  <c:formatCode>General</c:formatCode>
                  <c:ptCount val="2"/>
                  <c:pt idx="0">
                    <c:v>1.7639370000000001E-2</c:v>
                  </c:pt>
                  <c:pt idx="1">
                    <c:v>1.9670859999999998E-2</c:v>
                  </c:pt>
                </c:numCache>
              </c:numRef>
            </c:plus>
            <c:minus>
              <c:numRef>
                <c:f>CHAR_HOM!$L$1235:$L$1236</c:f>
                <c:numCache>
                  <c:formatCode>General</c:formatCode>
                  <c:ptCount val="2"/>
                  <c:pt idx="0">
                    <c:v>1.7639370000000001E-2</c:v>
                  </c:pt>
                  <c:pt idx="1">
                    <c:v>1.9670859999999998E-2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CHAR_HOM!$Q$1235:$Q$1236</c:f>
              <c:strCache>
                <c:ptCount val="2"/>
                <c:pt idx="0">
                  <c:v>ID/GCMS
2024-02-20
n = 8</c:v>
                </c:pt>
                <c:pt idx="1">
                  <c:v>ID/GCMS
2024-03-05
n = 10</c:v>
                </c:pt>
              </c:strCache>
            </c:strRef>
          </c:cat>
          <c:val>
            <c:numRef>
              <c:f>CHAR_HOM!$K$1235:$K$1236</c:f>
              <c:numCache>
                <c:formatCode>0.000</c:formatCode>
                <c:ptCount val="2"/>
                <c:pt idx="0">
                  <c:v>1.032092</c:v>
                </c:pt>
                <c:pt idx="1">
                  <c:v>1.0519499999999999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9B-43FE-B04E-5562B2A9B1D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4473056"/>
        <c:axId val="464470560"/>
      </c:lineChart>
      <c:catAx>
        <c:axId val="46447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0560"/>
        <c:crosses val="autoZero"/>
        <c:auto val="1"/>
        <c:lblAlgn val="ctr"/>
        <c:lblOffset val="100"/>
        <c:tickMarkSkip val="1"/>
        <c:noMultiLvlLbl val="0"/>
      </c:catAx>
      <c:valAx>
        <c:axId val="464470560"/>
        <c:scaling>
          <c:orientation val="minMax"/>
          <c:max val="1.087"/>
          <c:min val="1.0069999999999999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900" b="1" i="1"/>
                  <a:t>w</a:t>
                </a:r>
                <a:r>
                  <a:rPr lang="en-US" sz="900" b="1"/>
                  <a:t>(NO</a:t>
                </a:r>
                <a:r>
                  <a:rPr lang="en-US" sz="900" b="1" baseline="-25000"/>
                  <a:t>3</a:t>
                </a:r>
                <a:r>
                  <a:rPr lang="en-US" sz="900" b="1" baseline="30000"/>
                  <a:t>−</a:t>
                </a:r>
                <a:r>
                  <a:rPr lang="en-US" sz="900" b="1"/>
                  <a:t>) mg/kg</a:t>
                </a:r>
              </a:p>
            </c:rich>
          </c:tx>
          <c:layout>
            <c:manualLayout>
              <c:xMode val="edge"/>
              <c:yMode val="edge"/>
              <c:x val="2.0479343708654261E-2"/>
              <c:y val="0.2431651370824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3056"/>
        <c:crosses val="autoZero"/>
        <c:crossBetween val="between"/>
        <c:majorUnit val="2.0000000000000004E-2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64473056"/>
        <c:axId val="464470560"/>
      </c:lineChart>
      <c:catAx>
        <c:axId val="46447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0560"/>
        <c:crosses val="autoZero"/>
        <c:auto val="1"/>
        <c:lblAlgn val="ctr"/>
        <c:lblOffset val="100"/>
        <c:tickMarkSkip val="1"/>
        <c:noMultiLvlLbl val="0"/>
      </c:catAx>
      <c:valAx>
        <c:axId val="464470560"/>
        <c:scaling>
          <c:orientation val="minMax"/>
          <c:max val="0.43400000000000005"/>
          <c:min val="0.41000000000000003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900" b="1" i="1"/>
                  <a:t>w</a:t>
                </a:r>
                <a:r>
                  <a:rPr lang="en-US" sz="900" b="1"/>
                  <a:t>(SiO</a:t>
                </a:r>
                <a:r>
                  <a:rPr lang="en-US" sz="900" b="1" baseline="-25000"/>
                  <a:t>2</a:t>
                </a:r>
                <a:r>
                  <a:rPr lang="en-US" sz="900" b="1"/>
                  <a:t>) mg/kg</a:t>
                </a:r>
              </a:p>
            </c:rich>
          </c:tx>
          <c:layout>
            <c:manualLayout>
              <c:xMode val="edge"/>
              <c:yMode val="edge"/>
              <c:x val="2.0479343708654261E-2"/>
              <c:y val="0.2431651370824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64473056"/>
        <c:crosses val="autoZero"/>
        <c:crossBetween val="between"/>
        <c:majorUnit val="6.0000000000000019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>
              <a:solidFill>
                <a:schemeClr val="tx1"/>
              </a:solidFill>
            </a:ln>
          </c:spPr>
          <c:marker>
            <c:symbol val="circle"/>
            <c:size val="6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LONG!$C$20:$C$26</c:f>
                <c:numCache>
                  <c:formatCode>General</c:formatCode>
                  <c:ptCount val="7"/>
                  <c:pt idx="0">
                    <c:v>1.14975423633774E-3</c:v>
                  </c:pt>
                  <c:pt idx="1">
                    <c:v>5.0115271752073998E-3</c:v>
                  </c:pt>
                  <c:pt idx="2">
                    <c:v>7.4489522854697082E-4</c:v>
                  </c:pt>
                  <c:pt idx="3">
                    <c:v>1.5451515E-3</c:v>
                  </c:pt>
                  <c:pt idx="4">
                    <c:v>6.7370502940025815E-3</c:v>
                  </c:pt>
                  <c:pt idx="5">
                    <c:v>1.0058799692827208E-3</c:v>
                  </c:pt>
                  <c:pt idx="6">
                    <c:v>5.2669601322955081E-3</c:v>
                  </c:pt>
                </c:numCache>
              </c:numRef>
            </c:plus>
            <c:minus>
              <c:numRef>
                <c:f>LONG!$C$20:$C$26</c:f>
                <c:numCache>
                  <c:formatCode>General</c:formatCode>
                  <c:ptCount val="7"/>
                  <c:pt idx="0">
                    <c:v>1.14975423633774E-3</c:v>
                  </c:pt>
                  <c:pt idx="1">
                    <c:v>5.0115271752073998E-3</c:v>
                  </c:pt>
                  <c:pt idx="2">
                    <c:v>7.4489522854697082E-4</c:v>
                  </c:pt>
                  <c:pt idx="3">
                    <c:v>1.5451515E-3</c:v>
                  </c:pt>
                  <c:pt idx="4">
                    <c:v>6.7370502940025815E-3</c:v>
                  </c:pt>
                  <c:pt idx="5">
                    <c:v>1.0058799692827208E-3</c:v>
                  </c:pt>
                  <c:pt idx="6">
                    <c:v>5.2669601322955081E-3</c:v>
                  </c:pt>
                </c:numCache>
              </c:numRef>
            </c:minus>
          </c:errBars>
          <c:cat>
            <c:numRef>
              <c:f>LONG!$A$20:$A$26</c:f>
              <c:numCache>
                <c:formatCode>yyyy/mm/dd;@</c:formatCode>
                <c:ptCount val="7"/>
                <c:pt idx="0">
                  <c:v>41579</c:v>
                </c:pt>
                <c:pt idx="1">
                  <c:v>41760</c:v>
                </c:pt>
                <c:pt idx="2">
                  <c:v>41974</c:v>
                </c:pt>
                <c:pt idx="3">
                  <c:v>42401</c:v>
                </c:pt>
                <c:pt idx="4">
                  <c:v>42887</c:v>
                </c:pt>
                <c:pt idx="5">
                  <c:v>43709</c:v>
                </c:pt>
                <c:pt idx="6">
                  <c:v>44348</c:v>
                </c:pt>
              </c:numCache>
            </c:numRef>
          </c:cat>
          <c:val>
            <c:numRef>
              <c:f>LONG!$B$20:$B$26</c:f>
              <c:numCache>
                <c:formatCode>0.0000</c:formatCode>
                <c:ptCount val="7"/>
                <c:pt idx="0">
                  <c:v>0.15810266501075906</c:v>
                </c:pt>
                <c:pt idx="1">
                  <c:v>0.15824607750533326</c:v>
                </c:pt>
                <c:pt idx="2">
                  <c:v>0.15828268665470141</c:v>
                </c:pt>
                <c:pt idx="3">
                  <c:v>0.15982497000000001</c:v>
                </c:pt>
                <c:pt idx="4">
                  <c:v>0.1556036867153997</c:v>
                </c:pt>
                <c:pt idx="5">
                  <c:v>0.16429246428202937</c:v>
                </c:pt>
                <c:pt idx="6">
                  <c:v>0.15750254452495083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1B-4696-BB77-DC421CF16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61416"/>
        <c:axId val="329716872"/>
      </c:lineChart>
      <c:dateAx>
        <c:axId val="328461416"/>
        <c:scaling>
          <c:orientation val="minMax"/>
          <c:max val="44927"/>
          <c:min val="4127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5273627450980389"/>
              <c:y val="0.89695781238280403"/>
            </c:manualLayout>
          </c:layout>
          <c:overlay val="0"/>
        </c:title>
        <c:numFmt formatCode="yyyy;@" sourceLinked="0"/>
        <c:majorTickMark val="out"/>
        <c:minorTickMark val="none"/>
        <c:tickLblPos val="nextTo"/>
        <c:crossAx val="329716872"/>
        <c:crosses val="autoZero"/>
        <c:auto val="1"/>
        <c:lblOffset val="100"/>
        <c:baseTimeUnit val="days"/>
        <c:majorUnit val="2"/>
        <c:majorTimeUnit val="years"/>
      </c:dateAx>
      <c:valAx>
        <c:axId val="329716872"/>
        <c:scaling>
          <c:orientation val="minMax"/>
          <c:max val="0.16900000000000004"/>
          <c:min val="0.14500000000000002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 i="1"/>
                  <a:t>w</a:t>
                </a:r>
                <a:r>
                  <a:rPr lang="en-US"/>
                  <a:t>(NO</a:t>
                </a:r>
                <a:r>
                  <a:rPr lang="en-US" baseline="-25000"/>
                  <a:t>2</a:t>
                </a:r>
                <a:r>
                  <a:rPr lang="en-US" baseline="30000"/>
                  <a:t>−</a:t>
                </a:r>
                <a:r>
                  <a:rPr lang="en-US"/>
                  <a:t>) in MOOS-3 (mg/kg)</a:t>
                </a:r>
              </a:p>
            </c:rich>
          </c:tx>
          <c:layout>
            <c:manualLayout>
              <c:xMode val="edge"/>
              <c:yMode val="edge"/>
              <c:x val="2.1431576257477849E-2"/>
              <c:y val="6.6447516457901812E-2"/>
            </c:manualLayout>
          </c:layout>
          <c:overlay val="0"/>
        </c:title>
        <c:numFmt formatCode="0.000" sourceLinked="0"/>
        <c:majorTickMark val="out"/>
        <c:minorTickMark val="none"/>
        <c:tickLblPos val="nextTo"/>
        <c:crossAx val="328461416"/>
        <c:crosses val="autoZero"/>
        <c:crossBetween val="between"/>
        <c:majorUnit val="6.0000000000000019E-3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>
              <a:solidFill>
                <a:schemeClr val="tx1"/>
              </a:solidFill>
            </a:ln>
          </c:spPr>
          <c:marker>
            <c:symbol val="circle"/>
            <c:size val="6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LONG!$C$32:$C$39</c:f>
                <c:numCache>
                  <c:formatCode>General</c:formatCode>
                  <c:ptCount val="8"/>
                  <c:pt idx="0">
                    <c:v>7.4610749901780496E-3</c:v>
                  </c:pt>
                  <c:pt idx="1">
                    <c:v>4.5869948645246995E-2</c:v>
                  </c:pt>
                  <c:pt idx="2">
                    <c:v>8.0294316997030889E-3</c:v>
                  </c:pt>
                  <c:pt idx="3">
                    <c:v>6.6792633677260497E-3</c:v>
                  </c:pt>
                  <c:pt idx="4">
                    <c:v>2.6363567000000001E-2</c:v>
                  </c:pt>
                  <c:pt idx="5">
                    <c:v>2.2191953E-2</c:v>
                  </c:pt>
                  <c:pt idx="6">
                    <c:v>1.6546584E-2</c:v>
                  </c:pt>
                  <c:pt idx="7">
                    <c:v>2.1063398292112838E-2</c:v>
                  </c:pt>
                </c:numCache>
              </c:numRef>
            </c:plus>
            <c:minus>
              <c:numRef>
                <c:f>LONG!$C$32:$C$39</c:f>
                <c:numCache>
                  <c:formatCode>General</c:formatCode>
                  <c:ptCount val="8"/>
                  <c:pt idx="0">
                    <c:v>7.4610749901780496E-3</c:v>
                  </c:pt>
                  <c:pt idx="1">
                    <c:v>4.5869948645246995E-2</c:v>
                  </c:pt>
                  <c:pt idx="2">
                    <c:v>8.0294316997030889E-3</c:v>
                  </c:pt>
                  <c:pt idx="3">
                    <c:v>6.6792633677260497E-3</c:v>
                  </c:pt>
                  <c:pt idx="4">
                    <c:v>2.6363567000000001E-2</c:v>
                  </c:pt>
                  <c:pt idx="5">
                    <c:v>2.2191953E-2</c:v>
                  </c:pt>
                  <c:pt idx="6">
                    <c:v>1.6546584E-2</c:v>
                  </c:pt>
                  <c:pt idx="7">
                    <c:v>2.1063398292112838E-2</c:v>
                  </c:pt>
                </c:numCache>
              </c:numRef>
            </c:minus>
          </c:errBars>
          <c:cat>
            <c:numRef>
              <c:f>LONG!$A$32:$A$39</c:f>
              <c:numCache>
                <c:formatCode>m/d/yyyy</c:formatCode>
                <c:ptCount val="8"/>
                <c:pt idx="0">
                  <c:v>41579</c:v>
                </c:pt>
                <c:pt idx="1">
                  <c:v>41760</c:v>
                </c:pt>
                <c:pt idx="2">
                  <c:v>41974</c:v>
                </c:pt>
                <c:pt idx="3">
                  <c:v>42036</c:v>
                </c:pt>
                <c:pt idx="4">
                  <c:v>42401</c:v>
                </c:pt>
                <c:pt idx="5">
                  <c:v>42948</c:v>
                </c:pt>
                <c:pt idx="6">
                  <c:v>43709</c:v>
                </c:pt>
                <c:pt idx="7">
                  <c:v>44348</c:v>
                </c:pt>
              </c:numCache>
            </c:numRef>
          </c:cat>
          <c:val>
            <c:numRef>
              <c:f>LONG!$B$32:$B$39</c:f>
              <c:numCache>
                <c:formatCode>0.0000</c:formatCode>
                <c:ptCount val="8"/>
                <c:pt idx="0">
                  <c:v>1.3841632418466814</c:v>
                </c:pt>
                <c:pt idx="1">
                  <c:v>1.4280187575711292</c:v>
                </c:pt>
                <c:pt idx="2">
                  <c:v>1.409794756852879</c:v>
                </c:pt>
                <c:pt idx="3">
                  <c:v>1.3812120975068489</c:v>
                </c:pt>
                <c:pt idx="4">
                  <c:v>1.4002908000000001</c:v>
                </c:pt>
                <c:pt idx="5">
                  <c:v>1.3866038000000001</c:v>
                </c:pt>
                <c:pt idx="6">
                  <c:v>1.3734337000000001</c:v>
                </c:pt>
                <c:pt idx="7">
                  <c:v>1.3887450195359816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74-468D-B342-3B818962A8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61416"/>
        <c:axId val="329716872"/>
      </c:lineChart>
      <c:dateAx>
        <c:axId val="328461416"/>
        <c:scaling>
          <c:orientation val="minMax"/>
          <c:max val="44927"/>
          <c:min val="4127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5273627450980389"/>
              <c:y val="0.89695781238280403"/>
            </c:manualLayout>
          </c:layout>
          <c:overlay val="0"/>
        </c:title>
        <c:numFmt formatCode="yyyy;@" sourceLinked="0"/>
        <c:majorTickMark val="out"/>
        <c:minorTickMark val="none"/>
        <c:tickLblPos val="nextTo"/>
        <c:crossAx val="329716872"/>
        <c:crosses val="autoZero"/>
        <c:auto val="1"/>
        <c:lblOffset val="100"/>
        <c:baseTimeUnit val="days"/>
        <c:majorUnit val="2"/>
        <c:majorTimeUnit val="years"/>
      </c:dateAx>
      <c:valAx>
        <c:axId val="329716872"/>
        <c:scaling>
          <c:orientation val="minMax"/>
          <c:max val="1.48"/>
          <c:min val="1.35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 i="1"/>
                  <a:t>w</a:t>
                </a:r>
                <a:r>
                  <a:rPr lang="en-US"/>
                  <a:t>(NO</a:t>
                </a:r>
                <a:r>
                  <a:rPr lang="en-US" baseline="-25000"/>
                  <a:t>3</a:t>
                </a:r>
                <a:r>
                  <a:rPr lang="en-US" baseline="30000"/>
                  <a:t>−</a:t>
                </a:r>
                <a:r>
                  <a:rPr lang="en-US"/>
                  <a:t>) in MOOS-3 (mg/kg)</a:t>
                </a:r>
              </a:p>
            </c:rich>
          </c:tx>
          <c:layout>
            <c:manualLayout>
              <c:xMode val="edge"/>
              <c:yMode val="edge"/>
              <c:x val="2.1431576257477849E-2"/>
              <c:y val="6.6447516457901812E-2"/>
            </c:manualLayout>
          </c:layout>
          <c:overlay val="0"/>
        </c:title>
        <c:numFmt formatCode="0.000" sourceLinked="0"/>
        <c:majorTickMark val="out"/>
        <c:minorTickMark val="none"/>
        <c:tickLblPos val="nextTo"/>
        <c:crossAx val="328461416"/>
        <c:crosses val="autoZero"/>
        <c:crossBetween val="between"/>
        <c:majorUnit val="3.0000000000000006E-2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>
              <a:solidFill>
                <a:schemeClr val="tx1"/>
              </a:solidFill>
            </a:ln>
          </c:spPr>
          <c:marker>
            <c:symbol val="circle"/>
            <c:size val="6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LONG!$C$45:$C$50</c:f>
                <c:numCache>
                  <c:formatCode>General</c:formatCode>
                  <c:ptCount val="6"/>
                  <c:pt idx="0">
                    <c:v>6.7274020645463504E-3</c:v>
                  </c:pt>
                  <c:pt idx="1">
                    <c:v>1.2362615E-2</c:v>
                  </c:pt>
                  <c:pt idx="2">
                    <c:v>6.1199024999999997E-3</c:v>
                  </c:pt>
                  <c:pt idx="3">
                    <c:v>4.9205001E-3</c:v>
                  </c:pt>
                  <c:pt idx="4">
                    <c:v>1.0998941E-2</c:v>
                  </c:pt>
                  <c:pt idx="5">
                    <c:v>1.0147424083634043E-2</c:v>
                  </c:pt>
                </c:numCache>
              </c:numRef>
            </c:plus>
            <c:minus>
              <c:numRef>
                <c:f>LONG!$C$45:$C$50</c:f>
                <c:numCache>
                  <c:formatCode>General</c:formatCode>
                  <c:ptCount val="6"/>
                  <c:pt idx="0">
                    <c:v>6.7274020645463504E-3</c:v>
                  </c:pt>
                  <c:pt idx="1">
                    <c:v>1.2362615E-2</c:v>
                  </c:pt>
                  <c:pt idx="2">
                    <c:v>6.1199024999999997E-3</c:v>
                  </c:pt>
                  <c:pt idx="3">
                    <c:v>4.9205001E-3</c:v>
                  </c:pt>
                  <c:pt idx="4">
                    <c:v>1.0998941E-2</c:v>
                  </c:pt>
                  <c:pt idx="5">
                    <c:v>1.0147424083634043E-2</c:v>
                  </c:pt>
                </c:numCache>
              </c:numRef>
            </c:minus>
          </c:errBars>
          <c:cat>
            <c:numRef>
              <c:f>LONG!$A$45:$A$50</c:f>
              <c:numCache>
                <c:formatCode>m/d/yyyy</c:formatCode>
                <c:ptCount val="6"/>
                <c:pt idx="0">
                  <c:v>41579</c:v>
                </c:pt>
                <c:pt idx="1">
                  <c:v>42401</c:v>
                </c:pt>
                <c:pt idx="2">
                  <c:v>42491</c:v>
                </c:pt>
                <c:pt idx="3">
                  <c:v>42887</c:v>
                </c:pt>
                <c:pt idx="4">
                  <c:v>43709</c:v>
                </c:pt>
                <c:pt idx="5">
                  <c:v>44348</c:v>
                </c:pt>
              </c:numCache>
            </c:numRef>
          </c:cat>
          <c:val>
            <c:numRef>
              <c:f>LONG!$B$45:$B$50</c:f>
              <c:numCache>
                <c:formatCode>0.0000</c:formatCode>
                <c:ptCount val="6"/>
                <c:pt idx="0">
                  <c:v>0.14745476374065575</c:v>
                </c:pt>
                <c:pt idx="1">
                  <c:v>0.15919058999999999</c:v>
                </c:pt>
                <c:pt idx="2">
                  <c:v>0.15498725999999999</c:v>
                </c:pt>
                <c:pt idx="3">
                  <c:v>0.15081438999999999</c:v>
                </c:pt>
                <c:pt idx="4">
                  <c:v>0.15348413</c:v>
                </c:pt>
                <c:pt idx="5">
                  <c:v>0.15628437945619608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0D-479D-AAE7-4F018ADCB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61416"/>
        <c:axId val="329716872"/>
      </c:lineChart>
      <c:dateAx>
        <c:axId val="328461416"/>
        <c:scaling>
          <c:orientation val="minMax"/>
          <c:max val="44927"/>
          <c:min val="4127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5273627450980389"/>
              <c:y val="0.89695781238280403"/>
            </c:manualLayout>
          </c:layout>
          <c:overlay val="0"/>
        </c:title>
        <c:numFmt formatCode="yyyy;@" sourceLinked="0"/>
        <c:majorTickMark val="out"/>
        <c:minorTickMark val="none"/>
        <c:tickLblPos val="nextTo"/>
        <c:crossAx val="329716872"/>
        <c:crosses val="autoZero"/>
        <c:auto val="1"/>
        <c:lblOffset val="100"/>
        <c:baseTimeUnit val="days"/>
        <c:majorUnit val="2"/>
        <c:majorTimeUnit val="years"/>
      </c:dateAx>
      <c:valAx>
        <c:axId val="329716872"/>
        <c:scaling>
          <c:orientation val="minMax"/>
          <c:max val="0.18000000000000002"/>
          <c:min val="0.14000000000000001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 i="1"/>
                  <a:t>w</a:t>
                </a:r>
                <a:r>
                  <a:rPr lang="en-US"/>
                  <a:t>(PO</a:t>
                </a:r>
                <a:r>
                  <a:rPr lang="en-US" baseline="-25000"/>
                  <a:t>4</a:t>
                </a:r>
                <a:r>
                  <a:rPr lang="en-US" baseline="30000"/>
                  <a:t>3</a:t>
                </a:r>
                <a:r>
                  <a:rPr lang="en-US" sz="1000" b="1" i="0" u="none" strike="noStrike" baseline="30000">
                    <a:effectLst/>
                  </a:rPr>
                  <a:t>−</a:t>
                </a:r>
                <a:r>
                  <a:rPr lang="en-US"/>
                  <a:t>) in MOOS-3 (mg/kg)</a:t>
                </a:r>
              </a:p>
            </c:rich>
          </c:tx>
          <c:layout>
            <c:manualLayout>
              <c:xMode val="edge"/>
              <c:yMode val="edge"/>
              <c:x val="2.1431576257477849E-2"/>
              <c:y val="6.6447516457901812E-2"/>
            </c:manualLayout>
          </c:layout>
          <c:overlay val="0"/>
        </c:title>
        <c:numFmt formatCode="0.000" sourceLinked="0"/>
        <c:majorTickMark val="out"/>
        <c:minorTickMark val="none"/>
        <c:tickLblPos val="nextTo"/>
        <c:crossAx val="328461416"/>
        <c:crosses val="autoZero"/>
        <c:crossBetween val="between"/>
        <c:majorUnit val="1.0000000000000002E-2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9525">
              <a:solidFill>
                <a:schemeClr val="tx1"/>
              </a:solidFill>
            </a:ln>
          </c:spPr>
          <c:marker>
            <c:symbol val="circle"/>
            <c:size val="6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LONG!$C$56:$C$60</c:f>
                <c:numCache>
                  <c:formatCode>General</c:formatCode>
                  <c:ptCount val="5"/>
                  <c:pt idx="0">
                    <c:v>2.1156410147015602E-2</c:v>
                  </c:pt>
                  <c:pt idx="1">
                    <c:v>4.0927080999999997E-2</c:v>
                  </c:pt>
                  <c:pt idx="2">
                    <c:v>2.1297643000000002E-2</c:v>
                  </c:pt>
                  <c:pt idx="3">
                    <c:v>0.15219684</c:v>
                  </c:pt>
                  <c:pt idx="4">
                    <c:v>1.0037073425308993E-2</c:v>
                  </c:pt>
                </c:numCache>
              </c:numRef>
            </c:plus>
            <c:minus>
              <c:numRef>
                <c:f>LONG!$C$56:$C$60</c:f>
                <c:numCache>
                  <c:formatCode>General</c:formatCode>
                  <c:ptCount val="5"/>
                  <c:pt idx="0">
                    <c:v>2.1156410147015602E-2</c:v>
                  </c:pt>
                  <c:pt idx="1">
                    <c:v>4.0927080999999997E-2</c:v>
                  </c:pt>
                  <c:pt idx="2">
                    <c:v>2.1297643000000002E-2</c:v>
                  </c:pt>
                  <c:pt idx="3">
                    <c:v>0.15219684</c:v>
                  </c:pt>
                  <c:pt idx="4">
                    <c:v>1.0037073425308993E-2</c:v>
                  </c:pt>
                </c:numCache>
              </c:numRef>
            </c:minus>
          </c:errBars>
          <c:cat>
            <c:numRef>
              <c:f>LONG!$A$56:$A$60</c:f>
              <c:numCache>
                <c:formatCode>m/d/yyyy</c:formatCode>
                <c:ptCount val="5"/>
                <c:pt idx="0">
                  <c:v>41579</c:v>
                </c:pt>
                <c:pt idx="1">
                  <c:v>42401</c:v>
                </c:pt>
                <c:pt idx="2">
                  <c:v>42887</c:v>
                </c:pt>
                <c:pt idx="3">
                  <c:v>43709</c:v>
                </c:pt>
                <c:pt idx="4">
                  <c:v>44348</c:v>
                </c:pt>
              </c:numCache>
            </c:numRef>
          </c:cat>
          <c:val>
            <c:numRef>
              <c:f>LONG!$B$56:$B$60</c:f>
              <c:numCache>
                <c:formatCode>0.000</c:formatCode>
                <c:ptCount val="5"/>
                <c:pt idx="0">
                  <c:v>1.7713495035577345</c:v>
                </c:pt>
                <c:pt idx="1">
                  <c:v>1.7616893</c:v>
                </c:pt>
                <c:pt idx="2">
                  <c:v>1.7257289</c:v>
                </c:pt>
                <c:pt idx="3">
                  <c:v>1.8091606</c:v>
                </c:pt>
                <c:pt idx="4">
                  <c:v>1.7467035872050403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18-4836-BF24-101FE4754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8461416"/>
        <c:axId val="329716872"/>
      </c:lineChart>
      <c:dateAx>
        <c:axId val="328461416"/>
        <c:scaling>
          <c:orientation val="minMax"/>
          <c:max val="44927"/>
          <c:min val="4127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5273627450980389"/>
              <c:y val="0.89695781238280403"/>
            </c:manualLayout>
          </c:layout>
          <c:overlay val="0"/>
        </c:title>
        <c:numFmt formatCode="yyyy;@" sourceLinked="0"/>
        <c:majorTickMark val="out"/>
        <c:minorTickMark val="none"/>
        <c:tickLblPos val="nextTo"/>
        <c:crossAx val="329716872"/>
        <c:crosses val="autoZero"/>
        <c:auto val="1"/>
        <c:lblOffset val="100"/>
        <c:baseTimeUnit val="days"/>
        <c:majorUnit val="2"/>
        <c:majorTimeUnit val="years"/>
      </c:dateAx>
      <c:valAx>
        <c:axId val="329716872"/>
        <c:scaling>
          <c:orientation val="minMax"/>
          <c:max val="2"/>
          <c:min val="1.6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 i="1"/>
                  <a:t>w</a:t>
                </a:r>
                <a:r>
                  <a:rPr lang="en-US"/>
                  <a:t>(SiO</a:t>
                </a:r>
                <a:r>
                  <a:rPr lang="en-US" baseline="-25000"/>
                  <a:t>2</a:t>
                </a:r>
                <a:r>
                  <a:rPr lang="en-US"/>
                  <a:t>) in MOOS-3 (mg/kg)</a:t>
                </a:r>
              </a:p>
            </c:rich>
          </c:tx>
          <c:layout>
            <c:manualLayout>
              <c:xMode val="edge"/>
              <c:yMode val="edge"/>
              <c:x val="2.1431576257477849E-2"/>
              <c:y val="6.6447516457901812E-2"/>
            </c:manualLayout>
          </c:layout>
          <c:overlay val="0"/>
        </c:title>
        <c:numFmt formatCode="0.000" sourceLinked="0"/>
        <c:majorTickMark val="out"/>
        <c:minorTickMark val="none"/>
        <c:tickLblPos val="nextTo"/>
        <c:crossAx val="328461416"/>
        <c:crosses val="autoZero"/>
        <c:crossBetween val="between"/>
        <c:majorUnit val="0.1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phosphate at 21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5520614432090968"/>
          <c:y val="3.03428558253210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LONG!$A$68</c:f>
              <c:strCache>
                <c:ptCount val="1"/>
                <c:pt idx="0">
                  <c:v>Isochronous phosphate (21 °C)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7.0968337042544294E-2"/>
                  <c:y val="0.42540847087225764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LONG!$A$71:$A$74</c:f>
              <c:numCache>
                <c:formatCode>General</c:formatCode>
                <c:ptCount val="4"/>
                <c:pt idx="0">
                  <c:v>0</c:v>
                </c:pt>
                <c:pt idx="1">
                  <c:v>27</c:v>
                </c:pt>
                <c:pt idx="2">
                  <c:v>35</c:v>
                </c:pt>
                <c:pt idx="3">
                  <c:v>43</c:v>
                </c:pt>
              </c:numCache>
            </c:numRef>
          </c:xVal>
          <c:yVal>
            <c:numRef>
              <c:f>LONG!$B$71:$B$74</c:f>
              <c:numCache>
                <c:formatCode>0.000%</c:formatCode>
                <c:ptCount val="4"/>
                <c:pt idx="0">
                  <c:v>0</c:v>
                </c:pt>
                <c:pt idx="1">
                  <c:v>5.1372565041951646E-4</c:v>
                </c:pt>
                <c:pt idx="2">
                  <c:v>5.5578980074044715E-4</c:v>
                </c:pt>
                <c:pt idx="3">
                  <c:v>9.2462885050470511E-4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4A-4CAA-B148-41A30E35D37B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000000000000002E-3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Phosphate formation (%)</a:t>
                </a:r>
              </a:p>
            </c:rich>
          </c:tx>
          <c:layout>
            <c:manualLayout>
              <c:xMode val="edge"/>
              <c:yMode val="edge"/>
              <c:x val="1.6448593967989845E-2"/>
              <c:y val="0.170126391462911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2.0000000000000006E-4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000" b="1" i="0" u="none" strike="noStrike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cs typeface="Arial" panose="020B0604020202020204" pitchFamily="34" charset="0"/>
              </a:rPr>
              <a:t>Isochronous on phosphate at 40 °C</a:t>
            </a:r>
            <a:endPara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5520614432090968"/>
          <c:y val="3.03428558253210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LONG!$D$68</c:f>
              <c:strCache>
                <c:ptCount val="1"/>
                <c:pt idx="0">
                  <c:v>Isochronous phosphate (40 °C)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20000"/>
                  <a:lumOff val="8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dLbls>
            <c:delete val="1"/>
          </c:dLbls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7.0968337042544294E-2"/>
                  <c:y val="0.42540847087225764"/>
                </c:manualLayout>
              </c:layout>
              <c:numFmt formatCode="0.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LONG!$D$71:$D$74</c:f>
              <c:numCache>
                <c:formatCode>General</c:formatCode>
                <c:ptCount val="4"/>
                <c:pt idx="0">
                  <c:v>0</c:v>
                </c:pt>
                <c:pt idx="1">
                  <c:v>27</c:v>
                </c:pt>
                <c:pt idx="2">
                  <c:v>35</c:v>
                </c:pt>
                <c:pt idx="3">
                  <c:v>43</c:v>
                </c:pt>
              </c:numCache>
            </c:numRef>
          </c:xVal>
          <c:yVal>
            <c:numRef>
              <c:f>LONG!$E$71:$E$74</c:f>
              <c:numCache>
                <c:formatCode>0.00%</c:formatCode>
                <c:ptCount val="4"/>
                <c:pt idx="0">
                  <c:v>0</c:v>
                </c:pt>
                <c:pt idx="1">
                  <c:v>5.2411836026358127E-3</c:v>
                </c:pt>
                <c:pt idx="2">
                  <c:v>7.2320466225244129E-3</c:v>
                </c:pt>
                <c:pt idx="3">
                  <c:v>9.2194309101230054E-3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61-4A3E-B1EA-EADC4DA40342}"/>
            </c:ext>
          </c:extLst>
        </c:ser>
        <c:dLbls>
          <c:dLblPos val="l"/>
          <c:showLegendKey val="0"/>
          <c:showVal val="1"/>
          <c:showCatName val="0"/>
          <c:showSerName val="0"/>
          <c:showPercent val="0"/>
          <c:showBubbleSize val="0"/>
        </c:dLbls>
        <c:axId val="395590975"/>
        <c:axId val="395576831"/>
      </c:scatterChart>
      <c:valAx>
        <c:axId val="395590975"/>
        <c:scaling>
          <c:orientation val="minMax"/>
          <c:max val="48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Time (days)</a:t>
                </a:r>
              </a:p>
            </c:rich>
          </c:tx>
          <c:layout>
            <c:manualLayout>
              <c:xMode val="edge"/>
              <c:yMode val="edge"/>
              <c:x val="0.45945895438230189"/>
              <c:y val="0.891235722323464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76831"/>
        <c:crosses val="autoZero"/>
        <c:crossBetween val="midCat"/>
        <c:majorUnit val="5"/>
        <c:minorUnit val="1"/>
      </c:valAx>
      <c:valAx>
        <c:axId val="395576831"/>
        <c:scaling>
          <c:orientation val="minMax"/>
          <c:max val="1.0000000000000002E-2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Phosphate formation (%)</a:t>
                </a:r>
              </a:p>
            </c:rich>
          </c:tx>
          <c:layout>
            <c:manualLayout>
              <c:xMode val="edge"/>
              <c:yMode val="edge"/>
              <c:x val="1.6448593967989845E-2"/>
              <c:y val="0.170126391462911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%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395590975"/>
        <c:crossesAt val="-5"/>
        <c:crossBetween val="midCat"/>
        <c:majorUnit val="2.0000000000000005E-3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/>
              <a:t>External calibration curve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15345"/>
                  <c:y val="0.4796413194444443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SOFTWARE!$B$187:$B$191</c:f>
              <c:numCache>
                <c:formatCode>0.000000</c:formatCode>
                <c:ptCount val="5"/>
                <c:pt idx="0">
                  <c:v>0.12929491591136952</c:v>
                </c:pt>
                <c:pt idx="1">
                  <c:v>0.1929542099547302</c:v>
                </c:pt>
                <c:pt idx="2">
                  <c:v>0.25457635562024616</c:v>
                </c:pt>
                <c:pt idx="3">
                  <c:v>0.3738649664247044</c:v>
                </c:pt>
                <c:pt idx="4">
                  <c:v>0.50964378783471698</c:v>
                </c:pt>
              </c:numCache>
            </c:numRef>
          </c:xVal>
          <c:yVal>
            <c:numRef>
              <c:f>SOFTWARE!$D$187:$D$191</c:f>
              <c:numCache>
                <c:formatCode>0.00000</c:formatCode>
                <c:ptCount val="5"/>
                <c:pt idx="0">
                  <c:v>0.14954805309840466</c:v>
                </c:pt>
                <c:pt idx="1">
                  <c:v>0.22479026866248128</c:v>
                </c:pt>
                <c:pt idx="2">
                  <c:v>0.29614860010385718</c:v>
                </c:pt>
                <c:pt idx="3">
                  <c:v>0.43265619434404617</c:v>
                </c:pt>
                <c:pt idx="4">
                  <c:v>0.59195269607827017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FC6-42C5-B1B9-2354C08D1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6775839"/>
        <c:axId val="1396777087"/>
      </c:scatterChart>
      <c:valAx>
        <c:axId val="1396775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Analyte</a:t>
                </a:r>
                <a:r>
                  <a:rPr lang="en-US" b="1" baseline="0"/>
                  <a:t> m</a:t>
                </a:r>
                <a:r>
                  <a:rPr lang="en-US" b="1"/>
                  <a:t>ass fraction</a:t>
                </a:r>
              </a:p>
            </c:rich>
          </c:tx>
          <c:layout>
            <c:manualLayout>
              <c:xMode val="edge"/>
              <c:yMode val="edge"/>
              <c:x val="0.37107305555555553"/>
              <c:y val="0.905190972222222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;[Red]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96777087"/>
        <c:crosses val="autoZero"/>
        <c:crossBetween val="midCat"/>
      </c:valAx>
      <c:valAx>
        <c:axId val="139677708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b="1"/>
                  <a:t>Analytical signal</a:t>
                </a:r>
              </a:p>
            </c:rich>
          </c:tx>
          <c:layout>
            <c:manualLayout>
              <c:xMode val="edge"/>
              <c:yMode val="edge"/>
              <c:x val="2.1166666666666667E-2"/>
              <c:y val="0.314637152777777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96775839"/>
        <c:crosses val="autoZero"/>
        <c:crossBetween val="midCat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/>
              <a:t>External calibration plot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0.12092560242975037"/>
                  <c:y val="0.5030361911581411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SOFTWARE!$B$303:$B$307</c:f>
              <c:numCache>
                <c:formatCode>0.00000</c:formatCode>
                <c:ptCount val="5"/>
                <c:pt idx="0">
                  <c:v>3.9871278515705835E-2</c:v>
                </c:pt>
                <c:pt idx="1">
                  <c:v>5.9502193041810973E-2</c:v>
                </c:pt>
                <c:pt idx="2">
                  <c:v>7.8504902585699005E-2</c:v>
                </c:pt>
                <c:pt idx="3">
                  <c:v>0.11529048995091694</c:v>
                </c:pt>
                <c:pt idx="4">
                  <c:v>0.15716124075974164</c:v>
                </c:pt>
              </c:numCache>
            </c:numRef>
          </c:xVal>
          <c:yVal>
            <c:numRef>
              <c:f>SOFTWARE!$C$303:$C$307</c:f>
              <c:numCache>
                <c:formatCode>0.0000</c:formatCode>
                <c:ptCount val="5"/>
                <c:pt idx="0">
                  <c:v>4.6203279152088488E-2</c:v>
                </c:pt>
                <c:pt idx="1">
                  <c:v>6.574611146892223E-2</c:v>
                </c:pt>
                <c:pt idx="2">
                  <c:v>8.8283912847201246E-2</c:v>
                </c:pt>
                <c:pt idx="3">
                  <c:v>0.12897843018025509</c:v>
                </c:pt>
                <c:pt idx="4">
                  <c:v>0.17414587554170829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FC6-42C5-B1B9-2354C08D1A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6775839"/>
        <c:axId val="1396777087"/>
      </c:scatterChart>
      <c:valAx>
        <c:axId val="1396775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mass fraction</a:t>
                </a:r>
              </a:p>
            </c:rich>
          </c:tx>
          <c:layout>
            <c:manualLayout>
              <c:xMode val="edge"/>
              <c:yMode val="edge"/>
              <c:x val="0.44607305336832898"/>
              <c:y val="0.900561388159813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;[Red]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96777087"/>
        <c:crosses val="autoZero"/>
        <c:crossBetween val="midCat"/>
      </c:valAx>
      <c:valAx>
        <c:axId val="139677708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Signal</a:t>
                </a:r>
              </a:p>
            </c:rich>
          </c:tx>
          <c:layout>
            <c:manualLayout>
              <c:xMode val="edge"/>
              <c:yMode val="edge"/>
              <c:x val="1.8388888888888889E-2"/>
              <c:y val="0.41185950714494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96775839"/>
        <c:crosses val="autoZero"/>
        <c:crossBetween val="midCat"/>
      </c:valAx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showDLblsOverMax val="0"/>
    <c:extLst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.xml"/><Relationship Id="rId13" Type="http://schemas.openxmlformats.org/officeDocument/2006/relationships/image" Target="../media/image7.emf"/><Relationship Id="rId3" Type="http://schemas.openxmlformats.org/officeDocument/2006/relationships/image" Target="../media/image3.emf"/><Relationship Id="rId7" Type="http://schemas.openxmlformats.org/officeDocument/2006/relationships/chart" Target="../charts/chart2.xml"/><Relationship Id="rId12" Type="http://schemas.openxmlformats.org/officeDocument/2006/relationships/chart" Target="../charts/chart6.xml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chart" Target="../charts/chart1.xml"/><Relationship Id="rId11" Type="http://schemas.openxmlformats.org/officeDocument/2006/relationships/chart" Target="../charts/chart5.xml"/><Relationship Id="rId5" Type="http://schemas.openxmlformats.org/officeDocument/2006/relationships/image" Target="../media/image5.emf"/><Relationship Id="rId10" Type="http://schemas.openxmlformats.org/officeDocument/2006/relationships/image" Target="../media/image6.emf"/><Relationship Id="rId4" Type="http://schemas.openxmlformats.org/officeDocument/2006/relationships/image" Target="../media/image4.emf"/><Relationship Id="rId9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7.xml"/><Relationship Id="rId1" Type="http://schemas.openxmlformats.org/officeDocument/2006/relationships/chart" Target="../charts/chart26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8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493058</xdr:colOff>
      <xdr:row>1154</xdr:row>
      <xdr:rowOff>251011</xdr:rowOff>
    </xdr:from>
    <xdr:to>
      <xdr:col>10</xdr:col>
      <xdr:colOff>453613</xdr:colOff>
      <xdr:row>1174</xdr:row>
      <xdr:rowOff>80685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919" b="19398"/>
        <a:stretch/>
      </xdr:blipFill>
      <xdr:spPr bwMode="auto">
        <a:xfrm>
          <a:off x="2501152" y="356185693"/>
          <a:ext cx="7019365" cy="4849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475130</xdr:colOff>
      <xdr:row>1174</xdr:row>
      <xdr:rowOff>233083</xdr:rowOff>
    </xdr:from>
    <xdr:to>
      <xdr:col>10</xdr:col>
      <xdr:colOff>417755</xdr:colOff>
      <xdr:row>1194</xdr:row>
      <xdr:rowOff>134468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126" b="18206"/>
        <a:stretch/>
      </xdr:blipFill>
      <xdr:spPr bwMode="auto">
        <a:xfrm>
          <a:off x="2483224" y="361188001"/>
          <a:ext cx="7001435" cy="492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475130</xdr:colOff>
      <xdr:row>1199</xdr:row>
      <xdr:rowOff>17929</xdr:rowOff>
    </xdr:from>
    <xdr:to>
      <xdr:col>10</xdr:col>
      <xdr:colOff>516367</xdr:colOff>
      <xdr:row>1218</xdr:row>
      <xdr:rowOff>161363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87" b="18355"/>
        <a:stretch/>
      </xdr:blipFill>
      <xdr:spPr bwMode="auto">
        <a:xfrm>
          <a:off x="2483224" y="367499153"/>
          <a:ext cx="7100047" cy="4912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1012</xdr:row>
      <xdr:rowOff>0</xdr:rowOff>
    </xdr:from>
    <xdr:to>
      <xdr:col>13</xdr:col>
      <xdr:colOff>753291</xdr:colOff>
      <xdr:row>1032</xdr:row>
      <xdr:rowOff>21769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324" b="18576"/>
        <a:stretch/>
      </xdr:blipFill>
      <xdr:spPr bwMode="auto">
        <a:xfrm>
          <a:off x="5007429" y="243872657"/>
          <a:ext cx="7794171" cy="502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13</xdr:col>
      <xdr:colOff>742405</xdr:colOff>
      <xdr:row>928</xdr:row>
      <xdr:rowOff>10885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37" b="18752"/>
        <a:stretch/>
      </xdr:blipFill>
      <xdr:spPr bwMode="auto">
        <a:xfrm>
          <a:off x="5007429" y="217834029"/>
          <a:ext cx="7783285" cy="50183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300990</xdr:colOff>
      <xdr:row>1390</xdr:row>
      <xdr:rowOff>2485</xdr:rowOff>
    </xdr:from>
    <xdr:to>
      <xdr:col>3</xdr:col>
      <xdr:colOff>879494</xdr:colOff>
      <xdr:row>1400</xdr:row>
      <xdr:rowOff>4572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0</xdr:colOff>
      <xdr:row>1390</xdr:row>
      <xdr:rowOff>0</xdr:rowOff>
    </xdr:from>
    <xdr:to>
      <xdr:col>7</xdr:col>
      <xdr:colOff>578504</xdr:colOff>
      <xdr:row>1400</xdr:row>
      <xdr:rowOff>2087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258417</xdr:colOff>
      <xdr:row>1410</xdr:row>
      <xdr:rowOff>0</xdr:rowOff>
    </xdr:from>
    <xdr:to>
      <xdr:col>3</xdr:col>
      <xdr:colOff>836921</xdr:colOff>
      <xdr:row>1420</xdr:row>
      <xdr:rowOff>2087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1410</xdr:row>
      <xdr:rowOff>0</xdr:rowOff>
    </xdr:from>
    <xdr:to>
      <xdr:col>7</xdr:col>
      <xdr:colOff>578504</xdr:colOff>
      <xdr:row>1420</xdr:row>
      <xdr:rowOff>2087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0</xdr:col>
      <xdr:colOff>480060</xdr:colOff>
      <xdr:row>1449</xdr:row>
      <xdr:rowOff>7620</xdr:rowOff>
    </xdr:from>
    <xdr:to>
      <xdr:col>8</xdr:col>
      <xdr:colOff>457200</xdr:colOff>
      <xdr:row>1463</xdr:row>
      <xdr:rowOff>137159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645" b="18951"/>
        <a:stretch/>
      </xdr:blipFill>
      <xdr:spPr bwMode="auto">
        <a:xfrm>
          <a:off x="480060" y="379468380"/>
          <a:ext cx="7048500" cy="3649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0</xdr:colOff>
      <xdr:row>1665</xdr:row>
      <xdr:rowOff>0</xdr:rowOff>
    </xdr:from>
    <xdr:to>
      <xdr:col>19</xdr:col>
      <xdr:colOff>451270</xdr:colOff>
      <xdr:row>1673</xdr:row>
      <xdr:rowOff>217670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1691</xdr:row>
      <xdr:rowOff>0</xdr:rowOff>
    </xdr:from>
    <xdr:to>
      <xdr:col>4</xdr:col>
      <xdr:colOff>451270</xdr:colOff>
      <xdr:row>1699</xdr:row>
      <xdr:rowOff>217670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oneCellAnchor>
    <xdr:from>
      <xdr:col>1</xdr:col>
      <xdr:colOff>800100</xdr:colOff>
      <xdr:row>1692</xdr:row>
      <xdr:rowOff>246184</xdr:rowOff>
    </xdr:from>
    <xdr:ext cx="1139927" cy="23333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678641" y="440529784"/>
              <a:ext cx="1139927" cy="2333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CA" sz="800" b="0" i="1">
                        <a:latin typeface="Cambria Math" panose="02040503050406030204" pitchFamily="18" charset="0"/>
                      </a:rPr>
                      <m:t>𝑦</m:t>
                    </m:r>
                    <m:r>
                      <a:rPr lang="en-CA" sz="8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CA" sz="8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CA" sz="800" b="0" i="1">
                            <a:latin typeface="Cambria Math" panose="02040503050406030204" pitchFamily="18" charset="0"/>
                          </a:rPr>
                          <m:t>0.0063+0.00233</m:t>
                        </m:r>
                        <m:r>
                          <a:rPr lang="en-CA" sz="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∙</m:t>
                        </m:r>
                        <m:r>
                          <a:rPr lang="en-CA" sz="800" b="0" i="1">
                            <a:latin typeface="Cambria Math" panose="02040503050406030204" pitchFamily="18" charset="0"/>
                          </a:rPr>
                          <m:t>𝑥</m:t>
                        </m:r>
                      </m:num>
                      <m:den>
                        <m:r>
                          <a:rPr lang="en-CA" sz="800" b="0" i="1">
                            <a:latin typeface="Cambria Math" panose="02040503050406030204" pitchFamily="18" charset="0"/>
                          </a:rPr>
                          <m:t>1+0.00017</m:t>
                        </m:r>
                        <m:r>
                          <a:rPr lang="en-CA" sz="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∙</m:t>
                        </m:r>
                        <m:r>
                          <a:rPr lang="en-CA" sz="8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𝑥</m:t>
                        </m:r>
                      </m:den>
                    </m:f>
                  </m:oMath>
                </m:oMathPara>
              </a14:m>
              <a:endParaRPr lang="en-US" sz="800">
                <a:latin typeface="Bauhaus 93" panose="04030905020B02020C02" pitchFamily="82" charset="0"/>
                <a:cs typeface="Arial" panose="020B0604020202020204" pitchFamily="34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 txBox="1"/>
          </xdr:nvSpPr>
          <xdr:spPr>
            <a:xfrm>
              <a:off x="1678641" y="440529784"/>
              <a:ext cx="1139927" cy="23333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CA" sz="800" b="0" i="0">
                  <a:latin typeface="Cambria Math" panose="02040503050406030204" pitchFamily="18" charset="0"/>
                </a:rPr>
                <a:t>𝑦=(0.0063+0.00233</a:t>
              </a:r>
              <a:r>
                <a:rPr lang="en-CA" sz="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</a:t>
              </a:r>
              <a:r>
                <a:rPr lang="en-CA" sz="800" b="0" i="0">
                  <a:latin typeface="Cambria Math" panose="02040503050406030204" pitchFamily="18" charset="0"/>
                </a:rPr>
                <a:t>𝑥)/(1+0.00017</a:t>
              </a:r>
              <a:r>
                <a:rPr lang="en-CA" sz="8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∙𝑥)</a:t>
              </a:r>
              <a:endParaRPr lang="en-US" sz="800">
                <a:latin typeface="Bauhaus 93" panose="04030905020B02020C02" pitchFamily="82" charset="0"/>
                <a:cs typeface="Arial" panose="020B0604020202020204" pitchFamily="34" charset="0"/>
              </a:endParaRPr>
            </a:p>
          </xdr:txBody>
        </xdr:sp>
      </mc:Fallback>
    </mc:AlternateContent>
    <xdr:clientData/>
  </xdr:oneCellAnchor>
  <xdr:oneCellAnchor>
    <xdr:from>
      <xdr:col>3</xdr:col>
      <xdr:colOff>399004</xdr:colOff>
      <xdr:row>1697</xdr:row>
      <xdr:rowOff>9548</xdr:rowOff>
    </xdr:from>
    <xdr:ext cx="622286" cy="13067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3024638" y="444246839"/>
              <a:ext cx="622286" cy="1306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sz="800" b="1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CA" sz="800" b="1" i="1">
                            <a:latin typeface="Cambria Math" panose="02040503050406030204" pitchFamily="18" charset="0"/>
                          </a:rPr>
                          <m:t>𝑹</m:t>
                        </m:r>
                      </m:e>
                      <m:sup>
                        <m:r>
                          <a:rPr lang="en-CA" sz="800" b="1" i="1">
                            <a:latin typeface="Cambria Math" panose="02040503050406030204" pitchFamily="18" charset="0"/>
                          </a:rPr>
                          <m:t>𝟐</m:t>
                        </m:r>
                      </m:sup>
                    </m:sSup>
                    <m:r>
                      <a:rPr lang="en-CA" sz="800" b="1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CA" sz="800" b="1" i="1">
                        <a:latin typeface="Cambria Math" panose="02040503050406030204" pitchFamily="18" charset="0"/>
                      </a:rPr>
                      <m:t>𝟎</m:t>
                    </m:r>
                    <m:r>
                      <a:rPr lang="en-CA" sz="800" b="1" i="1">
                        <a:latin typeface="Cambria Math" panose="02040503050406030204" pitchFamily="18" charset="0"/>
                      </a:rPr>
                      <m:t>.</m:t>
                    </m:r>
                    <m:r>
                      <a:rPr lang="en-CA" sz="800" b="1" i="1">
                        <a:latin typeface="Cambria Math" panose="02040503050406030204" pitchFamily="18" charset="0"/>
                      </a:rPr>
                      <m:t>𝟗𝟗𝟗𝟓</m:t>
                    </m:r>
                  </m:oMath>
                </m:oMathPara>
              </a14:m>
              <a:endParaRPr lang="en-US" sz="800" b="1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F39B8550-25F1-43F8-81E1-52E6D5F064F2}"/>
                </a:ext>
              </a:extLst>
            </xdr:cNvPr>
            <xdr:cNvSpPr txBox="1"/>
          </xdr:nvSpPr>
          <xdr:spPr>
            <a:xfrm>
              <a:off x="3024638" y="444246839"/>
              <a:ext cx="622286" cy="13067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CA" sz="800" b="1" i="0">
                  <a:latin typeface="Cambria Math" panose="02040503050406030204" pitchFamily="18" charset="0"/>
                </a:rPr>
                <a:t>𝑹</a:t>
              </a:r>
              <a:r>
                <a:rPr lang="en-US" sz="800" b="1" i="0">
                  <a:latin typeface="Cambria Math" panose="02040503050406030204" pitchFamily="18" charset="0"/>
                </a:rPr>
                <a:t>^</a:t>
              </a:r>
              <a:r>
                <a:rPr lang="en-CA" sz="800" b="1" i="0">
                  <a:latin typeface="Cambria Math" panose="02040503050406030204" pitchFamily="18" charset="0"/>
                </a:rPr>
                <a:t>𝟐=𝟎.𝟗𝟗𝟗𝟓</a:t>
              </a:r>
              <a:endParaRPr lang="en-US" sz="800" b="1"/>
            </a:p>
          </xdr:txBody>
        </xdr:sp>
      </mc:Fallback>
    </mc:AlternateContent>
    <xdr:clientData/>
  </xdr:oneCellAnchor>
  <xdr:twoCellAnchor editAs="oneCell">
    <xdr:from>
      <xdr:col>0</xdr:col>
      <xdr:colOff>1</xdr:colOff>
      <xdr:row>1722</xdr:row>
      <xdr:rowOff>0</xdr:rowOff>
    </xdr:from>
    <xdr:to>
      <xdr:col>8</xdr:col>
      <xdr:colOff>80684</xdr:colOff>
      <xdr:row>1741</xdr:row>
      <xdr:rowOff>44822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210" b="19994"/>
        <a:stretch/>
      </xdr:blipFill>
      <xdr:spPr bwMode="auto">
        <a:xfrm>
          <a:off x="1" y="448064965"/>
          <a:ext cx="7109012" cy="4814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379095</xdr:colOff>
      <xdr:row>147</xdr:row>
      <xdr:rowOff>250507</xdr:rowOff>
    </xdr:from>
    <xdr:to>
      <xdr:col>4</xdr:col>
      <xdr:colOff>7995</xdr:colOff>
      <xdr:row>158</xdr:row>
      <xdr:rowOff>4447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381000</xdr:colOff>
      <xdr:row>148</xdr:row>
      <xdr:rowOff>7620</xdr:rowOff>
    </xdr:from>
    <xdr:to>
      <xdr:col>9</xdr:col>
      <xdr:colOff>9900</xdr:colOff>
      <xdr:row>158</xdr:row>
      <xdr:rowOff>13020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291</xdr:row>
      <xdr:rowOff>0</xdr:rowOff>
    </xdr:from>
    <xdr:to>
      <xdr:col>4</xdr:col>
      <xdr:colOff>9900</xdr:colOff>
      <xdr:row>301</xdr:row>
      <xdr:rowOff>5400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382905</xdr:colOff>
      <xdr:row>291</xdr:row>
      <xdr:rowOff>8573</xdr:rowOff>
    </xdr:from>
    <xdr:to>
      <xdr:col>9</xdr:col>
      <xdr:colOff>11805</xdr:colOff>
      <xdr:row>301</xdr:row>
      <xdr:rowOff>13973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381000</xdr:colOff>
      <xdr:row>434</xdr:row>
      <xdr:rowOff>0</xdr:rowOff>
    </xdr:from>
    <xdr:to>
      <xdr:col>4</xdr:col>
      <xdr:colOff>9900</xdr:colOff>
      <xdr:row>444</xdr:row>
      <xdr:rowOff>5400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382905</xdr:colOff>
      <xdr:row>434</xdr:row>
      <xdr:rowOff>8573</xdr:rowOff>
    </xdr:from>
    <xdr:to>
      <xdr:col>9</xdr:col>
      <xdr:colOff>11805</xdr:colOff>
      <xdr:row>444</xdr:row>
      <xdr:rowOff>13973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373380</xdr:colOff>
      <xdr:row>589</xdr:row>
      <xdr:rowOff>7620</xdr:rowOff>
    </xdr:from>
    <xdr:to>
      <xdr:col>4</xdr:col>
      <xdr:colOff>2280</xdr:colOff>
      <xdr:row>599</xdr:row>
      <xdr:rowOff>13020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367665</xdr:colOff>
      <xdr:row>589</xdr:row>
      <xdr:rowOff>953</xdr:rowOff>
    </xdr:from>
    <xdr:to>
      <xdr:col>8</xdr:col>
      <xdr:colOff>865245</xdr:colOff>
      <xdr:row>599</xdr:row>
      <xdr:rowOff>6353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1207</xdr:row>
      <xdr:rowOff>0</xdr:rowOff>
    </xdr:from>
    <xdr:to>
      <xdr:col>13</xdr:col>
      <xdr:colOff>405590</xdr:colOff>
      <xdr:row>1215</xdr:row>
      <xdr:rowOff>143376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1297</xdr:row>
      <xdr:rowOff>0</xdr:rowOff>
    </xdr:from>
    <xdr:to>
      <xdr:col>13</xdr:col>
      <xdr:colOff>405590</xdr:colOff>
      <xdr:row>1305</xdr:row>
      <xdr:rowOff>143375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1270</xdr:row>
      <xdr:rowOff>0</xdr:rowOff>
    </xdr:from>
    <xdr:to>
      <xdr:col>13</xdr:col>
      <xdr:colOff>405590</xdr:colOff>
      <xdr:row>1278</xdr:row>
      <xdr:rowOff>143375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1245</xdr:row>
      <xdr:rowOff>0</xdr:rowOff>
    </xdr:from>
    <xdr:to>
      <xdr:col>13</xdr:col>
      <xdr:colOff>405590</xdr:colOff>
      <xdr:row>1253</xdr:row>
      <xdr:rowOff>157028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17</xdr:row>
      <xdr:rowOff>0</xdr:rowOff>
    </xdr:from>
    <xdr:to>
      <xdr:col>13</xdr:col>
      <xdr:colOff>439208</xdr:colOff>
      <xdr:row>25</xdr:row>
      <xdr:rowOff>139789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17</xdr:row>
      <xdr:rowOff>0</xdr:rowOff>
    </xdr:from>
    <xdr:to>
      <xdr:col>13</xdr:col>
      <xdr:colOff>436070</xdr:colOff>
      <xdr:row>27</xdr:row>
      <xdr:rowOff>2087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0</xdr:colOff>
      <xdr:row>29</xdr:row>
      <xdr:rowOff>0</xdr:rowOff>
    </xdr:from>
    <xdr:to>
      <xdr:col>13</xdr:col>
      <xdr:colOff>436070</xdr:colOff>
      <xdr:row>39</xdr:row>
      <xdr:rowOff>2087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42</xdr:row>
      <xdr:rowOff>0</xdr:rowOff>
    </xdr:from>
    <xdr:to>
      <xdr:col>13</xdr:col>
      <xdr:colOff>436070</xdr:colOff>
      <xdr:row>52</xdr:row>
      <xdr:rowOff>2087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0</xdr:colOff>
      <xdr:row>54</xdr:row>
      <xdr:rowOff>0</xdr:rowOff>
    </xdr:from>
    <xdr:to>
      <xdr:col>13</xdr:col>
      <xdr:colOff>436070</xdr:colOff>
      <xdr:row>64</xdr:row>
      <xdr:rowOff>2087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67</xdr:row>
      <xdr:rowOff>0</xdr:rowOff>
    </xdr:from>
    <xdr:to>
      <xdr:col>9</xdr:col>
      <xdr:colOff>519135</xdr:colOff>
      <xdr:row>76</xdr:row>
      <xdr:rowOff>249396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0</xdr:colOff>
      <xdr:row>78</xdr:row>
      <xdr:rowOff>0</xdr:rowOff>
    </xdr:from>
    <xdr:to>
      <xdr:col>9</xdr:col>
      <xdr:colOff>519135</xdr:colOff>
      <xdr:row>87</xdr:row>
      <xdr:rowOff>249396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9965</xdr:rowOff>
    </xdr:from>
    <xdr:to>
      <xdr:col>9</xdr:col>
      <xdr:colOff>15240</xdr:colOff>
      <xdr:row>56</xdr:row>
      <xdr:rowOff>7620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875980" y="2799269"/>
          <a:ext cx="7929794" cy="6336983"/>
        </a:xfrm>
        <a:prstGeom prst="rect">
          <a:avLst/>
        </a:prstGeom>
        <a:solidFill>
          <a:schemeClr val="bg1">
            <a:lumMod val="95000"/>
          </a:schemeClr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Function unID4MS(CalMatrix As Object, SampleVector As Object) As Variant</a:t>
          </a:r>
        </a:p>
        <a:p>
          <a:endParaRPr lang="en-US" sz="11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>
              <a:latin typeface="Arial" panose="020B0604020202020204" pitchFamily="34" charset="0"/>
              <a:cs typeface="Arial" panose="020B0604020202020204" pitchFamily="34" charset="0"/>
            </a:rPr>
            <a:t>The function </a:t>
          </a:r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unID4MS</a:t>
          </a:r>
          <a:r>
            <a:rPr lang="en-US" sz="1100">
              <a:latin typeface="Arial" panose="020B0604020202020204" pitchFamily="34" charset="0"/>
              <a:cs typeface="Arial" panose="020B0604020202020204" pitchFamily="34" charset="0"/>
            </a:rPr>
            <a:t> provides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the analytical results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w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A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with uncertainty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n-US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</a:t>
          </a:r>
          <a:r>
            <a:rPr lang="en-US" sz="1100" b="1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of a quadruple isotope dilution quantitation experiment. 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Combined standard uncertainty of all results is estimated in accordance with the recommendations of ISO/GUM for uncorrelated input quantities.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The arguments of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unID4MS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function are two matrices: 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1- The first matrix (CalMatrix) describes the properties of the calibration blends A*B-1 A*B-2 and A*B-3. The form of this matrix is given here in cells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C5:J7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2- The second matrix (SampleVector) describes the properties of the sample blend AB. The form of this vector is given in cells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C10:H10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In this case the correct syntax is: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unID4MS(C5:J7,C10:H10)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. Function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unID4MS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returns an array (row vector) which is entered over 17 cells (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I10:Y10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 by pressing ctrl+shift+enter. In cell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I10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is returned the value of mass fraction (</a:t>
          </a:r>
          <a:r>
            <a:rPr lang="en-US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</a:t>
          </a:r>
          <a:r>
            <a:rPr lang="en-US" sz="1100" b="1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 while on cell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J10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is returned the standard uncertainty (</a:t>
          </a:r>
          <a:r>
            <a:rPr lang="en-US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</a:t>
          </a:r>
          <a:r>
            <a:rPr lang="en-US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</a:t>
          </a:r>
          <a:r>
            <a:rPr lang="en-US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</a:t>
          </a:r>
          <a:r>
            <a:rPr lang="en-US" sz="1100" b="1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</a:t>
          </a:r>
          <a:r>
            <a:rPr lang="en-US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). On cells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K10:Y10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the analysis of the variance component is presented.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N.B. 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the model of quadruple isotope dilution is based on two assumptions: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1- The isotopic composition of the analyte in the sample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A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and in the primary standard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A*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is identical.</a:t>
          </a: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2- The measured isotope amount ratios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r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are directly proportional to the actual amount ratios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R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(</a:t>
          </a:r>
          <a:r>
            <a:rPr lang="en-US" sz="1100" i="1" baseline="0">
              <a:latin typeface="Arial" panose="020B0604020202020204" pitchFamily="34" charset="0"/>
              <a:cs typeface="Arial" panose="020B0604020202020204" pitchFamily="34" charset="0"/>
            </a:rPr>
            <a:t>R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= </a:t>
          </a:r>
          <a:r>
            <a:rPr lang="en-US" sz="1100" i="1" baseline="0">
              <a:latin typeface="Arial" panose="020B0604020202020204" pitchFamily="34" charset="0"/>
              <a:cs typeface="Arial" panose="020B0604020202020204" pitchFamily="34" charset="0"/>
            </a:rPr>
            <a:t>K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∙</a:t>
          </a:r>
          <a:r>
            <a:rPr lang="en-US" sz="1100" i="1" baseline="0">
              <a:latin typeface="Arial" panose="020B0604020202020204" pitchFamily="34" charset="0"/>
              <a:cs typeface="Arial" panose="020B0604020202020204" pitchFamily="34" charset="0"/>
            </a:rPr>
            <a:t>r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). This assumption may or may not be valid for a particular measuring device.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The impact of this two assumptions on the measurement results is not taken under consideration by ID</a:t>
          </a:r>
          <a:r>
            <a:rPr lang="en-US" sz="1100" baseline="30000">
              <a:latin typeface="Arial" panose="020B0604020202020204" pitchFamily="34" charset="0"/>
              <a:cs typeface="Arial" panose="020B0604020202020204" pitchFamily="34" charset="0"/>
            </a:rPr>
            <a:t>4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MS formulation and needs to be estimated separately.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34</xdr:row>
          <xdr:rowOff>99060</xdr:rowOff>
        </xdr:from>
        <xdr:to>
          <xdr:col>3</xdr:col>
          <xdr:colOff>647700</xdr:colOff>
          <xdr:row>40</xdr:row>
          <xdr:rowOff>83820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74</xdr:row>
      <xdr:rowOff>9966</xdr:rowOff>
    </xdr:from>
    <xdr:to>
      <xdr:col>12</xdr:col>
      <xdr:colOff>0</xdr:colOff>
      <xdr:row>83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847725" y="1495866"/>
          <a:ext cx="10220325" cy="2218884"/>
        </a:xfrm>
        <a:prstGeom prst="rect">
          <a:avLst/>
        </a:prstGeom>
        <a:solidFill>
          <a:schemeClr val="bg1">
            <a:lumMod val="95000"/>
          </a:schemeClr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Function DenLiq(Density As Object) As Variant</a:t>
          </a:r>
        </a:p>
        <a:p>
          <a:endParaRPr lang="en-US" sz="11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>
              <a:latin typeface="Arial" panose="020B0604020202020204" pitchFamily="34" charset="0"/>
              <a:cs typeface="Arial" panose="020B0604020202020204" pitchFamily="34" charset="0"/>
            </a:rPr>
            <a:t>The function </a:t>
          </a:r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DenLiq</a:t>
          </a:r>
          <a:r>
            <a:rPr lang="en-US" sz="1100">
              <a:latin typeface="Arial" panose="020B0604020202020204" pitchFamily="34" charset="0"/>
              <a:cs typeface="Arial" panose="020B0604020202020204" pitchFamily="34" charset="0"/>
            </a:rPr>
            <a:t> provides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the analytical results </a:t>
          </a:r>
          <a:r>
            <a:rPr lang="el-GR" sz="1100" b="1" i="1" baseline="0">
              <a:latin typeface="Arial" panose="020B0604020202020204" pitchFamily="34" charset="0"/>
              <a:cs typeface="Arial" panose="020B0604020202020204" pitchFamily="34" charset="0"/>
            </a:rPr>
            <a:t>ρ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sample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with uncertainty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l-GR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ρ</a:t>
          </a:r>
          <a:r>
            <a:rPr lang="en-US" sz="1100" b="1" i="0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sample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of a density measurement experiment. </a:t>
          </a: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US" sz="11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Combined standard uncertainty of all results is estimated in accordance with the recommendations of ISO/GUM for uncorrelated input quantities. The argument of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DenLiq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function is a row vector (</a:t>
          </a:r>
          <a:r>
            <a:rPr lang="el-GR" sz="1100" b="1" i="1" baseline="0">
              <a:latin typeface="Arial" panose="020B0604020202020204" pitchFamily="34" charset="0"/>
              <a:cs typeface="Arial" panose="020B0604020202020204" pitchFamily="34" charset="0"/>
            </a:rPr>
            <a:t>ρ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H2O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l-GR" sz="1100" b="1" i="1" baseline="0">
              <a:latin typeface="Arial" panose="020B0604020202020204" pitchFamily="34" charset="0"/>
              <a:cs typeface="Arial" panose="020B0604020202020204" pitchFamily="34" charset="0"/>
            </a:rPr>
            <a:t>ρ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H2O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l-GR" sz="1100" b="1" i="1" baseline="0">
              <a:latin typeface="Arial" panose="020B0604020202020204" pitchFamily="34" charset="0"/>
              <a:cs typeface="Arial" panose="020B0604020202020204" pitchFamily="34" charset="0"/>
            </a:rPr>
            <a:t>ρ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air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l-GR" sz="1100" b="1" i="1" baseline="0">
              <a:latin typeface="Arial" panose="020B0604020202020204" pitchFamily="34" charset="0"/>
              <a:cs typeface="Arial" panose="020B0604020202020204" pitchFamily="34" charset="0"/>
            </a:rPr>
            <a:t>ρ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air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i="0" baseline="-25000">
              <a:latin typeface="Arial" panose="020B0604020202020204" pitchFamily="34" charset="0"/>
              <a:cs typeface="Arial" panose="020B0604020202020204" pitchFamily="34" charset="0"/>
            </a:rPr>
            <a:t>0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0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1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2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, 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u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[</a:t>
          </a:r>
          <a:r>
            <a:rPr lang="en-US" sz="1100" b="1" i="1" baseline="0">
              <a:latin typeface="Arial" panose="020B0604020202020204" pitchFamily="34" charset="0"/>
              <a:cs typeface="Arial" panose="020B0604020202020204" pitchFamily="34" charset="0"/>
            </a:rPr>
            <a:t>m</a:t>
          </a:r>
          <a:r>
            <a:rPr lang="en-US" sz="1100" b="1" baseline="-25000">
              <a:latin typeface="Arial" panose="020B0604020202020204" pitchFamily="34" charset="0"/>
              <a:cs typeface="Arial" panose="020B0604020202020204" pitchFamily="34" charset="0"/>
            </a:rPr>
            <a:t>2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). In this case the correct syntax is: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DenLiq(B5:K5)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. Function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DenLiq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returns an array (row vector) which is entered over 7 cells (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L5:R5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 by pressing ctrl+shift+enter. In cell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L5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is returned the value of liquid sample density (</a:t>
          </a:r>
          <a:r>
            <a:rPr lang="el-GR" sz="10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ρ</a:t>
          </a:r>
          <a:r>
            <a:rPr lang="en-US" sz="1000" b="1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sample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 while on cell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M5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is returned the standard uncertainty (</a:t>
          </a:r>
          <a:r>
            <a:rPr lang="en-US" sz="11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</a:t>
          </a:r>
          <a:r>
            <a:rPr lang="en-US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[</a:t>
          </a:r>
          <a:r>
            <a:rPr lang="el-GR" sz="1000" b="1" i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ρ</a:t>
          </a:r>
          <a:r>
            <a:rPr lang="en-US" sz="1000" b="1" baseline="-250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sample</a:t>
          </a:r>
          <a:r>
            <a:rPr lang="en-US" sz="1100" b="1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]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). On cells </a:t>
          </a:r>
          <a:r>
            <a:rPr lang="en-US" sz="1100" b="1" baseline="0">
              <a:latin typeface="Arial" panose="020B0604020202020204" pitchFamily="34" charset="0"/>
              <a:cs typeface="Arial" panose="020B0604020202020204" pitchFamily="34" charset="0"/>
            </a:rPr>
            <a:t>N5:R5</a:t>
          </a:r>
          <a:r>
            <a:rPr lang="en-US" sz="1100" baseline="0">
              <a:latin typeface="Arial" panose="020B0604020202020204" pitchFamily="34" charset="0"/>
              <a:cs typeface="Arial" panose="020B0604020202020204" pitchFamily="34" charset="0"/>
            </a:rPr>
            <a:t> the analysis of the variance component is presented.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76</xdr:row>
          <xdr:rowOff>121920</xdr:rowOff>
        </xdr:from>
        <xdr:to>
          <xdr:col>4</xdr:col>
          <xdr:colOff>198120</xdr:colOff>
          <xdr:row>79</xdr:row>
          <xdr:rowOff>68580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7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7620</xdr:colOff>
      <xdr:row>197</xdr:row>
      <xdr:rowOff>7620</xdr:rowOff>
    </xdr:from>
    <xdr:to>
      <xdr:col>9</xdr:col>
      <xdr:colOff>7620</xdr:colOff>
      <xdr:row>209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13446</xdr:colOff>
      <xdr:row>295</xdr:row>
      <xdr:rowOff>8964</xdr:rowOff>
    </xdr:from>
    <xdr:to>
      <xdr:col>13</xdr:col>
      <xdr:colOff>8965</xdr:colOff>
      <xdr:row>306</xdr:row>
      <xdr:rowOff>242047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8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8F5B5-95A5-4B35-A778-0CC76D276086}">
  <sheetPr codeName="Sheet3">
    <pageSetUpPr fitToPage="1"/>
  </sheetPr>
  <dimension ref="A1:HX1776"/>
  <sheetViews>
    <sheetView tabSelected="1" zoomScaleNormal="100" workbookViewId="0">
      <selection activeCell="A3" sqref="A3"/>
    </sheetView>
  </sheetViews>
  <sheetFormatPr defaultColWidth="12.77734375" defaultRowHeight="20.100000000000001" customHeight="1"/>
  <cols>
    <col min="1" max="16384" width="12.77734375" style="239"/>
  </cols>
  <sheetData>
    <row r="1" spans="1:18" s="148" customFormat="1" ht="19.95" customHeight="1">
      <c r="A1" s="1010"/>
      <c r="D1" s="1011"/>
      <c r="R1" s="1012"/>
    </row>
    <row r="2" spans="1:18" s="466" customFormat="1" ht="20.100000000000001" customHeight="1"/>
    <row r="3" spans="1:18" s="240" customFormat="1" ht="20.100000000000001" customHeight="1">
      <c r="A3" s="244" t="s">
        <v>314</v>
      </c>
    </row>
    <row r="4" spans="1:18" s="240" customFormat="1" ht="20.100000000000001" customHeight="1"/>
    <row r="5" spans="1:18" s="240" customFormat="1" ht="20.100000000000001" customHeight="1">
      <c r="A5" s="244" t="s">
        <v>315</v>
      </c>
      <c r="B5" s="244" t="s">
        <v>185</v>
      </c>
    </row>
    <row r="6" spans="1:18" s="481" customFormat="1" ht="20.100000000000001" customHeight="1">
      <c r="A6" s="481">
        <f>ROW(A30)</f>
        <v>30</v>
      </c>
      <c r="B6" s="481" t="str">
        <f>A30</f>
        <v>Weighing a cold (°C) bottle and effect on the uncertainty on mass</v>
      </c>
    </row>
    <row r="7" spans="1:18" s="240" customFormat="1" ht="20.100000000000001" customHeight="1">
      <c r="A7" s="240">
        <f>ROW(A59)</f>
        <v>59</v>
      </c>
      <c r="B7" s="240" t="str">
        <f>A59</f>
        <v>Preparation of the "MOOS-4 spike" nitrite solution</v>
      </c>
    </row>
    <row r="8" spans="1:18" s="240" customFormat="1" ht="20.100000000000001" customHeight="1">
      <c r="A8" s="240">
        <f>ROW(A77)</f>
        <v>77</v>
      </c>
      <c r="B8" s="240" t="str">
        <f>A77</f>
        <v>Planning the re-bottling of MOOS-4</v>
      </c>
    </row>
    <row r="9" spans="1:18" s="240" customFormat="1" ht="20.100000000000001" customHeight="1">
      <c r="A9" s="240">
        <f>ROW(A129)</f>
        <v>129</v>
      </c>
      <c r="B9" s="240" t="str">
        <f>A129</f>
        <v>Mass loss of old MOOS-4 and SEAN-1 material: traspiration from the irradiated bottles over 6 years</v>
      </c>
    </row>
    <row r="10" spans="1:18" s="305" customFormat="1" ht="20.100000000000001" customHeight="1">
      <c r="A10" s="332">
        <f>ROW(A197)</f>
        <v>197</v>
      </c>
      <c r="B10" s="332" t="str">
        <f>A197</f>
        <v>Cleaning bottle test</v>
      </c>
    </row>
    <row r="11" spans="1:18" s="250" customFormat="1" ht="20.100000000000001" customHeight="1">
      <c r="A11" s="250">
        <f>ROW(A221)</f>
        <v>221</v>
      </c>
      <c r="B11" s="250" t="str">
        <f>A221</f>
        <v>Screening nitrate on the starting material left at RT for 9 months aftern irradiation: almost full recovery and homogenous</v>
      </c>
    </row>
    <row r="12" spans="1:18" s="263" customFormat="1" ht="20.100000000000001" customHeight="1">
      <c r="A12" s="263">
        <f>ROW(A248)</f>
        <v>248</v>
      </c>
      <c r="B12" s="263" t="str">
        <f>A248</f>
        <v xml:space="preserve">Screening phosphate on the starting material left at RT for 9 months after irradiation: full recovery and homogenous </v>
      </c>
    </row>
    <row r="13" spans="1:18" s="263" customFormat="1" ht="20.100000000000001" customHeight="1">
      <c r="A13" s="263">
        <f>ROW(A294)</f>
        <v>294</v>
      </c>
      <c r="B13" s="263" t="str">
        <f>A294</f>
        <v>Screening nitrite on the starting material left at RT for 9 months after irradiation: nitrite formation</v>
      </c>
    </row>
    <row r="14" spans="1:18" s="263" customFormat="1" ht="20.100000000000001" customHeight="1">
      <c r="A14" s="263">
        <f>ROW(A324)</f>
        <v>324</v>
      </c>
      <c r="B14" s="263" t="str">
        <f>A324</f>
        <v>Irradiation of the nitrite spike solution eliminates nitrite</v>
      </c>
    </row>
    <row r="15" spans="1:18" s="240" customFormat="1" ht="20.100000000000001" customHeight="1">
      <c r="A15" s="267">
        <f>ROW(A341)</f>
        <v>341</v>
      </c>
      <c r="B15" s="267" t="str">
        <f>A341</f>
        <v>Brief short-term stability of the MOOS-4 starting material</v>
      </c>
    </row>
    <row r="16" spans="1:18" s="289" customFormat="1" ht="20.100000000000001" customHeight="1"/>
    <row r="17" spans="1:3" s="332" customFormat="1" ht="20.100000000000001" customHeight="1">
      <c r="A17" s="332">
        <f>ROW(A504)</f>
        <v>504</v>
      </c>
      <c r="B17" s="332" t="str">
        <f>A504</f>
        <v>Screening of nutrient on the 7 boxes before reblending</v>
      </c>
    </row>
    <row r="18" spans="1:3" s="342" customFormat="1" ht="20.100000000000001" customHeight="1">
      <c r="A18" s="342">
        <f>ROW(A604)</f>
        <v>604</v>
      </c>
      <c r="B18" s="342" t="str">
        <f>A604</f>
        <v>EtOH interference on nitrite</v>
      </c>
    </row>
    <row r="19" spans="1:3" s="267" customFormat="1" ht="20.100000000000001" customHeight="1">
      <c r="A19" s="365">
        <f>ROW(A627)</f>
        <v>627</v>
      </c>
      <c r="B19" s="365" t="str">
        <f>A627</f>
        <v>Preparation of the 15NO3- internal standard with exact-matching</v>
      </c>
    </row>
    <row r="20" spans="1:3" s="365" customFormat="1" ht="20.100000000000001" customHeight="1">
      <c r="A20" s="437">
        <f>ROW(A666)</f>
        <v>666</v>
      </c>
      <c r="B20" s="437" t="str">
        <f>A666</f>
        <v>Preparation of the 15NO2- and 15NO3- internal standard with exact-matching for simultaneous determination</v>
      </c>
    </row>
    <row r="21" spans="1:3" s="365" customFormat="1" ht="20.100000000000001" customHeight="1">
      <c r="A21" s="443">
        <f>ROW(A692)</f>
        <v>692</v>
      </c>
      <c r="B21" s="443" t="str">
        <f>A692</f>
        <v>Standardization NO2- Sigma Aldrich (verified 2024-04-22)</v>
      </c>
    </row>
    <row r="22" spans="1:3" s="365" customFormat="1" ht="20.100000000000001" customHeight="1">
      <c r="A22" s="461">
        <f>ROW(A901)</f>
        <v>901</v>
      </c>
      <c r="B22" s="461" t="str">
        <f>A901</f>
        <v>Development of novel method for the determination of nitrite by GC-MS following derivatization with triethyloxonium</v>
      </c>
    </row>
    <row r="23" spans="1:3" s="365" customFormat="1" ht="20.100000000000001" customHeight="1">
      <c r="A23" s="507">
        <f>ROW(A1220)</f>
        <v>1220</v>
      </c>
      <c r="B23" s="507" t="str">
        <f>A1220</f>
        <v>Validation figures nitrite and nitrate method and preliminary data on MOOS-4 and SEAN-1</v>
      </c>
    </row>
    <row r="24" spans="1:3" s="365" customFormat="1" ht="20.100000000000001" customHeight="1">
      <c r="A24" s="588">
        <f>ROW(A1434)</f>
        <v>1434</v>
      </c>
      <c r="B24" s="588" t="str">
        <f>A1434</f>
        <v>Purification of oxonium reagent for nitrate measurement</v>
      </c>
    </row>
    <row r="25" spans="1:3" s="365" customFormat="1" ht="20.100000000000001" customHeight="1">
      <c r="A25" s="588">
        <f>ROW(A1465)</f>
        <v>1465</v>
      </c>
      <c r="B25" s="588" t="str">
        <f>A1465</f>
        <v>Study matrix effects MOOS-4 by photometry (nitrite, phosphate, silicate; verified 2024-05-03)</v>
      </c>
      <c r="C25" s="588"/>
    </row>
    <row r="26" spans="1:3" s="365" customFormat="1" ht="20.100000000000001" customHeight="1">
      <c r="A26" s="588">
        <f>ROW(A1566)</f>
        <v>1566</v>
      </c>
      <c r="B26" s="588" t="str">
        <f>A1566</f>
        <v>Temperature effect on the determination of nitrite, phosphate and silicate by UV-vis</v>
      </c>
    </row>
    <row r="27" spans="1:3" s="588" customFormat="1" ht="20.100000000000001" customHeight="1">
      <c r="A27" s="588">
        <f>ROW(A1654)</f>
        <v>1654</v>
      </c>
      <c r="B27" s="588" t="str">
        <f>A1654</f>
        <v>Silicate interference on phosphate</v>
      </c>
    </row>
    <row r="28" spans="1:3" s="365" customFormat="1" ht="20.100000000000001" customHeight="1">
      <c r="A28" s="588">
        <f>ROW(A1679)</f>
        <v>1679</v>
      </c>
      <c r="B28" s="588" t="str">
        <f>A1679</f>
        <v>Validation of silicate by LC-ICPMS: calibration plot, analytical range, matrix effect, LOD, LOQ, signal repeatability</v>
      </c>
    </row>
    <row r="29" spans="1:3" s="588" customFormat="1" ht="20.100000000000001" customHeight="1"/>
    <row r="30" spans="1:3" s="150" customFormat="1" ht="20.100000000000001" customHeight="1">
      <c r="A30" s="150" t="s">
        <v>1393</v>
      </c>
    </row>
    <row r="31" spans="1:3" s="481" customFormat="1" ht="20.100000000000001" customHeight="1"/>
    <row r="32" spans="1:3" s="481" customFormat="1" ht="20.100000000000001" customHeight="1">
      <c r="A32" s="480" t="s">
        <v>1394</v>
      </c>
    </row>
    <row r="33" spans="1:7" s="481" customFormat="1" ht="20.100000000000001" customHeight="1"/>
    <row r="34" spans="1:7" s="481" customFormat="1" ht="20.100000000000001" customHeight="1">
      <c r="A34" s="54" t="s">
        <v>967</v>
      </c>
      <c r="B34" s="54"/>
      <c r="C34" s="54"/>
      <c r="D34" s="54"/>
      <c r="E34" s="54"/>
      <c r="F34" s="54"/>
      <c r="G34" s="54"/>
    </row>
    <row r="35" spans="1:7" s="481" customFormat="1" ht="20.100000000000001" customHeight="1">
      <c r="A35" s="54" t="s">
        <v>263</v>
      </c>
      <c r="B35" s="54"/>
      <c r="C35" s="54"/>
      <c r="D35" s="54"/>
      <c r="E35" s="54"/>
      <c r="F35" s="54"/>
      <c r="G35" s="54"/>
    </row>
    <row r="36" spans="1:7" s="481" customFormat="1" ht="20.100000000000001" customHeight="1">
      <c r="A36" s="54" t="s">
        <v>264</v>
      </c>
      <c r="B36" s="54"/>
      <c r="C36" s="54"/>
      <c r="D36" s="54"/>
      <c r="E36" s="54"/>
      <c r="F36" s="54"/>
      <c r="G36" s="54"/>
    </row>
    <row r="37" spans="1:7" s="481" customFormat="1" ht="20.100000000000001" customHeight="1">
      <c r="A37" s="54"/>
      <c r="B37" s="54"/>
      <c r="C37" s="54"/>
      <c r="D37" s="54"/>
      <c r="E37" s="54"/>
      <c r="F37" s="54"/>
      <c r="G37" s="54"/>
    </row>
    <row r="38" spans="1:7" s="481" customFormat="1" ht="20.100000000000001" customHeight="1">
      <c r="A38" s="176" t="s">
        <v>265</v>
      </c>
      <c r="B38" s="176" t="s">
        <v>266</v>
      </c>
      <c r="C38" s="54"/>
      <c r="D38" s="54"/>
      <c r="E38" s="54"/>
      <c r="F38" s="54"/>
      <c r="G38" s="54"/>
    </row>
    <row r="39" spans="1:7" s="481" customFormat="1" ht="20.100000000000001" customHeight="1">
      <c r="A39" s="54">
        <v>1</v>
      </c>
      <c r="B39" s="54">
        <v>71.709299999999999</v>
      </c>
      <c r="C39" s="54"/>
      <c r="D39" s="54"/>
      <c r="E39" s="54"/>
      <c r="F39" s="54"/>
      <c r="G39" s="54"/>
    </row>
    <row r="40" spans="1:7" s="481" customFormat="1" ht="20.100000000000001" customHeight="1">
      <c r="A40" s="54">
        <v>2</v>
      </c>
      <c r="B40" s="54">
        <v>71.709500000000006</v>
      </c>
      <c r="C40" s="54"/>
      <c r="D40" s="54"/>
      <c r="E40" s="54"/>
      <c r="F40" s="54"/>
      <c r="G40" s="54"/>
    </row>
    <row r="41" spans="1:7" s="481" customFormat="1" ht="20.100000000000001" customHeight="1">
      <c r="A41" s="54">
        <v>3</v>
      </c>
      <c r="B41" s="54">
        <v>71.7089</v>
      </c>
      <c r="C41" s="54"/>
      <c r="D41" s="54"/>
      <c r="E41" s="54"/>
      <c r="F41" s="54"/>
      <c r="G41" s="54"/>
    </row>
    <row r="42" spans="1:7" s="481" customFormat="1" ht="20.100000000000001" customHeight="1">
      <c r="A42" s="54">
        <v>4</v>
      </c>
      <c r="B42" s="54">
        <v>71.708699999999993</v>
      </c>
      <c r="C42" s="54"/>
      <c r="D42" s="54"/>
      <c r="E42" s="54"/>
      <c r="F42" s="54"/>
      <c r="G42" s="54"/>
    </row>
    <row r="43" spans="1:7" s="481" customFormat="1" ht="20.100000000000001" customHeight="1">
      <c r="A43" s="54">
        <v>5</v>
      </c>
      <c r="B43" s="54">
        <v>71.708399999999997</v>
      </c>
      <c r="C43" s="54"/>
      <c r="D43" s="54"/>
      <c r="E43" s="54"/>
      <c r="F43" s="54"/>
      <c r="G43" s="54"/>
    </row>
    <row r="44" spans="1:7" s="481" customFormat="1" ht="20.100000000000001" customHeight="1">
      <c r="A44" s="54">
        <v>6</v>
      </c>
      <c r="B44" s="54">
        <v>71.707999999999998</v>
      </c>
      <c r="C44" s="54"/>
      <c r="D44" s="54"/>
      <c r="E44" s="54"/>
      <c r="F44" s="54"/>
      <c r="G44" s="54"/>
    </row>
    <row r="45" spans="1:7" s="481" customFormat="1" ht="20.100000000000001" customHeight="1">
      <c r="A45" s="54">
        <v>7</v>
      </c>
      <c r="B45" s="54">
        <v>71.708299999999994</v>
      </c>
      <c r="C45" s="54"/>
      <c r="D45" s="54"/>
      <c r="E45" s="54"/>
      <c r="F45" s="54"/>
      <c r="G45" s="54"/>
    </row>
    <row r="46" spans="1:7" s="481" customFormat="1" ht="20.100000000000001" customHeight="1">
      <c r="A46" s="483">
        <v>8</v>
      </c>
      <c r="B46" s="483">
        <v>71.707599999999999</v>
      </c>
      <c r="C46" s="54"/>
      <c r="D46" s="54"/>
      <c r="E46" s="54"/>
      <c r="F46" s="54"/>
      <c r="G46" s="54"/>
    </row>
    <row r="47" spans="1:7" s="481" customFormat="1" ht="20.100000000000001" customHeight="1">
      <c r="A47" s="54" t="s">
        <v>267</v>
      </c>
      <c r="B47" s="54">
        <f>MAX(B39:B46)</f>
        <v>71.709500000000006</v>
      </c>
      <c r="C47" s="54"/>
      <c r="D47" s="54"/>
      <c r="E47" s="54"/>
      <c r="F47" s="54"/>
      <c r="G47" s="54"/>
    </row>
    <row r="48" spans="1:7" s="481" customFormat="1" ht="20.100000000000001" customHeight="1">
      <c r="A48" s="54" t="s">
        <v>268</v>
      </c>
      <c r="B48" s="54">
        <f>MIN(B39:B46)</f>
        <v>71.707599999999999</v>
      </c>
      <c r="C48" s="54"/>
      <c r="D48" s="54"/>
      <c r="E48" s="54"/>
      <c r="F48" s="54"/>
      <c r="G48" s="54"/>
    </row>
    <row r="49" spans="1:7" s="481" customFormat="1" ht="20.100000000000001" customHeight="1">
      <c r="A49" s="483" t="s">
        <v>269</v>
      </c>
      <c r="B49" s="483">
        <f>B47-B48</f>
        <v>1.90000000000623E-3</v>
      </c>
      <c r="C49" s="54"/>
      <c r="D49" s="54"/>
      <c r="E49" s="54"/>
      <c r="F49" s="54"/>
      <c r="G49" s="54"/>
    </row>
    <row r="50" spans="1:7" s="481" customFormat="1" ht="20.100000000000001" customHeight="1">
      <c r="A50" s="54"/>
      <c r="B50" s="54"/>
      <c r="C50" s="54"/>
      <c r="D50" s="54"/>
      <c r="E50" s="54"/>
      <c r="F50" s="54"/>
      <c r="G50" s="54"/>
    </row>
    <row r="51" spans="1:7" s="481" customFormat="1" ht="20.100000000000001" customHeight="1">
      <c r="A51" s="51" t="s">
        <v>270</v>
      </c>
      <c r="B51" s="179">
        <f>0.002</f>
        <v>2E-3</v>
      </c>
      <c r="C51" s="54"/>
      <c r="D51" s="54"/>
      <c r="E51" s="54"/>
      <c r="F51" s="54"/>
      <c r="G51" s="54"/>
    </row>
    <row r="52" spans="1:7" s="481" customFormat="1" ht="20.100000000000001" customHeight="1">
      <c r="A52" s="54"/>
      <c r="B52" s="54"/>
      <c r="C52" s="54"/>
      <c r="D52" s="54"/>
      <c r="E52" s="54"/>
      <c r="F52" s="54"/>
      <c r="G52" s="54"/>
    </row>
    <row r="53" spans="1:7" s="481" customFormat="1" ht="20.100000000000001" customHeight="1">
      <c r="A53" s="181" t="s">
        <v>271</v>
      </c>
      <c r="B53" s="54"/>
      <c r="C53" s="54"/>
      <c r="D53" s="54"/>
      <c r="E53" s="54"/>
      <c r="F53" s="54"/>
      <c r="G53" s="54"/>
    </row>
    <row r="54" spans="1:7" s="481" customFormat="1" ht="20.100000000000001" customHeight="1">
      <c r="A54" s="54"/>
      <c r="B54" s="54"/>
      <c r="C54" s="54"/>
      <c r="D54" s="54"/>
      <c r="E54" s="54"/>
      <c r="F54" s="54"/>
      <c r="G54" s="54"/>
    </row>
    <row r="55" spans="1:7" s="481" customFormat="1" ht="20.100000000000001" customHeight="1">
      <c r="A55" s="54" t="s">
        <v>272</v>
      </c>
      <c r="B55" s="54"/>
      <c r="C55" s="54"/>
      <c r="D55" s="54"/>
      <c r="E55" s="54"/>
      <c r="F55" s="54"/>
      <c r="G55" s="54"/>
    </row>
    <row r="56" spans="1:7" s="481" customFormat="1" ht="20.100000000000001" customHeight="1">
      <c r="A56" s="54" t="s">
        <v>273</v>
      </c>
      <c r="B56" s="54"/>
      <c r="C56" s="54"/>
      <c r="D56" s="54"/>
      <c r="E56" s="54"/>
      <c r="F56" s="54"/>
      <c r="G56" s="54"/>
    </row>
    <row r="57" spans="1:7" s="481" customFormat="1" ht="20.100000000000001" customHeight="1">
      <c r="A57" s="54" t="s">
        <v>274</v>
      </c>
      <c r="B57" s="54"/>
      <c r="C57" s="54"/>
      <c r="D57" s="54"/>
      <c r="E57" s="54"/>
      <c r="F57" s="54"/>
      <c r="G57" s="54"/>
    </row>
    <row r="58" spans="1:7" s="267" customFormat="1" ht="20.100000000000001" customHeight="1"/>
    <row r="59" spans="1:7" s="150" customFormat="1" ht="20.100000000000001" customHeight="1">
      <c r="A59" s="150" t="s">
        <v>2233</v>
      </c>
    </row>
    <row r="60" spans="1:7" s="240" customFormat="1" ht="20.100000000000001" customHeight="1"/>
    <row r="61" spans="1:7" ht="20.100000000000001" customHeight="1">
      <c r="A61" s="238" t="s">
        <v>2</v>
      </c>
      <c r="B61" s="238">
        <v>20200228</v>
      </c>
    </row>
    <row r="63" spans="1:7" ht="20.100000000000001" customHeight="1">
      <c r="A63" s="239" t="s">
        <v>303</v>
      </c>
    </row>
    <row r="64" spans="1:7" ht="20.100000000000001" customHeight="1">
      <c r="A64" s="239" t="s">
        <v>304</v>
      </c>
    </row>
    <row r="65" spans="1:1" ht="20.100000000000001" customHeight="1">
      <c r="A65" s="239" t="s">
        <v>305</v>
      </c>
    </row>
    <row r="66" spans="1:1" ht="20.100000000000001" customHeight="1">
      <c r="A66" s="239" t="s">
        <v>306</v>
      </c>
    </row>
    <row r="67" spans="1:1" ht="20.100000000000001" customHeight="1">
      <c r="A67" s="239" t="s">
        <v>307</v>
      </c>
    </row>
    <row r="68" spans="1:1" ht="20.100000000000001" customHeight="1">
      <c r="A68" s="239" t="s">
        <v>308</v>
      </c>
    </row>
    <row r="70" spans="1:1" ht="20.100000000000001" customHeight="1">
      <c r="A70" s="239" t="s">
        <v>309</v>
      </c>
    </row>
    <row r="71" spans="1:1" ht="20.100000000000001" customHeight="1">
      <c r="A71" s="239" t="s">
        <v>310</v>
      </c>
    </row>
    <row r="72" spans="1:1" ht="20.100000000000001" customHeight="1">
      <c r="A72" s="239" t="s">
        <v>311</v>
      </c>
    </row>
    <row r="74" spans="1:1" ht="20.100000000000001" customHeight="1">
      <c r="A74" s="239" t="s">
        <v>312</v>
      </c>
    </row>
    <row r="75" spans="1:1" ht="20.100000000000001" customHeight="1">
      <c r="A75" s="239" t="s">
        <v>313</v>
      </c>
    </row>
    <row r="77" spans="1:1" s="150" customFormat="1" ht="20.100000000000001" customHeight="1">
      <c r="A77" s="150" t="s">
        <v>316</v>
      </c>
    </row>
    <row r="78" spans="1:1" s="240" customFormat="1" ht="20.100000000000001" customHeight="1"/>
    <row r="79" spans="1:1" s="240" customFormat="1" ht="20.100000000000001" customHeight="1">
      <c r="A79" s="244" t="s">
        <v>469</v>
      </c>
    </row>
    <row r="80" spans="1:1" s="240" customFormat="1" ht="20.100000000000001" customHeight="1"/>
    <row r="81" spans="1:2" s="240" customFormat="1" ht="20.100000000000001" customHeight="1">
      <c r="A81" s="244" t="s">
        <v>2</v>
      </c>
      <c r="B81" s="235">
        <v>44988</v>
      </c>
    </row>
    <row r="82" spans="1:2" s="240" customFormat="1" ht="20.100000000000001" customHeight="1"/>
    <row r="83" spans="1:2" s="240" customFormat="1" ht="20.100000000000001" customHeight="1">
      <c r="A83" s="240" t="s">
        <v>317</v>
      </c>
    </row>
    <row r="84" spans="1:2" s="240" customFormat="1" ht="20.100000000000001" customHeight="1">
      <c r="A84" s="240" t="s">
        <v>318</v>
      </c>
    </row>
    <row r="85" spans="1:2" s="240" customFormat="1" ht="20.100000000000001" customHeight="1"/>
    <row r="86" spans="1:2" s="240" customFormat="1" ht="20.100000000000001" customHeight="1">
      <c r="A86" s="240" t="s">
        <v>319</v>
      </c>
    </row>
    <row r="87" spans="1:2" s="240" customFormat="1" ht="20.100000000000001" customHeight="1"/>
    <row r="88" spans="1:2" s="240" customFormat="1" ht="20.100000000000001" customHeight="1">
      <c r="A88" s="244" t="s">
        <v>471</v>
      </c>
    </row>
    <row r="89" spans="1:2" s="240" customFormat="1" ht="20.100000000000001" customHeight="1"/>
    <row r="90" spans="1:2" ht="20.100000000000001" customHeight="1">
      <c r="A90" s="239" t="s">
        <v>321</v>
      </c>
    </row>
    <row r="91" spans="1:2" ht="20.100000000000001" customHeight="1">
      <c r="A91" s="60">
        <f>2*4.65*(0.1548/68.9953*46.005)/48.0817</f>
        <v>1.9964554253603554E-2</v>
      </c>
    </row>
    <row r="93" spans="1:2" ht="20.100000000000001" customHeight="1">
      <c r="A93" s="239" t="s">
        <v>320</v>
      </c>
    </row>
    <row r="94" spans="1:2" ht="20.100000000000001" customHeight="1">
      <c r="A94" s="239">
        <v>33</v>
      </c>
    </row>
    <row r="95" spans="1:2" s="263" customFormat="1" ht="20.100000000000001" customHeight="1"/>
    <row r="96" spans="1:2" s="263" customFormat="1" ht="20.100000000000001" customHeight="1">
      <c r="A96" s="57" t="s">
        <v>470</v>
      </c>
    </row>
    <row r="97" spans="1:1" s="263" customFormat="1" ht="20.100000000000001" customHeight="1">
      <c r="A97" s="57">
        <f>ROW(A294)</f>
        <v>294</v>
      </c>
    </row>
    <row r="98" spans="1:1" s="263" customFormat="1" ht="20.100000000000001" customHeight="1">
      <c r="A98" s="57"/>
    </row>
    <row r="99" spans="1:1" s="148" customFormat="1" ht="20.100000000000001" customHeight="1">
      <c r="A99" s="233"/>
    </row>
    <row r="100" spans="1:1" s="148" customFormat="1" ht="20.100000000000001" customHeight="1"/>
    <row r="101" spans="1:1" s="148" customFormat="1" ht="20.100000000000001" customHeight="1"/>
    <row r="102" spans="1:1" s="148" customFormat="1" ht="20.100000000000001" customHeight="1">
      <c r="A102" s="254"/>
    </row>
    <row r="103" spans="1:1" s="148" customFormat="1" ht="20.100000000000001" customHeight="1">
      <c r="A103" s="254"/>
    </row>
    <row r="104" spans="1:1" s="148" customFormat="1" ht="20.100000000000001" customHeight="1"/>
    <row r="105" spans="1:1" s="148" customFormat="1" ht="20.100000000000001" customHeight="1">
      <c r="A105" s="254"/>
    </row>
    <row r="106" spans="1:1" s="148" customFormat="1" ht="20.100000000000001" customHeight="1">
      <c r="A106" s="254"/>
    </row>
    <row r="107" spans="1:1" s="148" customFormat="1" ht="20.100000000000001" customHeight="1">
      <c r="A107" s="254"/>
    </row>
    <row r="108" spans="1:1" s="148" customFormat="1" ht="20.100000000000001" customHeight="1"/>
    <row r="109" spans="1:1" s="148" customFormat="1" ht="20.100000000000001" customHeight="1"/>
    <row r="110" spans="1:1" s="148" customFormat="1" ht="20.100000000000001" customHeight="1"/>
    <row r="111" spans="1:1" s="148" customFormat="1" ht="20.100000000000001" customHeight="1"/>
    <row r="112" spans="1:1" s="148" customFormat="1" ht="20.100000000000001" customHeight="1"/>
    <row r="113" spans="1:1" s="148" customFormat="1" ht="20.100000000000001" customHeight="1"/>
    <row r="114" spans="1:1" s="148" customFormat="1" ht="20.100000000000001" customHeight="1"/>
    <row r="115" spans="1:1" s="148" customFormat="1" ht="20.100000000000001" customHeight="1"/>
    <row r="116" spans="1:1" s="148" customFormat="1" ht="20.100000000000001" customHeight="1">
      <c r="A116" s="972"/>
    </row>
    <row r="117" spans="1:1" s="148" customFormat="1" ht="20.100000000000001" customHeight="1"/>
    <row r="118" spans="1:1" s="148" customFormat="1" ht="20.100000000000001" customHeight="1"/>
    <row r="119" spans="1:1" s="148" customFormat="1" ht="20.100000000000001" customHeight="1">
      <c r="A119" s="973"/>
    </row>
    <row r="120" spans="1:1" s="148" customFormat="1" ht="20.100000000000001" customHeight="1">
      <c r="A120" s="974"/>
    </row>
    <row r="121" spans="1:1" s="148" customFormat="1" ht="20.100000000000001" customHeight="1"/>
    <row r="122" spans="1:1" s="148" customFormat="1" ht="20.100000000000001" customHeight="1">
      <c r="A122" s="973"/>
    </row>
    <row r="123" spans="1:1" s="148" customFormat="1" ht="20.100000000000001" customHeight="1"/>
    <row r="124" spans="1:1" s="148" customFormat="1" ht="20.100000000000001" customHeight="1">
      <c r="A124" s="233"/>
    </row>
    <row r="125" spans="1:1" s="148" customFormat="1" ht="20.100000000000001" customHeight="1"/>
    <row r="126" spans="1:1" s="148" customFormat="1" ht="20.100000000000001" customHeight="1"/>
    <row r="127" spans="1:1" s="148" customFormat="1" ht="20.100000000000001" customHeight="1"/>
    <row r="128" spans="1:1" s="240" customFormat="1" ht="20.100000000000001" customHeight="1"/>
    <row r="129" spans="1:9" s="150" customFormat="1" ht="20.100000000000001" customHeight="1">
      <c r="A129" s="150" t="s">
        <v>431</v>
      </c>
    </row>
    <row r="131" spans="1:9" ht="20.100000000000001" customHeight="1">
      <c r="A131" s="239" t="s">
        <v>322</v>
      </c>
    </row>
    <row r="132" spans="1:9" ht="20.100000000000001" customHeight="1">
      <c r="A132" s="239" t="s">
        <v>323</v>
      </c>
    </row>
    <row r="133" spans="1:9" ht="20.100000000000001" customHeight="1">
      <c r="A133" s="239" t="s">
        <v>324</v>
      </c>
    </row>
    <row r="134" spans="1:9" s="240" customFormat="1" ht="20.100000000000001" customHeight="1"/>
    <row r="135" spans="1:9" s="240" customFormat="1" ht="20.100000000000001" customHeight="1">
      <c r="A135" s="57" t="s">
        <v>430</v>
      </c>
    </row>
    <row r="136" spans="1:9" s="240" customFormat="1" ht="20.100000000000001" customHeight="1">
      <c r="A136" s="58">
        <f>I195/60</f>
        <v>-1.8149999999998556E-3</v>
      </c>
    </row>
    <row r="138" spans="1:9" ht="20.100000000000001" customHeight="1">
      <c r="A138" s="246" t="s">
        <v>325</v>
      </c>
      <c r="B138" s="246" t="s">
        <v>326</v>
      </c>
      <c r="C138" s="246" t="s">
        <v>326</v>
      </c>
      <c r="D138" s="246" t="s">
        <v>328</v>
      </c>
      <c r="F138" s="246" t="s">
        <v>325</v>
      </c>
      <c r="G138" s="246" t="s">
        <v>326</v>
      </c>
      <c r="H138" s="246" t="s">
        <v>326</v>
      </c>
      <c r="I138" s="246" t="s">
        <v>328</v>
      </c>
    </row>
    <row r="139" spans="1:9" ht="20.100000000000001" customHeight="1">
      <c r="A139" s="242" t="s">
        <v>96</v>
      </c>
      <c r="B139" s="242" t="s">
        <v>327</v>
      </c>
      <c r="C139" s="255">
        <v>44986</v>
      </c>
      <c r="D139" s="242"/>
      <c r="F139" s="242" t="s">
        <v>96</v>
      </c>
      <c r="G139" s="242" t="s">
        <v>327</v>
      </c>
      <c r="H139" s="255">
        <v>44986</v>
      </c>
      <c r="I139" s="242"/>
    </row>
    <row r="140" spans="1:9" ht="20.100000000000001" customHeight="1">
      <c r="A140" s="241"/>
      <c r="B140" s="241" t="s">
        <v>64</v>
      </c>
      <c r="C140" s="241" t="s">
        <v>64</v>
      </c>
      <c r="D140" s="241" t="s">
        <v>64</v>
      </c>
      <c r="F140" s="241"/>
      <c r="G140" s="241" t="s">
        <v>64</v>
      </c>
      <c r="H140" s="241" t="s">
        <v>64</v>
      </c>
      <c r="I140" s="241" t="s">
        <v>64</v>
      </c>
    </row>
    <row r="141" spans="1:9" ht="20.100000000000001" customHeight="1">
      <c r="A141" s="239" t="s">
        <v>329</v>
      </c>
      <c r="B141" s="60">
        <v>75.764200000000002</v>
      </c>
      <c r="C141" s="60">
        <v>75.676599999999993</v>
      </c>
      <c r="D141" s="60">
        <f>C141-B141</f>
        <v>-8.7600000000009004E-2</v>
      </c>
      <c r="F141" s="239" t="s">
        <v>379</v>
      </c>
      <c r="G141" s="60">
        <v>71.194900000000004</v>
      </c>
      <c r="H141" s="60">
        <v>71.1053</v>
      </c>
      <c r="I141" s="82">
        <f>H141-G141</f>
        <v>-8.9600000000004343E-2</v>
      </c>
    </row>
    <row r="142" spans="1:9" ht="20.100000000000001" customHeight="1">
      <c r="A142" s="239" t="s">
        <v>330</v>
      </c>
      <c r="B142" s="60">
        <v>75.123400000000004</v>
      </c>
      <c r="C142" s="60">
        <v>75.036900000000003</v>
      </c>
      <c r="D142" s="60">
        <f t="shared" ref="D142:D190" si="0">C142-B142</f>
        <v>-8.6500000000000909E-2</v>
      </c>
      <c r="F142" s="239" t="s">
        <v>380</v>
      </c>
      <c r="G142" s="60">
        <v>74.645200000000003</v>
      </c>
      <c r="H142" s="60">
        <v>74.558000000000007</v>
      </c>
      <c r="I142" s="80">
        <f t="shared" ref="I142:I190" si="1">H142-G142</f>
        <v>-8.7199999999995725E-2</v>
      </c>
    </row>
    <row r="143" spans="1:9" ht="20.100000000000001" customHeight="1">
      <c r="A143" s="239" t="s">
        <v>331</v>
      </c>
      <c r="B143" s="60">
        <v>74.586200000000005</v>
      </c>
      <c r="C143" s="60">
        <v>74.491799999999998</v>
      </c>
      <c r="D143" s="60">
        <f t="shared" si="0"/>
        <v>-9.4400000000007367E-2</v>
      </c>
      <c r="F143" s="239" t="s">
        <v>381</v>
      </c>
      <c r="G143" s="60">
        <v>72.116399999999999</v>
      </c>
      <c r="H143" s="60">
        <v>72.028099999999995</v>
      </c>
      <c r="I143" s="80">
        <f t="shared" si="1"/>
        <v>-8.830000000000382E-2</v>
      </c>
    </row>
    <row r="144" spans="1:9" ht="20.100000000000001" customHeight="1">
      <c r="A144" s="239" t="s">
        <v>332</v>
      </c>
      <c r="B144" s="60">
        <v>71.691800000000001</v>
      </c>
      <c r="C144" s="60">
        <v>71.602199999999996</v>
      </c>
      <c r="D144" s="60">
        <f t="shared" si="0"/>
        <v>-8.9600000000004343E-2</v>
      </c>
      <c r="F144" s="239" t="s">
        <v>382</v>
      </c>
      <c r="G144" s="60">
        <v>71.438900000000004</v>
      </c>
      <c r="H144" s="60">
        <v>71.352099999999993</v>
      </c>
      <c r="I144" s="80">
        <f t="shared" si="1"/>
        <v>-8.6800000000010868E-2</v>
      </c>
    </row>
    <row r="145" spans="1:9" ht="20.100000000000001" customHeight="1">
      <c r="A145" s="239" t="s">
        <v>333</v>
      </c>
      <c r="B145" s="60">
        <v>74.829499999999996</v>
      </c>
      <c r="C145" s="60">
        <v>74.742900000000006</v>
      </c>
      <c r="D145" s="60">
        <f t="shared" si="0"/>
        <v>-8.6599999999990018E-2</v>
      </c>
      <c r="F145" s="239" t="s">
        <v>383</v>
      </c>
      <c r="G145" s="60">
        <v>73.034199999999998</v>
      </c>
      <c r="H145" s="60">
        <v>72.945300000000003</v>
      </c>
      <c r="I145" s="80">
        <f t="shared" si="1"/>
        <v>-8.8899999999995316E-2</v>
      </c>
    </row>
    <row r="146" spans="1:9" ht="20.100000000000001" customHeight="1">
      <c r="A146" s="239" t="s">
        <v>334</v>
      </c>
      <c r="B146" s="60">
        <v>72.402000000000001</v>
      </c>
      <c r="C146" s="60">
        <v>72.316100000000006</v>
      </c>
      <c r="D146" s="60">
        <f t="shared" si="0"/>
        <v>-8.5899999999995202E-2</v>
      </c>
      <c r="F146" s="239" t="s">
        <v>384</v>
      </c>
      <c r="G146" s="60">
        <v>71.282700000000006</v>
      </c>
      <c r="H146" s="60">
        <v>71.195300000000003</v>
      </c>
      <c r="I146" s="80">
        <f t="shared" si="1"/>
        <v>-8.7400000000002365E-2</v>
      </c>
    </row>
    <row r="147" spans="1:9" ht="20.100000000000001" customHeight="1">
      <c r="A147" s="239" t="s">
        <v>335</v>
      </c>
      <c r="B147" s="60">
        <v>74.628399999999999</v>
      </c>
      <c r="C147" s="60">
        <v>74.538200000000003</v>
      </c>
      <c r="D147" s="60">
        <f t="shared" si="0"/>
        <v>-9.0199999999995839E-2</v>
      </c>
      <c r="F147" s="239" t="s">
        <v>385</v>
      </c>
      <c r="G147" s="60">
        <v>71.098200000000006</v>
      </c>
      <c r="H147" s="60">
        <v>71.006799999999998</v>
      </c>
      <c r="I147" s="80">
        <f t="shared" si="1"/>
        <v>-9.1400000000007253E-2</v>
      </c>
    </row>
    <row r="148" spans="1:9" ht="20.100000000000001" customHeight="1">
      <c r="A148" s="239" t="s">
        <v>336</v>
      </c>
      <c r="B148" s="60">
        <v>71.859499999999997</v>
      </c>
      <c r="C148" s="60">
        <v>71.771199999999993</v>
      </c>
      <c r="D148" s="60">
        <f t="shared" si="0"/>
        <v>-8.830000000000382E-2</v>
      </c>
      <c r="F148" s="239" t="s">
        <v>386</v>
      </c>
      <c r="G148" s="60">
        <v>73.306799999999996</v>
      </c>
      <c r="H148" s="60">
        <v>73.213899999999995</v>
      </c>
      <c r="I148" s="80">
        <f t="shared" si="1"/>
        <v>-9.2900000000000205E-2</v>
      </c>
    </row>
    <row r="149" spans="1:9" ht="20.100000000000001" customHeight="1">
      <c r="A149" s="239" t="s">
        <v>337</v>
      </c>
      <c r="B149" s="60">
        <v>71.156599999999997</v>
      </c>
      <c r="C149" s="60">
        <v>71.067899999999995</v>
      </c>
      <c r="D149" s="60">
        <f t="shared" si="0"/>
        <v>-8.8700000000002888E-2</v>
      </c>
      <c r="F149" s="239" t="s">
        <v>387</v>
      </c>
      <c r="G149" s="60">
        <v>71.754499999999993</v>
      </c>
      <c r="H149" s="60">
        <v>71.663200000000003</v>
      </c>
      <c r="I149" s="80">
        <f t="shared" si="1"/>
        <v>-9.1299999999989723E-2</v>
      </c>
    </row>
    <row r="150" spans="1:9" ht="20.100000000000001" customHeight="1">
      <c r="A150" s="239" t="s">
        <v>338</v>
      </c>
      <c r="B150" s="60">
        <v>75.743499999999997</v>
      </c>
      <c r="C150" s="60">
        <v>75.657200000000003</v>
      </c>
      <c r="D150" s="60">
        <f t="shared" si="0"/>
        <v>-8.629999999999427E-2</v>
      </c>
      <c r="F150" s="239" t="s">
        <v>388</v>
      </c>
      <c r="G150" s="60">
        <v>73.201999999999998</v>
      </c>
      <c r="H150" s="60">
        <v>73.111599999999996</v>
      </c>
      <c r="I150" s="80">
        <f t="shared" si="1"/>
        <v>-9.0400000000002478E-2</v>
      </c>
    </row>
    <row r="151" spans="1:9" ht="20.100000000000001" customHeight="1">
      <c r="A151" s="239" t="s">
        <v>339</v>
      </c>
      <c r="B151" s="60">
        <v>73.756900000000002</v>
      </c>
      <c r="C151" s="60">
        <v>73.668499999999995</v>
      </c>
      <c r="D151" s="60">
        <f t="shared" si="0"/>
        <v>-8.840000000000714E-2</v>
      </c>
      <c r="F151" s="239" t="s">
        <v>389</v>
      </c>
      <c r="G151" s="60">
        <v>73.467500000000001</v>
      </c>
      <c r="H151" s="60">
        <v>73.377200000000002</v>
      </c>
      <c r="I151" s="80">
        <f t="shared" si="1"/>
        <v>-9.0299999999999159E-2</v>
      </c>
    </row>
    <row r="152" spans="1:9" ht="20.100000000000001" customHeight="1">
      <c r="A152" s="239" t="s">
        <v>340</v>
      </c>
      <c r="B152" s="60">
        <v>72.035799999999995</v>
      </c>
      <c r="C152" s="60">
        <v>71.946100000000001</v>
      </c>
      <c r="D152" s="60">
        <f t="shared" si="0"/>
        <v>-8.9699999999993452E-2</v>
      </c>
      <c r="F152" s="239" t="s">
        <v>390</v>
      </c>
      <c r="G152" s="60">
        <v>72.679900000000004</v>
      </c>
      <c r="H152" s="60">
        <v>72.587999999999994</v>
      </c>
      <c r="I152" s="80">
        <f t="shared" si="1"/>
        <v>-9.1900000000009641E-2</v>
      </c>
    </row>
    <row r="153" spans="1:9" ht="20.100000000000001" customHeight="1">
      <c r="A153" s="239" t="s">
        <v>341</v>
      </c>
      <c r="B153" s="60">
        <v>75.268000000000001</v>
      </c>
      <c r="C153" s="60">
        <v>75.179500000000004</v>
      </c>
      <c r="D153" s="60">
        <f t="shared" si="0"/>
        <v>-8.8499999999996248E-2</v>
      </c>
      <c r="F153" s="239" t="s">
        <v>391</v>
      </c>
      <c r="G153" s="60">
        <v>72.587400000000002</v>
      </c>
      <c r="H153" s="60">
        <v>72.4953</v>
      </c>
      <c r="I153" s="80">
        <f t="shared" si="1"/>
        <v>-9.2100000000002069E-2</v>
      </c>
    </row>
    <row r="154" spans="1:9" ht="20.100000000000001" customHeight="1">
      <c r="A154" s="239" t="s">
        <v>342</v>
      </c>
      <c r="B154" s="60">
        <v>74.949200000000005</v>
      </c>
      <c r="C154" s="60">
        <v>74.859800000000007</v>
      </c>
      <c r="D154" s="60">
        <f t="shared" si="0"/>
        <v>-8.9399999999997704E-2</v>
      </c>
      <c r="F154" s="239" t="s">
        <v>392</v>
      </c>
      <c r="G154" s="60">
        <v>73.148499999999999</v>
      </c>
      <c r="H154" s="60">
        <v>73.051199999999994</v>
      </c>
      <c r="I154" s="80">
        <f t="shared" si="1"/>
        <v>-9.7300000000004161E-2</v>
      </c>
    </row>
    <row r="155" spans="1:9" ht="20.100000000000001" customHeight="1">
      <c r="A155" s="239" t="s">
        <v>343</v>
      </c>
      <c r="B155" s="60">
        <v>73.495699999999999</v>
      </c>
      <c r="C155" s="60">
        <v>73.410399999999996</v>
      </c>
      <c r="D155" s="60">
        <f t="shared" si="0"/>
        <v>-8.5300000000003706E-2</v>
      </c>
      <c r="F155" s="239" t="s">
        <v>393</v>
      </c>
      <c r="G155" s="60">
        <v>72.891499999999994</v>
      </c>
      <c r="H155" s="60">
        <v>72.802400000000006</v>
      </c>
      <c r="I155" s="80">
        <f t="shared" si="1"/>
        <v>-8.9099999999987745E-2</v>
      </c>
    </row>
    <row r="156" spans="1:9" ht="20.100000000000001" customHeight="1">
      <c r="A156" s="239" t="s">
        <v>344</v>
      </c>
      <c r="B156" s="60">
        <v>72.818600000000004</v>
      </c>
      <c r="C156" s="60">
        <v>72.729299999999995</v>
      </c>
      <c r="D156" s="60">
        <f t="shared" si="0"/>
        <v>-8.9300000000008595E-2</v>
      </c>
      <c r="F156" s="239" t="s">
        <v>394</v>
      </c>
      <c r="G156" s="60">
        <v>70.186000000000007</v>
      </c>
      <c r="H156" s="60">
        <v>70.096999999999994</v>
      </c>
      <c r="I156" s="80">
        <f t="shared" si="1"/>
        <v>-8.9000000000012847E-2</v>
      </c>
    </row>
    <row r="157" spans="1:9" ht="20.100000000000001" customHeight="1">
      <c r="A157" s="239" t="s">
        <v>345</v>
      </c>
      <c r="B157" s="60">
        <v>74.222200000000001</v>
      </c>
      <c r="C157" s="60">
        <v>74.131</v>
      </c>
      <c r="D157" s="60">
        <f t="shared" si="0"/>
        <v>-9.1200000000000614E-2</v>
      </c>
      <c r="F157" s="239" t="s">
        <v>395</v>
      </c>
      <c r="G157" s="60">
        <v>72.062299999999993</v>
      </c>
      <c r="H157" s="60">
        <v>71.971000000000004</v>
      </c>
      <c r="I157" s="80">
        <f t="shared" si="1"/>
        <v>-9.1299999999989723E-2</v>
      </c>
    </row>
    <row r="158" spans="1:9" ht="20.100000000000001" customHeight="1">
      <c r="A158" s="239" t="s">
        <v>346</v>
      </c>
      <c r="B158" s="60">
        <v>74.545000000000002</v>
      </c>
      <c r="C158" s="60">
        <v>74.456699999999998</v>
      </c>
      <c r="D158" s="60">
        <f t="shared" si="0"/>
        <v>-8.830000000000382E-2</v>
      </c>
      <c r="F158" s="239" t="s">
        <v>396</v>
      </c>
      <c r="G158" s="60">
        <v>72.2</v>
      </c>
      <c r="H158" s="60">
        <v>72.107399999999998</v>
      </c>
      <c r="I158" s="80">
        <f t="shared" si="1"/>
        <v>-9.2600000000004457E-2</v>
      </c>
    </row>
    <row r="159" spans="1:9" ht="20.100000000000001" customHeight="1">
      <c r="A159" s="239" t="s">
        <v>347</v>
      </c>
      <c r="B159" s="60">
        <v>73.861800000000002</v>
      </c>
      <c r="C159" s="60">
        <v>73.773600000000002</v>
      </c>
      <c r="D159" s="60">
        <f t="shared" si="0"/>
        <v>-8.82000000000005E-2</v>
      </c>
      <c r="F159" s="239" t="s">
        <v>397</v>
      </c>
      <c r="G159" s="60">
        <v>71.217100000000002</v>
      </c>
      <c r="H159" s="60">
        <v>71.125600000000006</v>
      </c>
      <c r="I159" s="80">
        <f t="shared" si="1"/>
        <v>-9.1499999999996362E-2</v>
      </c>
    </row>
    <row r="160" spans="1:9" ht="20.100000000000001" customHeight="1">
      <c r="A160" s="239" t="s">
        <v>348</v>
      </c>
      <c r="B160" s="60">
        <v>73.343199999999996</v>
      </c>
      <c r="C160" s="60">
        <v>73.254900000000006</v>
      </c>
      <c r="D160" s="60">
        <f t="shared" si="0"/>
        <v>-8.8299999999989609E-2</v>
      </c>
      <c r="F160" s="239" t="s">
        <v>398</v>
      </c>
      <c r="G160" s="60">
        <v>72.573800000000006</v>
      </c>
      <c r="H160" s="60">
        <v>72.483800000000002</v>
      </c>
      <c r="I160" s="80">
        <f t="shared" si="1"/>
        <v>-9.0000000000003411E-2</v>
      </c>
    </row>
    <row r="161" spans="1:9" ht="20.100000000000001" customHeight="1">
      <c r="A161" s="239" t="s">
        <v>349</v>
      </c>
      <c r="B161" s="60">
        <v>75.858199999999997</v>
      </c>
      <c r="C161" s="60">
        <v>75.770099999999999</v>
      </c>
      <c r="D161" s="60">
        <f t="shared" si="0"/>
        <v>-8.8099999999997181E-2</v>
      </c>
      <c r="F161" s="239" t="s">
        <v>399</v>
      </c>
      <c r="G161" s="60">
        <v>71.683199999999999</v>
      </c>
      <c r="H161" s="60">
        <v>71.593900000000005</v>
      </c>
      <c r="I161" s="80">
        <f t="shared" si="1"/>
        <v>-8.9299999999994384E-2</v>
      </c>
    </row>
    <row r="162" spans="1:9" ht="20.100000000000001" customHeight="1">
      <c r="A162" s="239" t="s">
        <v>350</v>
      </c>
      <c r="B162" s="60">
        <v>72.726900000000001</v>
      </c>
      <c r="C162" s="60">
        <v>72.637500000000003</v>
      </c>
      <c r="D162" s="60">
        <f t="shared" si="0"/>
        <v>-8.9399999999997704E-2</v>
      </c>
      <c r="F162" s="239" t="s">
        <v>400</v>
      </c>
      <c r="G162" s="60">
        <v>73.208500000000001</v>
      </c>
      <c r="H162" s="60">
        <v>73.118700000000004</v>
      </c>
      <c r="I162" s="80">
        <f t="shared" si="1"/>
        <v>-8.9799999999996771E-2</v>
      </c>
    </row>
    <row r="163" spans="1:9" ht="20.100000000000001" customHeight="1">
      <c r="A163" s="239" t="s">
        <v>351</v>
      </c>
      <c r="B163" s="60">
        <v>75.435699999999997</v>
      </c>
      <c r="C163" s="60">
        <v>75.346400000000003</v>
      </c>
      <c r="D163" s="60">
        <f t="shared" si="0"/>
        <v>-8.9299999999994384E-2</v>
      </c>
      <c r="F163" s="239" t="s">
        <v>401</v>
      </c>
      <c r="G163" s="60">
        <v>71.014600000000002</v>
      </c>
      <c r="H163" s="60">
        <v>70.929000000000002</v>
      </c>
      <c r="I163" s="80">
        <f t="shared" si="1"/>
        <v>-8.5599999999999454E-2</v>
      </c>
    </row>
    <row r="164" spans="1:9" ht="20.100000000000001" customHeight="1">
      <c r="A164" s="239" t="s">
        <v>352</v>
      </c>
      <c r="B164" s="60">
        <v>72.5916</v>
      </c>
      <c r="C164" s="60">
        <v>72.500600000000006</v>
      </c>
      <c r="D164" s="60">
        <f t="shared" si="0"/>
        <v>-9.0999999999993975E-2</v>
      </c>
      <c r="F164" s="239" t="s">
        <v>402</v>
      </c>
      <c r="G164" s="60">
        <v>71.768799999999999</v>
      </c>
      <c r="H164" s="60">
        <v>71.6785</v>
      </c>
      <c r="I164" s="80">
        <f t="shared" si="1"/>
        <v>-9.0299999999999159E-2</v>
      </c>
    </row>
    <row r="165" spans="1:9" ht="20.100000000000001" customHeight="1">
      <c r="A165" s="239" t="s">
        <v>353</v>
      </c>
      <c r="B165" s="60">
        <v>75.323800000000006</v>
      </c>
      <c r="C165" s="60">
        <v>75.238</v>
      </c>
      <c r="D165" s="60">
        <f t="shared" si="0"/>
        <v>-8.5800000000006094E-2</v>
      </c>
      <c r="F165" s="239" t="s">
        <v>403</v>
      </c>
      <c r="G165" s="60">
        <v>71.778300000000002</v>
      </c>
      <c r="H165" s="60">
        <v>71.692700000000002</v>
      </c>
      <c r="I165" s="80">
        <f t="shared" si="1"/>
        <v>-8.5599999999999454E-2</v>
      </c>
    </row>
    <row r="166" spans="1:9" ht="20.100000000000001" customHeight="1">
      <c r="A166" s="239" t="s">
        <v>354</v>
      </c>
      <c r="B166" s="60">
        <v>74.081199999999995</v>
      </c>
      <c r="C166" s="60">
        <v>73.991600000000005</v>
      </c>
      <c r="D166" s="60">
        <f t="shared" si="0"/>
        <v>-8.9599999999990132E-2</v>
      </c>
      <c r="F166" s="239" t="s">
        <v>404</v>
      </c>
      <c r="G166" s="60">
        <v>71.519800000000004</v>
      </c>
      <c r="H166" s="60">
        <v>71.431200000000004</v>
      </c>
      <c r="I166" s="80">
        <f t="shared" si="1"/>
        <v>-8.8599999999999568E-2</v>
      </c>
    </row>
    <row r="167" spans="1:9" ht="20.100000000000001" customHeight="1">
      <c r="A167" s="239" t="s">
        <v>355</v>
      </c>
      <c r="B167" s="60">
        <v>71.209100000000007</v>
      </c>
      <c r="C167" s="60">
        <v>71.119699999999995</v>
      </c>
      <c r="D167" s="60">
        <f t="shared" si="0"/>
        <v>-8.9400000000011914E-2</v>
      </c>
      <c r="F167" s="239" t="s">
        <v>405</v>
      </c>
      <c r="G167" s="60">
        <v>70.227400000000003</v>
      </c>
      <c r="H167" s="60">
        <v>70.138099999999994</v>
      </c>
      <c r="I167" s="80">
        <f t="shared" si="1"/>
        <v>-8.9300000000008595E-2</v>
      </c>
    </row>
    <row r="168" spans="1:9" ht="20.100000000000001" customHeight="1">
      <c r="A168" s="239" t="s">
        <v>356</v>
      </c>
      <c r="B168" s="60">
        <v>74.6875</v>
      </c>
      <c r="C168" s="60">
        <v>74.598600000000005</v>
      </c>
      <c r="D168" s="60">
        <f t="shared" si="0"/>
        <v>-8.8899999999995316E-2</v>
      </c>
      <c r="F168" s="239" t="s">
        <v>406</v>
      </c>
      <c r="G168" s="60">
        <v>70.823400000000007</v>
      </c>
      <c r="H168" s="60">
        <v>70.731099999999998</v>
      </c>
      <c r="I168" s="80">
        <f t="shared" si="1"/>
        <v>-9.2300000000008708E-2</v>
      </c>
    </row>
    <row r="169" spans="1:9" ht="20.100000000000001" customHeight="1">
      <c r="A169" s="239" t="s">
        <v>357</v>
      </c>
      <c r="B169" s="60">
        <v>75.274100000000004</v>
      </c>
      <c r="C169" s="60">
        <v>75.187899999999999</v>
      </c>
      <c r="D169" s="60">
        <f t="shared" si="0"/>
        <v>-8.6200000000005161E-2</v>
      </c>
      <c r="F169" s="239" t="s">
        <v>407</v>
      </c>
      <c r="G169" s="60">
        <v>72.033199999999994</v>
      </c>
      <c r="H169" s="60">
        <v>71.941000000000003</v>
      </c>
      <c r="I169" s="80">
        <f t="shared" si="1"/>
        <v>-9.2199999999991178E-2</v>
      </c>
    </row>
    <row r="170" spans="1:9" ht="20.100000000000001" customHeight="1">
      <c r="A170" s="239" t="s">
        <v>358</v>
      </c>
      <c r="B170" s="60">
        <v>75.63</v>
      </c>
      <c r="C170" s="60">
        <v>75.544499999999999</v>
      </c>
      <c r="D170" s="60">
        <f t="shared" si="0"/>
        <v>-8.5499999999996135E-2</v>
      </c>
      <c r="F170" s="239" t="s">
        <v>408</v>
      </c>
      <c r="G170" s="60">
        <v>71.488699999999994</v>
      </c>
      <c r="H170" s="60">
        <v>71.379800000000003</v>
      </c>
      <c r="I170" s="80">
        <f t="shared" si="1"/>
        <v>-0.10889999999999134</v>
      </c>
    </row>
    <row r="171" spans="1:9" ht="20.100000000000001" customHeight="1">
      <c r="A171" s="239" t="s">
        <v>359</v>
      </c>
      <c r="B171" s="60">
        <v>73.0642</v>
      </c>
      <c r="C171" s="60">
        <v>72.974699999999999</v>
      </c>
      <c r="D171" s="60">
        <f t="shared" si="0"/>
        <v>-8.9500000000001023E-2</v>
      </c>
      <c r="F171" s="239" t="s">
        <v>409</v>
      </c>
      <c r="G171" s="60">
        <v>72.025800000000004</v>
      </c>
      <c r="H171" s="60">
        <v>71.938199999999995</v>
      </c>
      <c r="I171" s="80">
        <f t="shared" si="1"/>
        <v>-8.7600000000009004E-2</v>
      </c>
    </row>
    <row r="172" spans="1:9" ht="20.100000000000001" customHeight="1">
      <c r="A172" s="239" t="s">
        <v>360</v>
      </c>
      <c r="B172" s="60">
        <v>72.176199999999994</v>
      </c>
      <c r="C172" s="60">
        <v>72.085899999999995</v>
      </c>
      <c r="D172" s="60">
        <f t="shared" si="0"/>
        <v>-9.0299999999999159E-2</v>
      </c>
      <c r="F172" s="239" t="s">
        <v>410</v>
      </c>
      <c r="G172" s="60">
        <v>73.339699999999993</v>
      </c>
      <c r="H172" s="60">
        <v>73.251999999999995</v>
      </c>
      <c r="I172" s="80">
        <f t="shared" si="1"/>
        <v>-8.7699999999998113E-2</v>
      </c>
    </row>
    <row r="173" spans="1:9" ht="20.100000000000001" customHeight="1">
      <c r="A173" s="239" t="s">
        <v>361</v>
      </c>
      <c r="B173" s="60">
        <v>74.520499999999998</v>
      </c>
      <c r="C173" s="60">
        <v>74.430800000000005</v>
      </c>
      <c r="D173" s="60">
        <f t="shared" si="0"/>
        <v>-8.9699999999993452E-2</v>
      </c>
      <c r="F173" s="239" t="s">
        <v>411</v>
      </c>
      <c r="G173" s="60">
        <v>69.478200000000001</v>
      </c>
      <c r="H173" s="60">
        <v>69.375900000000001</v>
      </c>
      <c r="I173" s="80">
        <f t="shared" si="1"/>
        <v>-0.10229999999999961</v>
      </c>
    </row>
    <row r="174" spans="1:9" ht="20.100000000000001" customHeight="1">
      <c r="A174" s="239" t="s">
        <v>362</v>
      </c>
      <c r="B174" s="60">
        <v>71.778499999999994</v>
      </c>
      <c r="C174" s="60">
        <v>71.691299999999998</v>
      </c>
      <c r="D174" s="60">
        <f t="shared" si="0"/>
        <v>-8.7199999999995725E-2</v>
      </c>
      <c r="F174" s="239" t="s">
        <v>412</v>
      </c>
      <c r="G174" s="60">
        <v>74.045000000000002</v>
      </c>
      <c r="H174" s="60">
        <v>73.956500000000005</v>
      </c>
      <c r="I174" s="80">
        <f t="shared" si="1"/>
        <v>-8.8499999999996248E-2</v>
      </c>
    </row>
    <row r="175" spans="1:9" ht="20.100000000000001" customHeight="1">
      <c r="A175" s="239" t="s">
        <v>363</v>
      </c>
      <c r="B175" s="60">
        <v>73.652799999999999</v>
      </c>
      <c r="C175" s="60">
        <v>73.564800000000005</v>
      </c>
      <c r="D175" s="60">
        <f t="shared" si="0"/>
        <v>-8.7999999999993861E-2</v>
      </c>
      <c r="F175" s="239" t="s">
        <v>413</v>
      </c>
      <c r="G175" s="60">
        <v>70.417199999999994</v>
      </c>
      <c r="H175" s="60">
        <v>70.323999999999998</v>
      </c>
      <c r="I175" s="80">
        <f t="shared" si="1"/>
        <v>-9.3199999999995953E-2</v>
      </c>
    </row>
    <row r="176" spans="1:9" ht="20.100000000000001" customHeight="1">
      <c r="A176" s="239" t="s">
        <v>364</v>
      </c>
      <c r="B176" s="60">
        <v>75.879099999999994</v>
      </c>
      <c r="C176" s="60">
        <v>75.788600000000002</v>
      </c>
      <c r="D176" s="60">
        <f t="shared" si="0"/>
        <v>-9.0499999999991587E-2</v>
      </c>
      <c r="F176" s="239" t="s">
        <v>414</v>
      </c>
      <c r="G176" s="60">
        <v>72.909499999999994</v>
      </c>
      <c r="H176" s="60">
        <v>72.820899999999995</v>
      </c>
      <c r="I176" s="80">
        <f t="shared" si="1"/>
        <v>-8.8599999999999568E-2</v>
      </c>
    </row>
    <row r="177" spans="1:9" ht="20.100000000000001" customHeight="1">
      <c r="A177" s="239" t="s">
        <v>365</v>
      </c>
      <c r="B177" s="60">
        <v>74.020600000000002</v>
      </c>
      <c r="C177" s="60">
        <v>73.931700000000006</v>
      </c>
      <c r="D177" s="60">
        <f t="shared" si="0"/>
        <v>-8.8899999999995316E-2</v>
      </c>
      <c r="F177" s="239" t="s">
        <v>415</v>
      </c>
      <c r="G177" s="60">
        <v>71.106200000000001</v>
      </c>
      <c r="H177" s="60">
        <v>71.015199999999993</v>
      </c>
      <c r="I177" s="80">
        <f t="shared" si="1"/>
        <v>-9.1000000000008185E-2</v>
      </c>
    </row>
    <row r="178" spans="1:9" ht="20.100000000000001" customHeight="1">
      <c r="A178" s="239" t="s">
        <v>366</v>
      </c>
      <c r="B178" s="60">
        <v>71.305499999999995</v>
      </c>
      <c r="C178" s="60">
        <v>71.217100000000002</v>
      </c>
      <c r="D178" s="60">
        <f t="shared" si="0"/>
        <v>-8.8399999999992929E-2</v>
      </c>
      <c r="F178" s="239" t="s">
        <v>416</v>
      </c>
      <c r="G178" s="60">
        <v>73.1096</v>
      </c>
      <c r="H178" s="60">
        <v>73.019900000000007</v>
      </c>
      <c r="I178" s="80">
        <f t="shared" si="1"/>
        <v>-8.9699999999993452E-2</v>
      </c>
    </row>
    <row r="179" spans="1:9" ht="20.100000000000001" customHeight="1">
      <c r="A179" s="239" t="s">
        <v>367</v>
      </c>
      <c r="B179" s="60">
        <v>72.970299999999995</v>
      </c>
      <c r="C179" s="60">
        <v>72.882499999999993</v>
      </c>
      <c r="D179" s="60">
        <f t="shared" si="0"/>
        <v>-8.7800000000001432E-2</v>
      </c>
      <c r="F179" s="239" t="s">
        <v>417</v>
      </c>
      <c r="G179" s="60">
        <v>72.279300000000006</v>
      </c>
      <c r="H179" s="60">
        <v>72.186700000000002</v>
      </c>
      <c r="I179" s="80">
        <f t="shared" si="1"/>
        <v>-9.2600000000004457E-2</v>
      </c>
    </row>
    <row r="180" spans="1:9" ht="20.100000000000001" customHeight="1">
      <c r="A180" s="239" t="s">
        <v>368</v>
      </c>
      <c r="B180" s="60">
        <v>75.372699999999995</v>
      </c>
      <c r="C180" s="60">
        <v>75.283100000000005</v>
      </c>
      <c r="D180" s="60">
        <f t="shared" si="0"/>
        <v>-8.9599999999990132E-2</v>
      </c>
      <c r="F180" s="239" t="s">
        <v>418</v>
      </c>
      <c r="G180" s="60">
        <v>71.789500000000004</v>
      </c>
      <c r="H180" s="60">
        <v>71.696600000000004</v>
      </c>
      <c r="I180" s="80">
        <f t="shared" si="1"/>
        <v>-9.2900000000000205E-2</v>
      </c>
    </row>
    <row r="181" spans="1:9" ht="20.100000000000001" customHeight="1">
      <c r="A181" s="239" t="s">
        <v>369</v>
      </c>
      <c r="B181" s="60">
        <v>73.401600000000002</v>
      </c>
      <c r="C181" s="60">
        <v>73.3142</v>
      </c>
      <c r="D181" s="60">
        <f t="shared" si="0"/>
        <v>-8.7400000000002365E-2</v>
      </c>
      <c r="F181" s="239" t="s">
        <v>419</v>
      </c>
      <c r="G181" s="60">
        <v>71.672899999999998</v>
      </c>
      <c r="H181" s="60">
        <v>71.583500000000001</v>
      </c>
      <c r="I181" s="80">
        <f t="shared" si="1"/>
        <v>-8.9399999999997704E-2</v>
      </c>
    </row>
    <row r="182" spans="1:9" ht="20.100000000000001" customHeight="1">
      <c r="A182" s="239" t="s">
        <v>370</v>
      </c>
      <c r="B182" s="60">
        <v>74.784099999999995</v>
      </c>
      <c r="C182" s="60">
        <v>74.692899999999995</v>
      </c>
      <c r="D182" s="60">
        <f t="shared" si="0"/>
        <v>-9.1200000000000614E-2</v>
      </c>
      <c r="F182" s="239" t="s">
        <v>420</v>
      </c>
      <c r="G182" s="60">
        <v>71.863399999999999</v>
      </c>
      <c r="H182" s="60">
        <v>71.7714</v>
      </c>
      <c r="I182" s="80">
        <f t="shared" si="1"/>
        <v>-9.1999999999998749E-2</v>
      </c>
    </row>
    <row r="183" spans="1:9" ht="20.100000000000001" customHeight="1">
      <c r="A183" s="239" t="s">
        <v>371</v>
      </c>
      <c r="B183" s="60">
        <v>75.719200000000001</v>
      </c>
      <c r="C183" s="60">
        <v>75.633099999999999</v>
      </c>
      <c r="D183" s="60">
        <f t="shared" si="0"/>
        <v>-8.6100000000001842E-2</v>
      </c>
      <c r="F183" s="239" t="s">
        <v>421</v>
      </c>
      <c r="G183" s="60">
        <v>70.881100000000004</v>
      </c>
      <c r="H183" s="60">
        <v>70.7834</v>
      </c>
      <c r="I183" s="80">
        <f t="shared" si="1"/>
        <v>-9.7700000000003229E-2</v>
      </c>
    </row>
    <row r="184" spans="1:9" ht="20.100000000000001" customHeight="1">
      <c r="A184" s="239" t="s">
        <v>372</v>
      </c>
      <c r="B184" s="60">
        <v>73.0685</v>
      </c>
      <c r="C184" s="60">
        <v>72.981499999999997</v>
      </c>
      <c r="D184" s="60">
        <f t="shared" si="0"/>
        <v>-8.7000000000003297E-2</v>
      </c>
      <c r="F184" s="239" t="s">
        <v>422</v>
      </c>
      <c r="G184" s="60">
        <v>75.150800000000004</v>
      </c>
      <c r="H184" s="60">
        <v>75.0625</v>
      </c>
      <c r="I184" s="80">
        <f t="shared" si="1"/>
        <v>-8.830000000000382E-2</v>
      </c>
    </row>
    <row r="185" spans="1:9" ht="20.100000000000001" customHeight="1">
      <c r="A185" s="239" t="s">
        <v>373</v>
      </c>
      <c r="B185" s="60">
        <v>73.502899999999997</v>
      </c>
      <c r="C185" s="60">
        <v>73.415400000000005</v>
      </c>
      <c r="D185" s="60">
        <f t="shared" si="0"/>
        <v>-8.7499999999991473E-2</v>
      </c>
      <c r="F185" s="239" t="s">
        <v>423</v>
      </c>
      <c r="G185" s="60">
        <v>74.595500000000001</v>
      </c>
      <c r="H185" s="60">
        <v>74.509699999999995</v>
      </c>
      <c r="I185" s="80">
        <f t="shared" si="1"/>
        <v>-8.5800000000006094E-2</v>
      </c>
    </row>
    <row r="186" spans="1:9" ht="20.100000000000001" customHeight="1">
      <c r="A186" s="239" t="s">
        <v>374</v>
      </c>
      <c r="B186" s="60">
        <v>74.625</v>
      </c>
      <c r="C186" s="60">
        <v>74.536100000000005</v>
      </c>
      <c r="D186" s="60">
        <f t="shared" si="0"/>
        <v>-8.8899999999995316E-2</v>
      </c>
      <c r="F186" s="239" t="s">
        <v>424</v>
      </c>
      <c r="G186" s="60">
        <v>74.849599999999995</v>
      </c>
      <c r="H186" s="60">
        <v>74.758300000000006</v>
      </c>
      <c r="I186" s="80">
        <f t="shared" si="1"/>
        <v>-9.1299999999989723E-2</v>
      </c>
    </row>
    <row r="187" spans="1:9" ht="20.100000000000001" customHeight="1">
      <c r="A187" s="239" t="s">
        <v>375</v>
      </c>
      <c r="B187" s="60">
        <v>72.408100000000005</v>
      </c>
      <c r="C187" s="60">
        <v>72.319900000000004</v>
      </c>
      <c r="D187" s="60">
        <f t="shared" si="0"/>
        <v>-8.82000000000005E-2</v>
      </c>
      <c r="F187" s="239" t="s">
        <v>425</v>
      </c>
      <c r="G187" s="60">
        <v>72.146699999999996</v>
      </c>
      <c r="H187" s="60">
        <v>72.055999999999997</v>
      </c>
      <c r="I187" s="80">
        <f t="shared" si="1"/>
        <v>-9.0699999999998226E-2</v>
      </c>
    </row>
    <row r="188" spans="1:9" ht="20.100000000000001" customHeight="1">
      <c r="A188" s="239" t="s">
        <v>376</v>
      </c>
      <c r="B188" s="60">
        <v>73.146000000000001</v>
      </c>
      <c r="C188" s="60">
        <v>73.057699999999997</v>
      </c>
      <c r="D188" s="60">
        <f t="shared" si="0"/>
        <v>-8.830000000000382E-2</v>
      </c>
      <c r="F188" s="239" t="s">
        <v>426</v>
      </c>
      <c r="G188" s="60">
        <v>69.004000000000005</v>
      </c>
      <c r="H188" s="60">
        <v>68.915899999999993</v>
      </c>
      <c r="I188" s="80">
        <f t="shared" si="1"/>
        <v>-8.8100000000011391E-2</v>
      </c>
    </row>
    <row r="189" spans="1:9" ht="20.100000000000001" customHeight="1">
      <c r="A189" s="239" t="s">
        <v>377</v>
      </c>
      <c r="B189" s="60">
        <v>75.026300000000006</v>
      </c>
      <c r="C189" s="60">
        <v>74.939099999999996</v>
      </c>
      <c r="D189" s="60">
        <f t="shared" si="0"/>
        <v>-8.7200000000009936E-2</v>
      </c>
      <c r="F189" s="239" t="s">
        <v>427</v>
      </c>
      <c r="G189" s="60">
        <v>72.581000000000003</v>
      </c>
      <c r="H189" s="60">
        <v>72.493099999999998</v>
      </c>
      <c r="I189" s="80">
        <f t="shared" si="1"/>
        <v>-8.7900000000004752E-2</v>
      </c>
    </row>
    <row r="190" spans="1:9" ht="20.100000000000001" customHeight="1">
      <c r="A190" s="241" t="s">
        <v>378</v>
      </c>
      <c r="B190" s="81">
        <v>74.157499999999999</v>
      </c>
      <c r="C190" s="81">
        <v>74.071899999999999</v>
      </c>
      <c r="D190" s="81">
        <f t="shared" si="0"/>
        <v>-8.5599999999999454E-2</v>
      </c>
      <c r="F190" s="241" t="s">
        <v>428</v>
      </c>
      <c r="G190" s="81">
        <v>73.541700000000006</v>
      </c>
      <c r="H190" s="81">
        <v>73.453900000000004</v>
      </c>
      <c r="I190" s="81">
        <f t="shared" si="1"/>
        <v>-8.7800000000001432E-2</v>
      </c>
    </row>
    <row r="191" spans="1:9" ht="20.100000000000001" customHeight="1">
      <c r="A191" s="243"/>
      <c r="B191" s="243"/>
      <c r="C191" s="245" t="s">
        <v>260</v>
      </c>
      <c r="D191" s="82">
        <f>AVERAGE(D141:D190)</f>
        <v>-8.8423999999999128E-2</v>
      </c>
      <c r="F191" s="243"/>
      <c r="G191" s="240"/>
      <c r="H191" s="245" t="s">
        <v>260</v>
      </c>
      <c r="I191" s="82">
        <f>AVERAGE(I141:I190)</f>
        <v>-9.0686000000000599E-2</v>
      </c>
    </row>
    <row r="192" spans="1:9" ht="20.100000000000001" customHeight="1">
      <c r="A192" s="242"/>
      <c r="B192" s="242"/>
      <c r="C192" s="242" t="s">
        <v>429</v>
      </c>
      <c r="D192" s="80">
        <f>STDEV(D141:D190)</f>
        <v>1.7631789472424377E-3</v>
      </c>
      <c r="F192" s="242"/>
      <c r="G192" s="240"/>
      <c r="H192" s="242" t="s">
        <v>429</v>
      </c>
      <c r="I192" s="80">
        <f>STDEV(I141:I190)</f>
        <v>4.0231478182310657E-3</v>
      </c>
    </row>
    <row r="193" spans="1:20" ht="20.100000000000001" customHeight="1">
      <c r="A193" s="242"/>
      <c r="B193" s="242"/>
      <c r="C193" s="242" t="s">
        <v>262</v>
      </c>
      <c r="D193" s="206">
        <f>D192/D191</f>
        <v>-1.9940049615969138E-2</v>
      </c>
      <c r="F193" s="242"/>
      <c r="G193" s="240"/>
      <c r="H193" s="242" t="s">
        <v>262</v>
      </c>
      <c r="I193" s="206">
        <f>I192/I191</f>
        <v>-4.4363494014853878E-2</v>
      </c>
    </row>
    <row r="194" spans="1:20" ht="20.100000000000001" customHeight="1">
      <c r="A194" s="242"/>
      <c r="B194" s="242"/>
      <c r="C194" s="242" t="s">
        <v>267</v>
      </c>
      <c r="D194" s="80">
        <f>MAX(D141:D190)</f>
        <v>-8.5300000000003706E-2</v>
      </c>
      <c r="F194" s="242"/>
      <c r="G194" s="240"/>
      <c r="H194" s="242" t="s">
        <v>267</v>
      </c>
      <c r="I194" s="80">
        <f>MAX(I141:I190)</f>
        <v>-8.5599999999999454E-2</v>
      </c>
    </row>
    <row r="195" spans="1:20" ht="20.100000000000001" customHeight="1">
      <c r="A195" s="241"/>
      <c r="B195" s="241"/>
      <c r="C195" s="241" t="s">
        <v>268</v>
      </c>
      <c r="D195" s="81">
        <f>MIN(D141:D190)</f>
        <v>-9.4400000000007367E-2</v>
      </c>
      <c r="F195" s="241"/>
      <c r="G195" s="241"/>
      <c r="H195" s="241" t="s">
        <v>268</v>
      </c>
      <c r="I195" s="81">
        <f>MIN(I141:I190)</f>
        <v>-0.10889999999999134</v>
      </c>
    </row>
    <row r="197" spans="1:20" s="149" customFormat="1" ht="20.100000000000001" customHeight="1">
      <c r="A197" s="150" t="s">
        <v>525</v>
      </c>
    </row>
    <row r="198" spans="1:20" s="148" customFormat="1" ht="20.100000000000001" customHeight="1">
      <c r="A198" s="233"/>
    </row>
    <row r="199" spans="1:20" s="148" customFormat="1" ht="20.100000000000001" customHeight="1">
      <c r="A199" s="233" t="s">
        <v>2</v>
      </c>
      <c r="B199" s="313">
        <v>45013</v>
      </c>
    </row>
    <row r="200" spans="1:20" s="148" customFormat="1" ht="20.100000000000001" customHeight="1">
      <c r="A200" s="233" t="s">
        <v>2</v>
      </c>
      <c r="B200" s="313">
        <v>45019</v>
      </c>
    </row>
    <row r="201" spans="1:20" s="148" customFormat="1" ht="20.100000000000001" customHeight="1">
      <c r="A201" s="233"/>
    </row>
    <row r="202" spans="1:20" s="148" customFormat="1" ht="20.100000000000001" customHeight="1">
      <c r="A202" s="228"/>
      <c r="B202" s="228"/>
      <c r="C202" s="228" t="s">
        <v>528</v>
      </c>
      <c r="D202" s="228" t="s">
        <v>528</v>
      </c>
      <c r="E202" s="228" t="s">
        <v>528</v>
      </c>
      <c r="F202" s="228" t="s">
        <v>528</v>
      </c>
      <c r="N202" s="313">
        <v>45019</v>
      </c>
    </row>
    <row r="203" spans="1:20" s="148" customFormat="1" ht="20.100000000000001" customHeight="1">
      <c r="A203" s="314" t="s">
        <v>526</v>
      </c>
      <c r="B203" s="314" t="s">
        <v>73</v>
      </c>
      <c r="C203" s="314" t="s">
        <v>527</v>
      </c>
      <c r="D203" s="314" t="s">
        <v>529</v>
      </c>
      <c r="E203" s="314" t="s">
        <v>530</v>
      </c>
      <c r="F203" s="314" t="s">
        <v>531</v>
      </c>
      <c r="H203" s="314" t="s">
        <v>532</v>
      </c>
      <c r="I203" s="314" t="s">
        <v>533</v>
      </c>
      <c r="J203" s="314" t="s">
        <v>534</v>
      </c>
      <c r="K203" s="314" t="s">
        <v>535</v>
      </c>
      <c r="L203" s="314" t="s">
        <v>539</v>
      </c>
      <c r="N203" s="314" t="s">
        <v>493</v>
      </c>
      <c r="O203" s="233" t="s">
        <v>895</v>
      </c>
      <c r="P203" s="233" t="s">
        <v>896</v>
      </c>
      <c r="R203" s="314" t="s">
        <v>897</v>
      </c>
      <c r="S203" s="314" t="s">
        <v>898</v>
      </c>
      <c r="T203" s="314" t="s">
        <v>899</v>
      </c>
    </row>
    <row r="204" spans="1:20" s="148" customFormat="1" ht="20.100000000000001" customHeight="1">
      <c r="A204" s="315" t="s">
        <v>96</v>
      </c>
      <c r="B204" s="315" t="s">
        <v>64</v>
      </c>
      <c r="C204" s="315" t="s">
        <v>64</v>
      </c>
      <c r="D204" s="315" t="s">
        <v>64</v>
      </c>
      <c r="E204" s="315" t="s">
        <v>64</v>
      </c>
      <c r="F204" s="315" t="s">
        <v>64</v>
      </c>
      <c r="H204" s="315" t="s">
        <v>64</v>
      </c>
      <c r="I204" s="315" t="s">
        <v>64</v>
      </c>
      <c r="J204" s="315" t="s">
        <v>64</v>
      </c>
      <c r="K204" s="315" t="s">
        <v>64</v>
      </c>
      <c r="L204" s="315" t="s">
        <v>64</v>
      </c>
      <c r="N204" s="315" t="s">
        <v>64</v>
      </c>
      <c r="O204" s="315" t="s">
        <v>64</v>
      </c>
      <c r="P204" s="315" t="s">
        <v>64</v>
      </c>
      <c r="R204" s="315" t="s">
        <v>64</v>
      </c>
      <c r="S204" s="315" t="s">
        <v>64</v>
      </c>
      <c r="T204" s="315" t="s">
        <v>64</v>
      </c>
    </row>
    <row r="205" spans="1:20" s="148" customFormat="1" ht="20.100000000000001" customHeight="1">
      <c r="A205" s="233">
        <v>1</v>
      </c>
      <c r="B205" s="182">
        <v>11.7805</v>
      </c>
      <c r="C205" s="182">
        <v>12.0046</v>
      </c>
      <c r="D205" s="182">
        <v>11.799300000000001</v>
      </c>
      <c r="E205" s="182">
        <v>11.7896</v>
      </c>
      <c r="F205" s="182">
        <v>11.899699999999999</v>
      </c>
      <c r="H205" s="317">
        <f>C205-B205</f>
        <v>0.22409999999999997</v>
      </c>
      <c r="I205" s="317">
        <f>D205-B205</f>
        <v>1.8800000000000594E-2</v>
      </c>
      <c r="J205" s="317">
        <f>E205-B205</f>
        <v>9.100000000000108E-3</v>
      </c>
      <c r="K205" s="317">
        <f>F205-B205</f>
        <v>0.11919999999999931</v>
      </c>
      <c r="L205" s="317">
        <f>AVERAGE(I205:K207)</f>
        <v>2.3100000000000048E-2</v>
      </c>
      <c r="N205" s="182">
        <v>11.7867</v>
      </c>
      <c r="O205" s="182">
        <v>11.783200000000001</v>
      </c>
      <c r="P205" s="182">
        <v>11.781700000000001</v>
      </c>
      <c r="R205" s="340">
        <f>N205-B205</f>
        <v>6.1999999999997613E-3</v>
      </c>
      <c r="S205" s="317">
        <f>O205-B205</f>
        <v>2.7000000000008129E-3</v>
      </c>
      <c r="T205" s="317">
        <f>P205-B205</f>
        <v>1.200000000000756E-3</v>
      </c>
    </row>
    <row r="206" spans="1:20" s="148" customFormat="1" ht="20.100000000000001" customHeight="1">
      <c r="A206" s="233">
        <v>2</v>
      </c>
      <c r="B206" s="182">
        <v>11.781499999999999</v>
      </c>
      <c r="C206" s="182">
        <v>11.973699999999999</v>
      </c>
      <c r="D206" s="182">
        <v>11.787800000000001</v>
      </c>
      <c r="E206" s="182">
        <v>11.7858</v>
      </c>
      <c r="F206" s="182">
        <v>11.7927</v>
      </c>
      <c r="H206" s="317">
        <f t="shared" ref="H206:H207" si="2">C206-B206</f>
        <v>0.1921999999999997</v>
      </c>
      <c r="I206" s="317">
        <f t="shared" ref="I206:I207" si="3">D206-B206</f>
        <v>6.3000000000013046E-3</v>
      </c>
      <c r="J206" s="317">
        <f t="shared" ref="J206:J207" si="4">E206-B206</f>
        <v>4.3000000000006366E-3</v>
      </c>
      <c r="K206" s="317">
        <f t="shared" ref="K206:K207" si="5">F206-B206</f>
        <v>1.1200000000000543E-2</v>
      </c>
      <c r="L206" s="317">
        <f t="shared" ref="L206:L207" si="6">AVERAGE(I206:K208)</f>
        <v>1.0133333333333402E-2</v>
      </c>
      <c r="N206" s="182">
        <v>11.7835</v>
      </c>
      <c r="O206" s="182">
        <v>11.781700000000001</v>
      </c>
      <c r="P206" s="182">
        <v>11.7819</v>
      </c>
      <c r="R206" s="340">
        <f t="shared" ref="R206:R207" si="7">N206-B206</f>
        <v>2.0000000000006679E-3</v>
      </c>
      <c r="S206" s="317">
        <f t="shared" ref="S206:S207" si="8">O206-B206</f>
        <v>2.0000000000131024E-4</v>
      </c>
      <c r="T206" s="317">
        <f t="shared" ref="T206:T207" si="9">P206-B206</f>
        <v>4.0000000000084412E-4</v>
      </c>
    </row>
    <row r="207" spans="1:20" s="148" customFormat="1" ht="20.100000000000001" customHeight="1">
      <c r="A207" s="316">
        <v>3</v>
      </c>
      <c r="B207" s="141">
        <v>11.821400000000001</v>
      </c>
      <c r="C207" s="141">
        <v>12.0062</v>
      </c>
      <c r="D207" s="141">
        <v>11.8447</v>
      </c>
      <c r="E207" s="141">
        <v>11.8276</v>
      </c>
      <c r="F207" s="141">
        <v>11.8309</v>
      </c>
      <c r="H207" s="319">
        <f t="shared" si="2"/>
        <v>0.18479999999999919</v>
      </c>
      <c r="I207" s="319">
        <f t="shared" si="3"/>
        <v>2.3299999999998988E-2</v>
      </c>
      <c r="J207" s="319">
        <f t="shared" si="4"/>
        <v>6.1999999999997613E-3</v>
      </c>
      <c r="K207" s="319">
        <f t="shared" si="5"/>
        <v>9.4999999999991758E-3</v>
      </c>
      <c r="L207" s="319">
        <f t="shared" si="6"/>
        <v>1.2999999999999309E-2</v>
      </c>
      <c r="N207" s="141">
        <v>11.8238</v>
      </c>
      <c r="O207" s="141">
        <v>11.8222</v>
      </c>
      <c r="P207" s="141">
        <v>11.821999999999999</v>
      </c>
      <c r="R207" s="341">
        <f t="shared" si="7"/>
        <v>2.3999999999997357E-3</v>
      </c>
      <c r="S207" s="319">
        <f t="shared" si="8"/>
        <v>7.9999999999991189E-4</v>
      </c>
      <c r="T207" s="319">
        <f t="shared" si="9"/>
        <v>5.9999999999860165E-4</v>
      </c>
    </row>
    <row r="208" spans="1:20" s="148" customFormat="1" ht="20.100000000000001" customHeight="1">
      <c r="A208" s="233"/>
      <c r="R208" s="317"/>
    </row>
    <row r="209" spans="1:12" s="148" customFormat="1" ht="20.100000000000001" customHeight="1">
      <c r="A209" s="148" t="s">
        <v>536</v>
      </c>
      <c r="D209" s="317">
        <f>STDEV(I205:L207,R205:R207)</f>
        <v>2.8885655435649648E-2</v>
      </c>
      <c r="I209" s="314" t="s">
        <v>541</v>
      </c>
      <c r="J209" s="314" t="s">
        <v>542</v>
      </c>
      <c r="K209" s="314" t="s">
        <v>543</v>
      </c>
      <c r="L209" s="314" t="s">
        <v>544</v>
      </c>
    </row>
    <row r="210" spans="1:12" s="148" customFormat="1" ht="20.100000000000001" customHeight="1">
      <c r="A210" s="148" t="s">
        <v>537</v>
      </c>
      <c r="D210" s="318">
        <f>2*D209/50</f>
        <v>1.1554262174259858E-3</v>
      </c>
      <c r="I210" s="315" t="s">
        <v>156</v>
      </c>
      <c r="J210" s="315" t="s">
        <v>156</v>
      </c>
      <c r="K210" s="315" t="s">
        <v>156</v>
      </c>
      <c r="L210" s="315" t="s">
        <v>540</v>
      </c>
    </row>
    <row r="211" spans="1:12" s="148" customFormat="1" ht="20.100000000000001" customHeight="1">
      <c r="A211" s="148" t="s">
        <v>538</v>
      </c>
      <c r="D211" s="318">
        <f>2*AVERAGE(I205:L207,R205:R207)/50</f>
        <v>7.0595555555555552E-4</v>
      </c>
      <c r="I211" s="148">
        <f>1000000*H205/25</f>
        <v>8963.9999999999982</v>
      </c>
      <c r="J211" s="320">
        <f>I211*I205/25</f>
        <v>6.7409280000002116</v>
      </c>
      <c r="K211" s="320">
        <f>J211*K205/25</f>
        <v>3.2140744704000822E-2</v>
      </c>
      <c r="L211" s="317">
        <f>1000*K211*L205/50</f>
        <v>1.4849024053248411E-2</v>
      </c>
    </row>
    <row r="212" spans="1:12" s="148" customFormat="1" ht="20.100000000000001" customHeight="1">
      <c r="I212" s="148">
        <f t="shared" ref="I212:I213" si="10">1000000*H206/25</f>
        <v>7687.9999999999882</v>
      </c>
      <c r="J212" s="320">
        <f t="shared" ref="J212:J213" si="11">I212*I206/25</f>
        <v>1.9373760000003983</v>
      </c>
      <c r="K212" s="320">
        <f t="shared" ref="K212:K213" si="12">J212*K206/25</f>
        <v>8.6794444800022052E-4</v>
      </c>
      <c r="L212" s="317">
        <f t="shared" ref="L212:L213" si="13">1000*K212*L206/50</f>
        <v>1.7590340812804591E-4</v>
      </c>
    </row>
    <row r="213" spans="1:12" s="148" customFormat="1" ht="20.100000000000001" customHeight="1">
      <c r="I213" s="315">
        <f t="shared" si="10"/>
        <v>7391.9999999999673</v>
      </c>
      <c r="J213" s="321">
        <f t="shared" si="11"/>
        <v>6.88934399999967</v>
      </c>
      <c r="K213" s="321">
        <f t="shared" si="12"/>
        <v>2.6179507199996475E-3</v>
      </c>
      <c r="L213" s="319">
        <f t="shared" si="13"/>
        <v>6.8066718719987217E-4</v>
      </c>
    </row>
    <row r="214" spans="1:12" s="148" customFormat="1" ht="20.100000000000001" customHeight="1"/>
    <row r="215" spans="1:12" s="148" customFormat="1" ht="20.100000000000001" customHeight="1">
      <c r="A215" s="322" t="s">
        <v>545</v>
      </c>
    </row>
    <row r="216" spans="1:12" s="148" customFormat="1" ht="20.100000000000001" customHeight="1">
      <c r="A216" s="322" t="s">
        <v>546</v>
      </c>
    </row>
    <row r="217" spans="1:12" s="148" customFormat="1" ht="20.100000000000001" customHeight="1">
      <c r="A217" s="322" t="s">
        <v>547</v>
      </c>
    </row>
    <row r="218" spans="1:12" s="148" customFormat="1" ht="20.100000000000001" customHeight="1">
      <c r="A218" s="322" t="s">
        <v>548</v>
      </c>
    </row>
    <row r="219" spans="1:12" s="148" customFormat="1" ht="20.100000000000001" customHeight="1">
      <c r="A219" s="322" t="s">
        <v>894</v>
      </c>
    </row>
    <row r="220" spans="1:12" s="305" customFormat="1" ht="20.100000000000001" customHeight="1"/>
    <row r="221" spans="1:12" s="149" customFormat="1" ht="20.100000000000001" customHeight="1">
      <c r="A221" s="150" t="s">
        <v>467</v>
      </c>
    </row>
    <row r="223" spans="1:12" ht="20.100000000000001" customHeight="1">
      <c r="A223" s="249" t="s">
        <v>2</v>
      </c>
      <c r="B223" s="235">
        <v>44998</v>
      </c>
    </row>
    <row r="225" spans="1:10" ht="20.100000000000001" customHeight="1">
      <c r="A225" s="239" t="s">
        <v>433</v>
      </c>
    </row>
    <row r="226" spans="1:10" ht="20.100000000000001" customHeight="1">
      <c r="A226" s="239" t="s">
        <v>432</v>
      </c>
    </row>
    <row r="227" spans="1:10" ht="20.100000000000001" customHeight="1">
      <c r="A227" s="239" t="s">
        <v>434</v>
      </c>
    </row>
    <row r="229" spans="1:10" ht="20.100000000000001" customHeight="1">
      <c r="A229" s="252" t="s">
        <v>4</v>
      </c>
      <c r="B229" s="252" t="s">
        <v>99</v>
      </c>
      <c r="C229" s="252" t="s">
        <v>100</v>
      </c>
      <c r="D229" s="252" t="s">
        <v>435</v>
      </c>
      <c r="E229" s="252" t="s">
        <v>116</v>
      </c>
      <c r="F229" s="252" t="s">
        <v>117</v>
      </c>
      <c r="G229" s="249" t="s">
        <v>108</v>
      </c>
      <c r="H229" s="249" t="s">
        <v>108</v>
      </c>
      <c r="I229" s="252" t="s">
        <v>115</v>
      </c>
      <c r="J229" s="258" t="s">
        <v>442</v>
      </c>
    </row>
    <row r="230" spans="1:10" ht="20.100000000000001" customHeight="1">
      <c r="A230" s="251"/>
      <c r="B230" s="251" t="s">
        <v>64</v>
      </c>
      <c r="C230" s="251" t="s">
        <v>64</v>
      </c>
      <c r="D230" s="251" t="s">
        <v>64</v>
      </c>
      <c r="E230" s="251" t="s">
        <v>64</v>
      </c>
      <c r="F230" s="251" t="s">
        <v>64</v>
      </c>
      <c r="G230" s="251">
        <v>46</v>
      </c>
      <c r="H230" s="251">
        <v>47</v>
      </c>
      <c r="I230" s="251"/>
      <c r="J230" s="257"/>
    </row>
    <row r="231" spans="1:10" ht="20.100000000000001" customHeight="1">
      <c r="A231" s="248" t="s">
        <v>335</v>
      </c>
      <c r="B231" s="137">
        <v>11.459300000000001</v>
      </c>
      <c r="C231" s="137">
        <v>13.493499999999999</v>
      </c>
      <c r="D231" s="137">
        <v>13.6919</v>
      </c>
      <c r="E231" s="82">
        <f>C231-B231</f>
        <v>2.0341999999999985</v>
      </c>
      <c r="F231" s="82">
        <f>D231-C231</f>
        <v>0.19840000000000124</v>
      </c>
      <c r="G231" s="170">
        <v>4991.1754647425996</v>
      </c>
      <c r="H231" s="170">
        <v>5538.8110000000097</v>
      </c>
      <c r="I231" s="142">
        <f>G231/H231</f>
        <v>0.90112760026341232</v>
      </c>
      <c r="J231" s="60">
        <f>I231*F231/E231</f>
        <v>8.7888956785105832E-2</v>
      </c>
    </row>
    <row r="232" spans="1:10" ht="20.100000000000001" customHeight="1">
      <c r="A232" s="247" t="s">
        <v>345</v>
      </c>
      <c r="B232" s="139">
        <v>11.4451</v>
      </c>
      <c r="C232" s="139">
        <v>13.473100000000001</v>
      </c>
      <c r="D232" s="139">
        <v>13.6722</v>
      </c>
      <c r="E232" s="80">
        <f t="shared" ref="E232:E235" si="14">C232-B232</f>
        <v>2.0280000000000005</v>
      </c>
      <c r="F232" s="247">
        <f t="shared" ref="F232:F235" si="15">D232-C232</f>
        <v>0.19909999999999961</v>
      </c>
      <c r="G232" s="170">
        <v>5729.7894999999999</v>
      </c>
      <c r="H232" s="170">
        <v>6340.7905000000001</v>
      </c>
      <c r="I232" s="142">
        <f t="shared" ref="I232:I235" si="16">G232/H232</f>
        <v>0.90363961717391539</v>
      </c>
      <c r="J232" s="60">
        <f t="shared" ref="J232:J235" si="17">I232*F232/E232</f>
        <v>8.871530955588075E-2</v>
      </c>
    </row>
    <row r="233" spans="1:10" ht="20.100000000000001" customHeight="1">
      <c r="A233" s="247" t="s">
        <v>338</v>
      </c>
      <c r="B233" s="139">
        <v>11.4054</v>
      </c>
      <c r="C233" s="139">
        <v>13.4305</v>
      </c>
      <c r="D233" s="139">
        <v>13.630100000000001</v>
      </c>
      <c r="E233" s="80">
        <f t="shared" si="14"/>
        <v>2.0251000000000001</v>
      </c>
      <c r="F233" s="247">
        <f t="shared" si="15"/>
        <v>0.19960000000000022</v>
      </c>
      <c r="G233" s="170">
        <v>5744.4295000000002</v>
      </c>
      <c r="H233" s="170">
        <v>6498.5020000000104</v>
      </c>
      <c r="I233" s="142">
        <f t="shared" si="16"/>
        <v>0.88396210388178553</v>
      </c>
      <c r="J233" s="60">
        <f t="shared" si="17"/>
        <v>8.7125986832652491E-2</v>
      </c>
    </row>
    <row r="234" spans="1:10" ht="20.100000000000001" customHeight="1">
      <c r="A234" s="247" t="s">
        <v>348</v>
      </c>
      <c r="B234" s="139">
        <v>11.529299999999999</v>
      </c>
      <c r="C234" s="139">
        <v>13.557</v>
      </c>
      <c r="D234" s="139">
        <v>13.756500000000001</v>
      </c>
      <c r="E234" s="80">
        <f t="shared" si="14"/>
        <v>2.0277000000000012</v>
      </c>
      <c r="F234" s="247">
        <f t="shared" si="15"/>
        <v>0.19950000000000045</v>
      </c>
      <c r="G234" s="170">
        <v>5404.0054999999902</v>
      </c>
      <c r="H234" s="170">
        <v>6102.7714999999898</v>
      </c>
      <c r="I234" s="142">
        <f t="shared" si="16"/>
        <v>0.88550021903982468</v>
      </c>
      <c r="J234" s="60">
        <f t="shared" si="17"/>
        <v>8.7122007051558578E-2</v>
      </c>
    </row>
    <row r="235" spans="1:10" ht="20.100000000000001" customHeight="1">
      <c r="A235" s="251" t="s">
        <v>356</v>
      </c>
      <c r="B235" s="141">
        <v>11.434900000000001</v>
      </c>
      <c r="C235" s="141">
        <v>13.4625</v>
      </c>
      <c r="D235" s="141">
        <v>13.662000000000001</v>
      </c>
      <c r="E235" s="81">
        <f t="shared" si="14"/>
        <v>2.0275999999999996</v>
      </c>
      <c r="F235" s="251">
        <f t="shared" si="15"/>
        <v>0.19950000000000045</v>
      </c>
      <c r="G235" s="172">
        <v>5647.9498245464902</v>
      </c>
      <c r="H235" s="172">
        <v>6336.6358663339397</v>
      </c>
      <c r="I235" s="143">
        <f t="shared" si="16"/>
        <v>0.89131677181477542</v>
      </c>
      <c r="J235" s="81">
        <f t="shared" si="17"/>
        <v>8.7698607209039325E-2</v>
      </c>
    </row>
    <row r="236" spans="1:10" ht="20.100000000000001" customHeight="1">
      <c r="J236" s="161">
        <f>STDEV(J231:J235)/AVERAGE(J231:J235)</f>
        <v>7.4971132910118463E-3</v>
      </c>
    </row>
    <row r="237" spans="1:10" ht="20.100000000000001" customHeight="1">
      <c r="A237" s="249" t="s">
        <v>436</v>
      </c>
    </row>
    <row r="238" spans="1:10" ht="20.100000000000001" customHeight="1">
      <c r="A238" s="239" t="s">
        <v>437</v>
      </c>
      <c r="C238" s="142">
        <v>1.051247265710284</v>
      </c>
    </row>
    <row r="239" spans="1:10" ht="20.100000000000001" customHeight="1">
      <c r="A239" s="239" t="s">
        <v>438</v>
      </c>
      <c r="C239" s="142">
        <f>1.177/1.03</f>
        <v>1.1427184466019418</v>
      </c>
      <c r="D239" s="239" t="s">
        <v>257</v>
      </c>
    </row>
    <row r="241" spans="1:5" ht="20.100000000000001" customHeight="1">
      <c r="A241" s="239" t="s">
        <v>439</v>
      </c>
      <c r="D241" s="142">
        <v>1.0598922216114277</v>
      </c>
      <c r="E241" s="239" t="s">
        <v>257</v>
      </c>
    </row>
    <row r="242" spans="1:5" ht="20.100000000000001" customHeight="1">
      <c r="A242" s="250" t="s">
        <v>440</v>
      </c>
      <c r="D242" s="142">
        <f>C239/C238*AVERAGE(I231:I235)</f>
        <v>0.97082053129115797</v>
      </c>
      <c r="E242" s="250" t="s">
        <v>257</v>
      </c>
    </row>
    <row r="244" spans="1:5" ht="20.100000000000001" customHeight="1">
      <c r="A244" s="57" t="s">
        <v>441</v>
      </c>
    </row>
    <row r="245" spans="1:5" s="263" customFormat="1" ht="20.100000000000001" customHeight="1">
      <c r="A245" s="57" t="s">
        <v>468</v>
      </c>
    </row>
    <row r="246" spans="1:5" s="256" customFormat="1" ht="20.100000000000001" customHeight="1">
      <c r="A246" s="57" t="s">
        <v>443</v>
      </c>
    </row>
    <row r="248" spans="1:5" s="259" customFormat="1" ht="20.100000000000001" customHeight="1">
      <c r="A248" s="150" t="s">
        <v>466</v>
      </c>
    </row>
    <row r="250" spans="1:5" ht="20.100000000000001" customHeight="1">
      <c r="A250" s="262" t="s">
        <v>2</v>
      </c>
      <c r="B250" s="235">
        <v>44999</v>
      </c>
    </row>
    <row r="251" spans="1:5" ht="20.100000000000001" customHeight="1">
      <c r="A251" s="263"/>
      <c r="B251" s="263"/>
    </row>
    <row r="252" spans="1:5" ht="20.100000000000001" customHeight="1">
      <c r="A252" s="263" t="s">
        <v>433</v>
      </c>
      <c r="B252" s="263"/>
    </row>
    <row r="253" spans="1:5" ht="20.100000000000001" customHeight="1">
      <c r="A253" s="263" t="s">
        <v>432</v>
      </c>
      <c r="B253" s="263"/>
    </row>
    <row r="254" spans="1:5" ht="20.100000000000001" customHeight="1">
      <c r="A254" s="263" t="s">
        <v>434</v>
      </c>
      <c r="B254" s="263"/>
    </row>
    <row r="256" spans="1:5" ht="20.100000000000001" customHeight="1">
      <c r="A256" s="239" t="s">
        <v>444</v>
      </c>
    </row>
    <row r="257" spans="1:10" ht="20.100000000000001" customHeight="1">
      <c r="A257" s="239" t="s">
        <v>445</v>
      </c>
    </row>
    <row r="258" spans="1:10" s="263" customFormat="1" ht="20.100000000000001" customHeight="1"/>
    <row r="259" spans="1:10" ht="20.100000000000001" customHeight="1">
      <c r="A259" s="266" t="s">
        <v>4</v>
      </c>
      <c r="B259" s="266" t="s">
        <v>99</v>
      </c>
      <c r="C259" s="266" t="s">
        <v>100</v>
      </c>
      <c r="D259" s="266" t="s">
        <v>275</v>
      </c>
      <c r="E259" s="266" t="s">
        <v>116</v>
      </c>
      <c r="F259" s="266" t="s">
        <v>114</v>
      </c>
      <c r="G259" s="262" t="s">
        <v>108</v>
      </c>
      <c r="H259" s="262" t="s">
        <v>108</v>
      </c>
      <c r="I259" s="266"/>
      <c r="J259" s="266"/>
    </row>
    <row r="260" spans="1:10" ht="20.100000000000001" customHeight="1">
      <c r="A260" s="264" t="s">
        <v>96</v>
      </c>
      <c r="B260" s="264" t="s">
        <v>64</v>
      </c>
      <c r="C260" s="264" t="s">
        <v>64</v>
      </c>
      <c r="D260" s="264" t="s">
        <v>64</v>
      </c>
      <c r="E260" s="264" t="s">
        <v>64</v>
      </c>
      <c r="F260" s="264" t="s">
        <v>64</v>
      </c>
      <c r="G260" s="264" t="s">
        <v>446</v>
      </c>
      <c r="H260" s="264" t="s">
        <v>447</v>
      </c>
      <c r="I260" s="260"/>
      <c r="J260" s="260"/>
    </row>
    <row r="261" spans="1:10" ht="20.100000000000001" customHeight="1">
      <c r="A261" s="261" t="s">
        <v>357</v>
      </c>
      <c r="B261" s="137">
        <v>7.3151999999999999</v>
      </c>
      <c r="C261" s="137">
        <v>13.4468</v>
      </c>
      <c r="D261" s="137">
        <v>14.241300000000001</v>
      </c>
      <c r="E261" s="82">
        <f>C261-B261</f>
        <v>6.1315999999999997</v>
      </c>
      <c r="F261" s="82">
        <f>D261-B261</f>
        <v>6.9261000000000008</v>
      </c>
      <c r="G261" s="82">
        <v>0.270951</v>
      </c>
      <c r="H261" s="82">
        <f>G261*F261/E261</f>
        <v>0.3060593843531868</v>
      </c>
    </row>
    <row r="262" spans="1:10" ht="20.100000000000001" customHeight="1">
      <c r="A262" s="260" t="s">
        <v>334</v>
      </c>
      <c r="B262" s="139">
        <v>7.3052999999999999</v>
      </c>
      <c r="C262" s="139">
        <v>13.398</v>
      </c>
      <c r="D262" s="139">
        <v>14.1999</v>
      </c>
      <c r="E262" s="80">
        <f t="shared" ref="E262:E268" si="18">C262-B262</f>
        <v>6.0926999999999998</v>
      </c>
      <c r="F262" s="80">
        <f t="shared" ref="F262:F268" si="19">D262-B262</f>
        <v>6.8945999999999996</v>
      </c>
      <c r="G262" s="80">
        <v>0.26965899999999998</v>
      </c>
      <c r="H262" s="80">
        <f t="shared" ref="H262:H268" si="20">G262*F262/E262</f>
        <v>0.30515058043232063</v>
      </c>
    </row>
    <row r="263" spans="1:10" ht="20.100000000000001" customHeight="1">
      <c r="A263" s="260" t="s">
        <v>340</v>
      </c>
      <c r="B263" s="139">
        <v>7.3442999999999996</v>
      </c>
      <c r="C263" s="139">
        <v>13.440099999999999</v>
      </c>
      <c r="D263" s="139">
        <v>14.243600000000001</v>
      </c>
      <c r="E263" s="80">
        <f t="shared" si="18"/>
        <v>6.0957999999999997</v>
      </c>
      <c r="F263" s="80">
        <f t="shared" si="19"/>
        <v>6.8993000000000011</v>
      </c>
      <c r="G263" s="80">
        <v>0.270459</v>
      </c>
      <c r="H263" s="80">
        <f t="shared" si="20"/>
        <v>0.30610875991666397</v>
      </c>
    </row>
    <row r="264" spans="1:10" ht="20.100000000000001" customHeight="1">
      <c r="A264" s="260" t="s">
        <v>360</v>
      </c>
      <c r="B264" s="139">
        <v>7.3235000000000001</v>
      </c>
      <c r="C264" s="139">
        <v>13.423</v>
      </c>
      <c r="D264" s="139">
        <v>14.226699999999999</v>
      </c>
      <c r="E264" s="80">
        <f t="shared" si="18"/>
        <v>6.0994999999999999</v>
      </c>
      <c r="F264" s="80">
        <f t="shared" si="19"/>
        <v>6.9031999999999991</v>
      </c>
      <c r="G264" s="80">
        <v>0.26930799999999999</v>
      </c>
      <c r="H264" s="80">
        <f t="shared" si="20"/>
        <v>0.30479334135584879</v>
      </c>
    </row>
    <row r="265" spans="1:10" ht="20.100000000000001" customHeight="1">
      <c r="A265" s="260" t="s">
        <v>364</v>
      </c>
      <c r="B265" s="139">
        <v>7.3213999999999997</v>
      </c>
      <c r="C265" s="139">
        <v>13.435</v>
      </c>
      <c r="D265" s="139">
        <v>14.238300000000001</v>
      </c>
      <c r="E265" s="80">
        <f t="shared" si="18"/>
        <v>6.1136000000000008</v>
      </c>
      <c r="F265" s="80">
        <f t="shared" si="19"/>
        <v>6.9169000000000009</v>
      </c>
      <c r="G265" s="80">
        <v>0.273391</v>
      </c>
      <c r="H265" s="80">
        <f t="shared" si="20"/>
        <v>0.30931336821185551</v>
      </c>
    </row>
    <row r="266" spans="1:10" ht="20.100000000000001" customHeight="1">
      <c r="A266" s="260" t="s">
        <v>226</v>
      </c>
      <c r="B266" s="139">
        <v>7.3354999999999997</v>
      </c>
      <c r="C266" s="139">
        <v>13.3315</v>
      </c>
      <c r="D266" s="139">
        <v>14.135</v>
      </c>
      <c r="E266" s="80">
        <f t="shared" si="18"/>
        <v>5.9960000000000004</v>
      </c>
      <c r="F266" s="80">
        <f t="shared" si="19"/>
        <v>6.7995000000000001</v>
      </c>
      <c r="G266" s="80">
        <v>9.1845999999999997E-2</v>
      </c>
      <c r="H266" s="80">
        <f t="shared" si="20"/>
        <v>0.10415391544362908</v>
      </c>
    </row>
    <row r="267" spans="1:10" ht="20.100000000000001" customHeight="1">
      <c r="A267" s="260" t="s">
        <v>128</v>
      </c>
      <c r="B267" s="139">
        <v>7.2834000000000003</v>
      </c>
      <c r="C267" s="139">
        <v>13.3537</v>
      </c>
      <c r="D267" s="139">
        <v>14.158200000000001</v>
      </c>
      <c r="E267" s="80">
        <f t="shared" si="18"/>
        <v>6.0702999999999996</v>
      </c>
      <c r="F267" s="80">
        <f t="shared" si="19"/>
        <v>6.8748000000000005</v>
      </c>
      <c r="G267" s="80">
        <v>0.17533000000000001</v>
      </c>
      <c r="H267" s="80">
        <f t="shared" si="20"/>
        <v>0.19856657562229219</v>
      </c>
    </row>
    <row r="268" spans="1:10" ht="20.100000000000001" customHeight="1">
      <c r="A268" s="264" t="s">
        <v>110</v>
      </c>
      <c r="B268" s="141">
        <v>7.3207000000000004</v>
      </c>
      <c r="C268" s="141">
        <v>13.536799999999999</v>
      </c>
      <c r="D268" s="141">
        <v>14.338699999999999</v>
      </c>
      <c r="E268" s="81">
        <f t="shared" si="18"/>
        <v>6.2160999999999991</v>
      </c>
      <c r="F268" s="81">
        <f t="shared" si="19"/>
        <v>7.0179999999999989</v>
      </c>
      <c r="G268" s="81">
        <v>-2.385E-3</v>
      </c>
      <c r="H268" s="81">
        <f t="shared" si="20"/>
        <v>-2.6926738630330916E-3</v>
      </c>
    </row>
    <row r="270" spans="1:10" ht="20.100000000000001" customHeight="1">
      <c r="A270" s="262" t="s">
        <v>448</v>
      </c>
      <c r="F270" s="239" t="s">
        <v>449</v>
      </c>
      <c r="G270" s="60">
        <f>AVERAGE(G261:G265)</f>
        <v>0.27075359999999998</v>
      </c>
    </row>
    <row r="271" spans="1:10" ht="20.100000000000001" customHeight="1">
      <c r="A271" s="161">
        <f>STDEV(H261:H265)/AVERAGE(H261:H265)</f>
        <v>5.8324815800851375E-3</v>
      </c>
    </row>
    <row r="273" spans="1:2" ht="20.100000000000001" customHeight="1">
      <c r="A273" s="271">
        <v>44476</v>
      </c>
      <c r="B273" s="265" t="s">
        <v>128</v>
      </c>
    </row>
    <row r="274" spans="1:2" ht="20.100000000000001" customHeight="1">
      <c r="A274" s="260" t="s">
        <v>276</v>
      </c>
      <c r="B274" s="260" t="s">
        <v>228</v>
      </c>
    </row>
    <row r="275" spans="1:2" ht="20.100000000000001" customHeight="1">
      <c r="A275" s="143">
        <v>0.17251900000000001</v>
      </c>
      <c r="B275" s="143">
        <v>0.16354088525712027</v>
      </c>
    </row>
    <row r="277" spans="1:2" ht="20.100000000000001" customHeight="1">
      <c r="A277" s="262" t="s">
        <v>450</v>
      </c>
    </row>
    <row r="278" spans="1:2" ht="20.100000000000001" customHeight="1">
      <c r="A278" s="60">
        <v>0.24513567543523371</v>
      </c>
      <c r="B278" s="239" t="s">
        <v>257</v>
      </c>
    </row>
    <row r="280" spans="1:2" ht="20.100000000000001" customHeight="1">
      <c r="A280" s="262" t="s">
        <v>451</v>
      </c>
    </row>
    <row r="281" spans="1:2" ht="20.100000000000001" customHeight="1">
      <c r="A281" s="60">
        <f>B275/A275*G270</f>
        <v>0.25666322799548014</v>
      </c>
      <c r="B281" s="263" t="s">
        <v>257</v>
      </c>
    </row>
    <row r="283" spans="1:2" ht="20.100000000000001" customHeight="1">
      <c r="A283" s="262" t="s">
        <v>452</v>
      </c>
    </row>
    <row r="284" spans="1:2" ht="20.100000000000001" customHeight="1">
      <c r="A284" s="60">
        <v>0.28549289154954693</v>
      </c>
    </row>
    <row r="286" spans="1:2" ht="20.100000000000001" customHeight="1">
      <c r="A286" s="262" t="s">
        <v>453</v>
      </c>
    </row>
    <row r="287" spans="1:2" ht="20.100000000000001" customHeight="1">
      <c r="A287" s="239" t="s">
        <v>454</v>
      </c>
      <c r="B287" s="142">
        <f>A281/A278</f>
        <v>1.0470251934557444</v>
      </c>
    </row>
    <row r="288" spans="1:2" ht="20.100000000000001" customHeight="1">
      <c r="A288" s="239" t="s">
        <v>455</v>
      </c>
      <c r="B288" s="142">
        <f>AVERAGE(H261:H265)/A284</f>
        <v>1.0728291173611226</v>
      </c>
    </row>
    <row r="290" spans="1:8" ht="20.100000000000001" customHeight="1">
      <c r="A290" s="57" t="s">
        <v>456</v>
      </c>
    </row>
    <row r="291" spans="1:8" ht="20.100000000000001" customHeight="1">
      <c r="A291" s="57" t="s">
        <v>457</v>
      </c>
    </row>
    <row r="292" spans="1:8" ht="20.100000000000001" customHeight="1">
      <c r="A292" s="57" t="s">
        <v>458</v>
      </c>
    </row>
    <row r="294" spans="1:8" s="149" customFormat="1" ht="20.100000000000001" customHeight="1">
      <c r="A294" s="150" t="s">
        <v>465</v>
      </c>
    </row>
    <row r="296" spans="1:8" ht="20.100000000000001" customHeight="1">
      <c r="A296" s="262" t="s">
        <v>2</v>
      </c>
      <c r="B296" s="235">
        <v>44999</v>
      </c>
    </row>
    <row r="297" spans="1:8" ht="20.100000000000001" customHeight="1">
      <c r="A297" s="263"/>
      <c r="B297" s="263"/>
    </row>
    <row r="298" spans="1:8" ht="20.100000000000001" customHeight="1">
      <c r="A298" s="263" t="s">
        <v>433</v>
      </c>
      <c r="B298" s="263"/>
    </row>
    <row r="299" spans="1:8" ht="20.100000000000001" customHeight="1">
      <c r="A299" s="263" t="s">
        <v>432</v>
      </c>
      <c r="B299" s="263"/>
    </row>
    <row r="300" spans="1:8" ht="20.100000000000001" customHeight="1">
      <c r="A300" s="263" t="s">
        <v>434</v>
      </c>
      <c r="B300" s="263"/>
    </row>
    <row r="301" spans="1:8" ht="20.100000000000001" customHeight="1">
      <c r="A301" s="263"/>
      <c r="B301" s="263"/>
    </row>
    <row r="302" spans="1:8" ht="20.100000000000001" customHeight="1">
      <c r="A302" s="263" t="s">
        <v>459</v>
      </c>
      <c r="B302" s="263"/>
    </row>
    <row r="304" spans="1:8" ht="20.100000000000001" customHeight="1">
      <c r="A304" s="266" t="s">
        <v>4</v>
      </c>
      <c r="B304" s="266" t="s">
        <v>99</v>
      </c>
      <c r="C304" s="266" t="s">
        <v>100</v>
      </c>
      <c r="D304" s="266" t="s">
        <v>275</v>
      </c>
      <c r="E304" s="266" t="s">
        <v>116</v>
      </c>
      <c r="F304" s="266" t="s">
        <v>114</v>
      </c>
      <c r="G304" s="262" t="s">
        <v>108</v>
      </c>
      <c r="H304" s="262" t="s">
        <v>108</v>
      </c>
    </row>
    <row r="305" spans="1:8" ht="20.100000000000001" customHeight="1">
      <c r="A305" s="264" t="s">
        <v>96</v>
      </c>
      <c r="B305" s="264" t="s">
        <v>64</v>
      </c>
      <c r="C305" s="264" t="s">
        <v>64</v>
      </c>
      <c r="D305" s="264" t="s">
        <v>64</v>
      </c>
      <c r="E305" s="264" t="s">
        <v>64</v>
      </c>
      <c r="F305" s="264" t="s">
        <v>64</v>
      </c>
      <c r="G305" s="264" t="s">
        <v>476</v>
      </c>
      <c r="H305" s="264" t="s">
        <v>447</v>
      </c>
    </row>
    <row r="306" spans="1:8" ht="20.100000000000001" customHeight="1">
      <c r="A306" s="261" t="s">
        <v>357</v>
      </c>
      <c r="B306" s="137">
        <v>6.1318000000000001</v>
      </c>
      <c r="C306" s="137">
        <v>11.223100000000001</v>
      </c>
      <c r="D306" s="137">
        <v>11.426600000000001</v>
      </c>
      <c r="E306" s="82">
        <f>C306-B306</f>
        <v>5.0913000000000004</v>
      </c>
      <c r="F306" s="82">
        <f>D306-B306</f>
        <v>5.2948000000000004</v>
      </c>
      <c r="G306" s="82">
        <v>8.0770999999999996E-2</v>
      </c>
      <c r="H306" s="82">
        <f>G306*F306/E306</f>
        <v>8.3999428593875825E-2</v>
      </c>
    </row>
    <row r="307" spans="1:8" ht="20.100000000000001" customHeight="1">
      <c r="A307" s="260" t="s">
        <v>334</v>
      </c>
      <c r="B307" s="139">
        <v>6.1477000000000004</v>
      </c>
      <c r="C307" s="139">
        <v>11.2492</v>
      </c>
      <c r="D307" s="139">
        <v>11.4504</v>
      </c>
      <c r="E307" s="80">
        <f t="shared" ref="E307:E312" si="21">C307-B307</f>
        <v>5.1014999999999997</v>
      </c>
      <c r="F307" s="80">
        <f t="shared" ref="F307:F312" si="22">D307-B307</f>
        <v>5.3026999999999997</v>
      </c>
      <c r="G307" s="80">
        <v>9.0395000000000003E-2</v>
      </c>
      <c r="H307" s="80">
        <f t="shared" ref="H307:H312" si="23">G307*F307/E307</f>
        <v>9.3960122807017543E-2</v>
      </c>
    </row>
    <row r="308" spans="1:8" ht="20.100000000000001" customHeight="1">
      <c r="A308" s="260" t="s">
        <v>340</v>
      </c>
      <c r="B308" s="139">
        <v>6.1307999999999998</v>
      </c>
      <c r="C308" s="139">
        <v>11.222899999999999</v>
      </c>
      <c r="D308" s="139">
        <v>11.423299999999999</v>
      </c>
      <c r="E308" s="80">
        <f t="shared" si="21"/>
        <v>5.0920999999999994</v>
      </c>
      <c r="F308" s="80">
        <f t="shared" si="22"/>
        <v>5.2924999999999995</v>
      </c>
      <c r="G308" s="80">
        <v>8.5665000000000005E-2</v>
      </c>
      <c r="H308" s="80">
        <f t="shared" si="23"/>
        <v>8.9036352879951305E-2</v>
      </c>
    </row>
    <row r="309" spans="1:8" ht="20.100000000000001" customHeight="1">
      <c r="A309" s="260" t="s">
        <v>360</v>
      </c>
      <c r="B309" s="139">
        <v>6.1375999999999999</v>
      </c>
      <c r="C309" s="139">
        <v>11.2248</v>
      </c>
      <c r="D309" s="139">
        <v>11.425800000000001</v>
      </c>
      <c r="E309" s="80">
        <f t="shared" si="21"/>
        <v>5.0872000000000002</v>
      </c>
      <c r="F309" s="80">
        <f t="shared" si="22"/>
        <v>5.2882000000000007</v>
      </c>
      <c r="G309" s="80">
        <v>8.5456000000000004E-2</v>
      </c>
      <c r="H309" s="80">
        <f t="shared" si="23"/>
        <v>8.8832445982072669E-2</v>
      </c>
    </row>
    <row r="310" spans="1:8" ht="20.100000000000001" customHeight="1">
      <c r="A310" s="260" t="s">
        <v>364</v>
      </c>
      <c r="B310" s="139">
        <v>6.1113999999999997</v>
      </c>
      <c r="C310" s="139">
        <v>11.1877</v>
      </c>
      <c r="D310" s="139">
        <v>11.3887</v>
      </c>
      <c r="E310" s="80">
        <f t="shared" si="21"/>
        <v>5.0762999999999998</v>
      </c>
      <c r="F310" s="80">
        <f t="shared" si="22"/>
        <v>5.2773000000000003</v>
      </c>
      <c r="G310" s="80">
        <v>8.1848000000000004E-2</v>
      </c>
      <c r="H310" s="80">
        <f t="shared" si="23"/>
        <v>8.5088834466048119E-2</v>
      </c>
    </row>
    <row r="311" spans="1:8" ht="20.100000000000001" customHeight="1">
      <c r="A311" s="260" t="s">
        <v>128</v>
      </c>
      <c r="B311" s="139">
        <v>6.0968</v>
      </c>
      <c r="C311" s="139">
        <v>11.206099999999999</v>
      </c>
      <c r="D311" s="139">
        <v>11.4068</v>
      </c>
      <c r="E311" s="80">
        <f t="shared" si="21"/>
        <v>5.1092999999999993</v>
      </c>
      <c r="F311" s="80">
        <f t="shared" si="22"/>
        <v>5.3100000000000005</v>
      </c>
      <c r="G311" s="80">
        <v>0.17365700000000001</v>
      </c>
      <c r="H311" s="80">
        <f t="shared" si="23"/>
        <v>0.18047847454641541</v>
      </c>
    </row>
    <row r="312" spans="1:8" ht="20.100000000000001" customHeight="1">
      <c r="A312" s="264" t="s">
        <v>110</v>
      </c>
      <c r="B312" s="141">
        <v>6.1074999999999999</v>
      </c>
      <c r="C312" s="141">
        <v>11.1502</v>
      </c>
      <c r="D312" s="141">
        <v>11.3512</v>
      </c>
      <c r="E312" s="81">
        <f t="shared" si="21"/>
        <v>5.0427</v>
      </c>
      <c r="F312" s="81">
        <f t="shared" si="22"/>
        <v>5.2437000000000005</v>
      </c>
      <c r="G312" s="81">
        <v>9.3099999999999997E-4</v>
      </c>
      <c r="H312" s="81">
        <f t="shared" si="23"/>
        <v>9.6810928669165337E-4</v>
      </c>
    </row>
    <row r="313" spans="1:8" ht="20.100000000000001" customHeight="1">
      <c r="A313" s="263"/>
      <c r="B313" s="263"/>
      <c r="C313" s="263"/>
      <c r="D313" s="263"/>
      <c r="E313" s="263"/>
      <c r="F313" s="263"/>
      <c r="G313" s="263"/>
      <c r="H313" s="263"/>
    </row>
    <row r="314" spans="1:8" ht="20.100000000000001" customHeight="1">
      <c r="A314" s="262" t="s">
        <v>448</v>
      </c>
      <c r="B314" s="263"/>
      <c r="C314" s="263"/>
      <c r="D314" s="263"/>
      <c r="E314" s="263"/>
      <c r="F314" s="263" t="s">
        <v>449</v>
      </c>
      <c r="G314" s="60">
        <f>AVERAGE(G306:G310)</f>
        <v>8.4827000000000014E-2</v>
      </c>
      <c r="H314" s="263"/>
    </row>
    <row r="315" spans="1:8" ht="20.100000000000001" customHeight="1">
      <c r="A315" s="161">
        <f>STDEV(H306:H310)/AVERAGE(H306:H310)</f>
        <v>4.4501823783077592E-2</v>
      </c>
      <c r="B315" s="263"/>
      <c r="C315" s="263"/>
      <c r="D315" s="263"/>
      <c r="E315" s="263"/>
      <c r="F315" s="263"/>
      <c r="G315" s="263"/>
      <c r="H315" s="263"/>
    </row>
    <row r="317" spans="1:8" ht="20.100000000000001" customHeight="1">
      <c r="A317" s="262" t="s">
        <v>460</v>
      </c>
    </row>
    <row r="318" spans="1:8" ht="20.100000000000001" customHeight="1">
      <c r="A318" s="142">
        <f>0.1581/G311*G314</f>
        <v>7.7227803658936875E-2</v>
      </c>
      <c r="B318" s="239" t="s">
        <v>461</v>
      </c>
    </row>
    <row r="320" spans="1:8" ht="20.100000000000001" customHeight="1">
      <c r="A320" s="57" t="s">
        <v>462</v>
      </c>
    </row>
    <row r="321" spans="1:9" ht="20.100000000000001" customHeight="1">
      <c r="A321" s="57" t="s">
        <v>463</v>
      </c>
    </row>
    <row r="322" spans="1:9" ht="20.100000000000001" customHeight="1">
      <c r="A322" s="57" t="s">
        <v>464</v>
      </c>
    </row>
    <row r="324" spans="1:9" s="150" customFormat="1" ht="20.100000000000001" customHeight="1">
      <c r="A324" s="150" t="s">
        <v>481</v>
      </c>
    </row>
    <row r="326" spans="1:9" ht="20.100000000000001" customHeight="1">
      <c r="A326" s="262" t="s">
        <v>2</v>
      </c>
      <c r="B326" s="235">
        <v>44999</v>
      </c>
    </row>
    <row r="328" spans="1:9" ht="20.100000000000001" customHeight="1">
      <c r="A328" s="239" t="s">
        <v>474</v>
      </c>
    </row>
    <row r="329" spans="1:9" ht="20.100000000000001" customHeight="1">
      <c r="A329" s="239">
        <f>ROW(A77)</f>
        <v>77</v>
      </c>
    </row>
    <row r="330" spans="1:9" s="263" customFormat="1" ht="20.100000000000001" customHeight="1"/>
    <row r="331" spans="1:9" ht="20.100000000000001" customHeight="1">
      <c r="A331" s="57" t="s">
        <v>475</v>
      </c>
    </row>
    <row r="333" spans="1:9" ht="20.100000000000001" customHeight="1">
      <c r="A333" s="266" t="s">
        <v>4</v>
      </c>
      <c r="B333" s="266" t="s">
        <v>99</v>
      </c>
      <c r="C333" s="262" t="s">
        <v>225</v>
      </c>
      <c r="D333" s="266" t="s">
        <v>100</v>
      </c>
      <c r="E333" s="266" t="s">
        <v>275</v>
      </c>
      <c r="F333" s="266" t="s">
        <v>116</v>
      </c>
      <c r="G333" s="266" t="s">
        <v>114</v>
      </c>
      <c r="H333" s="262" t="s">
        <v>108</v>
      </c>
      <c r="I333" s="262" t="s">
        <v>108</v>
      </c>
    </row>
    <row r="334" spans="1:9" ht="20.100000000000001" customHeight="1">
      <c r="A334" s="264" t="s">
        <v>96</v>
      </c>
      <c r="B334" s="264" t="s">
        <v>64</v>
      </c>
      <c r="C334" s="264" t="s">
        <v>64</v>
      </c>
      <c r="D334" s="264" t="s">
        <v>64</v>
      </c>
      <c r="E334" s="264" t="s">
        <v>64</v>
      </c>
      <c r="F334" s="264" t="s">
        <v>64</v>
      </c>
      <c r="G334" s="264" t="s">
        <v>64</v>
      </c>
      <c r="H334" s="264" t="s">
        <v>476</v>
      </c>
      <c r="I334" s="264" t="s">
        <v>447</v>
      </c>
    </row>
    <row r="335" spans="1:9" ht="20.100000000000001" customHeight="1">
      <c r="A335" s="261" t="s">
        <v>477</v>
      </c>
      <c r="B335" s="269">
        <v>6.1253000000000002</v>
      </c>
      <c r="C335" s="269">
        <v>11.299300000000001</v>
      </c>
      <c r="D335" s="269">
        <v>11.363099999999999</v>
      </c>
      <c r="E335" s="269">
        <v>11.563800000000001</v>
      </c>
      <c r="F335" s="261">
        <f>D335-C335</f>
        <v>6.3799999999998747E-2</v>
      </c>
      <c r="G335" s="261">
        <f>E335-B335</f>
        <v>5.4385000000000003</v>
      </c>
      <c r="H335" s="82">
        <v>1.1214E-2</v>
      </c>
      <c r="I335" s="272">
        <f t="shared" ref="I335:I336" si="24">H335*G335/F335</f>
        <v>0.95591440438873354</v>
      </c>
    </row>
    <row r="336" spans="1:9" ht="20.100000000000001" customHeight="1">
      <c r="A336" s="264" t="s">
        <v>478</v>
      </c>
      <c r="B336" s="270">
        <v>6.1060999999999996</v>
      </c>
      <c r="C336" s="270">
        <v>11.168900000000001</v>
      </c>
      <c r="D336" s="270">
        <v>11.233000000000001</v>
      </c>
      <c r="E336" s="270">
        <v>11.4338</v>
      </c>
      <c r="F336" s="264">
        <f>D336-C336</f>
        <v>6.4099999999999824E-2</v>
      </c>
      <c r="G336" s="264">
        <f>E336-B336</f>
        <v>5.3277000000000001</v>
      </c>
      <c r="H336" s="81">
        <v>0.13850599999999999</v>
      </c>
      <c r="I336" s="143">
        <f t="shared" si="24"/>
        <v>11.511987772230921</v>
      </c>
    </row>
    <row r="338" spans="1:2" ht="20.100000000000001" customHeight="1">
      <c r="A338" s="57" t="s">
        <v>479</v>
      </c>
    </row>
    <row r="339" spans="1:2" ht="20.100000000000001" customHeight="1">
      <c r="A339" s="57" t="s">
        <v>480</v>
      </c>
    </row>
    <row r="341" spans="1:2" s="150" customFormat="1" ht="20.100000000000001" customHeight="1">
      <c r="A341" s="150" t="s">
        <v>482</v>
      </c>
    </row>
    <row r="343" spans="1:2" ht="20.100000000000001" customHeight="1">
      <c r="A343" s="268" t="s">
        <v>2</v>
      </c>
      <c r="B343" s="235">
        <v>45000</v>
      </c>
    </row>
    <row r="345" spans="1:2" ht="20.100000000000001" customHeight="1">
      <c r="A345" s="267" t="s">
        <v>433</v>
      </c>
    </row>
    <row r="346" spans="1:2" ht="20.100000000000001" customHeight="1">
      <c r="A346" s="267" t="s">
        <v>432</v>
      </c>
    </row>
    <row r="347" spans="1:2" ht="20.100000000000001" customHeight="1">
      <c r="A347" s="267" t="s">
        <v>947</v>
      </c>
    </row>
    <row r="349" spans="1:2" ht="20.100000000000001" customHeight="1">
      <c r="A349" s="239" t="s">
        <v>483</v>
      </c>
    </row>
    <row r="350" spans="1:2" ht="20.100000000000001" customHeight="1">
      <c r="A350" s="239" t="s">
        <v>512</v>
      </c>
    </row>
    <row r="352" spans="1:2" ht="20.100000000000001" customHeight="1">
      <c r="A352" s="239" t="s">
        <v>484</v>
      </c>
    </row>
    <row r="354" spans="1:13" s="302" customFormat="1" ht="20.100000000000001" customHeight="1">
      <c r="A354" s="302" t="s">
        <v>511</v>
      </c>
    </row>
    <row r="355" spans="1:13" s="302" customFormat="1" ht="20.100000000000001" customHeight="1">
      <c r="A355" s="302" t="s">
        <v>506</v>
      </c>
      <c r="B355" s="302" t="s">
        <v>513</v>
      </c>
    </row>
    <row r="356" spans="1:13" s="302" customFormat="1" ht="20.100000000000001" customHeight="1"/>
    <row r="357" spans="1:13" ht="20.100000000000001" customHeight="1">
      <c r="A357" s="268" t="s">
        <v>2</v>
      </c>
      <c r="B357" s="235">
        <v>45012</v>
      </c>
    </row>
    <row r="359" spans="1:13" s="302" customFormat="1" ht="20.100000000000001" customHeight="1">
      <c r="A359" s="300" t="s">
        <v>500</v>
      </c>
    </row>
    <row r="360" spans="1:13" s="302" customFormat="1" ht="20.100000000000001" customHeight="1"/>
    <row r="361" spans="1:13" s="302" customFormat="1" ht="20.100000000000001" customHeight="1">
      <c r="A361" s="304" t="s">
        <v>4</v>
      </c>
      <c r="B361" s="304" t="s">
        <v>99</v>
      </c>
      <c r="C361" s="304" t="s">
        <v>100</v>
      </c>
      <c r="D361" s="304" t="s">
        <v>435</v>
      </c>
      <c r="E361" s="304" t="s">
        <v>116</v>
      </c>
      <c r="F361" s="304" t="s">
        <v>117</v>
      </c>
      <c r="G361" s="300" t="s">
        <v>108</v>
      </c>
      <c r="H361" s="300" t="s">
        <v>108</v>
      </c>
      <c r="I361" s="304" t="s">
        <v>115</v>
      </c>
      <c r="J361" s="300" t="s">
        <v>442</v>
      </c>
      <c r="L361" s="304" t="s">
        <v>4</v>
      </c>
      <c r="M361" s="300" t="s">
        <v>217</v>
      </c>
    </row>
    <row r="362" spans="1:13" s="302" customFormat="1" ht="20.100000000000001" customHeight="1">
      <c r="A362" s="303" t="s">
        <v>96</v>
      </c>
      <c r="B362" s="303" t="s">
        <v>64</v>
      </c>
      <c r="C362" s="303" t="s">
        <v>64</v>
      </c>
      <c r="D362" s="303" t="s">
        <v>64</v>
      </c>
      <c r="E362" s="303" t="s">
        <v>64</v>
      </c>
      <c r="F362" s="303" t="s">
        <v>64</v>
      </c>
      <c r="G362" s="303">
        <v>46</v>
      </c>
      <c r="H362" s="303">
        <v>47</v>
      </c>
      <c r="I362" s="303"/>
      <c r="J362" s="303"/>
      <c r="L362" s="303" t="s">
        <v>96</v>
      </c>
      <c r="M362" s="303" t="s">
        <v>523</v>
      </c>
    </row>
    <row r="363" spans="1:13" s="302" customFormat="1" ht="20.100000000000001" customHeight="1">
      <c r="A363" s="299" t="s">
        <v>349</v>
      </c>
      <c r="B363" s="137">
        <v>11.459199999999999</v>
      </c>
      <c r="C363" s="137">
        <v>13.4968</v>
      </c>
      <c r="D363" s="137">
        <v>13.652900000000001</v>
      </c>
      <c r="E363" s="82">
        <f>C363-B363</f>
        <v>2.0376000000000012</v>
      </c>
      <c r="F363" s="82">
        <f>D363-C363</f>
        <v>0.15610000000000035</v>
      </c>
      <c r="G363" s="306">
        <v>5603.4769999999899</v>
      </c>
      <c r="H363" s="306">
        <v>4991.9024999999901</v>
      </c>
      <c r="I363" s="60">
        <f>G363/H363</f>
        <v>1.1225133103060407</v>
      </c>
      <c r="J363" s="60">
        <f>I363*F363/E363</f>
        <v>8.5995449420285267E-2</v>
      </c>
      <c r="L363" s="302" t="s">
        <v>349</v>
      </c>
      <c r="M363" s="142">
        <f>J364/J363</f>
        <v>1.0022973385946703</v>
      </c>
    </row>
    <row r="364" spans="1:13" s="302" customFormat="1" ht="20.100000000000001" customHeight="1">
      <c r="A364" s="298" t="s">
        <v>501</v>
      </c>
      <c r="B364" s="139">
        <v>11.4671</v>
      </c>
      <c r="C364" s="139">
        <v>13.543100000000001</v>
      </c>
      <c r="D364" s="139">
        <v>13.741899999999999</v>
      </c>
      <c r="E364" s="80">
        <f t="shared" ref="E364:E374" si="25">C364-B364</f>
        <v>2.0760000000000005</v>
      </c>
      <c r="F364" s="80">
        <f t="shared" ref="F364:F374" si="26">D364-C364</f>
        <v>0.19879999999999853</v>
      </c>
      <c r="G364" s="171">
        <v>5379.1644999999899</v>
      </c>
      <c r="H364" s="171">
        <v>5976.2919999999904</v>
      </c>
      <c r="I364" s="60">
        <f t="shared" ref="I364:I373" si="27">G364/H364</f>
        <v>0.90008394837467753</v>
      </c>
      <c r="J364" s="60">
        <f t="shared" ref="J364:J373" si="28">I364*F364/E364</f>
        <v>8.6193010085204497E-2</v>
      </c>
      <c r="L364" s="302" t="s">
        <v>378</v>
      </c>
      <c r="M364" s="142">
        <f>J366/J365</f>
        <v>0.99839509344915889</v>
      </c>
    </row>
    <row r="365" spans="1:13" s="302" customFormat="1" ht="20.100000000000001" customHeight="1">
      <c r="A365" s="302" t="s">
        <v>378</v>
      </c>
      <c r="B365" s="182">
        <v>11.44</v>
      </c>
      <c r="C365" s="182">
        <v>13.4862</v>
      </c>
      <c r="D365" s="182">
        <v>13.6844</v>
      </c>
      <c r="E365" s="60">
        <f t="shared" si="25"/>
        <v>2.0462000000000007</v>
      </c>
      <c r="F365" s="60">
        <f t="shared" si="26"/>
        <v>0.19819999999999993</v>
      </c>
      <c r="G365" s="170">
        <v>5235.5730000000003</v>
      </c>
      <c r="H365" s="170">
        <v>5652.2611734687498</v>
      </c>
      <c r="I365" s="60">
        <f t="shared" si="27"/>
        <v>0.92627938435954627</v>
      </c>
      <c r="J365" s="60">
        <f t="shared" si="28"/>
        <v>8.9721715365097224E-2</v>
      </c>
      <c r="L365" s="302" t="s">
        <v>359</v>
      </c>
      <c r="M365" s="142">
        <f>J368/J367</f>
        <v>1.0005560765004251</v>
      </c>
    </row>
    <row r="366" spans="1:13" s="302" customFormat="1" ht="20.100000000000001" customHeight="1">
      <c r="A366" s="302" t="s">
        <v>502</v>
      </c>
      <c r="B366" s="182">
        <v>11.4758</v>
      </c>
      <c r="C366" s="182">
        <v>13.5153</v>
      </c>
      <c r="D366" s="182">
        <v>13.7143</v>
      </c>
      <c r="E366" s="60">
        <f t="shared" si="25"/>
        <v>2.0395000000000003</v>
      </c>
      <c r="F366" s="60">
        <f t="shared" si="26"/>
        <v>0.19899999999999984</v>
      </c>
      <c r="G366" s="170">
        <v>5600.2490000000098</v>
      </c>
      <c r="H366" s="170">
        <v>6100.0963931931501</v>
      </c>
      <c r="I366" s="60">
        <f t="shared" si="27"/>
        <v>0.91805909923802187</v>
      </c>
      <c r="J366" s="60">
        <f t="shared" si="28"/>
        <v>8.9577720396355073E-2</v>
      </c>
      <c r="L366" s="302" t="s">
        <v>367</v>
      </c>
      <c r="M366" s="142">
        <f>J370/J369</f>
        <v>0.99656132487295368</v>
      </c>
    </row>
    <row r="367" spans="1:13" s="302" customFormat="1" ht="20.100000000000001" customHeight="1">
      <c r="A367" s="302" t="s">
        <v>359</v>
      </c>
      <c r="B367" s="182">
        <v>11.614000000000001</v>
      </c>
      <c r="C367" s="182">
        <v>13.646699999999999</v>
      </c>
      <c r="D367" s="182">
        <v>13.8452</v>
      </c>
      <c r="E367" s="60">
        <f t="shared" si="25"/>
        <v>2.0326999999999984</v>
      </c>
      <c r="F367" s="60">
        <f t="shared" si="26"/>
        <v>0.19850000000000101</v>
      </c>
      <c r="G367" s="170">
        <v>6060.8225510224702</v>
      </c>
      <c r="H367" s="170">
        <v>6544.56249999998</v>
      </c>
      <c r="I367" s="60">
        <f t="shared" si="27"/>
        <v>0.92608521211654538</v>
      </c>
      <c r="J367" s="60">
        <f t="shared" si="28"/>
        <v>9.0435339501714632E-2</v>
      </c>
      <c r="L367" s="303" t="s">
        <v>358</v>
      </c>
      <c r="M367" s="143">
        <f>J372/J371</f>
        <v>1.0089018618832877</v>
      </c>
    </row>
    <row r="368" spans="1:13" s="302" customFormat="1" ht="20.100000000000001" customHeight="1">
      <c r="A368" s="302" t="s">
        <v>503</v>
      </c>
      <c r="B368" s="182">
        <v>11.4252</v>
      </c>
      <c r="C368" s="182">
        <v>13.465</v>
      </c>
      <c r="D368" s="182">
        <v>13.6633</v>
      </c>
      <c r="E368" s="60">
        <f t="shared" si="25"/>
        <v>2.0397999999999996</v>
      </c>
      <c r="F368" s="60">
        <f t="shared" si="26"/>
        <v>0.1982999999999997</v>
      </c>
      <c r="G368" s="170">
        <v>5371.9190000000099</v>
      </c>
      <c r="H368" s="170">
        <v>5771.4505000000099</v>
      </c>
      <c r="I368" s="60">
        <f t="shared" si="27"/>
        <v>0.93077450807210438</v>
      </c>
      <c r="J368" s="60">
        <f t="shared" si="28"/>
        <v>9.0485628468819509E-2</v>
      </c>
    </row>
    <row r="369" spans="1:12" s="302" customFormat="1" ht="20.100000000000001" customHeight="1">
      <c r="A369" s="302" t="s">
        <v>367</v>
      </c>
      <c r="B369" s="182">
        <v>11.517300000000001</v>
      </c>
      <c r="C369" s="182">
        <v>13.567</v>
      </c>
      <c r="D369" s="182">
        <v>13.7662</v>
      </c>
      <c r="E369" s="60">
        <f t="shared" si="25"/>
        <v>2.0496999999999996</v>
      </c>
      <c r="F369" s="60">
        <f t="shared" si="26"/>
        <v>0.19919999999999938</v>
      </c>
      <c r="G369" s="170">
        <v>5101.4225000000097</v>
      </c>
      <c r="H369" s="170">
        <v>5699.8100315925103</v>
      </c>
      <c r="I369" s="60">
        <f t="shared" si="27"/>
        <v>0.89501623242251938</v>
      </c>
      <c r="J369" s="60">
        <f t="shared" si="28"/>
        <v>8.6982111283878283E-2</v>
      </c>
    </row>
    <row r="370" spans="1:12" s="302" customFormat="1" ht="20.100000000000001" customHeight="1">
      <c r="A370" s="302" t="s">
        <v>504</v>
      </c>
      <c r="B370" s="182">
        <v>11.487399999999999</v>
      </c>
      <c r="C370" s="182">
        <v>13.519399999999999</v>
      </c>
      <c r="D370" s="182">
        <v>13.7181</v>
      </c>
      <c r="E370" s="60">
        <f t="shared" si="25"/>
        <v>2.032</v>
      </c>
      <c r="F370" s="60">
        <f t="shared" si="26"/>
        <v>0.19870000000000054</v>
      </c>
      <c r="G370" s="170">
        <v>5279.7550000000101</v>
      </c>
      <c r="H370" s="170">
        <v>5955.9900000000098</v>
      </c>
      <c r="I370" s="60">
        <f t="shared" si="27"/>
        <v>0.88646136074775161</v>
      </c>
      <c r="J370" s="60">
        <f t="shared" si="28"/>
        <v>8.6683008061308436E-2</v>
      </c>
    </row>
    <row r="371" spans="1:12" s="302" customFormat="1" ht="20.100000000000001" customHeight="1">
      <c r="A371" s="302" t="s">
        <v>358</v>
      </c>
      <c r="B371" s="182">
        <v>11.980700000000001</v>
      </c>
      <c r="C371" s="182">
        <v>14.025499999999999</v>
      </c>
      <c r="D371" s="182">
        <v>14.223800000000001</v>
      </c>
      <c r="E371" s="60">
        <f t="shared" si="25"/>
        <v>2.0447999999999986</v>
      </c>
      <c r="F371" s="60">
        <f t="shared" si="26"/>
        <v>0.19830000000000148</v>
      </c>
      <c r="G371" s="170">
        <v>5390.1895000000004</v>
      </c>
      <c r="H371" s="170">
        <v>5960.8796291508597</v>
      </c>
      <c r="I371" s="60">
        <f t="shared" si="27"/>
        <v>0.90426075266476147</v>
      </c>
      <c r="J371" s="60">
        <f t="shared" si="28"/>
        <v>8.7693127569162588E-2</v>
      </c>
    </row>
    <row r="372" spans="1:12" s="302" customFormat="1" ht="20.100000000000001" customHeight="1">
      <c r="A372" s="302" t="s">
        <v>505</v>
      </c>
      <c r="B372" s="182">
        <v>11.6341</v>
      </c>
      <c r="C372" s="182">
        <v>13.662000000000001</v>
      </c>
      <c r="D372" s="182">
        <v>13.8604</v>
      </c>
      <c r="E372" s="60">
        <f t="shared" si="25"/>
        <v>2.0279000000000007</v>
      </c>
      <c r="F372" s="60">
        <f t="shared" si="26"/>
        <v>0.19839999999999947</v>
      </c>
      <c r="G372" s="170">
        <v>6020.7566445614302</v>
      </c>
      <c r="H372" s="170">
        <v>6657.8150000000096</v>
      </c>
      <c r="I372" s="60">
        <f t="shared" si="27"/>
        <v>0.90431419986308148</v>
      </c>
      <c r="J372" s="60">
        <f t="shared" si="28"/>
        <v>8.8473759678896799E-2</v>
      </c>
    </row>
    <row r="373" spans="1:12" s="302" customFormat="1" ht="20.100000000000001" customHeight="1">
      <c r="A373" s="302" t="s">
        <v>506</v>
      </c>
      <c r="B373" s="182">
        <v>11.4788</v>
      </c>
      <c r="C373" s="182">
        <v>13.5075</v>
      </c>
      <c r="D373" s="182">
        <v>13.706</v>
      </c>
      <c r="E373" s="60">
        <f t="shared" si="25"/>
        <v>2.0287000000000006</v>
      </c>
      <c r="F373" s="60">
        <f t="shared" si="26"/>
        <v>0.19849999999999923</v>
      </c>
      <c r="G373" s="170">
        <v>5290.5153811930104</v>
      </c>
      <c r="H373" s="170">
        <v>5946.8318065866497</v>
      </c>
      <c r="I373" s="60">
        <f t="shared" si="27"/>
        <v>0.88963595293434905</v>
      </c>
      <c r="J373" s="60">
        <f t="shared" si="28"/>
        <v>8.7047240428583597E-2</v>
      </c>
    </row>
    <row r="374" spans="1:12" s="302" customFormat="1" ht="20.100000000000001" customHeight="1">
      <c r="A374" s="303" t="s">
        <v>110</v>
      </c>
      <c r="B374" s="141">
        <v>11.453799999999999</v>
      </c>
      <c r="C374" s="141">
        <f>2.1206+B374</f>
        <v>13.574399999999999</v>
      </c>
      <c r="D374" s="141">
        <f>C374</f>
        <v>13.574399999999999</v>
      </c>
      <c r="E374" s="81">
        <f t="shared" si="25"/>
        <v>2.1205999999999996</v>
      </c>
      <c r="F374" s="81">
        <f t="shared" si="26"/>
        <v>0</v>
      </c>
      <c r="G374" s="303">
        <v>11.637499999999999</v>
      </c>
      <c r="H374" s="303">
        <v>0</v>
      </c>
      <c r="I374" s="303"/>
      <c r="J374" s="303"/>
      <c r="L374" s="298"/>
    </row>
    <row r="375" spans="1:12" s="302" customFormat="1" ht="20.100000000000001" customHeight="1">
      <c r="A375" s="302" t="s">
        <v>507</v>
      </c>
    </row>
    <row r="376" spans="1:12" s="302" customFormat="1" ht="20.100000000000001" customHeight="1">
      <c r="A376" s="302" t="s">
        <v>508</v>
      </c>
    </row>
    <row r="377" spans="1:12" s="302" customFormat="1" ht="20.100000000000001" customHeight="1">
      <c r="A377" s="302" t="s">
        <v>509</v>
      </c>
    </row>
    <row r="378" spans="1:12" s="302" customFormat="1" ht="20.100000000000001" customHeight="1">
      <c r="A378" s="302" t="s">
        <v>510</v>
      </c>
    </row>
    <row r="379" spans="1:12" s="302" customFormat="1" ht="20.100000000000001" customHeight="1"/>
    <row r="380" spans="1:12" s="302" customFormat="1" ht="20.100000000000001" customHeight="1">
      <c r="A380" s="300" t="s">
        <v>514</v>
      </c>
    </row>
    <row r="381" spans="1:12" s="302" customFormat="1" ht="20.100000000000001" customHeight="1"/>
    <row r="382" spans="1:12" s="302" customFormat="1" ht="20.100000000000001" customHeight="1">
      <c r="A382" s="304" t="s">
        <v>4</v>
      </c>
      <c r="B382" s="304" t="s">
        <v>99</v>
      </c>
      <c r="C382" s="304" t="s">
        <v>100</v>
      </c>
      <c r="D382" s="304" t="s">
        <v>275</v>
      </c>
      <c r="E382" s="304" t="s">
        <v>116</v>
      </c>
      <c r="F382" s="304" t="s">
        <v>114</v>
      </c>
      <c r="G382" s="300" t="s">
        <v>108</v>
      </c>
      <c r="H382" s="300" t="s">
        <v>108</v>
      </c>
      <c r="J382" s="304" t="s">
        <v>4</v>
      </c>
      <c r="K382" s="300" t="s">
        <v>217</v>
      </c>
    </row>
    <row r="383" spans="1:12" s="302" customFormat="1" ht="20.100000000000001" customHeight="1">
      <c r="A383" s="303" t="s">
        <v>96</v>
      </c>
      <c r="B383" s="303" t="s">
        <v>64</v>
      </c>
      <c r="C383" s="303" t="s">
        <v>64</v>
      </c>
      <c r="D383" s="303" t="s">
        <v>64</v>
      </c>
      <c r="E383" s="303" t="s">
        <v>64</v>
      </c>
      <c r="F383" s="303" t="s">
        <v>64</v>
      </c>
      <c r="G383" s="303" t="s">
        <v>476</v>
      </c>
      <c r="H383" s="303" t="s">
        <v>447</v>
      </c>
      <c r="J383" s="303" t="s">
        <v>96</v>
      </c>
      <c r="K383" s="303" t="s">
        <v>523</v>
      </c>
    </row>
    <row r="384" spans="1:12" s="302" customFormat="1" ht="20.100000000000001" customHeight="1">
      <c r="A384" s="299" t="s">
        <v>349</v>
      </c>
      <c r="B384" s="137">
        <v>6.1173000000000002</v>
      </c>
      <c r="C384" s="137">
        <v>11.2052</v>
      </c>
      <c r="D384" s="137">
        <v>11.409000000000001</v>
      </c>
      <c r="E384" s="82">
        <f>C384-B384</f>
        <v>5.0878999999999994</v>
      </c>
      <c r="F384" s="82">
        <f>D384-B384</f>
        <v>5.2917000000000005</v>
      </c>
      <c r="G384" s="82">
        <v>8.7779999999999997E-2</v>
      </c>
      <c r="H384" s="82">
        <f>G384*F384/E384</f>
        <v>9.1296099766111777E-2</v>
      </c>
      <c r="J384" s="302" t="s">
        <v>349</v>
      </c>
      <c r="K384" s="142">
        <f>H385/H384</f>
        <v>0.97208035511643187</v>
      </c>
    </row>
    <row r="385" spans="1:11" s="302" customFormat="1" ht="20.100000000000001" customHeight="1">
      <c r="A385" s="298" t="s">
        <v>501</v>
      </c>
      <c r="B385" s="139">
        <v>6.1443000000000003</v>
      </c>
      <c r="C385" s="139">
        <v>11.2311</v>
      </c>
      <c r="D385" s="139">
        <v>11.432700000000001</v>
      </c>
      <c r="E385" s="80">
        <f t="shared" ref="E385:E395" si="29">C385-B385</f>
        <v>5.0867999999999993</v>
      </c>
      <c r="F385" s="80">
        <f t="shared" ref="F385:F395" si="30">D385-B385</f>
        <v>5.2884000000000002</v>
      </c>
      <c r="G385" s="80">
        <v>8.5363999999999995E-2</v>
      </c>
      <c r="H385" s="80">
        <f t="shared" ref="H385:H395" si="31">G385*F385/E385</f>
        <v>8.8747145081387133E-2</v>
      </c>
      <c r="J385" s="302" t="s">
        <v>378</v>
      </c>
      <c r="K385" s="142">
        <f>H387/H386</f>
        <v>0.99656696249976495</v>
      </c>
    </row>
    <row r="386" spans="1:11" s="302" customFormat="1" ht="20.100000000000001" customHeight="1">
      <c r="A386" s="302" t="s">
        <v>378</v>
      </c>
      <c r="B386" s="182">
        <v>6.1375000000000002</v>
      </c>
      <c r="C386" s="182">
        <v>11.247</v>
      </c>
      <c r="D386" s="182">
        <v>11.4481</v>
      </c>
      <c r="E386" s="60">
        <f t="shared" si="29"/>
        <v>5.1094999999999997</v>
      </c>
      <c r="F386" s="60">
        <f t="shared" si="30"/>
        <v>5.3106</v>
      </c>
      <c r="G386" s="302">
        <v>8.5799E-2</v>
      </c>
      <c r="H386" s="60">
        <f t="shared" si="31"/>
        <v>8.9175882062824161E-2</v>
      </c>
      <c r="J386" s="302" t="s">
        <v>359</v>
      </c>
      <c r="K386" s="142">
        <f>H389/H388</f>
        <v>0.99904054888705418</v>
      </c>
    </row>
    <row r="387" spans="1:11" s="302" customFormat="1" ht="20.100000000000001" customHeight="1">
      <c r="A387" s="302" t="s">
        <v>502</v>
      </c>
      <c r="B387" s="182">
        <v>6.0952999999999999</v>
      </c>
      <c r="C387" s="182">
        <v>11.1845</v>
      </c>
      <c r="D387" s="182">
        <v>11.385199999999999</v>
      </c>
      <c r="E387" s="60">
        <f t="shared" si="29"/>
        <v>5.0891999999999999</v>
      </c>
      <c r="F387" s="60">
        <f t="shared" si="30"/>
        <v>5.2898999999999994</v>
      </c>
      <c r="G387" s="302">
        <v>8.5498000000000005E-2</v>
      </c>
      <c r="H387" s="60">
        <f t="shared" si="31"/>
        <v>8.8869737915585945E-2</v>
      </c>
      <c r="J387" s="302" t="s">
        <v>367</v>
      </c>
      <c r="K387" s="142">
        <f>H391/H390</f>
        <v>1.0053077641585417</v>
      </c>
    </row>
    <row r="388" spans="1:11" s="302" customFormat="1" ht="20.100000000000001" customHeight="1">
      <c r="A388" s="302" t="s">
        <v>359</v>
      </c>
      <c r="B388" s="182">
        <v>6.1374000000000004</v>
      </c>
      <c r="C388" s="182">
        <v>11.226900000000001</v>
      </c>
      <c r="D388" s="182">
        <v>11.4278</v>
      </c>
      <c r="E388" s="60">
        <f t="shared" si="29"/>
        <v>5.0895000000000001</v>
      </c>
      <c r="F388" s="60">
        <f t="shared" si="30"/>
        <v>5.2903999999999991</v>
      </c>
      <c r="G388" s="302">
        <v>9.1010999999999995E-2</v>
      </c>
      <c r="H388" s="60">
        <f t="shared" si="31"/>
        <v>9.4603515944591793E-2</v>
      </c>
      <c r="J388" s="303" t="s">
        <v>358</v>
      </c>
      <c r="K388" s="143">
        <f>H393/H392</f>
        <v>0.98637873207480486</v>
      </c>
    </row>
    <row r="389" spans="1:11" s="302" customFormat="1" ht="20.100000000000001" customHeight="1">
      <c r="A389" s="302" t="s">
        <v>503</v>
      </c>
      <c r="B389" s="182">
        <v>6.1374000000000004</v>
      </c>
      <c r="C389" s="182">
        <v>11.223599999999999</v>
      </c>
      <c r="D389" s="182">
        <v>11.4247</v>
      </c>
      <c r="E389" s="60">
        <f t="shared" si="29"/>
        <v>5.0861999999999989</v>
      </c>
      <c r="F389" s="60">
        <f t="shared" si="30"/>
        <v>5.2872999999999992</v>
      </c>
      <c r="G389" s="302">
        <v>9.0917999999999999E-2</v>
      </c>
      <c r="H389" s="60">
        <f t="shared" si="31"/>
        <v>9.4512748495930166E-2</v>
      </c>
    </row>
    <row r="390" spans="1:11" s="302" customFormat="1" ht="20.100000000000001" customHeight="1">
      <c r="A390" s="302" t="s">
        <v>367</v>
      </c>
      <c r="B390" s="182">
        <v>6.1089000000000002</v>
      </c>
      <c r="C390" s="182">
        <v>11.196400000000001</v>
      </c>
      <c r="D390" s="182">
        <v>11.397500000000001</v>
      </c>
      <c r="E390" s="60">
        <f t="shared" si="29"/>
        <v>5.0875000000000004</v>
      </c>
      <c r="F390" s="60">
        <f t="shared" si="30"/>
        <v>5.2886000000000006</v>
      </c>
      <c r="G390" s="302">
        <v>8.6925000000000002E-2</v>
      </c>
      <c r="H390" s="60">
        <f t="shared" si="31"/>
        <v>9.0360993611793616E-2</v>
      </c>
    </row>
    <row r="391" spans="1:11" s="302" customFormat="1" ht="20.100000000000001" customHeight="1">
      <c r="A391" s="302" t="s">
        <v>504</v>
      </c>
      <c r="B391" s="182">
        <v>6.1132</v>
      </c>
      <c r="C391" s="182">
        <v>11.208399999999999</v>
      </c>
      <c r="D391" s="182">
        <v>11.4091</v>
      </c>
      <c r="E391" s="60">
        <f t="shared" si="29"/>
        <v>5.0951999999999993</v>
      </c>
      <c r="F391" s="60">
        <f t="shared" si="30"/>
        <v>5.2959000000000005</v>
      </c>
      <c r="G391" s="302">
        <v>8.7398000000000003E-2</v>
      </c>
      <c r="H391" s="60">
        <f t="shared" si="31"/>
        <v>9.0840608455016514E-2</v>
      </c>
    </row>
    <row r="392" spans="1:11" s="302" customFormat="1" ht="20.100000000000001" customHeight="1">
      <c r="A392" s="302" t="s">
        <v>358</v>
      </c>
      <c r="B392" s="182">
        <v>6.1444000000000001</v>
      </c>
      <c r="C392" s="182">
        <v>11.226900000000001</v>
      </c>
      <c r="D392" s="182">
        <v>11.4283</v>
      </c>
      <c r="E392" s="60">
        <f t="shared" si="29"/>
        <v>5.0825000000000005</v>
      </c>
      <c r="F392" s="60">
        <f t="shared" si="30"/>
        <v>5.2839</v>
      </c>
      <c r="G392" s="302">
        <v>8.6635000000000004E-2</v>
      </c>
      <c r="H392" s="60">
        <f t="shared" si="31"/>
        <v>9.006801308411215E-2</v>
      </c>
    </row>
    <row r="393" spans="1:11" s="302" customFormat="1" ht="20.100000000000001" customHeight="1">
      <c r="A393" s="302" t="s">
        <v>505</v>
      </c>
      <c r="B393" s="182">
        <v>6.1287000000000003</v>
      </c>
      <c r="C393" s="182">
        <v>11.225300000000001</v>
      </c>
      <c r="D393" s="182">
        <v>11.4262</v>
      </c>
      <c r="E393" s="60">
        <f t="shared" si="29"/>
        <v>5.0966000000000005</v>
      </c>
      <c r="F393" s="60">
        <f t="shared" si="30"/>
        <v>5.2974999999999994</v>
      </c>
      <c r="G393" s="302">
        <v>8.5472000000000006E-2</v>
      </c>
      <c r="H393" s="60">
        <f t="shared" si="31"/>
        <v>8.8841172546403474E-2</v>
      </c>
    </row>
    <row r="394" spans="1:11" s="302" customFormat="1" ht="20.100000000000001" customHeight="1">
      <c r="A394" s="302" t="s">
        <v>506</v>
      </c>
      <c r="B394" s="182">
        <v>6.1391999999999998</v>
      </c>
      <c r="C394" s="182">
        <v>11.232799999999999</v>
      </c>
      <c r="D394" s="182">
        <v>11.433400000000001</v>
      </c>
      <c r="E394" s="60">
        <f t="shared" si="29"/>
        <v>5.0935999999999995</v>
      </c>
      <c r="F394" s="60">
        <f t="shared" si="30"/>
        <v>5.2942000000000009</v>
      </c>
      <c r="G394" s="302">
        <v>8.3738999999999994E-2</v>
      </c>
      <c r="H394" s="60">
        <f t="shared" si="31"/>
        <v>8.7036872506675064E-2</v>
      </c>
    </row>
    <row r="395" spans="1:11" s="302" customFormat="1" ht="20.100000000000001" customHeight="1">
      <c r="A395" s="303" t="s">
        <v>110</v>
      </c>
      <c r="B395" s="141">
        <v>6.1559999999999997</v>
      </c>
      <c r="C395" s="141">
        <v>11.404400000000001</v>
      </c>
      <c r="D395" s="141">
        <v>11.6058</v>
      </c>
      <c r="E395" s="81">
        <f t="shared" si="29"/>
        <v>5.2484000000000011</v>
      </c>
      <c r="F395" s="81">
        <f t="shared" si="30"/>
        <v>5.4498000000000006</v>
      </c>
      <c r="G395" s="303">
        <v>8.7000000000000001E-5</v>
      </c>
      <c r="H395" s="81">
        <f t="shared" si="31"/>
        <v>9.0338503162868671E-5</v>
      </c>
    </row>
    <row r="396" spans="1:11" s="302" customFormat="1" ht="20.100000000000001" customHeight="1">
      <c r="A396" s="302" t="s">
        <v>459</v>
      </c>
    </row>
    <row r="397" spans="1:11" s="302" customFormat="1" ht="20.100000000000001" customHeight="1"/>
    <row r="398" spans="1:11" s="302" customFormat="1" ht="20.100000000000001" customHeight="1">
      <c r="A398" s="300" t="s">
        <v>515</v>
      </c>
    </row>
    <row r="399" spans="1:11" s="302" customFormat="1" ht="20.100000000000001" customHeight="1"/>
    <row r="400" spans="1:11" s="302" customFormat="1" ht="20.100000000000001" customHeight="1">
      <c r="A400" s="304" t="s">
        <v>4</v>
      </c>
      <c r="B400" s="304" t="s">
        <v>99</v>
      </c>
      <c r="C400" s="304" t="s">
        <v>100</v>
      </c>
      <c r="D400" s="304" t="s">
        <v>275</v>
      </c>
      <c r="E400" s="304" t="s">
        <v>116</v>
      </c>
      <c r="F400" s="304" t="s">
        <v>114</v>
      </c>
      <c r="G400" s="300" t="s">
        <v>108</v>
      </c>
      <c r="H400" s="300" t="s">
        <v>108</v>
      </c>
      <c r="J400" s="304" t="s">
        <v>4</v>
      </c>
      <c r="K400" s="300" t="s">
        <v>217</v>
      </c>
    </row>
    <row r="401" spans="1:11" s="302" customFormat="1" ht="20.100000000000001" customHeight="1">
      <c r="A401" s="303" t="s">
        <v>96</v>
      </c>
      <c r="B401" s="303" t="s">
        <v>64</v>
      </c>
      <c r="C401" s="303" t="s">
        <v>64</v>
      </c>
      <c r="D401" s="303" t="s">
        <v>64</v>
      </c>
      <c r="E401" s="303" t="s">
        <v>64</v>
      </c>
      <c r="F401" s="303" t="s">
        <v>64</v>
      </c>
      <c r="G401" s="303" t="s">
        <v>446</v>
      </c>
      <c r="H401" s="303" t="s">
        <v>447</v>
      </c>
      <c r="J401" s="303" t="s">
        <v>96</v>
      </c>
      <c r="K401" s="303" t="s">
        <v>523</v>
      </c>
    </row>
    <row r="402" spans="1:11" s="302" customFormat="1" ht="20.100000000000001" customHeight="1">
      <c r="A402" s="299" t="s">
        <v>349</v>
      </c>
      <c r="B402" s="137">
        <v>6.1512000000000002</v>
      </c>
      <c r="C402" s="137">
        <v>12.256600000000001</v>
      </c>
      <c r="D402" s="137">
        <v>13.0428</v>
      </c>
      <c r="E402" s="82">
        <f>C402-B402</f>
        <v>6.1054000000000004</v>
      </c>
      <c r="F402" s="82">
        <f>D402-B402</f>
        <v>6.8915999999999995</v>
      </c>
      <c r="G402" s="82">
        <v>0.275225</v>
      </c>
      <c r="H402" s="82">
        <f>G402*F402/E402</f>
        <v>0.31066606774330918</v>
      </c>
      <c r="J402" s="302" t="s">
        <v>349</v>
      </c>
      <c r="K402" s="142">
        <f>H403/H402</f>
        <v>1.0002912862179834</v>
      </c>
    </row>
    <row r="403" spans="1:11" s="302" customFormat="1" ht="20.100000000000001" customHeight="1">
      <c r="A403" s="298" t="s">
        <v>501</v>
      </c>
      <c r="B403" s="139">
        <v>6.1696999999999997</v>
      </c>
      <c r="C403" s="139">
        <v>12.2776</v>
      </c>
      <c r="D403" s="139">
        <v>13.0634</v>
      </c>
      <c r="E403" s="80">
        <f t="shared" ref="E403:E413" si="32">C403-B403</f>
        <v>6.1078999999999999</v>
      </c>
      <c r="F403" s="80">
        <f t="shared" ref="F403:F413" si="33">D403-B403</f>
        <v>6.8936999999999999</v>
      </c>
      <c r="G403" s="80">
        <v>0.27533400000000002</v>
      </c>
      <c r="H403" s="80">
        <f t="shared" ref="H403:H413" si="34">G403*F403/E403</f>
        <v>0.31075656048723788</v>
      </c>
      <c r="J403" s="302" t="s">
        <v>378</v>
      </c>
      <c r="K403" s="142">
        <f>H405/H404</f>
        <v>1.0052092617287594</v>
      </c>
    </row>
    <row r="404" spans="1:11" s="302" customFormat="1" ht="20.100000000000001" customHeight="1">
      <c r="A404" s="302" t="s">
        <v>378</v>
      </c>
      <c r="B404" s="182">
        <v>6.1406999999999998</v>
      </c>
      <c r="C404" s="182">
        <v>12.267799999999999</v>
      </c>
      <c r="D404" s="182">
        <v>13.0534</v>
      </c>
      <c r="E404" s="60">
        <f t="shared" si="32"/>
        <v>6.1270999999999995</v>
      </c>
      <c r="F404" s="60">
        <f t="shared" si="33"/>
        <v>6.9127000000000001</v>
      </c>
      <c r="G404" s="60">
        <v>0.27778199999999997</v>
      </c>
      <c r="H404" s="60">
        <f t="shared" si="34"/>
        <v>0.3133984481075876</v>
      </c>
      <c r="J404" s="302" t="s">
        <v>359</v>
      </c>
      <c r="K404" s="142">
        <f>H407/H406</f>
        <v>1.0092276844977879</v>
      </c>
    </row>
    <row r="405" spans="1:11" s="302" customFormat="1" ht="20.100000000000001" customHeight="1">
      <c r="A405" s="302" t="s">
        <v>502</v>
      </c>
      <c r="B405" s="182">
        <v>6.1142000000000003</v>
      </c>
      <c r="C405" s="182">
        <v>12.2248</v>
      </c>
      <c r="D405" s="182">
        <v>13.011200000000001</v>
      </c>
      <c r="E405" s="302">
        <f t="shared" si="32"/>
        <v>6.1105999999999998</v>
      </c>
      <c r="F405" s="302">
        <f t="shared" si="33"/>
        <v>6.8970000000000002</v>
      </c>
      <c r="G405" s="60">
        <v>0.279111</v>
      </c>
      <c r="H405" s="60">
        <f t="shared" si="34"/>
        <v>0.31503102264916705</v>
      </c>
      <c r="J405" s="302" t="s">
        <v>367</v>
      </c>
      <c r="K405" s="142">
        <f>H409/H408</f>
        <v>1.0016391981487462</v>
      </c>
    </row>
    <row r="406" spans="1:11" s="302" customFormat="1" ht="20.100000000000001" customHeight="1">
      <c r="A406" s="302" t="s">
        <v>359</v>
      </c>
      <c r="B406" s="182">
        <v>6.1003999999999996</v>
      </c>
      <c r="C406" s="182">
        <v>12.1999</v>
      </c>
      <c r="D406" s="182">
        <v>12.9869</v>
      </c>
      <c r="E406" s="302">
        <f t="shared" si="32"/>
        <v>6.0994999999999999</v>
      </c>
      <c r="F406" s="302">
        <f t="shared" si="33"/>
        <v>6.8865000000000007</v>
      </c>
      <c r="G406" s="60">
        <v>0.277862</v>
      </c>
      <c r="H406" s="60">
        <f t="shared" si="34"/>
        <v>0.31371369177801461</v>
      </c>
      <c r="J406" s="303" t="s">
        <v>358</v>
      </c>
      <c r="K406" s="143">
        <f>H411/H410</f>
        <v>0.99185680097840545</v>
      </c>
    </row>
    <row r="407" spans="1:11" s="302" customFormat="1" ht="20.100000000000001" customHeight="1">
      <c r="A407" s="302" t="s">
        <v>503</v>
      </c>
      <c r="B407" s="182">
        <v>6.1017999999999999</v>
      </c>
      <c r="C407" s="182">
        <v>12.2225</v>
      </c>
      <c r="D407" s="182">
        <v>13.007999999999999</v>
      </c>
      <c r="E407" s="302">
        <f t="shared" si="32"/>
        <v>6.1207000000000003</v>
      </c>
      <c r="F407" s="302">
        <f t="shared" si="33"/>
        <v>6.9061999999999992</v>
      </c>
      <c r="G407" s="60">
        <v>0.28059800000000001</v>
      </c>
      <c r="H407" s="60">
        <f t="shared" si="34"/>
        <v>0.31660854274837841</v>
      </c>
    </row>
    <row r="408" spans="1:11" s="302" customFormat="1" ht="20.100000000000001" customHeight="1">
      <c r="A408" s="302" t="s">
        <v>367</v>
      </c>
      <c r="B408" s="182">
        <v>6.1016000000000004</v>
      </c>
      <c r="C408" s="182">
        <v>12.207000000000001</v>
      </c>
      <c r="D408" s="182">
        <v>12.992800000000001</v>
      </c>
      <c r="E408" s="302">
        <f t="shared" si="32"/>
        <v>6.1054000000000004</v>
      </c>
      <c r="F408" s="302">
        <f t="shared" si="33"/>
        <v>6.8912000000000004</v>
      </c>
      <c r="G408" s="60">
        <v>0.27459299999999998</v>
      </c>
      <c r="H408" s="60">
        <f t="shared" si="34"/>
        <v>0.30993469413961405</v>
      </c>
    </row>
    <row r="409" spans="1:11" s="302" customFormat="1" ht="20.100000000000001" customHeight="1">
      <c r="A409" s="302" t="s">
        <v>504</v>
      </c>
      <c r="B409" s="182">
        <v>6.1086</v>
      </c>
      <c r="C409" s="182">
        <v>12.212999999999999</v>
      </c>
      <c r="D409" s="182">
        <v>12.9991</v>
      </c>
      <c r="E409" s="302">
        <f t="shared" si="32"/>
        <v>6.1043999999999992</v>
      </c>
      <c r="F409" s="302">
        <f t="shared" si="33"/>
        <v>6.8905000000000003</v>
      </c>
      <c r="G409" s="60">
        <v>0.27502599999999999</v>
      </c>
      <c r="H409" s="60">
        <f t="shared" si="34"/>
        <v>0.31044273851647997</v>
      </c>
    </row>
    <row r="410" spans="1:11" s="302" customFormat="1" ht="20.100000000000001" customHeight="1">
      <c r="A410" s="302" t="s">
        <v>358</v>
      </c>
      <c r="B410" s="182">
        <v>6.1275000000000004</v>
      </c>
      <c r="C410" s="182">
        <v>12.2296</v>
      </c>
      <c r="D410" s="182">
        <v>13.0158</v>
      </c>
      <c r="E410" s="302">
        <f t="shared" si="32"/>
        <v>6.1020999999999992</v>
      </c>
      <c r="F410" s="302">
        <f t="shared" si="33"/>
        <v>6.8883000000000001</v>
      </c>
      <c r="G410" s="60">
        <v>0.28004499999999999</v>
      </c>
      <c r="H410" s="60">
        <f t="shared" si="34"/>
        <v>0.31612624727552813</v>
      </c>
    </row>
    <row r="411" spans="1:11" s="302" customFormat="1" ht="20.100000000000001" customHeight="1">
      <c r="A411" s="302" t="s">
        <v>505</v>
      </c>
      <c r="B411" s="182">
        <v>6.1069000000000004</v>
      </c>
      <c r="C411" s="182">
        <v>12.2164</v>
      </c>
      <c r="D411" s="182">
        <v>13.0024</v>
      </c>
      <c r="E411" s="302">
        <f t="shared" si="32"/>
        <v>6.1094999999999997</v>
      </c>
      <c r="F411" s="302">
        <f t="shared" si="33"/>
        <v>6.8954999999999993</v>
      </c>
      <c r="G411" s="60">
        <v>0.27781099999999997</v>
      </c>
      <c r="H411" s="60">
        <f t="shared" si="34"/>
        <v>0.31355196832801369</v>
      </c>
    </row>
    <row r="412" spans="1:11" s="302" customFormat="1" ht="20.100000000000001" customHeight="1">
      <c r="A412" s="302" t="s">
        <v>506</v>
      </c>
      <c r="B412" s="182">
        <v>6.1189</v>
      </c>
      <c r="C412" s="182">
        <v>12.218</v>
      </c>
      <c r="D412" s="182">
        <v>13.0846</v>
      </c>
      <c r="E412" s="302">
        <f t="shared" si="32"/>
        <v>6.0991</v>
      </c>
      <c r="F412" s="302">
        <f t="shared" si="33"/>
        <v>6.9657</v>
      </c>
      <c r="G412" s="60">
        <v>0.27350000000000002</v>
      </c>
      <c r="H412" s="60">
        <f t="shared" si="34"/>
        <v>0.31236066796740503</v>
      </c>
    </row>
    <row r="413" spans="1:11" s="302" customFormat="1" ht="20.100000000000001" customHeight="1">
      <c r="A413" s="303" t="s">
        <v>110</v>
      </c>
      <c r="B413" s="141">
        <v>6.1337999999999999</v>
      </c>
      <c r="C413" s="141">
        <v>12.259</v>
      </c>
      <c r="D413" s="141">
        <v>13.053599999999999</v>
      </c>
      <c r="E413" s="303">
        <f t="shared" si="32"/>
        <v>6.1252000000000004</v>
      </c>
      <c r="F413" s="303">
        <f t="shared" si="33"/>
        <v>6.9197999999999995</v>
      </c>
      <c r="G413" s="81">
        <v>-1.916E-3</v>
      </c>
      <c r="H413" s="81">
        <f t="shared" si="34"/>
        <v>-2.1645557369555277E-3</v>
      </c>
    </row>
    <row r="414" spans="1:11" s="302" customFormat="1" ht="20.100000000000001" customHeight="1">
      <c r="A414" s="302" t="s">
        <v>445</v>
      </c>
    </row>
    <row r="415" spans="1:11" s="302" customFormat="1" ht="20.100000000000001" customHeight="1"/>
    <row r="416" spans="1:11" s="302" customFormat="1" ht="20.100000000000001" customHeight="1">
      <c r="A416" s="300" t="s">
        <v>516</v>
      </c>
    </row>
    <row r="417" spans="1:11" s="302" customFormat="1" ht="20.100000000000001" customHeight="1"/>
    <row r="418" spans="1:11" s="302" customFormat="1" ht="20.100000000000001" customHeight="1">
      <c r="A418" s="304" t="s">
        <v>4</v>
      </c>
      <c r="B418" s="304" t="s">
        <v>99</v>
      </c>
      <c r="C418" s="304" t="s">
        <v>100</v>
      </c>
      <c r="D418" s="304" t="s">
        <v>275</v>
      </c>
      <c r="E418" s="304" t="s">
        <v>116</v>
      </c>
      <c r="F418" s="304" t="s">
        <v>114</v>
      </c>
      <c r="G418" s="300" t="s">
        <v>108</v>
      </c>
      <c r="H418" s="300" t="s">
        <v>108</v>
      </c>
      <c r="J418" s="304" t="s">
        <v>4</v>
      </c>
      <c r="K418" s="300" t="s">
        <v>217</v>
      </c>
    </row>
    <row r="419" spans="1:11" s="302" customFormat="1" ht="20.100000000000001" customHeight="1">
      <c r="A419" s="303" t="s">
        <v>96</v>
      </c>
      <c r="B419" s="303" t="s">
        <v>64</v>
      </c>
      <c r="C419" s="303" t="s">
        <v>64</v>
      </c>
      <c r="D419" s="303" t="s">
        <v>64</v>
      </c>
      <c r="E419" s="303" t="s">
        <v>64</v>
      </c>
      <c r="F419" s="303" t="s">
        <v>64</v>
      </c>
      <c r="G419" s="303" t="s">
        <v>517</v>
      </c>
      <c r="H419" s="303" t="s">
        <v>447</v>
      </c>
      <c r="J419" s="303" t="s">
        <v>96</v>
      </c>
      <c r="K419" s="303" t="s">
        <v>523</v>
      </c>
    </row>
    <row r="420" spans="1:11" s="302" customFormat="1" ht="20.100000000000001" customHeight="1">
      <c r="A420" s="299" t="s">
        <v>349</v>
      </c>
      <c r="B420" s="137">
        <v>6.1105999999999998</v>
      </c>
      <c r="C420" s="137">
        <v>9.1620000000000008</v>
      </c>
      <c r="D420" s="137">
        <v>9.4824000000000002</v>
      </c>
      <c r="E420" s="82">
        <f>C420-B420</f>
        <v>3.051400000000001</v>
      </c>
      <c r="F420" s="82">
        <f>D420-B420</f>
        <v>3.3718000000000004</v>
      </c>
      <c r="G420" s="82">
        <v>0.119975</v>
      </c>
      <c r="H420" s="82">
        <f>G420*F420/E420</f>
        <v>0.13257249295405385</v>
      </c>
      <c r="J420" s="302" t="s">
        <v>349</v>
      </c>
      <c r="K420" s="142">
        <f>H421/H420</f>
        <v>0.99789599846152133</v>
      </c>
    </row>
    <row r="421" spans="1:11" s="302" customFormat="1" ht="20.100000000000001" customHeight="1">
      <c r="A421" s="298" t="s">
        <v>501</v>
      </c>
      <c r="B421" s="139">
        <v>6.1462000000000003</v>
      </c>
      <c r="C421" s="139">
        <v>9.1873000000000005</v>
      </c>
      <c r="D421" s="139">
        <v>9.5094999999999992</v>
      </c>
      <c r="E421" s="80">
        <f t="shared" ref="E421:E431" si="35">C421-B421</f>
        <v>3.0411000000000001</v>
      </c>
      <c r="F421" s="80">
        <f t="shared" ref="F421:F431" si="36">D421-B421</f>
        <v>3.3632999999999988</v>
      </c>
      <c r="G421" s="80">
        <v>0.11962</v>
      </c>
      <c r="H421" s="80">
        <f t="shared" ref="H421:H431" si="37">G421*F421/E421</f>
        <v>0.13229356022491856</v>
      </c>
      <c r="J421" s="302" t="s">
        <v>378</v>
      </c>
      <c r="K421" s="142">
        <f>H423/H422</f>
        <v>1.0037547244363063</v>
      </c>
    </row>
    <row r="422" spans="1:11" s="302" customFormat="1" ht="20.100000000000001" customHeight="1">
      <c r="A422" s="302" t="s">
        <v>378</v>
      </c>
      <c r="B422" s="182">
        <v>6.1539000000000001</v>
      </c>
      <c r="C422" s="182">
        <v>9.1631</v>
      </c>
      <c r="D422" s="182">
        <v>9.4860000000000007</v>
      </c>
      <c r="E422" s="60">
        <f t="shared" si="35"/>
        <v>3.0091999999999999</v>
      </c>
      <c r="F422" s="60">
        <f t="shared" si="36"/>
        <v>3.3321000000000005</v>
      </c>
      <c r="G422" s="60">
        <v>0.118551</v>
      </c>
      <c r="H422" s="60">
        <f t="shared" si="37"/>
        <v>0.13127202814701586</v>
      </c>
      <c r="J422" s="302" t="s">
        <v>359</v>
      </c>
      <c r="K422" s="142">
        <f>H425/H424</f>
        <v>1.0036169514131037</v>
      </c>
    </row>
    <row r="423" spans="1:11" s="302" customFormat="1" ht="20.100000000000001" customHeight="1">
      <c r="A423" s="302" t="s">
        <v>502</v>
      </c>
      <c r="B423" s="182">
        <v>6.0972</v>
      </c>
      <c r="C423" s="182">
        <v>9.1488999999999994</v>
      </c>
      <c r="D423" s="182">
        <v>9.4716000000000005</v>
      </c>
      <c r="E423" s="60">
        <f t="shared" si="35"/>
        <v>3.0516999999999994</v>
      </c>
      <c r="F423" s="60">
        <f t="shared" si="36"/>
        <v>3.3744000000000005</v>
      </c>
      <c r="G423" s="60">
        <v>0.11916400000000001</v>
      </c>
      <c r="H423" s="60">
        <f t="shared" si="37"/>
        <v>0.13176491843890295</v>
      </c>
      <c r="J423" s="302" t="s">
        <v>367</v>
      </c>
      <c r="K423" s="142">
        <f>H427/H426</f>
        <v>1.0015123109492094</v>
      </c>
    </row>
    <row r="424" spans="1:11" s="302" customFormat="1" ht="20.100000000000001" customHeight="1">
      <c r="A424" s="302" t="s">
        <v>359</v>
      </c>
      <c r="B424" s="182">
        <v>6.1340000000000003</v>
      </c>
      <c r="C424" s="182">
        <v>9.1783999999999999</v>
      </c>
      <c r="D424" s="182">
        <v>9.5015999999999998</v>
      </c>
      <c r="E424" s="60">
        <f t="shared" si="35"/>
        <v>3.0443999999999996</v>
      </c>
      <c r="F424" s="60">
        <f t="shared" si="36"/>
        <v>3.3675999999999995</v>
      </c>
      <c r="G424" s="60">
        <v>0.119685</v>
      </c>
      <c r="H424" s="60">
        <f t="shared" si="37"/>
        <v>0.13239101497832084</v>
      </c>
      <c r="J424" s="303" t="s">
        <v>358</v>
      </c>
      <c r="K424" s="143">
        <f>H429/H428</f>
        <v>0.97945456053890478</v>
      </c>
    </row>
    <row r="425" spans="1:11" s="302" customFormat="1" ht="20.100000000000001" customHeight="1">
      <c r="A425" s="302" t="s">
        <v>503</v>
      </c>
      <c r="B425" s="182">
        <v>6.1540999999999997</v>
      </c>
      <c r="C425" s="182">
        <v>9.2219999999999995</v>
      </c>
      <c r="D425" s="182">
        <v>9.5457999999999998</v>
      </c>
      <c r="E425" s="60">
        <f t="shared" si="35"/>
        <v>3.0678999999999998</v>
      </c>
      <c r="F425" s="60">
        <f t="shared" si="36"/>
        <v>3.3917000000000002</v>
      </c>
      <c r="G425" s="60">
        <v>0.120185</v>
      </c>
      <c r="H425" s="60">
        <f t="shared" si="37"/>
        <v>0.13286986684702892</v>
      </c>
    </row>
    <row r="426" spans="1:11" s="302" customFormat="1" ht="20.100000000000001" customHeight="1">
      <c r="A426" s="302" t="s">
        <v>367</v>
      </c>
      <c r="B426" s="182">
        <v>6.1337000000000002</v>
      </c>
      <c r="C426" s="182">
        <v>9.1835000000000004</v>
      </c>
      <c r="D426" s="182">
        <v>9.5089000000000006</v>
      </c>
      <c r="E426" s="60">
        <f t="shared" si="35"/>
        <v>3.0498000000000003</v>
      </c>
      <c r="F426" s="60">
        <f t="shared" si="36"/>
        <v>3.3752000000000004</v>
      </c>
      <c r="G426" s="60">
        <v>0.12035700000000001</v>
      </c>
      <c r="H426" s="60">
        <f t="shared" si="37"/>
        <v>0.13319855282313595</v>
      </c>
    </row>
    <row r="427" spans="1:11" s="302" customFormat="1" ht="20.100000000000001" customHeight="1">
      <c r="A427" s="302" t="s">
        <v>504</v>
      </c>
      <c r="B427" s="182">
        <v>6.1531000000000002</v>
      </c>
      <c r="C427" s="182">
        <v>9.1906999999999996</v>
      </c>
      <c r="D427" s="182">
        <v>9.5136000000000003</v>
      </c>
      <c r="E427" s="60">
        <f t="shared" si="35"/>
        <v>3.0375999999999994</v>
      </c>
      <c r="F427" s="60">
        <f t="shared" si="36"/>
        <v>3.3605</v>
      </c>
      <c r="G427" s="60">
        <v>0.12058199999999999</v>
      </c>
      <c r="H427" s="60">
        <f t="shared" si="37"/>
        <v>0.13339999045298923</v>
      </c>
    </row>
    <row r="428" spans="1:11" s="302" customFormat="1" ht="20.100000000000001" customHeight="1">
      <c r="A428" s="302" t="s">
        <v>358</v>
      </c>
      <c r="B428" s="182">
        <v>6.1414</v>
      </c>
      <c r="C428" s="182">
        <v>9.2025000000000006</v>
      </c>
      <c r="D428" s="182">
        <v>9.5256000000000007</v>
      </c>
      <c r="E428" s="60">
        <f t="shared" si="35"/>
        <v>3.0611000000000006</v>
      </c>
      <c r="F428" s="60">
        <f t="shared" si="36"/>
        <v>3.3842000000000008</v>
      </c>
      <c r="G428" s="60">
        <v>0.122529</v>
      </c>
      <c r="H428" s="60">
        <f t="shared" si="37"/>
        <v>0.13546197177485217</v>
      </c>
    </row>
    <row r="429" spans="1:11" s="302" customFormat="1" ht="20.100000000000001" customHeight="1">
      <c r="A429" s="302" t="s">
        <v>505</v>
      </c>
      <c r="B429" s="182">
        <v>6.0857999999999999</v>
      </c>
      <c r="C429" s="182">
        <v>9.1143999999999998</v>
      </c>
      <c r="D429" s="182">
        <v>9.4384999999999994</v>
      </c>
      <c r="E429" s="60">
        <f t="shared" si="35"/>
        <v>3.0286</v>
      </c>
      <c r="F429" s="60">
        <f t="shared" si="36"/>
        <v>3.3526999999999996</v>
      </c>
      <c r="G429" s="60">
        <v>0.119853</v>
      </c>
      <c r="H429" s="60">
        <f t="shared" si="37"/>
        <v>0.13267884603447136</v>
      </c>
    </row>
    <row r="430" spans="1:11" s="302" customFormat="1" ht="20.100000000000001" customHeight="1">
      <c r="A430" s="298" t="s">
        <v>506</v>
      </c>
      <c r="B430" s="139">
        <v>6.1650999999999998</v>
      </c>
      <c r="C430" s="139">
        <v>9.2186000000000003</v>
      </c>
      <c r="D430" s="139">
        <v>9.5419</v>
      </c>
      <c r="E430" s="80">
        <f t="shared" si="35"/>
        <v>3.0535000000000005</v>
      </c>
      <c r="F430" s="80">
        <f t="shared" si="36"/>
        <v>3.3768000000000002</v>
      </c>
      <c r="G430" s="80">
        <v>0.12042</v>
      </c>
      <c r="H430" s="80">
        <f t="shared" si="37"/>
        <v>0.13316988897985915</v>
      </c>
    </row>
    <row r="431" spans="1:11" s="302" customFormat="1" ht="20.100000000000001" customHeight="1">
      <c r="A431" s="303" t="s">
        <v>110</v>
      </c>
      <c r="B431" s="141">
        <v>6.0982000000000003</v>
      </c>
      <c r="C431" s="141">
        <v>9.3386999999999993</v>
      </c>
      <c r="D431" s="141">
        <v>9.6637000000000004</v>
      </c>
      <c r="E431" s="81">
        <f t="shared" si="35"/>
        <v>3.240499999999999</v>
      </c>
      <c r="F431" s="81">
        <f t="shared" si="36"/>
        <v>3.5655000000000001</v>
      </c>
      <c r="G431" s="81">
        <v>1.2381E-2</v>
      </c>
      <c r="H431" s="81">
        <f t="shared" si="37"/>
        <v>1.3622729671347018E-2</v>
      </c>
    </row>
    <row r="432" spans="1:11" s="302" customFormat="1" ht="20.100000000000001" customHeight="1">
      <c r="A432" s="302" t="s">
        <v>459</v>
      </c>
    </row>
    <row r="433" spans="1:5" s="302" customFormat="1" ht="20.100000000000001" customHeight="1"/>
    <row r="434" spans="1:5" s="302" customFormat="1" ht="20.100000000000001" customHeight="1">
      <c r="A434" s="173" t="s">
        <v>518</v>
      </c>
    </row>
    <row r="435" spans="1:5" s="302" customFormat="1" ht="20.100000000000001" customHeight="1">
      <c r="A435" s="302" t="s">
        <v>519</v>
      </c>
    </row>
    <row r="436" spans="1:5" s="302" customFormat="1" ht="20.100000000000001" customHeight="1"/>
    <row r="437" spans="1:5" s="302" customFormat="1" ht="20.100000000000001" customHeight="1">
      <c r="A437" s="304" t="s">
        <v>4</v>
      </c>
      <c r="B437" s="304" t="s">
        <v>98</v>
      </c>
      <c r="C437" s="304" t="s">
        <v>520</v>
      </c>
      <c r="D437" s="304" t="s">
        <v>97</v>
      </c>
      <c r="E437" s="304" t="s">
        <v>521</v>
      </c>
    </row>
    <row r="438" spans="1:5" s="302" customFormat="1" ht="20.100000000000001" customHeight="1">
      <c r="A438" s="303" t="s">
        <v>96</v>
      </c>
      <c r="B438" s="303" t="s">
        <v>522</v>
      </c>
      <c r="C438" s="303" t="s">
        <v>522</v>
      </c>
      <c r="D438" s="303" t="s">
        <v>522</v>
      </c>
      <c r="E438" s="303" t="s">
        <v>522</v>
      </c>
    </row>
    <row r="439" spans="1:5" s="302" customFormat="1" ht="20.100000000000001" customHeight="1">
      <c r="A439" s="298" t="s">
        <v>349</v>
      </c>
      <c r="B439" s="204">
        <f>M363</f>
        <v>1.0022973385946703</v>
      </c>
      <c r="C439" s="309">
        <f>K384</f>
        <v>0.97208035511643187</v>
      </c>
      <c r="D439" s="204">
        <f>K402</f>
        <v>1.0002912862179834</v>
      </c>
      <c r="E439" s="204">
        <f>K420</f>
        <v>0.99789599846152133</v>
      </c>
    </row>
    <row r="440" spans="1:5" s="302" customFormat="1" ht="20.100000000000001" customHeight="1">
      <c r="A440" s="302" t="s">
        <v>378</v>
      </c>
      <c r="B440" s="204">
        <f t="shared" ref="B440:B443" si="38">M364</f>
        <v>0.99839509344915889</v>
      </c>
      <c r="C440" s="204">
        <f t="shared" ref="C440:C443" si="39">K385</f>
        <v>0.99656696249976495</v>
      </c>
      <c r="D440" s="204">
        <f t="shared" ref="D440:D443" si="40">K403</f>
        <v>1.0052092617287594</v>
      </c>
      <c r="E440" s="204">
        <f t="shared" ref="E440:E443" si="41">K421</f>
        <v>1.0037547244363063</v>
      </c>
    </row>
    <row r="441" spans="1:5" s="302" customFormat="1" ht="20.100000000000001" customHeight="1">
      <c r="A441" s="302" t="s">
        <v>359</v>
      </c>
      <c r="B441" s="204">
        <f t="shared" si="38"/>
        <v>1.0005560765004251</v>
      </c>
      <c r="C441" s="204">
        <f t="shared" si="39"/>
        <v>0.99904054888705418</v>
      </c>
      <c r="D441" s="204">
        <f t="shared" si="40"/>
        <v>1.0092276844977879</v>
      </c>
      <c r="E441" s="204">
        <f t="shared" si="41"/>
        <v>1.0036169514131037</v>
      </c>
    </row>
    <row r="442" spans="1:5" s="302" customFormat="1" ht="20.100000000000001" customHeight="1">
      <c r="A442" s="300" t="s">
        <v>367</v>
      </c>
      <c r="B442" s="307">
        <f t="shared" si="38"/>
        <v>0.99656132487295368</v>
      </c>
      <c r="C442" s="307">
        <f t="shared" si="39"/>
        <v>1.0053077641585417</v>
      </c>
      <c r="D442" s="307">
        <f t="shared" si="40"/>
        <v>1.0016391981487462</v>
      </c>
      <c r="E442" s="307">
        <f t="shared" si="41"/>
        <v>1.0015123109492094</v>
      </c>
    </row>
    <row r="443" spans="1:5" s="302" customFormat="1" ht="20.100000000000001" customHeight="1">
      <c r="A443" s="301" t="s">
        <v>358</v>
      </c>
      <c r="B443" s="308">
        <f t="shared" si="38"/>
        <v>1.0089018618832877</v>
      </c>
      <c r="C443" s="310">
        <f t="shared" si="39"/>
        <v>0.98637873207480486</v>
      </c>
      <c r="D443" s="308">
        <f t="shared" si="40"/>
        <v>0.99185680097840545</v>
      </c>
      <c r="E443" s="310">
        <f t="shared" si="41"/>
        <v>0.97945456053890478</v>
      </c>
    </row>
    <row r="444" spans="1:5" s="302" customFormat="1" ht="20.100000000000001" customHeight="1"/>
    <row r="445" spans="1:5" ht="20.100000000000001" customHeight="1">
      <c r="A445" s="57" t="s">
        <v>524</v>
      </c>
    </row>
    <row r="447" spans="1:5" s="314" customFormat="1" ht="20.100000000000001" customHeight="1"/>
    <row r="448" spans="1:5" s="228" customFormat="1" ht="20.100000000000001" customHeight="1"/>
    <row r="449" spans="1:3" s="228" customFormat="1" ht="20.100000000000001" customHeight="1"/>
    <row r="450" spans="1:3" s="228" customFormat="1" ht="20.100000000000001" customHeight="1"/>
    <row r="451" spans="1:3" s="228" customFormat="1" ht="20.100000000000001" customHeight="1"/>
    <row r="452" spans="1:3" s="228" customFormat="1" ht="20.100000000000001" customHeight="1">
      <c r="A452" s="314"/>
      <c r="B452" s="314"/>
      <c r="C452" s="314"/>
    </row>
    <row r="453" spans="1:3" s="228" customFormat="1" ht="20.100000000000001" customHeight="1">
      <c r="A453" s="641"/>
      <c r="B453" s="641"/>
      <c r="C453" s="975"/>
    </row>
    <row r="454" spans="1:3" s="228" customFormat="1" ht="20.100000000000001" customHeight="1">
      <c r="A454" s="641"/>
      <c r="B454" s="641"/>
      <c r="C454" s="975"/>
    </row>
    <row r="455" spans="1:3" s="228" customFormat="1" ht="20.100000000000001" customHeight="1"/>
    <row r="456" spans="1:3" s="228" customFormat="1" ht="20.100000000000001" customHeight="1">
      <c r="A456" s="976"/>
    </row>
    <row r="457" spans="1:3" s="228" customFormat="1" ht="20.100000000000001" customHeight="1">
      <c r="A457" s="976"/>
    </row>
    <row r="458" spans="1:3" s="228" customFormat="1" ht="20.100000000000001" customHeight="1">
      <c r="A458" s="976"/>
    </row>
    <row r="459" spans="1:3" s="228" customFormat="1" ht="20.100000000000001" customHeight="1">
      <c r="A459" s="976"/>
    </row>
    <row r="460" spans="1:3" s="228" customFormat="1" ht="20.100000000000001" customHeight="1">
      <c r="A460" s="976"/>
    </row>
    <row r="461" spans="1:3" s="228" customFormat="1" ht="20.100000000000001" customHeight="1">
      <c r="A461" s="976"/>
    </row>
    <row r="462" spans="1:3" s="228" customFormat="1" ht="20.100000000000001" customHeight="1">
      <c r="A462" s="976"/>
    </row>
    <row r="463" spans="1:3" s="228" customFormat="1" ht="20.100000000000001" customHeight="1">
      <c r="A463" s="976"/>
    </row>
    <row r="464" spans="1:3" s="228" customFormat="1" ht="20.100000000000001" customHeight="1">
      <c r="A464" s="976"/>
    </row>
    <row r="465" spans="1:1" s="228" customFormat="1" ht="20.100000000000001" customHeight="1">
      <c r="A465" s="976"/>
    </row>
    <row r="466" spans="1:1" s="228" customFormat="1" ht="20.100000000000001" customHeight="1">
      <c r="A466" s="976"/>
    </row>
    <row r="467" spans="1:1" s="228" customFormat="1" ht="20.100000000000001" customHeight="1">
      <c r="A467" s="976"/>
    </row>
    <row r="468" spans="1:1" s="228" customFormat="1" ht="20.100000000000001" customHeight="1">
      <c r="A468" s="976"/>
    </row>
    <row r="469" spans="1:1" s="228" customFormat="1" ht="20.100000000000001" customHeight="1">
      <c r="A469" s="976"/>
    </row>
    <row r="470" spans="1:1" s="228" customFormat="1" ht="20.100000000000001" customHeight="1">
      <c r="A470" s="976"/>
    </row>
    <row r="471" spans="1:1" s="228" customFormat="1" ht="20.100000000000001" customHeight="1">
      <c r="A471" s="976"/>
    </row>
    <row r="472" spans="1:1" s="228" customFormat="1" ht="20.100000000000001" customHeight="1">
      <c r="A472" s="976"/>
    </row>
    <row r="473" spans="1:1" s="228" customFormat="1" ht="20.100000000000001" customHeight="1">
      <c r="A473" s="976"/>
    </row>
    <row r="474" spans="1:1" s="228" customFormat="1" ht="20.100000000000001" customHeight="1">
      <c r="A474" s="976"/>
    </row>
    <row r="475" spans="1:1" s="228" customFormat="1" ht="20.100000000000001" customHeight="1">
      <c r="A475" s="976"/>
    </row>
    <row r="476" spans="1:1" s="228" customFormat="1" ht="20.100000000000001" customHeight="1">
      <c r="A476" s="976"/>
    </row>
    <row r="477" spans="1:1" s="228" customFormat="1" ht="20.100000000000001" customHeight="1">
      <c r="A477" s="976"/>
    </row>
    <row r="478" spans="1:1" s="228" customFormat="1" ht="20.100000000000001" customHeight="1">
      <c r="A478" s="976"/>
    </row>
    <row r="479" spans="1:1" s="228" customFormat="1" ht="20.100000000000001" customHeight="1">
      <c r="A479" s="976"/>
    </row>
    <row r="480" spans="1:1" s="228" customFormat="1" ht="20.100000000000001" customHeight="1">
      <c r="A480" s="976"/>
    </row>
    <row r="481" spans="1:1" s="228" customFormat="1" ht="20.100000000000001" customHeight="1">
      <c r="A481" s="976"/>
    </row>
    <row r="482" spans="1:1" s="228" customFormat="1" ht="20.100000000000001" customHeight="1">
      <c r="A482" s="976"/>
    </row>
    <row r="483" spans="1:1" s="228" customFormat="1" ht="20.100000000000001" customHeight="1">
      <c r="A483" s="976"/>
    </row>
    <row r="484" spans="1:1" s="228" customFormat="1" ht="20.100000000000001" customHeight="1">
      <c r="A484" s="976"/>
    </row>
    <row r="485" spans="1:1" s="228" customFormat="1" ht="20.100000000000001" customHeight="1">
      <c r="A485" s="976"/>
    </row>
    <row r="486" spans="1:1" s="228" customFormat="1" ht="20.100000000000001" customHeight="1">
      <c r="A486" s="976"/>
    </row>
    <row r="487" spans="1:1" s="228" customFormat="1" ht="20.100000000000001" customHeight="1">
      <c r="A487" s="976"/>
    </row>
    <row r="488" spans="1:1" s="228" customFormat="1" ht="20.100000000000001" customHeight="1">
      <c r="A488" s="976"/>
    </row>
    <row r="489" spans="1:1" s="228" customFormat="1" ht="20.100000000000001" customHeight="1">
      <c r="A489" s="976"/>
    </row>
    <row r="490" spans="1:1" s="228" customFormat="1" ht="20.100000000000001" customHeight="1">
      <c r="A490" s="976"/>
    </row>
    <row r="491" spans="1:1" s="228" customFormat="1" ht="20.100000000000001" customHeight="1">
      <c r="A491" s="976"/>
    </row>
    <row r="492" spans="1:1" s="228" customFormat="1" ht="20.100000000000001" customHeight="1">
      <c r="A492" s="976"/>
    </row>
    <row r="493" spans="1:1" s="228" customFormat="1" ht="20.100000000000001" customHeight="1">
      <c r="A493" s="976"/>
    </row>
    <row r="494" spans="1:1" s="228" customFormat="1" ht="20.100000000000001" customHeight="1">
      <c r="A494" s="976"/>
    </row>
    <row r="495" spans="1:1" s="228" customFormat="1" ht="20.100000000000001" customHeight="1">
      <c r="A495" s="976"/>
    </row>
    <row r="496" spans="1:1" s="228" customFormat="1" ht="20.100000000000001" customHeight="1">
      <c r="A496" s="976"/>
    </row>
    <row r="497" spans="1:2" s="228" customFormat="1" ht="20.100000000000001" customHeight="1">
      <c r="A497" s="976"/>
    </row>
    <row r="498" spans="1:2" s="228" customFormat="1" ht="20.100000000000001" customHeight="1">
      <c r="A498" s="976"/>
    </row>
    <row r="499" spans="1:2" s="228" customFormat="1" ht="20.100000000000001" customHeight="1">
      <c r="A499" s="976"/>
    </row>
    <row r="500" spans="1:2" s="228" customFormat="1" ht="20.100000000000001" customHeight="1">
      <c r="A500" s="976"/>
    </row>
    <row r="501" spans="1:2" s="228" customFormat="1" ht="20.100000000000001" customHeight="1">
      <c r="A501" s="976"/>
    </row>
    <row r="502" spans="1:2" s="228" customFormat="1" ht="20.100000000000001" customHeight="1">
      <c r="A502" s="976"/>
    </row>
    <row r="503" spans="1:2" s="228" customFormat="1" ht="20.100000000000001" customHeight="1"/>
    <row r="504" spans="1:2" s="149" customFormat="1" ht="20.100000000000001" customHeight="1">
      <c r="A504" s="150" t="s">
        <v>900</v>
      </c>
    </row>
    <row r="506" spans="1:2" s="337" customFormat="1" ht="20.100000000000001" customHeight="1">
      <c r="A506" s="335" t="s">
        <v>2</v>
      </c>
      <c r="B506" s="235">
        <v>45028</v>
      </c>
    </row>
    <row r="507" spans="1:2" s="337" customFormat="1" ht="20.100000000000001" customHeight="1"/>
    <row r="508" spans="1:2" s="337" customFormat="1" ht="20.100000000000001" customHeight="1">
      <c r="A508" s="337" t="s">
        <v>901</v>
      </c>
    </row>
    <row r="509" spans="1:2" s="337" customFormat="1" ht="20.100000000000001" customHeight="1"/>
    <row r="510" spans="1:2" s="337" customFormat="1" ht="20.100000000000001" customHeight="1">
      <c r="A510" s="335" t="s">
        <v>549</v>
      </c>
      <c r="B510" s="335" t="s">
        <v>4</v>
      </c>
    </row>
    <row r="511" spans="1:2" s="337" customFormat="1" ht="20.100000000000001" customHeight="1">
      <c r="A511" s="338" t="s">
        <v>550</v>
      </c>
      <c r="B511" s="338" t="s">
        <v>550</v>
      </c>
    </row>
    <row r="512" spans="1:2" s="337" customFormat="1" ht="20.100000000000001" customHeight="1">
      <c r="A512" s="337">
        <v>2</v>
      </c>
      <c r="B512" s="337" t="s">
        <v>664</v>
      </c>
    </row>
    <row r="513" spans="1:13" s="337" customFormat="1" ht="20.100000000000001" customHeight="1">
      <c r="A513" s="337">
        <v>7</v>
      </c>
      <c r="B513" s="337" t="s">
        <v>576</v>
      </c>
    </row>
    <row r="514" spans="1:13" s="337" customFormat="1" ht="20.100000000000001" customHeight="1">
      <c r="A514" s="337">
        <v>24</v>
      </c>
      <c r="B514" s="337" t="s">
        <v>714</v>
      </c>
    </row>
    <row r="515" spans="1:13" s="337" customFormat="1" ht="20.100000000000001" customHeight="1">
      <c r="A515" s="337">
        <v>28</v>
      </c>
      <c r="B515" s="337" t="s">
        <v>763</v>
      </c>
    </row>
    <row r="516" spans="1:13" s="337" customFormat="1" ht="20.100000000000001" customHeight="1">
      <c r="A516" s="337">
        <v>29</v>
      </c>
      <c r="B516" s="337" t="s">
        <v>812</v>
      </c>
    </row>
    <row r="517" spans="1:13" s="337" customFormat="1" ht="20.100000000000001" customHeight="1">
      <c r="A517" s="333">
        <v>38</v>
      </c>
      <c r="B517" s="333" t="s">
        <v>863</v>
      </c>
    </row>
    <row r="518" spans="1:13" s="337" customFormat="1" ht="20.100000000000001" customHeight="1">
      <c r="A518" s="338">
        <v>54</v>
      </c>
      <c r="B518" s="338" t="s">
        <v>622</v>
      </c>
    </row>
    <row r="519" spans="1:13" s="337" customFormat="1" ht="20.100000000000001" customHeight="1">
      <c r="A519" s="184" t="s">
        <v>902</v>
      </c>
      <c r="B519" s="184" t="s">
        <v>344</v>
      </c>
    </row>
    <row r="520" spans="1:13" s="337" customFormat="1" ht="20.100000000000001" customHeight="1"/>
    <row r="521" spans="1:13" s="337" customFormat="1" ht="20.100000000000001" customHeight="1">
      <c r="A521" s="335" t="s">
        <v>500</v>
      </c>
    </row>
    <row r="522" spans="1:13" s="337" customFormat="1" ht="20.100000000000001" customHeight="1"/>
    <row r="523" spans="1:13" s="337" customFormat="1" ht="20.100000000000001" customHeight="1">
      <c r="A523" s="339" t="s">
        <v>4</v>
      </c>
      <c r="B523" s="339" t="s">
        <v>99</v>
      </c>
      <c r="C523" s="339" t="s">
        <v>100</v>
      </c>
      <c r="D523" s="339" t="s">
        <v>435</v>
      </c>
      <c r="E523" s="339" t="s">
        <v>116</v>
      </c>
      <c r="F523" s="339" t="s">
        <v>117</v>
      </c>
      <c r="G523" s="335" t="s">
        <v>108</v>
      </c>
      <c r="H523" s="335" t="s">
        <v>108</v>
      </c>
      <c r="I523" s="339" t="s">
        <v>115</v>
      </c>
      <c r="J523" s="335" t="s">
        <v>442</v>
      </c>
      <c r="L523" s="339"/>
      <c r="M523" s="339"/>
    </row>
    <row r="524" spans="1:13" s="337" customFormat="1" ht="20.100000000000001" customHeight="1">
      <c r="A524" s="338" t="s">
        <v>96</v>
      </c>
      <c r="B524" s="338" t="s">
        <v>64</v>
      </c>
      <c r="C524" s="338" t="s">
        <v>64</v>
      </c>
      <c r="D524" s="338" t="s">
        <v>64</v>
      </c>
      <c r="E524" s="338" t="s">
        <v>64</v>
      </c>
      <c r="F524" s="338" t="s">
        <v>64</v>
      </c>
      <c r="G524" s="338">
        <v>46</v>
      </c>
      <c r="H524" s="338">
        <v>47</v>
      </c>
      <c r="I524" s="338"/>
      <c r="J524" s="338"/>
      <c r="L524" s="333"/>
      <c r="M524" s="333"/>
    </row>
    <row r="525" spans="1:13" s="337" customFormat="1" ht="20.100000000000001" customHeight="1">
      <c r="A525" s="334">
        <v>2</v>
      </c>
      <c r="B525" s="137">
        <v>11.538</v>
      </c>
      <c r="C525" s="137">
        <v>13.566000000000001</v>
      </c>
      <c r="D525" s="137">
        <v>13.766500000000001</v>
      </c>
      <c r="E525" s="82">
        <f>C525-B525</f>
        <v>2.0280000000000005</v>
      </c>
      <c r="F525" s="82">
        <f>D525-C525</f>
        <v>0.2004999999999999</v>
      </c>
      <c r="G525" s="306">
        <v>6655.2225000000099</v>
      </c>
      <c r="H525" s="306">
        <v>7221.9610000000102</v>
      </c>
      <c r="I525" s="60">
        <f>G525/H525</f>
        <v>0.92152567702871846</v>
      </c>
      <c r="J525" s="60">
        <f>I525*F525/E525</f>
        <v>9.11074448936183E-2</v>
      </c>
      <c r="L525" s="333"/>
      <c r="M525" s="197"/>
    </row>
    <row r="526" spans="1:13" s="337" customFormat="1" ht="20.100000000000001" customHeight="1">
      <c r="A526" s="333">
        <v>7</v>
      </c>
      <c r="B526" s="139">
        <v>11.625500000000001</v>
      </c>
      <c r="C526" s="139">
        <v>13.6541</v>
      </c>
      <c r="D526" s="139">
        <v>13.853300000000001</v>
      </c>
      <c r="E526" s="80">
        <f t="shared" ref="E526:E533" si="42">C526-B526</f>
        <v>2.0285999999999991</v>
      </c>
      <c r="F526" s="80">
        <f t="shared" ref="F526:F533" si="43">D526-C526</f>
        <v>0.19920000000000115</v>
      </c>
      <c r="G526" s="171">
        <v>6466.8590000000104</v>
      </c>
      <c r="H526" s="171">
        <v>6924.9245939213697</v>
      </c>
      <c r="I526" s="60">
        <f t="shared" ref="I526:I533" si="44">G526/H526</f>
        <v>0.93385262356164211</v>
      </c>
      <c r="J526" s="60">
        <f t="shared" ref="J526:J533" si="45">I526*F526/E526</f>
        <v>9.1700405507976077E-2</v>
      </c>
      <c r="L526" s="333"/>
      <c r="M526" s="197"/>
    </row>
    <row r="527" spans="1:13" s="337" customFormat="1" ht="20.100000000000001" customHeight="1">
      <c r="A527" s="337">
        <v>24</v>
      </c>
      <c r="B527" s="182">
        <v>11.526400000000001</v>
      </c>
      <c r="C527" s="182">
        <v>13.554500000000001</v>
      </c>
      <c r="D527" s="182">
        <v>13.7536</v>
      </c>
      <c r="E527" s="60">
        <f t="shared" si="42"/>
        <v>2.0281000000000002</v>
      </c>
      <c r="F527" s="60">
        <f t="shared" si="43"/>
        <v>0.19909999999999961</v>
      </c>
      <c r="G527" s="170">
        <v>6247.0862267483399</v>
      </c>
      <c r="H527" s="170">
        <v>7016.3579999999802</v>
      </c>
      <c r="I527" s="60">
        <f t="shared" si="44"/>
        <v>0.89036024483761478</v>
      </c>
      <c r="J527" s="60">
        <f t="shared" si="45"/>
        <v>8.7407289949789829E-2</v>
      </c>
      <c r="L527" s="333"/>
      <c r="M527" s="197"/>
    </row>
    <row r="528" spans="1:13" s="337" customFormat="1" ht="20.100000000000001" customHeight="1">
      <c r="A528" s="337">
        <v>28</v>
      </c>
      <c r="B528" s="182">
        <v>11.4704</v>
      </c>
      <c r="C528" s="182">
        <v>13.4819</v>
      </c>
      <c r="D528" s="182">
        <v>13.681100000000001</v>
      </c>
      <c r="E528" s="60">
        <f t="shared" si="42"/>
        <v>2.0114999999999998</v>
      </c>
      <c r="F528" s="60">
        <f t="shared" si="43"/>
        <v>0.19920000000000115</v>
      </c>
      <c r="G528" s="170">
        <v>5911.3167307692402</v>
      </c>
      <c r="H528" s="170">
        <v>6441.1736339073605</v>
      </c>
      <c r="I528" s="60">
        <f t="shared" si="44"/>
        <v>0.91773907470078597</v>
      </c>
      <c r="J528" s="60">
        <f t="shared" si="45"/>
        <v>9.088422753189046E-2</v>
      </c>
      <c r="L528" s="333"/>
      <c r="M528" s="197"/>
    </row>
    <row r="529" spans="1:13" s="337" customFormat="1" ht="20.100000000000001" customHeight="1">
      <c r="A529" s="337">
        <v>29</v>
      </c>
      <c r="B529" s="182">
        <v>11.5359</v>
      </c>
      <c r="C529" s="182">
        <v>13.557</v>
      </c>
      <c r="D529" s="182">
        <v>13.756600000000001</v>
      </c>
      <c r="E529" s="60">
        <f t="shared" si="42"/>
        <v>2.0211000000000006</v>
      </c>
      <c r="F529" s="60">
        <f t="shared" si="43"/>
        <v>0.19960000000000022</v>
      </c>
      <c r="G529" s="170">
        <v>6045.6825000000099</v>
      </c>
      <c r="H529" s="170">
        <v>6851.34780230458</v>
      </c>
      <c r="I529" s="60">
        <f t="shared" si="44"/>
        <v>0.88240776478555516</v>
      </c>
      <c r="J529" s="60">
        <f t="shared" si="45"/>
        <v>8.7144916061153307E-2</v>
      </c>
      <c r="L529" s="333"/>
      <c r="M529" s="197"/>
    </row>
    <row r="530" spans="1:13" s="337" customFormat="1" ht="20.100000000000001" customHeight="1">
      <c r="A530" s="337">
        <v>38</v>
      </c>
      <c r="B530" s="182">
        <v>11.5075</v>
      </c>
      <c r="C530" s="182">
        <v>13.507</v>
      </c>
      <c r="D530" s="182">
        <v>13.706</v>
      </c>
      <c r="E530" s="60">
        <f t="shared" si="42"/>
        <v>1.9994999999999994</v>
      </c>
      <c r="F530" s="60">
        <f t="shared" si="43"/>
        <v>0.19899999999999984</v>
      </c>
      <c r="G530" s="170">
        <v>5524.2525577783999</v>
      </c>
      <c r="H530" s="170">
        <v>6188.87802648253</v>
      </c>
      <c r="I530" s="60">
        <f t="shared" si="44"/>
        <v>0.89260969987449046</v>
      </c>
      <c r="J530" s="60">
        <f t="shared" si="45"/>
        <v>8.8836874356100784E-2</v>
      </c>
    </row>
    <row r="531" spans="1:13" s="337" customFormat="1" ht="20.100000000000001" customHeight="1">
      <c r="A531" s="333">
        <v>54</v>
      </c>
      <c r="B531" s="139">
        <v>11.9535</v>
      </c>
      <c r="C531" s="139">
        <v>13.9574</v>
      </c>
      <c r="D531" s="139">
        <v>14.1569</v>
      </c>
      <c r="E531" s="80">
        <f t="shared" si="42"/>
        <v>2.0038999999999998</v>
      </c>
      <c r="F531" s="80">
        <f t="shared" si="43"/>
        <v>0.19950000000000045</v>
      </c>
      <c r="G531" s="171">
        <v>5561.4020000000201</v>
      </c>
      <c r="H531" s="171">
        <v>6672.1420000000298</v>
      </c>
      <c r="I531" s="80">
        <f t="shared" si="44"/>
        <v>0.83352572532179248</v>
      </c>
      <c r="J531" s="80">
        <f t="shared" si="45"/>
        <v>8.298237546868506E-2</v>
      </c>
    </row>
    <row r="532" spans="1:13" s="337" customFormat="1" ht="20.100000000000001" customHeight="1">
      <c r="A532" s="333" t="s">
        <v>903</v>
      </c>
      <c r="B532" s="139">
        <v>11.461399999999999</v>
      </c>
      <c r="C532" s="139">
        <v>13.4613</v>
      </c>
      <c r="D532" s="139">
        <v>13.6608</v>
      </c>
      <c r="E532" s="80">
        <f t="shared" si="42"/>
        <v>1.9999000000000002</v>
      </c>
      <c r="F532" s="80">
        <f t="shared" si="43"/>
        <v>0.19950000000000045</v>
      </c>
      <c r="G532" s="171">
        <v>5330.9223692351798</v>
      </c>
      <c r="H532" s="171">
        <v>6058.0744999999997</v>
      </c>
      <c r="I532" s="80">
        <f t="shared" si="44"/>
        <v>0.87996976089270273</v>
      </c>
      <c r="J532" s="80">
        <f t="shared" si="45"/>
        <v>8.7781372717683159E-2</v>
      </c>
    </row>
    <row r="533" spans="1:13" s="337" customFormat="1" ht="20.100000000000001" customHeight="1">
      <c r="A533" s="338" t="s">
        <v>110</v>
      </c>
      <c r="B533" s="141">
        <v>11.498699999999999</v>
      </c>
      <c r="C533" s="141">
        <v>13.5251</v>
      </c>
      <c r="D533" s="141">
        <f>C533</f>
        <v>13.5251</v>
      </c>
      <c r="E533" s="81">
        <f t="shared" si="42"/>
        <v>2.0264000000000006</v>
      </c>
      <c r="F533" s="81">
        <f t="shared" si="43"/>
        <v>0</v>
      </c>
      <c r="G533" s="172">
        <v>21.7</v>
      </c>
      <c r="H533" s="172">
        <v>0</v>
      </c>
      <c r="I533" s="81" t="e">
        <f t="shared" si="44"/>
        <v>#DIV/0!</v>
      </c>
      <c r="J533" s="81" t="e">
        <f t="shared" si="45"/>
        <v>#DIV/0!</v>
      </c>
    </row>
    <row r="534" spans="1:13" s="337" customFormat="1" ht="20.100000000000001" customHeight="1">
      <c r="A534" s="337" t="s">
        <v>507</v>
      </c>
      <c r="I534" s="335" t="s">
        <v>260</v>
      </c>
      <c r="J534" s="60">
        <f>AVERAGE(J525:J531)</f>
        <v>8.8580504824173387E-2</v>
      </c>
    </row>
    <row r="535" spans="1:13" s="337" customFormat="1" ht="20.100000000000001" customHeight="1">
      <c r="A535" s="337" t="s">
        <v>508</v>
      </c>
      <c r="I535" s="335" t="s">
        <v>429</v>
      </c>
      <c r="J535" s="60">
        <f>STDEV(J525:J531)</f>
        <v>3.0623648422168559E-3</v>
      </c>
    </row>
    <row r="536" spans="1:13" s="337" customFormat="1" ht="20.100000000000001" customHeight="1">
      <c r="A536" s="337" t="s">
        <v>509</v>
      </c>
      <c r="I536" s="336" t="s">
        <v>262</v>
      </c>
      <c r="J536" s="208">
        <f>J535/J534</f>
        <v>3.4571544250006851E-2</v>
      </c>
    </row>
    <row r="537" spans="1:13" s="337" customFormat="1" ht="20.100000000000001" customHeight="1">
      <c r="A537" s="337" t="s">
        <v>510</v>
      </c>
    </row>
    <row r="539" spans="1:13" s="337" customFormat="1" ht="20.100000000000001" customHeight="1">
      <c r="A539" s="335" t="s">
        <v>514</v>
      </c>
    </row>
    <row r="540" spans="1:13" s="337" customFormat="1" ht="20.100000000000001" customHeight="1"/>
    <row r="541" spans="1:13" s="337" customFormat="1" ht="20.100000000000001" customHeight="1">
      <c r="A541" s="339" t="s">
        <v>4</v>
      </c>
      <c r="B541" s="339" t="s">
        <v>99</v>
      </c>
      <c r="C541" s="339" t="s">
        <v>100</v>
      </c>
      <c r="D541" s="339" t="s">
        <v>275</v>
      </c>
      <c r="E541" s="339" t="s">
        <v>116</v>
      </c>
      <c r="F541" s="339" t="s">
        <v>114</v>
      </c>
      <c r="G541" s="335" t="s">
        <v>108</v>
      </c>
      <c r="H541" s="335" t="s">
        <v>108</v>
      </c>
      <c r="J541" s="339"/>
      <c r="K541" s="339"/>
    </row>
    <row r="542" spans="1:13" s="337" customFormat="1" ht="20.100000000000001" customHeight="1">
      <c r="A542" s="338" t="s">
        <v>96</v>
      </c>
      <c r="B542" s="338" t="s">
        <v>64</v>
      </c>
      <c r="C542" s="338" t="s">
        <v>64</v>
      </c>
      <c r="D542" s="338" t="s">
        <v>64</v>
      </c>
      <c r="E542" s="338" t="s">
        <v>64</v>
      </c>
      <c r="F542" s="338" t="s">
        <v>64</v>
      </c>
      <c r="G542" s="338" t="s">
        <v>476</v>
      </c>
      <c r="H542" s="338" t="s">
        <v>447</v>
      </c>
      <c r="J542" s="333"/>
      <c r="K542" s="333"/>
    </row>
    <row r="543" spans="1:13" s="337" customFormat="1" ht="20.100000000000001" customHeight="1">
      <c r="A543" s="334">
        <v>2</v>
      </c>
      <c r="B543" s="137">
        <v>6.1227999999999998</v>
      </c>
      <c r="C543" s="137">
        <v>11.1775</v>
      </c>
      <c r="D543" s="137">
        <v>11.3794</v>
      </c>
      <c r="E543" s="82">
        <f>C543-B543</f>
        <v>5.0547000000000004</v>
      </c>
      <c r="F543" s="82">
        <f>D543-B543</f>
        <v>5.2566000000000006</v>
      </c>
      <c r="G543" s="82">
        <v>8.2600999999999994E-2</v>
      </c>
      <c r="H543" s="82">
        <f>G543*F543/E543</f>
        <v>8.590033366965398E-2</v>
      </c>
      <c r="J543" s="333"/>
      <c r="K543" s="197"/>
    </row>
    <row r="544" spans="1:13" s="337" customFormat="1" ht="20.100000000000001" customHeight="1">
      <c r="A544" s="333">
        <v>7</v>
      </c>
      <c r="B544" s="139">
        <v>6.1367000000000003</v>
      </c>
      <c r="C544" s="139">
        <v>11.1999</v>
      </c>
      <c r="D544" s="139">
        <v>11.4011</v>
      </c>
      <c r="E544" s="80">
        <f t="shared" ref="E544:E551" si="46">C544-B544</f>
        <v>5.0631999999999993</v>
      </c>
      <c r="F544" s="80">
        <f t="shared" ref="F544:F551" si="47">D544-B544</f>
        <v>5.2643999999999993</v>
      </c>
      <c r="G544" s="80">
        <v>8.1693000000000002E-2</v>
      </c>
      <c r="H544" s="80">
        <f t="shared" ref="H544:H551" si="48">G544*F544/E544</f>
        <v>8.4939293174277133E-2</v>
      </c>
      <c r="J544" s="333"/>
      <c r="K544" s="197"/>
    </row>
    <row r="545" spans="1:11" s="337" customFormat="1" ht="20.100000000000001" customHeight="1">
      <c r="A545" s="337">
        <v>24</v>
      </c>
      <c r="B545" s="182">
        <v>6.0974000000000004</v>
      </c>
      <c r="C545" s="182">
        <v>11.162699999999999</v>
      </c>
      <c r="D545" s="182">
        <v>11.363099999999999</v>
      </c>
      <c r="E545" s="60">
        <f t="shared" si="46"/>
        <v>5.0652999999999988</v>
      </c>
      <c r="F545" s="60">
        <f t="shared" si="47"/>
        <v>5.2656999999999989</v>
      </c>
      <c r="G545" s="337">
        <v>8.9513999999999996E-2</v>
      </c>
      <c r="H545" s="60">
        <f t="shared" si="48"/>
        <v>9.3055469527964785E-2</v>
      </c>
      <c r="J545" s="333"/>
      <c r="K545" s="197"/>
    </row>
    <row r="546" spans="1:11" s="337" customFormat="1" ht="20.100000000000001" customHeight="1">
      <c r="A546" s="337">
        <v>28</v>
      </c>
      <c r="B546" s="182">
        <v>6.1208999999999998</v>
      </c>
      <c r="C546" s="182">
        <v>11.179</v>
      </c>
      <c r="D546" s="182">
        <v>11.3802</v>
      </c>
      <c r="E546" s="60">
        <f t="shared" si="46"/>
        <v>5.0581000000000005</v>
      </c>
      <c r="F546" s="60">
        <f t="shared" si="47"/>
        <v>5.2593000000000005</v>
      </c>
      <c r="G546" s="337">
        <v>9.1416999999999998E-2</v>
      </c>
      <c r="H546" s="60">
        <f t="shared" si="48"/>
        <v>9.5053365512741933E-2</v>
      </c>
      <c r="J546" s="333"/>
      <c r="K546" s="197"/>
    </row>
    <row r="547" spans="1:11" s="337" customFormat="1" ht="20.100000000000001" customHeight="1">
      <c r="A547" s="337">
        <v>29</v>
      </c>
      <c r="B547" s="182">
        <v>6.1155999999999997</v>
      </c>
      <c r="C547" s="182">
        <v>11.179</v>
      </c>
      <c r="D547" s="182">
        <v>11.38</v>
      </c>
      <c r="E547" s="60">
        <f t="shared" si="46"/>
        <v>5.0634000000000006</v>
      </c>
      <c r="F547" s="60">
        <f t="shared" si="47"/>
        <v>5.2644000000000011</v>
      </c>
      <c r="G547" s="337">
        <v>0.103519</v>
      </c>
      <c r="H547" s="60">
        <f t="shared" si="48"/>
        <v>0.10762835715132126</v>
      </c>
      <c r="J547" s="333"/>
      <c r="K547" s="197"/>
    </row>
    <row r="548" spans="1:11" s="337" customFormat="1" ht="20.100000000000001" customHeight="1">
      <c r="A548" s="337">
        <v>38</v>
      </c>
      <c r="B548" s="182">
        <v>6.0951000000000004</v>
      </c>
      <c r="C548" s="182">
        <v>11.1571</v>
      </c>
      <c r="D548" s="182">
        <v>11.357699999999999</v>
      </c>
      <c r="E548" s="60">
        <f t="shared" si="46"/>
        <v>5.0619999999999994</v>
      </c>
      <c r="F548" s="60">
        <f t="shared" si="47"/>
        <v>5.2625999999999991</v>
      </c>
      <c r="G548" s="337">
        <v>7.8948000000000004E-2</v>
      </c>
      <c r="H548" s="60">
        <f t="shared" si="48"/>
        <v>8.2076599130778347E-2</v>
      </c>
    </row>
    <row r="549" spans="1:11" s="337" customFormat="1" ht="20.100000000000001" customHeight="1">
      <c r="A549" s="337">
        <v>54</v>
      </c>
      <c r="B549" s="182">
        <v>6.1163999999999996</v>
      </c>
      <c r="C549" s="182">
        <v>11.185600000000001</v>
      </c>
      <c r="D549" s="182">
        <v>11.3871</v>
      </c>
      <c r="E549" s="60">
        <f t="shared" si="46"/>
        <v>5.0692000000000013</v>
      </c>
      <c r="F549" s="60">
        <f t="shared" si="47"/>
        <v>5.2707000000000006</v>
      </c>
      <c r="G549" s="337">
        <v>5.8268E-2</v>
      </c>
      <c r="H549" s="60">
        <f t="shared" si="48"/>
        <v>6.0584144953838862E-2</v>
      </c>
    </row>
    <row r="550" spans="1:11" s="337" customFormat="1" ht="20.100000000000001" customHeight="1">
      <c r="A550" s="333" t="s">
        <v>903</v>
      </c>
      <c r="B550" s="139">
        <v>6.1448</v>
      </c>
      <c r="C550" s="139">
        <v>11.221500000000001</v>
      </c>
      <c r="D550" s="139">
        <v>11.4224</v>
      </c>
      <c r="E550" s="80">
        <f t="shared" si="46"/>
        <v>5.0767000000000007</v>
      </c>
      <c r="F550" s="80">
        <f t="shared" si="47"/>
        <v>5.2775999999999996</v>
      </c>
      <c r="G550" s="333">
        <v>8.5300000000000001E-2</v>
      </c>
      <c r="H550" s="80">
        <f t="shared" si="48"/>
        <v>8.8675572714558656E-2</v>
      </c>
    </row>
    <row r="551" spans="1:11" s="337" customFormat="1" ht="20.100000000000001" customHeight="1">
      <c r="A551" s="338" t="s">
        <v>110</v>
      </c>
      <c r="B551" s="141">
        <v>6.1353</v>
      </c>
      <c r="C551" s="141">
        <v>11.260199999999999</v>
      </c>
      <c r="D551" s="141">
        <v>11.4612</v>
      </c>
      <c r="E551" s="81">
        <f t="shared" si="46"/>
        <v>5.1248999999999993</v>
      </c>
      <c r="F551" s="81">
        <f t="shared" si="47"/>
        <v>5.3258999999999999</v>
      </c>
      <c r="G551" s="338">
        <v>-7.2000000000000002E-5</v>
      </c>
      <c r="H551" s="81">
        <f t="shared" si="48"/>
        <v>-7.4823859977755672E-5</v>
      </c>
    </row>
    <row r="552" spans="1:11" s="337" customFormat="1" ht="20.100000000000001" customHeight="1">
      <c r="A552" s="337" t="s">
        <v>459</v>
      </c>
      <c r="G552" s="335" t="s">
        <v>260</v>
      </c>
      <c r="H552" s="60">
        <f>AVERAGE(H543:H549)</f>
        <v>8.7033937588653756E-2</v>
      </c>
    </row>
    <row r="553" spans="1:11" s="337" customFormat="1" ht="20.100000000000001" customHeight="1">
      <c r="G553" s="335" t="s">
        <v>429</v>
      </c>
      <c r="H553" s="60">
        <f>STDEV(H543:H549)</f>
        <v>1.4459941887431976E-2</v>
      </c>
    </row>
    <row r="554" spans="1:11" s="337" customFormat="1" ht="20.100000000000001" customHeight="1">
      <c r="G554" s="336" t="s">
        <v>262</v>
      </c>
      <c r="H554" s="208">
        <f>H553/H552</f>
        <v>0.16614141894594756</v>
      </c>
    </row>
    <row r="555" spans="1:11" s="337" customFormat="1" ht="20.100000000000001" customHeight="1">
      <c r="G555" s="339"/>
      <c r="H555" s="206"/>
    </row>
    <row r="556" spans="1:11" s="337" customFormat="1" ht="20.100000000000001" customHeight="1">
      <c r="A556" s="335" t="s">
        <v>515</v>
      </c>
    </row>
    <row r="557" spans="1:11" s="337" customFormat="1" ht="20.100000000000001" customHeight="1"/>
    <row r="558" spans="1:11" s="337" customFormat="1" ht="20.100000000000001" customHeight="1">
      <c r="A558" s="339" t="s">
        <v>4</v>
      </c>
      <c r="B558" s="339" t="s">
        <v>99</v>
      </c>
      <c r="C558" s="339" t="s">
        <v>100</v>
      </c>
      <c r="D558" s="339" t="s">
        <v>275</v>
      </c>
      <c r="E558" s="339" t="s">
        <v>116</v>
      </c>
      <c r="F558" s="339" t="s">
        <v>114</v>
      </c>
      <c r="G558" s="335" t="s">
        <v>108</v>
      </c>
      <c r="H558" s="335" t="s">
        <v>108</v>
      </c>
      <c r="J558" s="339"/>
      <c r="K558" s="339"/>
    </row>
    <row r="559" spans="1:11" s="337" customFormat="1" ht="20.100000000000001" customHeight="1">
      <c r="A559" s="338" t="s">
        <v>96</v>
      </c>
      <c r="B559" s="338" t="s">
        <v>64</v>
      </c>
      <c r="C559" s="338" t="s">
        <v>64</v>
      </c>
      <c r="D559" s="338" t="s">
        <v>64</v>
      </c>
      <c r="E559" s="338" t="s">
        <v>64</v>
      </c>
      <c r="F559" s="338" t="s">
        <v>64</v>
      </c>
      <c r="G559" s="338" t="s">
        <v>446</v>
      </c>
      <c r="H559" s="338" t="s">
        <v>447</v>
      </c>
      <c r="J559" s="333"/>
      <c r="K559" s="333"/>
    </row>
    <row r="560" spans="1:11" s="337" customFormat="1" ht="20.100000000000001" customHeight="1">
      <c r="A560" s="334">
        <v>2</v>
      </c>
      <c r="B560" s="137">
        <v>6.1303000000000001</v>
      </c>
      <c r="C560" s="137">
        <v>12.216200000000001</v>
      </c>
      <c r="D560" s="137">
        <v>12.999499999999999</v>
      </c>
      <c r="E560" s="82">
        <f>C560-B560</f>
        <v>6.0859000000000005</v>
      </c>
      <c r="F560" s="82">
        <f>D560-B560</f>
        <v>6.8691999999999993</v>
      </c>
      <c r="G560" s="82">
        <v>0.27688299999999999</v>
      </c>
      <c r="H560" s="82">
        <f>G560*F560/E560</f>
        <v>0.31251987439819906</v>
      </c>
      <c r="J560" s="333"/>
      <c r="K560" s="197"/>
    </row>
    <row r="561" spans="1:11" s="337" customFormat="1" ht="20.100000000000001" customHeight="1">
      <c r="A561" s="333">
        <v>7</v>
      </c>
      <c r="B561" s="139">
        <v>6.1364000000000001</v>
      </c>
      <c r="C561" s="139">
        <v>12.217700000000001</v>
      </c>
      <c r="D561" s="139">
        <v>13.004799999999999</v>
      </c>
      <c r="E561" s="80">
        <f t="shared" ref="E561:E568" si="49">C561-B561</f>
        <v>6.0813000000000006</v>
      </c>
      <c r="F561" s="80">
        <f t="shared" ref="F561:F568" si="50">D561-B561</f>
        <v>6.8683999999999994</v>
      </c>
      <c r="G561" s="80">
        <v>0.278026</v>
      </c>
      <c r="H561" s="80">
        <f t="shared" ref="H561:H568" si="51">G561*F561/E561</f>
        <v>0.31401078361534535</v>
      </c>
      <c r="J561" s="385"/>
      <c r="K561" s="197"/>
    </row>
    <row r="562" spans="1:11" s="337" customFormat="1" ht="20.100000000000001" customHeight="1">
      <c r="A562" s="337">
        <v>24</v>
      </c>
      <c r="B562" s="182">
        <v>6.1280999999999999</v>
      </c>
      <c r="C562" s="182">
        <v>12.222300000000001</v>
      </c>
      <c r="D562" s="182">
        <v>13.0085</v>
      </c>
      <c r="E562" s="60">
        <f t="shared" si="49"/>
        <v>6.0942000000000007</v>
      </c>
      <c r="F562" s="60">
        <f t="shared" si="50"/>
        <v>6.8803999999999998</v>
      </c>
      <c r="G562" s="60">
        <v>0.27200200000000002</v>
      </c>
      <c r="H562" s="60">
        <f t="shared" si="51"/>
        <v>0.3070924093072101</v>
      </c>
      <c r="J562" s="385"/>
      <c r="K562" s="197"/>
    </row>
    <row r="563" spans="1:11" s="337" customFormat="1" ht="20.100000000000001" customHeight="1">
      <c r="A563" s="337">
        <v>28</v>
      </c>
      <c r="B563" s="182">
        <v>6.1475</v>
      </c>
      <c r="C563" s="182">
        <v>12.2498</v>
      </c>
      <c r="D563" s="182">
        <v>13.036099999999999</v>
      </c>
      <c r="E563" s="337">
        <f t="shared" si="49"/>
        <v>6.1023000000000005</v>
      </c>
      <c r="F563" s="337">
        <f t="shared" si="50"/>
        <v>6.8885999999999994</v>
      </c>
      <c r="G563" s="60">
        <v>0.27595599999999998</v>
      </c>
      <c r="H563" s="60">
        <f t="shared" si="51"/>
        <v>0.31151377375743566</v>
      </c>
      <c r="J563" s="385"/>
      <c r="K563" s="197"/>
    </row>
    <row r="564" spans="1:11" s="337" customFormat="1" ht="20.100000000000001" customHeight="1">
      <c r="A564" s="337">
        <v>29</v>
      </c>
      <c r="B564" s="182">
        <v>6.0861000000000001</v>
      </c>
      <c r="C564" s="182">
        <v>12.201000000000001</v>
      </c>
      <c r="D564" s="182">
        <v>12.986800000000001</v>
      </c>
      <c r="E564" s="337">
        <f t="shared" si="49"/>
        <v>6.1149000000000004</v>
      </c>
      <c r="F564" s="337">
        <f t="shared" si="50"/>
        <v>6.9007000000000005</v>
      </c>
      <c r="G564" s="60">
        <v>0.27634300000000001</v>
      </c>
      <c r="H564" s="60">
        <f t="shared" si="51"/>
        <v>0.3118546730281771</v>
      </c>
      <c r="J564" s="385"/>
      <c r="K564" s="197"/>
    </row>
    <row r="565" spans="1:11" s="337" customFormat="1" ht="20.100000000000001" customHeight="1">
      <c r="A565" s="337">
        <v>38</v>
      </c>
      <c r="B565" s="182">
        <v>6.1378000000000004</v>
      </c>
      <c r="C565" s="182">
        <v>12.2486</v>
      </c>
      <c r="D565" s="182">
        <v>13.0366</v>
      </c>
      <c r="E565" s="337">
        <f t="shared" si="49"/>
        <v>6.1107999999999993</v>
      </c>
      <c r="F565" s="337">
        <f t="shared" si="50"/>
        <v>6.8987999999999996</v>
      </c>
      <c r="G565" s="60">
        <v>0.271428</v>
      </c>
      <c r="H565" s="60">
        <f t="shared" si="51"/>
        <v>0.30642918871506186</v>
      </c>
      <c r="J565" s="385"/>
    </row>
    <row r="566" spans="1:11" s="337" customFormat="1" ht="20.100000000000001" customHeight="1">
      <c r="A566" s="337">
        <v>54</v>
      </c>
      <c r="B566" s="182">
        <v>6.1449999999999996</v>
      </c>
      <c r="C566" s="182">
        <v>12.244999999999999</v>
      </c>
      <c r="D566" s="182">
        <v>13.0313</v>
      </c>
      <c r="E566" s="337">
        <f t="shared" si="49"/>
        <v>6.1</v>
      </c>
      <c r="F566" s="337">
        <f t="shared" si="50"/>
        <v>6.8863000000000003</v>
      </c>
      <c r="G566" s="60">
        <v>0.26110899999999998</v>
      </c>
      <c r="H566" s="60">
        <f t="shared" si="51"/>
        <v>0.29476637814754097</v>
      </c>
      <c r="J566" s="385"/>
    </row>
    <row r="567" spans="1:11" s="337" customFormat="1" ht="20.100000000000001" customHeight="1">
      <c r="A567" s="337" t="s">
        <v>903</v>
      </c>
      <c r="B567" s="182">
        <v>6.1295999999999999</v>
      </c>
      <c r="C567" s="182">
        <v>12.2331</v>
      </c>
      <c r="D567" s="182">
        <v>13.020099999999999</v>
      </c>
      <c r="E567" s="337">
        <f t="shared" si="49"/>
        <v>6.1035000000000004</v>
      </c>
      <c r="F567" s="337">
        <f t="shared" si="50"/>
        <v>6.8904999999999994</v>
      </c>
      <c r="G567" s="60">
        <v>0.27586100000000002</v>
      </c>
      <c r="H567" s="60">
        <f t="shared" si="51"/>
        <v>0.31143118219054639</v>
      </c>
      <c r="J567" s="385"/>
    </row>
    <row r="568" spans="1:11" s="337" customFormat="1" ht="20.100000000000001" customHeight="1">
      <c r="A568" s="338" t="s">
        <v>110</v>
      </c>
      <c r="B568" s="141">
        <v>6.1177000000000001</v>
      </c>
      <c r="C568" s="141">
        <v>12.189399999999999</v>
      </c>
      <c r="D568" s="141">
        <v>12.975899999999999</v>
      </c>
      <c r="E568" s="338">
        <f t="shared" si="49"/>
        <v>6.071699999999999</v>
      </c>
      <c r="F568" s="338">
        <f t="shared" si="50"/>
        <v>6.8581999999999992</v>
      </c>
      <c r="G568" s="81">
        <v>-1.9750000000000002E-3</v>
      </c>
      <c r="H568" s="81">
        <f t="shared" si="51"/>
        <v>-2.2308323863168473E-3</v>
      </c>
      <c r="J568" s="385"/>
    </row>
    <row r="569" spans="1:11" s="337" customFormat="1" ht="20.100000000000001" customHeight="1">
      <c r="A569" s="337" t="s">
        <v>445</v>
      </c>
      <c r="G569" s="335" t="s">
        <v>260</v>
      </c>
      <c r="H569" s="60">
        <f>AVERAGE(H560:H566)</f>
        <v>0.30831244013842429</v>
      </c>
    </row>
    <row r="570" spans="1:11" s="337" customFormat="1" ht="20.100000000000001" customHeight="1">
      <c r="G570" s="335" t="s">
        <v>429</v>
      </c>
      <c r="H570" s="60">
        <f>STDEV(H560:H566)</f>
        <v>6.6017734843287585E-3</v>
      </c>
    </row>
    <row r="571" spans="1:11" s="337" customFormat="1" ht="20.100000000000001" customHeight="1">
      <c r="G571" s="336" t="s">
        <v>262</v>
      </c>
      <c r="H571" s="208">
        <f>H570/H569</f>
        <v>2.1412608201487857E-2</v>
      </c>
    </row>
    <row r="573" spans="1:11" s="337" customFormat="1" ht="20.100000000000001" customHeight="1">
      <c r="A573" s="335" t="s">
        <v>516</v>
      </c>
    </row>
    <row r="574" spans="1:11" s="337" customFormat="1" ht="20.100000000000001" customHeight="1"/>
    <row r="575" spans="1:11" s="337" customFormat="1" ht="20.100000000000001" customHeight="1">
      <c r="A575" s="339" t="s">
        <v>4</v>
      </c>
      <c r="B575" s="339" t="s">
        <v>99</v>
      </c>
      <c r="C575" s="339" t="s">
        <v>100</v>
      </c>
      <c r="D575" s="339" t="s">
        <v>275</v>
      </c>
      <c r="E575" s="339" t="s">
        <v>116</v>
      </c>
      <c r="F575" s="339" t="s">
        <v>114</v>
      </c>
      <c r="G575" s="335" t="s">
        <v>108</v>
      </c>
      <c r="H575" s="335" t="s">
        <v>108</v>
      </c>
      <c r="J575" s="339"/>
      <c r="K575" s="339"/>
    </row>
    <row r="576" spans="1:11" s="337" customFormat="1" ht="20.100000000000001" customHeight="1">
      <c r="A576" s="338" t="s">
        <v>96</v>
      </c>
      <c r="B576" s="338" t="s">
        <v>64</v>
      </c>
      <c r="C576" s="338" t="s">
        <v>64</v>
      </c>
      <c r="D576" s="338" t="s">
        <v>64</v>
      </c>
      <c r="E576" s="338" t="s">
        <v>64</v>
      </c>
      <c r="F576" s="338" t="s">
        <v>64</v>
      </c>
      <c r="G576" s="338" t="s">
        <v>517</v>
      </c>
      <c r="H576" s="338" t="s">
        <v>447</v>
      </c>
      <c r="J576" s="333"/>
      <c r="K576" s="333"/>
    </row>
    <row r="577" spans="1:11" s="337" customFormat="1" ht="20.100000000000001" customHeight="1">
      <c r="A577" s="334">
        <v>2</v>
      </c>
      <c r="B577" s="137">
        <v>6.1364000000000001</v>
      </c>
      <c r="C577" s="137">
        <v>9.1554000000000002</v>
      </c>
      <c r="D577" s="137">
        <v>9.48</v>
      </c>
      <c r="E577" s="82">
        <f>C577-B577</f>
        <v>3.0190000000000001</v>
      </c>
      <c r="F577" s="82">
        <f>D577-B577</f>
        <v>3.3436000000000003</v>
      </c>
      <c r="G577" s="82">
        <v>0.122505</v>
      </c>
      <c r="H577" s="82">
        <f>G577*F577/E577</f>
        <v>0.13567662073534284</v>
      </c>
      <c r="J577" s="333"/>
      <c r="K577" s="197"/>
    </row>
    <row r="578" spans="1:11" s="337" customFormat="1" ht="20.100000000000001" customHeight="1">
      <c r="A578" s="333">
        <v>7</v>
      </c>
      <c r="B578" s="139">
        <v>6.1352000000000002</v>
      </c>
      <c r="C578" s="139">
        <v>9.1593999999999998</v>
      </c>
      <c r="D578" s="139">
        <v>9.4831000000000003</v>
      </c>
      <c r="E578" s="80">
        <f t="shared" ref="E578:E585" si="52">C578-B578</f>
        <v>3.0241999999999996</v>
      </c>
      <c r="F578" s="80">
        <f t="shared" ref="F578:F585" si="53">D578-B578</f>
        <v>3.3479000000000001</v>
      </c>
      <c r="G578" s="80">
        <v>0.122416</v>
      </c>
      <c r="H578" s="80">
        <f t="shared" ref="H578:H585" si="54">G578*F578/E578</f>
        <v>0.13551898895575692</v>
      </c>
      <c r="J578" s="333"/>
      <c r="K578" s="197"/>
    </row>
    <row r="579" spans="1:11" s="337" customFormat="1" ht="20.100000000000001" customHeight="1">
      <c r="A579" s="337">
        <v>24</v>
      </c>
      <c r="B579" s="182">
        <v>6.1186999999999996</v>
      </c>
      <c r="C579" s="182">
        <v>9.1473999999999993</v>
      </c>
      <c r="D579" s="182">
        <v>9.4709000000000003</v>
      </c>
      <c r="E579" s="60">
        <f t="shared" si="52"/>
        <v>3.0286999999999997</v>
      </c>
      <c r="F579" s="60">
        <f t="shared" si="53"/>
        <v>3.3522000000000007</v>
      </c>
      <c r="G579" s="60">
        <v>0.123853</v>
      </c>
      <c r="H579" s="60">
        <f t="shared" si="54"/>
        <v>0.13708192511638662</v>
      </c>
      <c r="J579" s="333"/>
      <c r="K579" s="197"/>
    </row>
    <row r="580" spans="1:11" s="337" customFormat="1" ht="20.100000000000001" customHeight="1">
      <c r="A580" s="337">
        <v>28</v>
      </c>
      <c r="B580" s="182">
        <v>6.1345999999999998</v>
      </c>
      <c r="C580" s="182">
        <v>9.1652000000000005</v>
      </c>
      <c r="D580" s="182">
        <v>9.4885999999999999</v>
      </c>
      <c r="E580" s="60">
        <f t="shared" si="52"/>
        <v>3.0306000000000006</v>
      </c>
      <c r="F580" s="60">
        <f t="shared" si="53"/>
        <v>3.3540000000000001</v>
      </c>
      <c r="G580" s="60">
        <v>0.124655</v>
      </c>
      <c r="H580" s="60">
        <f t="shared" si="54"/>
        <v>0.13795712730152443</v>
      </c>
      <c r="J580" s="333"/>
      <c r="K580" s="197"/>
    </row>
    <row r="581" spans="1:11" s="337" customFormat="1" ht="20.100000000000001" customHeight="1">
      <c r="A581" s="337">
        <v>29</v>
      </c>
      <c r="B581" s="182">
        <v>6.1355000000000004</v>
      </c>
      <c r="C581" s="182">
        <v>9.1555</v>
      </c>
      <c r="D581" s="182">
        <v>9.4786000000000001</v>
      </c>
      <c r="E581" s="60">
        <f t="shared" si="52"/>
        <v>3.0199999999999996</v>
      </c>
      <c r="F581" s="60">
        <f t="shared" si="53"/>
        <v>3.3430999999999997</v>
      </c>
      <c r="G581" s="60">
        <v>0.122323</v>
      </c>
      <c r="H581" s="60">
        <f t="shared" si="54"/>
        <v>0.13540994082781457</v>
      </c>
      <c r="J581" s="333"/>
      <c r="K581" s="197"/>
    </row>
    <row r="582" spans="1:11" s="337" customFormat="1" ht="20.100000000000001" customHeight="1">
      <c r="A582" s="337">
        <v>38</v>
      </c>
      <c r="B582" s="182">
        <v>6.1344000000000003</v>
      </c>
      <c r="C582" s="182">
        <v>9.1529000000000007</v>
      </c>
      <c r="D582" s="182">
        <v>9.4763000000000002</v>
      </c>
      <c r="E582" s="60">
        <f t="shared" si="52"/>
        <v>3.0185000000000004</v>
      </c>
      <c r="F582" s="60">
        <f t="shared" si="53"/>
        <v>3.3418999999999999</v>
      </c>
      <c r="G582" s="60">
        <v>0.1232</v>
      </c>
      <c r="H582" s="60">
        <f t="shared" si="54"/>
        <v>0.13639956269670364</v>
      </c>
    </row>
    <row r="583" spans="1:11" s="337" customFormat="1" ht="20.100000000000001" customHeight="1">
      <c r="A583" s="337">
        <v>54</v>
      </c>
      <c r="B583" s="182">
        <v>6.1440999999999999</v>
      </c>
      <c r="C583" s="182">
        <v>9.1752000000000002</v>
      </c>
      <c r="D583" s="182">
        <v>9.4994999999999994</v>
      </c>
      <c r="E583" s="60">
        <f t="shared" si="52"/>
        <v>3.0311000000000003</v>
      </c>
      <c r="F583" s="60">
        <f t="shared" si="53"/>
        <v>3.3553999999999995</v>
      </c>
      <c r="G583" s="60">
        <v>0.12598500000000001</v>
      </c>
      <c r="H583" s="60">
        <f t="shared" si="54"/>
        <v>0.13946424367391375</v>
      </c>
    </row>
    <row r="584" spans="1:11" s="337" customFormat="1" ht="20.100000000000001" customHeight="1">
      <c r="A584" s="337" t="s">
        <v>903</v>
      </c>
      <c r="B584" s="182">
        <v>6.1196000000000002</v>
      </c>
      <c r="C584" s="182">
        <v>9.1509</v>
      </c>
      <c r="D584" s="182">
        <v>9.4747000000000003</v>
      </c>
      <c r="E584" s="60">
        <f t="shared" si="52"/>
        <v>3.0312999999999999</v>
      </c>
      <c r="F584" s="60">
        <f t="shared" si="53"/>
        <v>3.3551000000000002</v>
      </c>
      <c r="G584" s="60">
        <v>0.12623400000000001</v>
      </c>
      <c r="H584" s="60">
        <f t="shared" si="54"/>
        <v>0.1397181715435622</v>
      </c>
    </row>
    <row r="585" spans="1:11" s="337" customFormat="1" ht="20.100000000000001" customHeight="1">
      <c r="A585" s="338" t="s">
        <v>110</v>
      </c>
      <c r="B585" s="141">
        <v>6.1215000000000002</v>
      </c>
      <c r="C585" s="141">
        <v>9.4171999999999993</v>
      </c>
      <c r="D585" s="141">
        <v>9.7410999999999994</v>
      </c>
      <c r="E585" s="81">
        <f t="shared" si="52"/>
        <v>3.2956999999999992</v>
      </c>
      <c r="F585" s="81">
        <f t="shared" si="53"/>
        <v>3.6195999999999993</v>
      </c>
      <c r="G585" s="81">
        <v>1.2947999999999999E-2</v>
      </c>
      <c r="H585" s="81">
        <f t="shared" si="54"/>
        <v>1.422052395545711E-2</v>
      </c>
    </row>
    <row r="586" spans="1:11" s="337" customFormat="1" ht="20.100000000000001" customHeight="1">
      <c r="A586" s="337" t="s">
        <v>459</v>
      </c>
      <c r="G586" s="335" t="s">
        <v>260</v>
      </c>
      <c r="H586" s="60">
        <f>AVERAGE(H577:H583)</f>
        <v>0.13678691561534898</v>
      </c>
    </row>
    <row r="587" spans="1:11" ht="20.100000000000001" customHeight="1">
      <c r="G587" s="335" t="s">
        <v>429</v>
      </c>
      <c r="H587" s="60">
        <f>STDEV(H577:H583)</f>
        <v>1.5006113261547135E-3</v>
      </c>
    </row>
    <row r="588" spans="1:11" ht="20.100000000000001" customHeight="1">
      <c r="G588" s="336" t="s">
        <v>262</v>
      </c>
      <c r="H588" s="208">
        <f>H587/H586</f>
        <v>1.0970430317871198E-2</v>
      </c>
    </row>
    <row r="590" spans="1:11" ht="20.100000000000001" customHeight="1">
      <c r="A590" s="57" t="s">
        <v>904</v>
      </c>
    </row>
    <row r="591" spans="1:11" ht="20.100000000000001" customHeight="1">
      <c r="A591" s="57" t="s">
        <v>905</v>
      </c>
    </row>
    <row r="592" spans="1:11" ht="20.100000000000001" customHeight="1">
      <c r="A592" s="57" t="s">
        <v>906</v>
      </c>
    </row>
    <row r="594" spans="1:2" ht="20.100000000000001" customHeight="1">
      <c r="A594" s="57" t="s">
        <v>907</v>
      </c>
    </row>
    <row r="596" spans="1:2" ht="20.100000000000001" customHeight="1">
      <c r="A596" s="57">
        <v>54</v>
      </c>
    </row>
    <row r="597" spans="1:2" ht="20.100000000000001" customHeight="1">
      <c r="A597" s="57">
        <v>29</v>
      </c>
    </row>
    <row r="598" spans="1:2" ht="20.100000000000001" customHeight="1">
      <c r="A598" s="57">
        <v>2</v>
      </c>
    </row>
    <row r="599" spans="1:2" ht="20.100000000000001" customHeight="1">
      <c r="A599" s="57">
        <v>7</v>
      </c>
    </row>
    <row r="600" spans="1:2" ht="20.100000000000001" customHeight="1">
      <c r="A600" s="57">
        <v>38</v>
      </c>
    </row>
    <row r="601" spans="1:2" ht="20.100000000000001" customHeight="1">
      <c r="A601" s="57">
        <v>28</v>
      </c>
    </row>
    <row r="602" spans="1:2" ht="20.100000000000001" customHeight="1">
      <c r="A602" s="57">
        <v>24</v>
      </c>
    </row>
    <row r="604" spans="1:2" s="149" customFormat="1" ht="20.100000000000001" customHeight="1">
      <c r="A604" s="150" t="s">
        <v>908</v>
      </c>
    </row>
    <row r="606" spans="1:2" ht="20.100000000000001" customHeight="1">
      <c r="A606" s="347" t="s">
        <v>2</v>
      </c>
      <c r="B606" s="235">
        <v>45035</v>
      </c>
    </row>
    <row r="607" spans="1:2" ht="20.100000000000001" customHeight="1">
      <c r="A607" s="347"/>
    </row>
    <row r="608" spans="1:2" s="342" customFormat="1" ht="20.100000000000001" customHeight="1">
      <c r="A608" s="347" t="s">
        <v>909</v>
      </c>
    </row>
    <row r="609" spans="1:11" s="342" customFormat="1" ht="20.100000000000001" customHeight="1"/>
    <row r="610" spans="1:11" s="342" customFormat="1" ht="20.100000000000001" customHeight="1">
      <c r="A610" s="348" t="s">
        <v>4</v>
      </c>
      <c r="B610" s="348" t="s">
        <v>99</v>
      </c>
      <c r="C610" s="348" t="s">
        <v>100</v>
      </c>
      <c r="D610" s="348" t="s">
        <v>532</v>
      </c>
      <c r="E610" s="348" t="s">
        <v>275</v>
      </c>
      <c r="F610" s="348" t="s">
        <v>116</v>
      </c>
      <c r="G610" s="348" t="s">
        <v>114</v>
      </c>
      <c r="H610" s="347" t="s">
        <v>108</v>
      </c>
      <c r="I610" s="347" t="s">
        <v>108</v>
      </c>
      <c r="J610" s="348"/>
      <c r="K610" s="348" t="s">
        <v>532</v>
      </c>
    </row>
    <row r="611" spans="1:11" s="342" customFormat="1" ht="20.100000000000001" customHeight="1">
      <c r="A611" s="343" t="s">
        <v>96</v>
      </c>
      <c r="B611" s="343" t="s">
        <v>64</v>
      </c>
      <c r="C611" s="343" t="s">
        <v>64</v>
      </c>
      <c r="D611" s="343" t="s">
        <v>64</v>
      </c>
      <c r="E611" s="343" t="s">
        <v>64</v>
      </c>
      <c r="F611" s="343" t="s">
        <v>64</v>
      </c>
      <c r="G611" s="343" t="s">
        <v>64</v>
      </c>
      <c r="H611" s="343" t="s">
        <v>476</v>
      </c>
      <c r="I611" s="343" t="s">
        <v>447</v>
      </c>
      <c r="J611" s="345"/>
      <c r="K611" s="343" t="s">
        <v>156</v>
      </c>
    </row>
    <row r="612" spans="1:11" s="342" customFormat="1" ht="20.100000000000001" customHeight="1">
      <c r="A612" s="346" t="s">
        <v>913</v>
      </c>
      <c r="B612" s="137">
        <v>6.1516999999999999</v>
      </c>
      <c r="C612" s="137">
        <v>11.2302</v>
      </c>
      <c r="D612" s="137">
        <f>C612</f>
        <v>11.2302</v>
      </c>
      <c r="E612" s="137">
        <v>11.432700000000001</v>
      </c>
      <c r="F612" s="82">
        <f t="shared" ref="F612:F617" si="55">C612-B612</f>
        <v>5.0785</v>
      </c>
      <c r="G612" s="82">
        <f t="shared" ref="G612:G617" si="56">E612-B612</f>
        <v>5.2810000000000006</v>
      </c>
      <c r="H612" s="82">
        <v>8.5171999999999998E-2</v>
      </c>
      <c r="I612" s="82">
        <f>H612*G612/F612</f>
        <v>8.8568146499950776E-2</v>
      </c>
      <c r="J612" s="345"/>
      <c r="K612" s="171">
        <f>1000000*(D612-C612)/(D612-B612)</f>
        <v>0</v>
      </c>
    </row>
    <row r="613" spans="1:11" s="342" customFormat="1" ht="20.100000000000001" customHeight="1">
      <c r="A613" s="345" t="s">
        <v>914</v>
      </c>
      <c r="B613" s="139">
        <v>6.1296999999999997</v>
      </c>
      <c r="C613" s="139">
        <v>11.2235</v>
      </c>
      <c r="D613" s="139">
        <f>C613</f>
        <v>11.2235</v>
      </c>
      <c r="E613" s="139">
        <v>11.4246</v>
      </c>
      <c r="F613" s="80">
        <f t="shared" si="55"/>
        <v>5.0937999999999999</v>
      </c>
      <c r="G613" s="80">
        <f t="shared" si="56"/>
        <v>5.2949000000000002</v>
      </c>
      <c r="H613" s="80">
        <v>8.5828000000000002E-2</v>
      </c>
      <c r="I613" s="80">
        <f t="shared" ref="I613:I617" si="57">H613*G613/F613</f>
        <v>8.9216435117201315E-2</v>
      </c>
      <c r="J613" s="345"/>
      <c r="K613" s="171">
        <f t="shared" ref="K613:K617" si="58">1000000*(D613-C613)/(D613-B613)</f>
        <v>0</v>
      </c>
    </row>
    <row r="614" spans="1:11" s="342" customFormat="1" ht="20.100000000000001" customHeight="1">
      <c r="A614" s="345" t="s">
        <v>915</v>
      </c>
      <c r="B614" s="182">
        <v>6.1273</v>
      </c>
      <c r="C614" s="182">
        <v>11.2263</v>
      </c>
      <c r="D614" s="182">
        <f>C614</f>
        <v>11.2263</v>
      </c>
      <c r="E614" s="182">
        <v>11.427199999999999</v>
      </c>
      <c r="F614" s="60">
        <f t="shared" si="55"/>
        <v>5.0990000000000002</v>
      </c>
      <c r="G614" s="60">
        <f t="shared" si="56"/>
        <v>5.2998999999999992</v>
      </c>
      <c r="H614" s="60">
        <v>8.5331000000000004E-2</v>
      </c>
      <c r="I614" s="60">
        <f t="shared" si="57"/>
        <v>8.8693031359089999E-2</v>
      </c>
      <c r="J614" s="345"/>
      <c r="K614" s="171">
        <f t="shared" si="58"/>
        <v>0</v>
      </c>
    </row>
    <row r="615" spans="1:11" s="342" customFormat="1" ht="20.100000000000001" customHeight="1">
      <c r="A615" s="342" t="s">
        <v>910</v>
      </c>
      <c r="B615" s="182">
        <v>6.1212</v>
      </c>
      <c r="C615" s="182">
        <v>11.217499999999999</v>
      </c>
      <c r="D615" s="182">
        <v>11.221</v>
      </c>
      <c r="E615" s="182">
        <v>11.4223</v>
      </c>
      <c r="F615" s="60">
        <f t="shared" si="55"/>
        <v>5.0962999999999994</v>
      </c>
      <c r="G615" s="60">
        <f t="shared" si="56"/>
        <v>5.3010999999999999</v>
      </c>
      <c r="H615" s="60">
        <v>8.5642999999999997E-2</v>
      </c>
      <c r="I615" s="60">
        <f t="shared" si="57"/>
        <v>8.9084651080195434E-2</v>
      </c>
      <c r="J615" s="345"/>
      <c r="K615" s="171">
        <f t="shared" si="58"/>
        <v>686.3014235853808</v>
      </c>
    </row>
    <row r="616" spans="1:11" s="342" customFormat="1" ht="20.100000000000001" customHeight="1">
      <c r="A616" s="342" t="s">
        <v>911</v>
      </c>
      <c r="B616" s="182">
        <v>6.1220999999999997</v>
      </c>
      <c r="C616" s="182">
        <v>11.2133</v>
      </c>
      <c r="D616" s="182">
        <v>11.216900000000001</v>
      </c>
      <c r="E616" s="182">
        <v>11.417400000000001</v>
      </c>
      <c r="F616" s="60">
        <f t="shared" si="55"/>
        <v>5.0912000000000006</v>
      </c>
      <c r="G616" s="60">
        <f t="shared" si="56"/>
        <v>5.295300000000001</v>
      </c>
      <c r="H616" s="60">
        <v>8.5478999999999999E-2</v>
      </c>
      <c r="I616" s="60">
        <f t="shared" si="57"/>
        <v>8.8905748880421132E-2</v>
      </c>
      <c r="J616" s="345"/>
      <c r="K616" s="171">
        <f t="shared" si="58"/>
        <v>706.60281070905444</v>
      </c>
    </row>
    <row r="617" spans="1:11" s="342" customFormat="1" ht="20.100000000000001" customHeight="1">
      <c r="A617" s="343" t="s">
        <v>912</v>
      </c>
      <c r="B617" s="141">
        <v>6.0888</v>
      </c>
      <c r="C617" s="141">
        <v>11.1768</v>
      </c>
      <c r="D617" s="141">
        <v>11.1805</v>
      </c>
      <c r="E617" s="141">
        <v>11.3813</v>
      </c>
      <c r="F617" s="81">
        <f t="shared" si="55"/>
        <v>5.0880000000000001</v>
      </c>
      <c r="G617" s="81">
        <f t="shared" si="56"/>
        <v>5.2924999999999995</v>
      </c>
      <c r="H617" s="81">
        <v>8.5585999999999995E-2</v>
      </c>
      <c r="I617" s="81">
        <f t="shared" si="57"/>
        <v>8.9025924724842762E-2</v>
      </c>
      <c r="K617" s="172">
        <f t="shared" si="58"/>
        <v>726.67282047258448</v>
      </c>
    </row>
    <row r="618" spans="1:11" s="342" customFormat="1" ht="20.100000000000001" customHeight="1">
      <c r="A618" s="342" t="s">
        <v>459</v>
      </c>
      <c r="H618" s="347" t="s">
        <v>260</v>
      </c>
      <c r="I618" s="60">
        <f>AVERAGE(I612:I614)</f>
        <v>8.882587099208071E-2</v>
      </c>
    </row>
    <row r="619" spans="1:11" s="342" customFormat="1" ht="20.100000000000001" customHeight="1">
      <c r="A619" s="342" t="s">
        <v>916</v>
      </c>
      <c r="H619" s="347" t="s">
        <v>429</v>
      </c>
      <c r="I619" s="154">
        <f>STDEV(I612:I614)</f>
        <v>3.4395393424698807E-4</v>
      </c>
    </row>
    <row r="620" spans="1:11" s="342" customFormat="1" ht="20.100000000000001" customHeight="1">
      <c r="H620" s="344" t="s">
        <v>262</v>
      </c>
      <c r="I620" s="208">
        <f>I619/I618</f>
        <v>3.8722269807819091E-3</v>
      </c>
    </row>
    <row r="621" spans="1:11" s="342" customFormat="1" ht="20.100000000000001" customHeight="1">
      <c r="G621" s="348"/>
      <c r="H621" s="347" t="s">
        <v>260</v>
      </c>
      <c r="I621" s="60">
        <f>AVERAGE(I615:I617)</f>
        <v>8.9005441561819776E-2</v>
      </c>
    </row>
    <row r="622" spans="1:11" ht="20.100000000000001" customHeight="1">
      <c r="H622" s="347" t="s">
        <v>429</v>
      </c>
      <c r="I622" s="60">
        <f>STDEV(I615:I617)</f>
        <v>9.1193032884046579E-5</v>
      </c>
    </row>
    <row r="623" spans="1:11" ht="20.100000000000001" customHeight="1">
      <c r="A623" s="57" t="s">
        <v>917</v>
      </c>
      <c r="H623" s="344" t="s">
        <v>262</v>
      </c>
      <c r="I623" s="208">
        <f>I622/I621</f>
        <v>1.0245781750400889E-3</v>
      </c>
    </row>
    <row r="624" spans="1:11" s="342" customFormat="1" ht="20.100000000000001" customHeight="1">
      <c r="A624" s="57" t="s">
        <v>918</v>
      </c>
      <c r="H624" s="348"/>
      <c r="I624" s="206"/>
    </row>
    <row r="625" spans="1:5" ht="20.100000000000001" customHeight="1">
      <c r="A625" s="57" t="s">
        <v>919</v>
      </c>
    </row>
    <row r="626" spans="1:5" s="342" customFormat="1" ht="20.100000000000001" customHeight="1"/>
    <row r="627" spans="1:5" s="149" customFormat="1" ht="20.100000000000001" customHeight="1">
      <c r="A627" s="150" t="s">
        <v>1206</v>
      </c>
    </row>
    <row r="629" spans="1:5" ht="20.100000000000001" customHeight="1">
      <c r="A629" s="364" t="s">
        <v>2</v>
      </c>
      <c r="B629" s="235">
        <v>45293</v>
      </c>
    </row>
    <row r="630" spans="1:5" s="365" customFormat="1" ht="20.100000000000001" customHeight="1">
      <c r="A630" s="364"/>
      <c r="B630" s="235"/>
    </row>
    <row r="631" spans="1:5" s="365" customFormat="1" ht="20.100000000000001" customHeight="1">
      <c r="A631" s="364" t="s">
        <v>966</v>
      </c>
      <c r="B631" s="235"/>
    </row>
    <row r="632" spans="1:5" s="365" customFormat="1" ht="20.100000000000001" customHeight="1">
      <c r="A632" s="365" t="s">
        <v>952</v>
      </c>
      <c r="B632" s="235"/>
    </row>
    <row r="633" spans="1:5" s="365" customFormat="1" ht="20.100000000000001" customHeight="1">
      <c r="A633" s="365" t="s">
        <v>953</v>
      </c>
      <c r="B633" s="235"/>
    </row>
    <row r="634" spans="1:5" s="365" customFormat="1" ht="20.100000000000001" customHeight="1">
      <c r="A634" s="365" t="s">
        <v>956</v>
      </c>
      <c r="B634" s="60">
        <v>0.19850000000000001</v>
      </c>
      <c r="C634" s="365" t="s">
        <v>64</v>
      </c>
    </row>
    <row r="635" spans="1:5" s="365" customFormat="1" ht="20.100000000000001" customHeight="1">
      <c r="A635" s="365" t="s">
        <v>954</v>
      </c>
      <c r="B635" s="60">
        <v>127.6409</v>
      </c>
      <c r="C635" s="365" t="s">
        <v>64</v>
      </c>
    </row>
    <row r="636" spans="1:5" s="365" customFormat="1" ht="20.100000000000001" customHeight="1">
      <c r="A636" s="364" t="s">
        <v>955</v>
      </c>
      <c r="B636" s="165" t="s">
        <v>957</v>
      </c>
      <c r="C636" s="364" t="s">
        <v>959</v>
      </c>
    </row>
    <row r="637" spans="1:5" s="365" customFormat="1" ht="20.100000000000001" customHeight="1">
      <c r="B637" s="235"/>
    </row>
    <row r="638" spans="1:5" s="365" customFormat="1" ht="20.100000000000001" customHeight="1">
      <c r="A638" s="364" t="s">
        <v>951</v>
      </c>
      <c r="B638" s="235"/>
      <c r="E638" s="364"/>
    </row>
    <row r="639" spans="1:5" s="365" customFormat="1" ht="20.100000000000001" customHeight="1">
      <c r="A639" s="365" t="s">
        <v>958</v>
      </c>
      <c r="B639" s="235"/>
    </row>
    <row r="640" spans="1:5" s="365" customFormat="1" ht="20.100000000000001" customHeight="1">
      <c r="A640" s="60" t="str">
        <f>B636</f>
        <v>~ 959</v>
      </c>
      <c r="B640" s="60">
        <v>0.63100000000000001</v>
      </c>
      <c r="C640" s="365" t="s">
        <v>960</v>
      </c>
    </row>
    <row r="641" spans="1:6" ht="20.100000000000001" customHeight="1">
      <c r="A641" s="239" t="s">
        <v>961</v>
      </c>
      <c r="B641" s="60">
        <v>50</v>
      </c>
      <c r="C641" s="239" t="s">
        <v>960</v>
      </c>
    </row>
    <row r="642" spans="1:6" s="365" customFormat="1" ht="20.100000000000001" customHeight="1">
      <c r="A642" s="364" t="s">
        <v>955</v>
      </c>
      <c r="B642" s="165" t="s">
        <v>962</v>
      </c>
      <c r="C642" s="364" t="s">
        <v>959</v>
      </c>
    </row>
    <row r="643" spans="1:6" s="365" customFormat="1" ht="20.100000000000001" customHeight="1"/>
    <row r="644" spans="1:6" ht="20.100000000000001" customHeight="1">
      <c r="A644" s="367" t="s">
        <v>549</v>
      </c>
      <c r="B644" s="367" t="str">
        <f t="shared" ref="B644:B652" si="59">B510</f>
        <v>Unit</v>
      </c>
      <c r="C644" s="367" t="s">
        <v>4</v>
      </c>
      <c r="D644" s="367" t="s">
        <v>98</v>
      </c>
    </row>
    <row r="645" spans="1:6" ht="20.100000000000001" customHeight="1">
      <c r="A645" s="366" t="s">
        <v>550</v>
      </c>
      <c r="B645" s="366" t="str">
        <f t="shared" si="59"/>
        <v>N</v>
      </c>
      <c r="C645" s="366" t="s">
        <v>948</v>
      </c>
      <c r="D645" s="366" t="s">
        <v>949</v>
      </c>
    </row>
    <row r="646" spans="1:6" ht="20.100000000000001" customHeight="1">
      <c r="A646" s="365">
        <f t="shared" ref="A646:A652" si="60">A512</f>
        <v>2</v>
      </c>
      <c r="B646" s="365" t="str">
        <f t="shared" si="59"/>
        <v>MOOS0062</v>
      </c>
      <c r="C646" s="365">
        <f>50-1</f>
        <v>49</v>
      </c>
      <c r="D646" s="60">
        <f>I525</f>
        <v>0.92152567702871846</v>
      </c>
    </row>
    <row r="647" spans="1:6" ht="20.100000000000001" customHeight="1">
      <c r="A647" s="365">
        <f t="shared" si="60"/>
        <v>7</v>
      </c>
      <c r="B647" s="365" t="str">
        <f t="shared" si="59"/>
        <v>MOOS0357</v>
      </c>
      <c r="C647" s="239">
        <f>50-1</f>
        <v>49</v>
      </c>
      <c r="D647" s="60">
        <f t="shared" ref="D647:D652" si="61">I526</f>
        <v>0.93385262356164211</v>
      </c>
      <c r="F647" s="365"/>
    </row>
    <row r="648" spans="1:6" ht="20.100000000000001" customHeight="1">
      <c r="A648" s="365">
        <f t="shared" si="60"/>
        <v>24</v>
      </c>
      <c r="B648" s="365" t="str">
        <f t="shared" si="59"/>
        <v>MOOS1299</v>
      </c>
      <c r="C648" s="239">
        <f>50-1</f>
        <v>49</v>
      </c>
      <c r="D648" s="60">
        <f t="shared" si="61"/>
        <v>0.89036024483761478</v>
      </c>
      <c r="F648" s="365"/>
    </row>
    <row r="649" spans="1:6" ht="20.100000000000001" customHeight="1">
      <c r="A649" s="365">
        <f t="shared" si="60"/>
        <v>28</v>
      </c>
      <c r="B649" s="365" t="str">
        <f t="shared" si="59"/>
        <v>MOOS1550</v>
      </c>
      <c r="C649" s="239">
        <f>49-1</f>
        <v>48</v>
      </c>
      <c r="D649" s="60">
        <f t="shared" si="61"/>
        <v>0.91773907470078597</v>
      </c>
      <c r="F649" s="365"/>
    </row>
    <row r="650" spans="1:6" ht="20.100000000000001" customHeight="1">
      <c r="A650" s="365">
        <f t="shared" si="60"/>
        <v>29</v>
      </c>
      <c r="B650" s="365" t="str">
        <f t="shared" si="59"/>
        <v>MOOS1570</v>
      </c>
      <c r="C650" s="239">
        <f>50-1</f>
        <v>49</v>
      </c>
      <c r="D650" s="60">
        <f t="shared" si="61"/>
        <v>0.88240776478555516</v>
      </c>
      <c r="F650" s="365"/>
    </row>
    <row r="651" spans="1:6" ht="20.100000000000001" customHeight="1">
      <c r="A651" s="365">
        <f t="shared" si="60"/>
        <v>38</v>
      </c>
      <c r="B651" s="365" t="str">
        <f t="shared" si="59"/>
        <v>MOOS2080</v>
      </c>
      <c r="C651" s="239">
        <f>50-1</f>
        <v>49</v>
      </c>
      <c r="D651" s="60">
        <f t="shared" si="61"/>
        <v>0.89260969987449046</v>
      </c>
      <c r="F651" s="365"/>
    </row>
    <row r="652" spans="1:6" ht="20.100000000000001" customHeight="1">
      <c r="A652" s="366">
        <f t="shared" si="60"/>
        <v>54</v>
      </c>
      <c r="B652" s="366" t="str">
        <f t="shared" si="59"/>
        <v>MOOS2984</v>
      </c>
      <c r="C652" s="366">
        <f>38-1</f>
        <v>37</v>
      </c>
      <c r="D652" s="81">
        <f t="shared" si="61"/>
        <v>0.83352572532179248</v>
      </c>
      <c r="F652" s="365"/>
    </row>
    <row r="653" spans="1:6" ht="20.100000000000001" customHeight="1">
      <c r="A653" s="239" t="s">
        <v>963</v>
      </c>
      <c r="D653" s="207">
        <f>SUMPRODUCT(D646:D652,C646:C652)/SUM(C646:C652)</f>
        <v>0.89820900580865781</v>
      </c>
    </row>
    <row r="654" spans="1:6" ht="20.100000000000001" customHeight="1">
      <c r="A654" s="364" t="s">
        <v>950</v>
      </c>
    </row>
    <row r="656" spans="1:6" ht="20.100000000000001" customHeight="1">
      <c r="A656" s="364" t="s">
        <v>2</v>
      </c>
      <c r="B656" s="235">
        <v>45300</v>
      </c>
    </row>
    <row r="658" spans="1:6" ht="20.100000000000001" customHeight="1">
      <c r="A658" s="364" t="s">
        <v>964</v>
      </c>
    </row>
    <row r="660" spans="1:6" ht="20.100000000000001" customHeight="1">
      <c r="A660" s="364" t="s">
        <v>965</v>
      </c>
      <c r="B660" s="235"/>
    </row>
    <row r="661" spans="1:6" s="371" customFormat="1" ht="20.100000000000001" customHeight="1">
      <c r="A661" s="371" t="s">
        <v>526</v>
      </c>
      <c r="B661" s="253">
        <v>11.8034</v>
      </c>
      <c r="C661" s="371" t="s">
        <v>64</v>
      </c>
    </row>
    <row r="662" spans="1:6" ht="20.100000000000001" customHeight="1">
      <c r="A662" s="60" t="str">
        <f>B636</f>
        <v>~ 959</v>
      </c>
      <c r="B662" s="253">
        <v>12.3735</v>
      </c>
      <c r="C662" s="239" t="s">
        <v>64</v>
      </c>
      <c r="D662" s="60">
        <f>0.631*D653</f>
        <v>0.56676988266526307</v>
      </c>
      <c r="E662" s="239" t="s">
        <v>960</v>
      </c>
      <c r="F662" s="166"/>
    </row>
    <row r="663" spans="1:6" ht="20.100000000000001" customHeight="1">
      <c r="A663" s="365" t="s">
        <v>961</v>
      </c>
      <c r="B663" s="253">
        <v>62.4846</v>
      </c>
      <c r="C663" s="239" t="s">
        <v>64</v>
      </c>
      <c r="D663" s="60">
        <v>50</v>
      </c>
      <c r="E663" s="239" t="s">
        <v>960</v>
      </c>
    </row>
    <row r="664" spans="1:6" ht="20.100000000000001" customHeight="1">
      <c r="A664" s="364" t="s">
        <v>955</v>
      </c>
      <c r="B664" s="165" t="str">
        <f>"~ "&amp;ROUND(959*(B662-B661)/(B663-B661),2)</f>
        <v>~ 10.79</v>
      </c>
    </row>
    <row r="666" spans="1:6" s="149" customFormat="1" ht="20.100000000000001" customHeight="1">
      <c r="A666" s="150" t="s">
        <v>1207</v>
      </c>
    </row>
    <row r="668" spans="1:6" ht="20.100000000000001" customHeight="1">
      <c r="A668" s="436" t="s">
        <v>2</v>
      </c>
      <c r="B668" s="235">
        <v>45316</v>
      </c>
      <c r="C668" s="437"/>
      <c r="D668" s="437"/>
      <c r="E668" s="437"/>
    </row>
    <row r="669" spans="1:6" s="437" customFormat="1" ht="20.100000000000001" customHeight="1">
      <c r="A669" s="436"/>
      <c r="B669" s="235"/>
    </row>
    <row r="670" spans="1:6" s="437" customFormat="1" ht="20.100000000000001" customHeight="1">
      <c r="A670" s="436" t="s">
        <v>966</v>
      </c>
      <c r="B670" s="235"/>
    </row>
    <row r="671" spans="1:6" s="437" customFormat="1" ht="20.100000000000001" customHeight="1">
      <c r="A671" s="437" t="s">
        <v>952</v>
      </c>
      <c r="B671" s="235"/>
    </row>
    <row r="672" spans="1:6" s="437" customFormat="1" ht="20.100000000000001" customHeight="1">
      <c r="A672" s="437" t="s">
        <v>953</v>
      </c>
      <c r="B672" s="235"/>
    </row>
    <row r="673" spans="1:6" s="437" customFormat="1" ht="20.100000000000001" customHeight="1">
      <c r="A673" s="437" t="s">
        <v>956</v>
      </c>
      <c r="B673" s="60">
        <v>0.19850000000000001</v>
      </c>
      <c r="C673" s="437" t="s">
        <v>64</v>
      </c>
    </row>
    <row r="674" spans="1:6" s="437" customFormat="1" ht="20.100000000000001" customHeight="1">
      <c r="A674" s="437" t="s">
        <v>954</v>
      </c>
      <c r="B674" s="60">
        <v>127.6409</v>
      </c>
      <c r="C674" s="437" t="s">
        <v>64</v>
      </c>
    </row>
    <row r="675" spans="1:6" s="437" customFormat="1" ht="20.100000000000001" customHeight="1">
      <c r="A675" s="436" t="s">
        <v>955</v>
      </c>
      <c r="B675" s="165" t="s">
        <v>957</v>
      </c>
      <c r="C675" s="436" t="s">
        <v>959</v>
      </c>
    </row>
    <row r="676" spans="1:6" s="437" customFormat="1" ht="20.100000000000001" customHeight="1">
      <c r="A676" s="436"/>
      <c r="B676" s="235"/>
    </row>
    <row r="677" spans="1:6" s="437" customFormat="1" ht="20.100000000000001" customHeight="1">
      <c r="A677" s="436" t="s">
        <v>1209</v>
      </c>
      <c r="B677" s="235"/>
    </row>
    <row r="678" spans="1:6" s="437" customFormat="1" ht="20.100000000000001" customHeight="1">
      <c r="A678" s="437" t="s">
        <v>1210</v>
      </c>
      <c r="B678" s="235"/>
    </row>
    <row r="679" spans="1:6" s="437" customFormat="1" ht="20.100000000000001" customHeight="1">
      <c r="A679" s="437" t="s">
        <v>1211</v>
      </c>
      <c r="B679" s="60">
        <v>0.188</v>
      </c>
      <c r="C679" s="437" t="s">
        <v>64</v>
      </c>
    </row>
    <row r="680" spans="1:6" s="437" customFormat="1" ht="20.100000000000001" customHeight="1">
      <c r="A680" s="437" t="s">
        <v>1213</v>
      </c>
      <c r="B680" s="60">
        <v>124.7191</v>
      </c>
      <c r="C680" s="437" t="s">
        <v>64</v>
      </c>
    </row>
    <row r="681" spans="1:6" s="437" customFormat="1" ht="20.100000000000001" customHeight="1">
      <c r="A681" s="436" t="s">
        <v>1212</v>
      </c>
      <c r="B681" s="452">
        <f>1000000*(B679/(70)*(47))/B680</f>
        <v>1012.1029692210047</v>
      </c>
      <c r="C681" s="436" t="s">
        <v>959</v>
      </c>
    </row>
    <row r="682" spans="1:6" s="437" customFormat="1" ht="20.100000000000001" customHeight="1">
      <c r="A682" s="436"/>
      <c r="B682" s="452"/>
      <c r="C682" s="436"/>
    </row>
    <row r="683" spans="1:6" ht="20.100000000000001" customHeight="1">
      <c r="A683" s="436" t="s">
        <v>1208</v>
      </c>
      <c r="B683" s="437"/>
      <c r="C683" s="437"/>
      <c r="D683" s="437"/>
      <c r="E683" s="437"/>
    </row>
    <row r="684" spans="1:6" s="437" customFormat="1" ht="20.100000000000001" customHeight="1">
      <c r="A684" s="436"/>
      <c r="B684" s="235"/>
    </row>
    <row r="685" spans="1:6" ht="20.100000000000001" customHeight="1">
      <c r="A685" s="437" t="s">
        <v>526</v>
      </c>
      <c r="B685" s="253">
        <v>21.887599999999999</v>
      </c>
      <c r="C685" s="437" t="s">
        <v>64</v>
      </c>
      <c r="D685" s="437"/>
      <c r="E685" s="437"/>
    </row>
    <row r="686" spans="1:6" ht="20.100000000000001" customHeight="1">
      <c r="A686" s="60" t="str">
        <f>B675&amp;" 15NO3"</f>
        <v>~ 959 15NO3</v>
      </c>
      <c r="B686" s="253">
        <v>23.012699999999999</v>
      </c>
      <c r="C686" s="437" t="s">
        <v>64</v>
      </c>
      <c r="D686" s="60" t="str">
        <f>TRUNC(D662,4)&amp;" x2"</f>
        <v>0.5667 x2</v>
      </c>
      <c r="E686" s="437" t="s">
        <v>960</v>
      </c>
    </row>
    <row r="687" spans="1:6" ht="20.100000000000001" customHeight="1">
      <c r="A687" s="60" t="str">
        <f>"~" &amp; TRUNC(B681,0)&amp;" 15NO2"</f>
        <v>~1012 15NO2</v>
      </c>
      <c r="B687" s="253">
        <v>23.093699999999998</v>
      </c>
      <c r="C687" s="437" t="s">
        <v>64</v>
      </c>
      <c r="D687" s="60">
        <v>8.1000000000000003E-2</v>
      </c>
      <c r="E687" s="437" t="s">
        <v>960</v>
      </c>
    </row>
    <row r="688" spans="1:6" s="437" customFormat="1" ht="20.100000000000001" customHeight="1">
      <c r="A688" s="437" t="s">
        <v>1213</v>
      </c>
      <c r="B688" s="253">
        <v>123.1084</v>
      </c>
      <c r="C688" s="437" t="s">
        <v>64</v>
      </c>
      <c r="D688" s="60">
        <v>100</v>
      </c>
      <c r="E688" s="437" t="s">
        <v>960</v>
      </c>
      <c r="F688" s="60" t="s">
        <v>1214</v>
      </c>
    </row>
    <row r="689" spans="1:5" ht="20.100000000000001" customHeight="1">
      <c r="A689" s="436" t="s">
        <v>955</v>
      </c>
      <c r="B689" s="165" t="str">
        <f>"~ "&amp;ROUND(959*(B686-B685)/(B688-B685),2)</f>
        <v>~ 10.66</v>
      </c>
      <c r="C689" s="437"/>
      <c r="D689" s="437"/>
      <c r="E689" s="437"/>
    </row>
    <row r="690" spans="1:5" ht="20.100000000000001" customHeight="1">
      <c r="A690" s="436" t="s">
        <v>1212</v>
      </c>
      <c r="B690" s="451" t="str">
        <f>"~ "&amp;ROUND(B681*(B687-B686)/(B688-B685),4)</f>
        <v>~ 0.8099</v>
      </c>
    </row>
    <row r="692" spans="1:5" s="149" customFormat="1" ht="20.100000000000001" customHeight="1">
      <c r="A692" s="150" t="s">
        <v>2264</v>
      </c>
    </row>
    <row r="694" spans="1:5" ht="20.100000000000001" customHeight="1">
      <c r="A694" s="446" t="s">
        <v>1269</v>
      </c>
    </row>
    <row r="695" spans="1:5" s="468" customFormat="1" ht="20.100000000000001" customHeight="1">
      <c r="A695" s="467" t="s">
        <v>2</v>
      </c>
      <c r="B695" s="235">
        <v>45322</v>
      </c>
    </row>
    <row r="696" spans="1:5" ht="20.100000000000001" customHeight="1">
      <c r="A696" s="239" t="s">
        <v>1215</v>
      </c>
    </row>
    <row r="697" spans="1:5" s="468" customFormat="1" ht="20.100000000000001" customHeight="1"/>
    <row r="698" spans="1:5" s="468" customFormat="1" ht="20.100000000000001" customHeight="1">
      <c r="A698" s="467" t="s">
        <v>1270</v>
      </c>
    </row>
    <row r="699" spans="1:5" s="468" customFormat="1" ht="20.100000000000001" customHeight="1">
      <c r="A699" s="467" t="s">
        <v>2</v>
      </c>
      <c r="B699" s="235">
        <v>45322</v>
      </c>
    </row>
    <row r="700" spans="1:5" s="468" customFormat="1" ht="20.100000000000001" customHeight="1">
      <c r="A700" s="468" t="s">
        <v>1271</v>
      </c>
    </row>
    <row r="701" spans="1:5" s="468" customFormat="1" ht="20.100000000000001" customHeight="1"/>
    <row r="702" spans="1:5" s="443" customFormat="1" ht="20.100000000000001" customHeight="1"/>
    <row r="703" spans="1:5" ht="20.100000000000001" customHeight="1">
      <c r="A703" s="446" t="s">
        <v>1216</v>
      </c>
    </row>
    <row r="704" spans="1:5" ht="20.100000000000001" customHeight="1">
      <c r="A704" s="469" t="s">
        <v>2</v>
      </c>
      <c r="B704" s="235">
        <v>45327</v>
      </c>
    </row>
    <row r="705" spans="1:14" ht="20.100000000000001" customHeight="1">
      <c r="A705" s="443" t="s">
        <v>965</v>
      </c>
      <c r="B705" s="235"/>
      <c r="C705" s="443"/>
      <c r="D705" s="443"/>
      <c r="E705" s="443"/>
    </row>
    <row r="706" spans="1:14" ht="20.100000000000001" customHeight="1">
      <c r="A706" s="443" t="s">
        <v>526</v>
      </c>
      <c r="B706" s="182">
        <v>8.2028999999999996</v>
      </c>
      <c r="C706" s="443" t="s">
        <v>64</v>
      </c>
      <c r="D706" s="443"/>
      <c r="E706" s="443"/>
    </row>
    <row r="707" spans="1:14" ht="20.100000000000001" customHeight="1">
      <c r="A707" s="60" t="str">
        <f>B675</f>
        <v>~ 959</v>
      </c>
      <c r="B707" s="182">
        <v>11.1911</v>
      </c>
      <c r="C707" s="443" t="s">
        <v>64</v>
      </c>
      <c r="D707" s="60">
        <v>3</v>
      </c>
      <c r="E707" s="443" t="s">
        <v>960</v>
      </c>
    </row>
    <row r="708" spans="1:14" ht="20.100000000000001" customHeight="1">
      <c r="A708" s="443" t="s">
        <v>961</v>
      </c>
      <c r="B708" s="182">
        <v>37.978499999999997</v>
      </c>
      <c r="C708" s="443" t="s">
        <v>64</v>
      </c>
      <c r="D708" s="60">
        <v>28.7</v>
      </c>
      <c r="E708" s="443" t="s">
        <v>960</v>
      </c>
    </row>
    <row r="709" spans="1:14" ht="20.100000000000001" customHeight="1">
      <c r="A709" s="446" t="s">
        <v>955</v>
      </c>
      <c r="B709" s="165" t="str">
        <f>"~ "&amp;ROUND(959*(B707-B706)/(B708-B706),2)</f>
        <v>~ 96.24</v>
      </c>
      <c r="C709" s="443"/>
      <c r="D709" s="443"/>
      <c r="E709" s="443"/>
    </row>
    <row r="711" spans="1:14" s="443" customFormat="1" ht="20.100000000000001" customHeight="1"/>
    <row r="712" spans="1:14" ht="20.100000000000001" customHeight="1">
      <c r="A712" s="446" t="s">
        <v>1268</v>
      </c>
    </row>
    <row r="713" spans="1:14" s="474" customFormat="1" ht="20.100000000000001" customHeight="1">
      <c r="A713" s="473" t="s">
        <v>2</v>
      </c>
      <c r="B713" s="235">
        <v>45328</v>
      </c>
    </row>
    <row r="714" spans="1:14" s="443" customFormat="1" ht="20.100000000000001" customHeight="1">
      <c r="A714" s="446"/>
    </row>
    <row r="715" spans="1:14" ht="20.100000000000001" customHeight="1">
      <c r="A715" s="445"/>
      <c r="B715" s="450" t="s">
        <v>169</v>
      </c>
      <c r="C715" s="450" t="s">
        <v>170</v>
      </c>
      <c r="D715" s="450" t="s">
        <v>171</v>
      </c>
      <c r="F715" s="807"/>
      <c r="G715" s="807"/>
      <c r="H715" s="807"/>
      <c r="I715" s="807"/>
      <c r="J715" s="807"/>
      <c r="K715" s="807"/>
      <c r="L715" s="807"/>
      <c r="M715" s="807"/>
      <c r="N715" s="807"/>
    </row>
    <row r="716" spans="1:14" s="443" customFormat="1" ht="20.100000000000001" customHeight="1">
      <c r="A716" s="444"/>
      <c r="B716" s="444" t="s">
        <v>64</v>
      </c>
      <c r="C716" s="444" t="s">
        <v>64</v>
      </c>
      <c r="D716" s="444" t="s">
        <v>64</v>
      </c>
      <c r="F716" s="86"/>
      <c r="G716" s="86"/>
      <c r="H716" s="86"/>
      <c r="I716" s="86"/>
      <c r="J716" s="86"/>
      <c r="K716" s="86"/>
      <c r="L716" s="86"/>
      <c r="M716" s="86"/>
      <c r="N716" s="86"/>
    </row>
    <row r="717" spans="1:14" ht="20.100000000000001" customHeight="1">
      <c r="A717" s="239" t="s">
        <v>526</v>
      </c>
      <c r="B717" s="182">
        <v>7.3194999999999997</v>
      </c>
      <c r="C717" s="182">
        <v>-1E-4</v>
      </c>
      <c r="D717" s="60">
        <f>B717-C717/2</f>
        <v>7.3195499999999996</v>
      </c>
      <c r="F717" s="86"/>
      <c r="G717" s="565"/>
      <c r="H717" s="86"/>
      <c r="I717" s="554"/>
      <c r="J717" s="86"/>
      <c r="K717" s="554"/>
      <c r="L717" s="554"/>
      <c r="M717" s="86"/>
      <c r="N717" s="86"/>
    </row>
    <row r="718" spans="1:14" ht="20.100000000000001" customHeight="1">
      <c r="A718" s="239" t="s">
        <v>1217</v>
      </c>
      <c r="B718" s="182">
        <v>8.0673999999999992</v>
      </c>
      <c r="C718" s="182">
        <v>-1E-4</v>
      </c>
      <c r="D718" s="60">
        <f t="shared" ref="D718:D719" si="62">B718-C718/2</f>
        <v>8.0674499999999991</v>
      </c>
    </row>
    <row r="719" spans="1:14" ht="20.100000000000001" customHeight="1">
      <c r="A719" s="444" t="s">
        <v>961</v>
      </c>
      <c r="B719" s="141">
        <v>17.227799999999998</v>
      </c>
      <c r="C719" s="141">
        <v>0</v>
      </c>
      <c r="D719" s="81">
        <f t="shared" si="62"/>
        <v>17.227799999999998</v>
      </c>
    </row>
    <row r="720" spans="1:14" ht="20.100000000000001" customHeight="1">
      <c r="A720" s="446" t="s">
        <v>1221</v>
      </c>
      <c r="B720" s="165"/>
      <c r="C720" s="443"/>
      <c r="D720" s="166">
        <f>1001*(D718-D717)/(D719-D717)</f>
        <v>75.558034970857591</v>
      </c>
    </row>
    <row r="721" spans="1:25" s="443" customFormat="1" ht="20.100000000000001" customHeight="1">
      <c r="A721" s="446" t="s">
        <v>1222</v>
      </c>
      <c r="B721" s="165"/>
    </row>
    <row r="723" spans="1:25" s="129" customFormat="1" ht="20.100000000000001" customHeight="1">
      <c r="B723" s="89" t="s">
        <v>158</v>
      </c>
      <c r="D723" s="89" t="s">
        <v>2156</v>
      </c>
      <c r="F723" s="89" t="s">
        <v>2159</v>
      </c>
      <c r="H723" s="89" t="s">
        <v>2158</v>
      </c>
      <c r="J723" s="588"/>
      <c r="K723" s="588"/>
      <c r="L723" s="588"/>
      <c r="M723" s="588"/>
      <c r="N723" s="588"/>
      <c r="O723" s="588"/>
      <c r="P723" s="89" t="s">
        <v>176</v>
      </c>
      <c r="R723" s="588"/>
      <c r="S723" s="588"/>
      <c r="T723" s="588"/>
      <c r="U723" s="588"/>
      <c r="V723" s="588"/>
      <c r="W723" s="588"/>
    </row>
    <row r="724" spans="1:25" s="129" customFormat="1" ht="20.100000000000001" customHeight="1">
      <c r="A724" s="89" t="s">
        <v>157</v>
      </c>
      <c r="B724" s="89" t="s">
        <v>1561</v>
      </c>
      <c r="C724" s="89" t="s">
        <v>1562</v>
      </c>
      <c r="D724" s="129" t="s">
        <v>169</v>
      </c>
      <c r="E724" s="129" t="s">
        <v>170</v>
      </c>
      <c r="F724" s="129" t="s">
        <v>169</v>
      </c>
      <c r="G724" s="129" t="s">
        <v>170</v>
      </c>
      <c r="H724" s="129" t="s">
        <v>169</v>
      </c>
      <c r="I724" s="129" t="s">
        <v>170</v>
      </c>
      <c r="J724" s="89" t="s">
        <v>140</v>
      </c>
      <c r="K724" s="89" t="s">
        <v>2008</v>
      </c>
      <c r="L724" s="89" t="s">
        <v>2009</v>
      </c>
      <c r="M724" s="714" t="s">
        <v>2150</v>
      </c>
      <c r="N724" s="714" t="s">
        <v>2151</v>
      </c>
      <c r="O724" s="714" t="s">
        <v>2152</v>
      </c>
      <c r="P724" s="89" t="s">
        <v>1561</v>
      </c>
      <c r="Q724" s="89" t="s">
        <v>1562</v>
      </c>
      <c r="R724" s="89" t="s">
        <v>179</v>
      </c>
      <c r="S724" s="89" t="s">
        <v>159</v>
      </c>
      <c r="T724" s="89" t="s">
        <v>160</v>
      </c>
      <c r="U724" s="89" t="s">
        <v>161</v>
      </c>
      <c r="V724" s="89" t="s">
        <v>79</v>
      </c>
      <c r="W724" s="89" t="s">
        <v>80</v>
      </c>
      <c r="X724" s="89" t="s">
        <v>3</v>
      </c>
      <c r="Y724" s="89" t="s">
        <v>75</v>
      </c>
    </row>
    <row r="725" spans="1:25" s="129" customFormat="1" ht="20.100000000000001" customHeight="1">
      <c r="A725" s="576" t="s">
        <v>162</v>
      </c>
      <c r="B725" s="576" t="s">
        <v>156</v>
      </c>
      <c r="C725" s="576" t="s">
        <v>156</v>
      </c>
      <c r="D725" s="576" t="s">
        <v>64</v>
      </c>
      <c r="E725" s="576" t="s">
        <v>64</v>
      </c>
      <c r="F725" s="576" t="s">
        <v>64</v>
      </c>
      <c r="G725" s="576" t="s">
        <v>64</v>
      </c>
      <c r="H725" s="576" t="s">
        <v>64</v>
      </c>
      <c r="I725" s="576" t="s">
        <v>64</v>
      </c>
      <c r="J725" s="576" t="s">
        <v>64</v>
      </c>
      <c r="K725" s="576" t="s">
        <v>64</v>
      </c>
      <c r="L725" s="576" t="s">
        <v>64</v>
      </c>
      <c r="M725" s="576" t="s">
        <v>64</v>
      </c>
      <c r="N725" s="576" t="s">
        <v>64</v>
      </c>
      <c r="O725" s="576" t="s">
        <v>64</v>
      </c>
      <c r="P725" s="576" t="s">
        <v>156</v>
      </c>
      <c r="Q725" s="576" t="s">
        <v>156</v>
      </c>
      <c r="R725" s="576" t="s">
        <v>74</v>
      </c>
      <c r="S725" s="576"/>
      <c r="T725" s="576" t="s">
        <v>163</v>
      </c>
      <c r="U725" s="576" t="s">
        <v>163</v>
      </c>
      <c r="V725" s="576" t="s">
        <v>92</v>
      </c>
      <c r="W725" s="576" t="s">
        <v>74</v>
      </c>
      <c r="X725" s="576" t="s">
        <v>90</v>
      </c>
      <c r="Y725" s="576" t="s">
        <v>91</v>
      </c>
    </row>
    <row r="726" spans="1:25" s="129" customFormat="1" ht="19.95" customHeight="1">
      <c r="A726" s="513" t="s">
        <v>2234</v>
      </c>
      <c r="B726" s="544">
        <v>1001</v>
      </c>
      <c r="C726" s="544">
        <v>2</v>
      </c>
      <c r="D726" s="539">
        <f>B717</f>
        <v>7.3194999999999997</v>
      </c>
      <c r="E726" s="539">
        <f>C717</f>
        <v>-1E-4</v>
      </c>
      <c r="F726" s="539">
        <f>B718</f>
        <v>8.0673999999999992</v>
      </c>
      <c r="G726" s="539">
        <f>C718</f>
        <v>-1E-4</v>
      </c>
      <c r="H726" s="539">
        <f>B719</f>
        <v>17.227799999999998</v>
      </c>
      <c r="I726" s="539">
        <f>C719</f>
        <v>0</v>
      </c>
      <c r="J726" s="112">
        <f>D726-E726/2</f>
        <v>7.3195499999999996</v>
      </c>
      <c r="K726" s="112">
        <f>F726-G726/2</f>
        <v>8.0674499999999991</v>
      </c>
      <c r="L726" s="112">
        <f>H726-I726/2</f>
        <v>17.227799999999998</v>
      </c>
      <c r="M726" s="513">
        <f>u_m1</f>
        <v>2.0000000000000001E-4</v>
      </c>
      <c r="N726" s="513">
        <f>u_m1</f>
        <v>2.0000000000000001E-4</v>
      </c>
      <c r="O726" s="513">
        <f>u_m1</f>
        <v>2.0000000000000001E-4</v>
      </c>
      <c r="P726" s="545" cm="1">
        <f t="array" ref="P726:Q726">WnA1S(B726:C726,J726:L726,M726:O726)</f>
        <v>75.558034970857591</v>
      </c>
      <c r="Q726" s="545">
        <v>0.1536607633243938</v>
      </c>
      <c r="R726" s="513" t="s">
        <v>2155</v>
      </c>
      <c r="S726" s="513" t="s">
        <v>2235</v>
      </c>
      <c r="T726" s="541">
        <v>20240206</v>
      </c>
      <c r="U726" s="513">
        <f>T726+1</f>
        <v>20240207</v>
      </c>
      <c r="V726" s="541">
        <v>21.8</v>
      </c>
      <c r="W726" s="541">
        <v>16.5</v>
      </c>
      <c r="X726" s="513" t="s">
        <v>101</v>
      </c>
      <c r="Y726" s="513" t="s">
        <v>94</v>
      </c>
    </row>
    <row r="727" spans="1:25" s="129" customFormat="1" ht="19.95" customHeight="1">
      <c r="A727" s="80" t="s">
        <v>1566</v>
      </c>
      <c r="B727" s="80"/>
      <c r="C727" s="80"/>
      <c r="D727" s="80"/>
      <c r="E727" s="588"/>
      <c r="F727" s="588"/>
      <c r="G727" s="588"/>
      <c r="H727" s="588"/>
      <c r="I727" s="588"/>
      <c r="J727" s="588"/>
      <c r="K727" s="588"/>
      <c r="L727" s="588"/>
      <c r="M727" s="588"/>
      <c r="N727" s="588"/>
      <c r="O727" s="588"/>
      <c r="P727" s="588"/>
      <c r="Q727" s="588"/>
      <c r="R727" s="588"/>
      <c r="S727" s="588"/>
      <c r="T727" s="588"/>
      <c r="U727" s="588"/>
      <c r="V727" s="588"/>
      <c r="W727" s="588"/>
    </row>
    <row r="728" spans="1:25" s="129" customFormat="1" ht="19.95" customHeight="1">
      <c r="A728" s="80"/>
      <c r="B728" s="80"/>
      <c r="C728" s="80"/>
      <c r="D728" s="80"/>
      <c r="E728" s="588"/>
      <c r="F728" s="588"/>
      <c r="G728" s="588"/>
      <c r="H728" s="588"/>
      <c r="I728" s="588"/>
      <c r="J728" s="588"/>
      <c r="K728" s="588"/>
      <c r="L728" s="588"/>
      <c r="M728" s="588"/>
      <c r="N728" s="588"/>
      <c r="O728" s="588"/>
      <c r="P728" s="588"/>
      <c r="Q728" s="588"/>
      <c r="R728" s="588"/>
      <c r="S728" s="588"/>
      <c r="T728" s="235"/>
      <c r="U728" s="588"/>
      <c r="V728" s="588"/>
      <c r="W728" s="588"/>
    </row>
    <row r="729" spans="1:25" ht="20.100000000000001" customHeight="1">
      <c r="A729" s="239" t="s">
        <v>1218</v>
      </c>
    </row>
    <row r="730" spans="1:25" ht="20.100000000000001" customHeight="1">
      <c r="A730" s="239" t="s">
        <v>1219</v>
      </c>
    </row>
    <row r="731" spans="1:25" ht="20.100000000000001" customHeight="1">
      <c r="A731" s="239" t="s">
        <v>1220</v>
      </c>
    </row>
    <row r="732" spans="1:25" s="443" customFormat="1" ht="20.100000000000001" customHeight="1"/>
    <row r="734" spans="1:25" ht="20.100000000000001" customHeight="1">
      <c r="A734" s="446" t="s">
        <v>1225</v>
      </c>
    </row>
    <row r="735" spans="1:25" s="474" customFormat="1" ht="20.100000000000001" customHeight="1">
      <c r="A735" s="473" t="s">
        <v>2</v>
      </c>
      <c r="B735" s="235">
        <v>45328</v>
      </c>
    </row>
    <row r="737" spans="1:5" ht="20.100000000000001" customHeight="1">
      <c r="A737" s="445"/>
      <c r="B737" s="450" t="s">
        <v>169</v>
      </c>
      <c r="C737" s="450" t="s">
        <v>170</v>
      </c>
      <c r="D737" s="450" t="s">
        <v>171</v>
      </c>
    </row>
    <row r="738" spans="1:5" ht="20.100000000000001" customHeight="1">
      <c r="A738" s="444"/>
      <c r="B738" s="444" t="s">
        <v>64</v>
      </c>
      <c r="C738" s="444" t="s">
        <v>64</v>
      </c>
      <c r="D738" s="444" t="s">
        <v>64</v>
      </c>
    </row>
    <row r="739" spans="1:5" ht="20.100000000000001" customHeight="1">
      <c r="A739" s="443" t="s">
        <v>526</v>
      </c>
      <c r="B739" s="182">
        <v>7.3131000000000004</v>
      </c>
      <c r="C739" s="182">
        <v>1E-4</v>
      </c>
      <c r="D739" s="60">
        <f>B739-C739/2</f>
        <v>7.3130500000000005</v>
      </c>
    </row>
    <row r="740" spans="1:5" ht="20.100000000000001" customHeight="1">
      <c r="A740" s="443" t="s">
        <v>1217</v>
      </c>
      <c r="B740" s="182">
        <v>8.0588999999999995</v>
      </c>
      <c r="C740" s="182">
        <v>0</v>
      </c>
      <c r="D740" s="60">
        <f t="shared" ref="D740:D742" si="63">B740-C740/2</f>
        <v>8.0588999999999995</v>
      </c>
    </row>
    <row r="741" spans="1:5" s="443" customFormat="1" ht="20.100000000000001" customHeight="1">
      <c r="A741" s="443" t="s">
        <v>1223</v>
      </c>
      <c r="B741" s="182">
        <v>11.058999999999999</v>
      </c>
      <c r="C741" s="182">
        <v>2.0000000000000001E-4</v>
      </c>
      <c r="D741" s="60">
        <f t="shared" si="63"/>
        <v>11.0589</v>
      </c>
    </row>
    <row r="742" spans="1:5" ht="20.100000000000001" customHeight="1">
      <c r="A742" s="444" t="s">
        <v>961</v>
      </c>
      <c r="B742" s="141">
        <v>17.444400000000002</v>
      </c>
      <c r="C742" s="141">
        <v>0</v>
      </c>
      <c r="D742" s="81">
        <f t="shared" si="63"/>
        <v>17.444400000000002</v>
      </c>
    </row>
    <row r="743" spans="1:5" ht="20.100000000000001" customHeight="1">
      <c r="A743" s="446" t="s">
        <v>1224</v>
      </c>
      <c r="B743" s="165"/>
      <c r="C743" s="443"/>
      <c r="D743" s="443"/>
    </row>
    <row r="745" spans="1:5" s="443" customFormat="1" ht="20.100000000000001" customHeight="1"/>
    <row r="746" spans="1:5" ht="20.100000000000001" customHeight="1">
      <c r="A746" s="446" t="s">
        <v>1227</v>
      </c>
      <c r="B746" s="443"/>
      <c r="C746" s="443"/>
      <c r="D746" s="443"/>
      <c r="E746" s="443"/>
    </row>
    <row r="747" spans="1:5" s="474" customFormat="1" ht="20.100000000000001" customHeight="1">
      <c r="A747" s="473" t="s">
        <v>2</v>
      </c>
      <c r="B747" s="235">
        <v>45328</v>
      </c>
    </row>
    <row r="748" spans="1:5" ht="20.100000000000001" customHeight="1">
      <c r="A748" s="443"/>
      <c r="B748" s="443"/>
      <c r="C748" s="443"/>
      <c r="D748" s="443"/>
      <c r="E748" s="443"/>
    </row>
    <row r="749" spans="1:5" ht="20.100000000000001" customHeight="1">
      <c r="A749" s="445"/>
      <c r="B749" s="450" t="s">
        <v>169</v>
      </c>
      <c r="C749" s="450" t="s">
        <v>170</v>
      </c>
      <c r="D749" s="450" t="s">
        <v>171</v>
      </c>
      <c r="E749" s="443"/>
    </row>
    <row r="750" spans="1:5" ht="20.100000000000001" customHeight="1">
      <c r="A750" s="444"/>
      <c r="B750" s="444" t="s">
        <v>64</v>
      </c>
      <c r="C750" s="444" t="s">
        <v>64</v>
      </c>
      <c r="D750" s="444" t="s">
        <v>64</v>
      </c>
      <c r="E750" s="443"/>
    </row>
    <row r="751" spans="1:5" ht="20.100000000000001" customHeight="1">
      <c r="A751" s="443" t="s">
        <v>526</v>
      </c>
      <c r="B751" s="182">
        <v>7.3127000000000004</v>
      </c>
      <c r="C751" s="182">
        <v>-1E-4</v>
      </c>
      <c r="D751" s="60">
        <f>B751-C751/2</f>
        <v>7.3127500000000003</v>
      </c>
      <c r="E751" s="443"/>
    </row>
    <row r="752" spans="1:5" ht="20.100000000000001" customHeight="1">
      <c r="A752" s="443" t="s">
        <v>1223</v>
      </c>
      <c r="B752" s="182">
        <v>10.3142</v>
      </c>
      <c r="C752" s="182">
        <v>1E-4</v>
      </c>
      <c r="D752" s="60">
        <f t="shared" ref="D752:D753" si="64">B752-C752/2</f>
        <v>10.31415</v>
      </c>
      <c r="E752" s="443"/>
    </row>
    <row r="753" spans="1:25" ht="20.100000000000001" customHeight="1">
      <c r="A753" s="444" t="s">
        <v>961</v>
      </c>
      <c r="B753" s="141">
        <v>17.207999999999998</v>
      </c>
      <c r="C753" s="141">
        <v>1E-4</v>
      </c>
      <c r="D753" s="81">
        <f t="shared" si="64"/>
        <v>17.207949999999997</v>
      </c>
      <c r="E753" s="443"/>
    </row>
    <row r="754" spans="1:25" ht="20.100000000000001" customHeight="1">
      <c r="A754" s="446" t="s">
        <v>1226</v>
      </c>
      <c r="B754" s="165"/>
      <c r="C754" s="443"/>
      <c r="D754" s="443"/>
      <c r="E754" s="443"/>
    </row>
    <row r="757" spans="1:25" ht="20.100000000000001" customHeight="1">
      <c r="A757" s="446" t="s">
        <v>1228</v>
      </c>
    </row>
    <row r="758" spans="1:25" s="588" customFormat="1" ht="20.100000000000001" customHeight="1">
      <c r="A758" s="480"/>
    </row>
    <row r="759" spans="1:25" s="148" customFormat="1" ht="20.100000000000001" customHeight="1">
      <c r="A759" s="104"/>
      <c r="B759" s="105" t="s">
        <v>158</v>
      </c>
      <c r="C759" s="129"/>
      <c r="D759" s="105" t="s">
        <v>172</v>
      </c>
      <c r="E759" s="129"/>
      <c r="F759" s="105" t="s">
        <v>174</v>
      </c>
      <c r="G759" s="129"/>
      <c r="H759" s="105" t="s">
        <v>183</v>
      </c>
      <c r="I759" s="129"/>
      <c r="J759" s="132"/>
      <c r="K759" s="132"/>
      <c r="L759" s="87"/>
      <c r="O759" s="86"/>
      <c r="P759" s="105" t="s">
        <v>176</v>
      </c>
      <c r="Q759" s="129"/>
      <c r="R759" s="554"/>
      <c r="S759" s="86"/>
      <c r="T759" s="554"/>
      <c r="U759" s="554"/>
      <c r="V759" s="86"/>
      <c r="W759" s="86"/>
    </row>
    <row r="760" spans="1:25" s="148" customFormat="1" ht="20.100000000000001" customHeight="1">
      <c r="A760" s="105" t="s">
        <v>157</v>
      </c>
      <c r="B760" s="89" t="s">
        <v>181</v>
      </c>
      <c r="C760" s="105" t="s">
        <v>182</v>
      </c>
      <c r="D760" s="575" t="s">
        <v>169</v>
      </c>
      <c r="E760" s="575" t="s">
        <v>170</v>
      </c>
      <c r="F760" s="575" t="s">
        <v>169</v>
      </c>
      <c r="G760" s="575" t="s">
        <v>170</v>
      </c>
      <c r="H760" s="575" t="s">
        <v>169</v>
      </c>
      <c r="I760" s="575" t="s">
        <v>170</v>
      </c>
      <c r="J760" s="105" t="s">
        <v>140</v>
      </c>
      <c r="K760" s="105" t="s">
        <v>2236</v>
      </c>
      <c r="L760" s="105" t="s">
        <v>2237</v>
      </c>
      <c r="M760" s="105" t="s">
        <v>2171</v>
      </c>
      <c r="N760" s="105" t="s">
        <v>2172</v>
      </c>
      <c r="O760" s="105" t="s">
        <v>2173</v>
      </c>
      <c r="P760" s="89" t="s">
        <v>181</v>
      </c>
      <c r="Q760" s="105" t="s">
        <v>182</v>
      </c>
      <c r="R760" s="89" t="s">
        <v>179</v>
      </c>
      <c r="S760" s="105" t="s">
        <v>159</v>
      </c>
      <c r="T760" s="105" t="s">
        <v>160</v>
      </c>
      <c r="U760" s="105" t="s">
        <v>161</v>
      </c>
      <c r="V760" s="105" t="s">
        <v>79</v>
      </c>
      <c r="W760" s="105" t="s">
        <v>80</v>
      </c>
      <c r="X760" s="105" t="s">
        <v>3</v>
      </c>
      <c r="Y760" s="105" t="s">
        <v>75</v>
      </c>
    </row>
    <row r="761" spans="1:25" s="148" customFormat="1" ht="20.100000000000001" customHeight="1">
      <c r="A761" s="576" t="s">
        <v>162</v>
      </c>
      <c r="B761" s="576" t="s">
        <v>156</v>
      </c>
      <c r="C761" s="576" t="s">
        <v>156</v>
      </c>
      <c r="D761" s="576" t="s">
        <v>64</v>
      </c>
      <c r="E761" s="576" t="s">
        <v>64</v>
      </c>
      <c r="F761" s="576" t="s">
        <v>64</v>
      </c>
      <c r="G761" s="576" t="s">
        <v>64</v>
      </c>
      <c r="H761" s="576" t="s">
        <v>64</v>
      </c>
      <c r="I761" s="576" t="s">
        <v>64</v>
      </c>
      <c r="J761" s="576" t="s">
        <v>64</v>
      </c>
      <c r="K761" s="576" t="s">
        <v>64</v>
      </c>
      <c r="L761" s="576" t="s">
        <v>64</v>
      </c>
      <c r="M761" s="576" t="s">
        <v>64</v>
      </c>
      <c r="N761" s="576" t="s">
        <v>64</v>
      </c>
      <c r="O761" s="576" t="s">
        <v>64</v>
      </c>
      <c r="P761" s="576" t="s">
        <v>156</v>
      </c>
      <c r="Q761" s="576" t="s">
        <v>156</v>
      </c>
      <c r="R761" s="576" t="s">
        <v>74</v>
      </c>
      <c r="S761" s="576"/>
      <c r="T761" s="576" t="s">
        <v>163</v>
      </c>
      <c r="U761" s="576" t="s">
        <v>163</v>
      </c>
      <c r="V761" s="576" t="s">
        <v>92</v>
      </c>
      <c r="W761" s="576" t="s">
        <v>74</v>
      </c>
      <c r="X761" s="576" t="s">
        <v>90</v>
      </c>
      <c r="Y761" s="576" t="s">
        <v>91</v>
      </c>
    </row>
    <row r="762" spans="1:25" s="148" customFormat="1" ht="20.100000000000001" customHeight="1">
      <c r="A762" s="578" t="s">
        <v>1229</v>
      </c>
      <c r="B762" s="115">
        <f>pNO3v</f>
        <v>1000.5999999999999</v>
      </c>
      <c r="C762" s="116">
        <v>0</v>
      </c>
      <c r="D762" s="69">
        <v>7.3140000000000001</v>
      </c>
      <c r="E762" s="111">
        <v>-2.0000000000000001E-4</v>
      </c>
      <c r="F762" s="67">
        <v>7.8156999999999996</v>
      </c>
      <c r="G762" s="111">
        <v>0</v>
      </c>
      <c r="H762" s="67">
        <v>17.320599999999999</v>
      </c>
      <c r="I762" s="69">
        <v>-1E-4</v>
      </c>
      <c r="J762" s="77">
        <f>D762-E762/2</f>
        <v>7.3140999999999998</v>
      </c>
      <c r="K762" s="77">
        <f>F762-G762/2</f>
        <v>7.8156999999999996</v>
      </c>
      <c r="L762" s="77">
        <f>H762-I762/2</f>
        <v>17.320650000000001</v>
      </c>
      <c r="M762" s="148">
        <f t="shared" ref="M762:O764" si="65">u_m1</f>
        <v>2.0000000000000001E-4</v>
      </c>
      <c r="N762" s="148">
        <f t="shared" si="65"/>
        <v>2.0000000000000001E-4</v>
      </c>
      <c r="O762" s="86">
        <f t="shared" si="65"/>
        <v>2.0000000000000001E-4</v>
      </c>
      <c r="P762" s="118" cm="1">
        <f t="array" ref="P762:Q762">WnA1S(B762:C762,J762:L762,M762:O762)</f>
        <v>50.157243005831155</v>
      </c>
      <c r="Q762" s="118">
        <v>2.8318227792766031E-2</v>
      </c>
      <c r="R762" s="470" t="s">
        <v>2155</v>
      </c>
      <c r="S762" s="117" t="s">
        <v>196</v>
      </c>
      <c r="T762" s="108">
        <v>20240205</v>
      </c>
      <c r="U762" s="117">
        <v>20240405</v>
      </c>
      <c r="V762" s="108">
        <v>21.8</v>
      </c>
      <c r="W762" s="108">
        <v>17.2</v>
      </c>
      <c r="X762" s="117" t="s">
        <v>101</v>
      </c>
      <c r="Y762" s="117" t="s">
        <v>94</v>
      </c>
    </row>
    <row r="763" spans="1:25" s="148" customFormat="1" ht="20.100000000000001" customHeight="1">
      <c r="A763" s="575" t="s">
        <v>1230</v>
      </c>
      <c r="B763" s="453">
        <f>pNO3v</f>
        <v>1000.5999999999999</v>
      </c>
      <c r="C763" s="453">
        <v>0</v>
      </c>
      <c r="D763" s="69">
        <v>7.3093000000000004</v>
      </c>
      <c r="E763" s="69">
        <v>-2.9999999999999997E-4</v>
      </c>
      <c r="F763" s="69">
        <v>8.3120999999999992</v>
      </c>
      <c r="G763" s="69">
        <v>0</v>
      </c>
      <c r="H763" s="69">
        <v>17.197099999999999</v>
      </c>
      <c r="I763" s="69">
        <v>-1E-4</v>
      </c>
      <c r="J763" s="114">
        <f>D763-E763/2</f>
        <v>7.30945</v>
      </c>
      <c r="K763" s="114">
        <f>F763-G763/2</f>
        <v>8.3120999999999992</v>
      </c>
      <c r="L763" s="114">
        <f>H763-I763/2</f>
        <v>17.197150000000001</v>
      </c>
      <c r="M763" s="148">
        <f t="shared" si="65"/>
        <v>2.0000000000000001E-4</v>
      </c>
      <c r="N763" s="148">
        <f t="shared" si="65"/>
        <v>2.0000000000000001E-4</v>
      </c>
      <c r="O763" s="86">
        <f t="shared" si="65"/>
        <v>2.0000000000000001E-4</v>
      </c>
      <c r="P763" s="118" cm="1">
        <f t="array" ref="P763:Q763">WnA1S(B763:C763,J763:L763,M763:O763)</f>
        <v>101.46460653134693</v>
      </c>
      <c r="Q763" s="118">
        <v>2.8769457598883785E-2</v>
      </c>
      <c r="R763" s="471" t="s">
        <v>2155</v>
      </c>
      <c r="S763" s="86" t="s">
        <v>196</v>
      </c>
      <c r="T763" s="106">
        <v>20240205</v>
      </c>
      <c r="U763" s="86">
        <v>20240405</v>
      </c>
      <c r="V763" s="106">
        <v>21.8</v>
      </c>
      <c r="W763" s="106">
        <v>17.2</v>
      </c>
      <c r="X763" s="86" t="s">
        <v>101</v>
      </c>
      <c r="Y763" s="86" t="s">
        <v>94</v>
      </c>
    </row>
    <row r="764" spans="1:25" s="148" customFormat="1" ht="20.100000000000001" customHeight="1">
      <c r="A764" s="576" t="s">
        <v>1231</v>
      </c>
      <c r="B764" s="454">
        <f>pNO3v</f>
        <v>1000.5999999999999</v>
      </c>
      <c r="C764" s="454">
        <v>0</v>
      </c>
      <c r="D764" s="76">
        <v>7.3148</v>
      </c>
      <c r="E764" s="76">
        <v>0</v>
      </c>
      <c r="F764" s="76">
        <v>8.3201999999999998</v>
      </c>
      <c r="G764" s="76">
        <v>1E-4</v>
      </c>
      <c r="H764" s="76">
        <v>12.191599999999999</v>
      </c>
      <c r="I764" s="76">
        <v>0</v>
      </c>
      <c r="J764" s="122">
        <f>D764-E764/2</f>
        <v>7.3148</v>
      </c>
      <c r="K764" s="122">
        <f>F764-G764/2</f>
        <v>8.3201499999999999</v>
      </c>
      <c r="L764" s="122">
        <f>H764-I764/2</f>
        <v>12.191599999999999</v>
      </c>
      <c r="M764" s="315">
        <f t="shared" si="65"/>
        <v>2.0000000000000001E-4</v>
      </c>
      <c r="N764" s="315">
        <f t="shared" si="65"/>
        <v>2.0000000000000001E-4</v>
      </c>
      <c r="O764" s="124">
        <f t="shared" si="65"/>
        <v>2.0000000000000001E-4</v>
      </c>
      <c r="P764" s="455" cm="1">
        <f t="array" ref="P764:Q764">WnA1S(B764:C764,J764:L764,M764:O764)</f>
        <v>206.27321399278216</v>
      </c>
      <c r="Q764" s="455">
        <v>5.9252691712938031E-2</v>
      </c>
      <c r="R764" s="472" t="s">
        <v>2155</v>
      </c>
      <c r="S764" s="124" t="s">
        <v>196</v>
      </c>
      <c r="T764" s="125">
        <v>20240205</v>
      </c>
      <c r="U764" s="124">
        <v>20240405</v>
      </c>
      <c r="V764" s="125">
        <v>21.8</v>
      </c>
      <c r="W764" s="125">
        <v>17.2</v>
      </c>
      <c r="X764" s="124" t="s">
        <v>101</v>
      </c>
      <c r="Y764" s="124" t="s">
        <v>94</v>
      </c>
    </row>
    <row r="767" spans="1:25" ht="20.100000000000001" customHeight="1">
      <c r="A767" s="446" t="s">
        <v>1232</v>
      </c>
    </row>
    <row r="769" spans="1:17" ht="20.100000000000001" customHeight="1">
      <c r="A769" s="128"/>
      <c r="B769" s="129"/>
      <c r="C769" s="105" t="s">
        <v>172</v>
      </c>
      <c r="D769" s="129"/>
      <c r="E769" s="129"/>
      <c r="F769" s="105" t="s">
        <v>189</v>
      </c>
      <c r="G769" s="129"/>
      <c r="H769" s="129"/>
      <c r="I769" s="105" t="s">
        <v>190</v>
      </c>
      <c r="J769" s="129"/>
      <c r="K769" s="129"/>
      <c r="L769" s="129"/>
      <c r="M769" s="129"/>
      <c r="P769" s="129"/>
      <c r="Q769" s="129"/>
    </row>
    <row r="770" spans="1:17" ht="20.100000000000001" customHeight="1">
      <c r="A770" s="129"/>
      <c r="B770" s="129"/>
      <c r="C770" s="448" t="s">
        <v>169</v>
      </c>
      <c r="D770" s="448" t="s">
        <v>170</v>
      </c>
      <c r="E770" s="448" t="s">
        <v>171</v>
      </c>
      <c r="F770" s="448" t="s">
        <v>169</v>
      </c>
      <c r="G770" s="448" t="s">
        <v>170</v>
      </c>
      <c r="H770" s="448" t="s">
        <v>171</v>
      </c>
      <c r="I770" s="448" t="s">
        <v>169</v>
      </c>
      <c r="J770" s="448" t="s">
        <v>170</v>
      </c>
      <c r="K770" s="448" t="s">
        <v>171</v>
      </c>
      <c r="L770" s="450" t="s">
        <v>116</v>
      </c>
      <c r="M770" s="450" t="s">
        <v>117</v>
      </c>
    </row>
    <row r="771" spans="1:17" ht="19.95" customHeight="1">
      <c r="A771" s="447" t="s">
        <v>96</v>
      </c>
      <c r="B771" s="457" t="s">
        <v>1249</v>
      </c>
      <c r="C771" s="449" t="s">
        <v>64</v>
      </c>
      <c r="D771" s="449" t="s">
        <v>64</v>
      </c>
      <c r="E771" s="449" t="s">
        <v>64</v>
      </c>
      <c r="F771" s="449" t="s">
        <v>64</v>
      </c>
      <c r="G771" s="449" t="s">
        <v>64</v>
      </c>
      <c r="H771" s="449" t="s">
        <v>64</v>
      </c>
      <c r="I771" s="449" t="s">
        <v>64</v>
      </c>
      <c r="J771" s="449" t="s">
        <v>64</v>
      </c>
      <c r="K771" s="449" t="s">
        <v>64</v>
      </c>
      <c r="L771" s="447" t="s">
        <v>64</v>
      </c>
      <c r="M771" s="447" t="s">
        <v>64</v>
      </c>
    </row>
    <row r="772" spans="1:17" ht="20.100000000000001" customHeight="1">
      <c r="A772" s="448" t="s">
        <v>191</v>
      </c>
      <c r="B772" s="175" t="s">
        <v>1229</v>
      </c>
      <c r="C772" s="69">
        <v>2.6949000000000001</v>
      </c>
      <c r="D772" s="69">
        <v>-1E-4</v>
      </c>
      <c r="E772" s="114">
        <f t="shared" ref="E772:E785" si="66">C772-D772/2</f>
        <v>2.69495</v>
      </c>
      <c r="F772" s="69">
        <v>3.7021999999999999</v>
      </c>
      <c r="G772" s="69">
        <v>0</v>
      </c>
      <c r="H772" s="114">
        <f t="shared" ref="H772:H785" si="67">F772-G772/2</f>
        <v>3.7021999999999999</v>
      </c>
      <c r="I772" s="69">
        <v>4.7107999999999999</v>
      </c>
      <c r="J772" s="69">
        <v>0</v>
      </c>
      <c r="K772" s="114">
        <f t="shared" ref="K772:K785" si="68">I772-J772/2</f>
        <v>4.7107999999999999</v>
      </c>
      <c r="L772" s="458">
        <f t="shared" ref="L772:L788" si="69">H772-E772</f>
        <v>1.00725</v>
      </c>
      <c r="M772" s="458">
        <f t="shared" ref="M772:M788" si="70">K772-H772</f>
        <v>1.0085999999999999</v>
      </c>
    </row>
    <row r="773" spans="1:17" ht="20.100000000000001" customHeight="1">
      <c r="A773" s="448" t="s">
        <v>1233</v>
      </c>
      <c r="B773" s="175" t="s">
        <v>1230</v>
      </c>
      <c r="C773" s="69">
        <v>2.7042999999999999</v>
      </c>
      <c r="D773" s="69">
        <v>0</v>
      </c>
      <c r="E773" s="114">
        <f t="shared" si="66"/>
        <v>2.7042999999999999</v>
      </c>
      <c r="F773" s="69">
        <v>3.7098</v>
      </c>
      <c r="G773" s="69">
        <v>1E-4</v>
      </c>
      <c r="H773" s="114">
        <f t="shared" si="67"/>
        <v>3.7097500000000001</v>
      </c>
      <c r="I773" s="69">
        <v>4.7070999999999996</v>
      </c>
      <c r="J773" s="69">
        <v>0</v>
      </c>
      <c r="K773" s="114">
        <f t="shared" si="68"/>
        <v>4.7070999999999996</v>
      </c>
      <c r="L773" s="458">
        <f t="shared" si="69"/>
        <v>1.0054500000000002</v>
      </c>
      <c r="M773" s="458">
        <f t="shared" si="70"/>
        <v>0.99734999999999951</v>
      </c>
    </row>
    <row r="774" spans="1:17" ht="20.100000000000001" customHeight="1">
      <c r="A774" s="448" t="s">
        <v>1234</v>
      </c>
      <c r="B774" s="175" t="s">
        <v>1230</v>
      </c>
      <c r="C774" s="69">
        <v>2.6848999999999998</v>
      </c>
      <c r="D774" s="69">
        <v>0</v>
      </c>
      <c r="E774" s="114">
        <f t="shared" si="66"/>
        <v>2.6848999999999998</v>
      </c>
      <c r="F774" s="69">
        <v>3.6787000000000001</v>
      </c>
      <c r="G774" s="69">
        <v>0</v>
      </c>
      <c r="H774" s="114">
        <f t="shared" si="67"/>
        <v>3.6787000000000001</v>
      </c>
      <c r="I774" s="69">
        <v>4.6734</v>
      </c>
      <c r="J774" s="69">
        <v>0</v>
      </c>
      <c r="K774" s="114">
        <f t="shared" si="68"/>
        <v>4.6734</v>
      </c>
      <c r="L774" s="458">
        <f t="shared" si="69"/>
        <v>0.99380000000000024</v>
      </c>
      <c r="M774" s="458">
        <f t="shared" si="70"/>
        <v>0.99469999999999992</v>
      </c>
    </row>
    <row r="775" spans="1:17" ht="20.100000000000001" customHeight="1">
      <c r="A775" s="448" t="s">
        <v>1235</v>
      </c>
      <c r="B775" s="175" t="s">
        <v>1230</v>
      </c>
      <c r="C775" s="69">
        <v>2.6566999999999998</v>
      </c>
      <c r="D775" s="69">
        <v>1E-4</v>
      </c>
      <c r="E775" s="114">
        <f t="shared" si="66"/>
        <v>2.65665</v>
      </c>
      <c r="F775" s="69">
        <v>3.6488</v>
      </c>
      <c r="G775" s="69">
        <v>-2.0000000000000001E-4</v>
      </c>
      <c r="H775" s="114">
        <f t="shared" si="67"/>
        <v>3.6489000000000003</v>
      </c>
      <c r="I775" s="69">
        <v>4.6432000000000002</v>
      </c>
      <c r="J775" s="69">
        <v>1E-4</v>
      </c>
      <c r="K775" s="114">
        <f t="shared" si="68"/>
        <v>4.6431500000000003</v>
      </c>
      <c r="L775" s="458">
        <f t="shared" si="69"/>
        <v>0.9922500000000003</v>
      </c>
      <c r="M775" s="458">
        <f t="shared" si="70"/>
        <v>0.99425000000000008</v>
      </c>
    </row>
    <row r="776" spans="1:17" ht="20.100000000000001" customHeight="1">
      <c r="A776" s="448" t="s">
        <v>192</v>
      </c>
      <c r="B776" s="175" t="s">
        <v>1231</v>
      </c>
      <c r="C776" s="69">
        <v>2.6991000000000001</v>
      </c>
      <c r="D776" s="69">
        <v>-2.0000000000000001E-4</v>
      </c>
      <c r="E776" s="114">
        <f t="shared" si="66"/>
        <v>2.6992000000000003</v>
      </c>
      <c r="F776" s="69">
        <v>3.7050999999999998</v>
      </c>
      <c r="G776" s="69">
        <v>1E-4</v>
      </c>
      <c r="H776" s="114">
        <f t="shared" si="67"/>
        <v>3.70505</v>
      </c>
      <c r="I776" s="69">
        <v>4.6993</v>
      </c>
      <c r="J776" s="69">
        <v>0</v>
      </c>
      <c r="K776" s="114">
        <f t="shared" si="68"/>
        <v>4.6993</v>
      </c>
      <c r="L776" s="459">
        <f t="shared" si="69"/>
        <v>1.0058499999999997</v>
      </c>
      <c r="M776" s="459">
        <f t="shared" si="70"/>
        <v>0.99425000000000008</v>
      </c>
    </row>
    <row r="777" spans="1:17" ht="20.100000000000001" customHeight="1">
      <c r="A777" s="448" t="s">
        <v>1004</v>
      </c>
      <c r="B777" s="175" t="s">
        <v>1246</v>
      </c>
      <c r="C777" s="69">
        <v>2.7241</v>
      </c>
      <c r="D777" s="69">
        <v>0</v>
      </c>
      <c r="E777" s="114">
        <f t="shared" si="66"/>
        <v>2.7241</v>
      </c>
      <c r="F777" s="69">
        <v>3.73</v>
      </c>
      <c r="G777" s="69">
        <v>0</v>
      </c>
      <c r="H777" s="114">
        <f t="shared" si="67"/>
        <v>3.73</v>
      </c>
      <c r="I777" s="69">
        <v>4.7385000000000002</v>
      </c>
      <c r="J777" s="69">
        <v>-2.9999999999999997E-4</v>
      </c>
      <c r="K777" s="114">
        <f t="shared" si="68"/>
        <v>4.7386499999999998</v>
      </c>
      <c r="L777" s="459">
        <f t="shared" si="69"/>
        <v>1.0059</v>
      </c>
      <c r="M777" s="459">
        <f t="shared" si="70"/>
        <v>1.0086499999999998</v>
      </c>
    </row>
    <row r="778" spans="1:17" ht="20.100000000000001" customHeight="1">
      <c r="A778" s="448" t="s">
        <v>1005</v>
      </c>
      <c r="B778" s="175" t="s">
        <v>1246</v>
      </c>
      <c r="C778" s="69">
        <v>2.7248000000000001</v>
      </c>
      <c r="D778" s="69">
        <v>1E-4</v>
      </c>
      <c r="E778" s="114">
        <f t="shared" si="66"/>
        <v>2.7247500000000002</v>
      </c>
      <c r="F778" s="69">
        <v>3.7317</v>
      </c>
      <c r="G778" s="69">
        <v>0</v>
      </c>
      <c r="H778" s="114">
        <f t="shared" si="67"/>
        <v>3.7317</v>
      </c>
      <c r="I778" s="69">
        <v>4.7313999999999998</v>
      </c>
      <c r="J778" s="69">
        <v>-2.0000000000000001E-4</v>
      </c>
      <c r="K778" s="114">
        <f t="shared" si="68"/>
        <v>4.7314999999999996</v>
      </c>
      <c r="L778" s="459">
        <f t="shared" si="69"/>
        <v>1.0069499999999998</v>
      </c>
      <c r="M778" s="459">
        <f t="shared" si="70"/>
        <v>0.99979999999999958</v>
      </c>
    </row>
    <row r="779" spans="1:17" ht="20.100000000000001" customHeight="1">
      <c r="A779" s="448" t="s">
        <v>1239</v>
      </c>
      <c r="B779" s="175" t="s">
        <v>1246</v>
      </c>
      <c r="C779" s="69">
        <v>2.7113</v>
      </c>
      <c r="D779" s="69">
        <v>1E-4</v>
      </c>
      <c r="E779" s="114">
        <f t="shared" si="66"/>
        <v>2.7112500000000002</v>
      </c>
      <c r="F779" s="69">
        <v>3.718</v>
      </c>
      <c r="G779" s="69">
        <v>0</v>
      </c>
      <c r="H779" s="114">
        <f t="shared" si="67"/>
        <v>3.718</v>
      </c>
      <c r="I779" s="69">
        <v>4.7137000000000002</v>
      </c>
      <c r="J779" s="69">
        <v>0</v>
      </c>
      <c r="K779" s="114">
        <f t="shared" si="68"/>
        <v>4.7137000000000002</v>
      </c>
      <c r="L779" s="459">
        <f t="shared" si="69"/>
        <v>1.0067499999999998</v>
      </c>
      <c r="M779" s="459">
        <f t="shared" si="70"/>
        <v>0.99570000000000025</v>
      </c>
    </row>
    <row r="780" spans="1:17" ht="20.100000000000001" customHeight="1">
      <c r="A780" s="448" t="s">
        <v>1236</v>
      </c>
      <c r="B780" s="175" t="s">
        <v>100</v>
      </c>
      <c r="C780" s="69">
        <v>2.6779999999999999</v>
      </c>
      <c r="D780" s="69">
        <v>-1E-4</v>
      </c>
      <c r="E780" s="114">
        <f t="shared" si="66"/>
        <v>2.6780499999999998</v>
      </c>
      <c r="F780" s="69">
        <v>3.6844999999999999</v>
      </c>
      <c r="G780" s="69">
        <v>1E-4</v>
      </c>
      <c r="H780" s="114">
        <f t="shared" si="67"/>
        <v>3.68445</v>
      </c>
      <c r="I780" s="69">
        <v>4.6802000000000001</v>
      </c>
      <c r="J780" s="69">
        <v>0</v>
      </c>
      <c r="K780" s="114">
        <f t="shared" si="68"/>
        <v>4.6802000000000001</v>
      </c>
      <c r="L780" s="459">
        <f t="shared" si="69"/>
        <v>1.0064000000000002</v>
      </c>
      <c r="M780" s="459">
        <f t="shared" si="70"/>
        <v>0.99575000000000014</v>
      </c>
    </row>
    <row r="781" spans="1:17" ht="20.100000000000001" customHeight="1">
      <c r="A781" s="448" t="s">
        <v>1237</v>
      </c>
      <c r="B781" s="175" t="s">
        <v>100</v>
      </c>
      <c r="C781" s="69">
        <v>2.6865000000000001</v>
      </c>
      <c r="D781" s="69">
        <v>0</v>
      </c>
      <c r="E781" s="114">
        <f t="shared" si="66"/>
        <v>2.6865000000000001</v>
      </c>
      <c r="F781" s="69">
        <v>3.6934</v>
      </c>
      <c r="G781" s="69">
        <v>0</v>
      </c>
      <c r="H781" s="114">
        <f t="shared" si="67"/>
        <v>3.6934</v>
      </c>
      <c r="I781" s="69">
        <v>4.6896000000000004</v>
      </c>
      <c r="J781" s="69">
        <v>0</v>
      </c>
      <c r="K781" s="114">
        <f t="shared" si="68"/>
        <v>4.6896000000000004</v>
      </c>
      <c r="L781" s="459">
        <f t="shared" si="69"/>
        <v>1.0068999999999999</v>
      </c>
      <c r="M781" s="459">
        <f t="shared" si="70"/>
        <v>0.99620000000000042</v>
      </c>
    </row>
    <row r="782" spans="1:17" ht="20.100000000000001" customHeight="1">
      <c r="A782" s="448" t="s">
        <v>1238</v>
      </c>
      <c r="B782" s="175" t="s">
        <v>100</v>
      </c>
      <c r="C782" s="69">
        <v>2.7040999999999999</v>
      </c>
      <c r="D782" s="69">
        <v>-1E-4</v>
      </c>
      <c r="E782" s="114">
        <f t="shared" si="66"/>
        <v>2.7041499999999998</v>
      </c>
      <c r="F782" s="69">
        <v>3.7124000000000001</v>
      </c>
      <c r="G782" s="69">
        <v>0</v>
      </c>
      <c r="H782" s="114">
        <f t="shared" si="67"/>
        <v>3.7124000000000001</v>
      </c>
      <c r="I782" s="69">
        <v>4.7089999999999996</v>
      </c>
      <c r="J782" s="69">
        <v>1E-4</v>
      </c>
      <c r="K782" s="114">
        <f t="shared" si="68"/>
        <v>4.7089499999999997</v>
      </c>
      <c r="L782" s="459">
        <f t="shared" si="69"/>
        <v>1.0082500000000003</v>
      </c>
      <c r="M782" s="459">
        <f t="shared" si="70"/>
        <v>0.9965499999999996</v>
      </c>
    </row>
    <row r="783" spans="1:17" ht="20.100000000000001" customHeight="1">
      <c r="A783" s="448" t="s">
        <v>1240</v>
      </c>
      <c r="B783" s="175" t="s">
        <v>1247</v>
      </c>
      <c r="C783" s="69">
        <v>2.7040999999999999</v>
      </c>
      <c r="D783" s="69">
        <v>-1E-4</v>
      </c>
      <c r="E783" s="114">
        <f t="shared" si="66"/>
        <v>2.7041499999999998</v>
      </c>
      <c r="F783" s="69">
        <v>3.7141999999999999</v>
      </c>
      <c r="G783" s="69">
        <v>-1E-4</v>
      </c>
      <c r="H783" s="114">
        <f t="shared" si="67"/>
        <v>3.7142499999999998</v>
      </c>
      <c r="I783" s="69">
        <v>4.7225999999999999</v>
      </c>
      <c r="J783" s="69">
        <v>-1E-4</v>
      </c>
      <c r="K783" s="114">
        <f t="shared" si="68"/>
        <v>4.7226499999999998</v>
      </c>
      <c r="L783" s="459">
        <f t="shared" si="69"/>
        <v>1.0101</v>
      </c>
      <c r="M783" s="459">
        <f t="shared" si="70"/>
        <v>1.0084</v>
      </c>
    </row>
    <row r="784" spans="1:17" ht="20.100000000000001" customHeight="1">
      <c r="A784" s="448" t="s">
        <v>1241</v>
      </c>
      <c r="B784" s="175" t="s">
        <v>1247</v>
      </c>
      <c r="C784" s="69">
        <v>2.6842999999999999</v>
      </c>
      <c r="D784" s="69">
        <v>0</v>
      </c>
      <c r="E784" s="114">
        <f t="shared" si="66"/>
        <v>2.6842999999999999</v>
      </c>
      <c r="F784" s="69">
        <v>3.6937000000000002</v>
      </c>
      <c r="G784" s="69">
        <v>0</v>
      </c>
      <c r="H784" s="114">
        <f t="shared" si="67"/>
        <v>3.6937000000000002</v>
      </c>
      <c r="I784" s="69">
        <v>4.6946000000000003</v>
      </c>
      <c r="J784" s="69">
        <v>0</v>
      </c>
      <c r="K784" s="114">
        <f t="shared" si="68"/>
        <v>4.6946000000000003</v>
      </c>
      <c r="L784" s="459">
        <f t="shared" si="69"/>
        <v>1.0094000000000003</v>
      </c>
      <c r="M784" s="459">
        <f t="shared" si="70"/>
        <v>1.0009000000000001</v>
      </c>
    </row>
    <row r="785" spans="1:13" ht="20.100000000000001" customHeight="1">
      <c r="A785" s="448" t="s">
        <v>1242</v>
      </c>
      <c r="B785" s="175" t="s">
        <v>1247</v>
      </c>
      <c r="C785" s="69">
        <v>2.7143999999999999</v>
      </c>
      <c r="D785" s="69">
        <v>0</v>
      </c>
      <c r="E785" s="114">
        <f t="shared" si="66"/>
        <v>2.7143999999999999</v>
      </c>
      <c r="F785" s="69">
        <v>3.7235999999999998</v>
      </c>
      <c r="G785" s="69">
        <v>-2.0000000000000001E-4</v>
      </c>
      <c r="H785" s="114">
        <f t="shared" si="67"/>
        <v>3.7237</v>
      </c>
      <c r="I785" s="69">
        <v>4.7237999999999998</v>
      </c>
      <c r="J785" s="69">
        <v>0</v>
      </c>
      <c r="K785" s="114">
        <f t="shared" si="68"/>
        <v>4.7237999999999998</v>
      </c>
      <c r="L785" s="459">
        <f t="shared" si="69"/>
        <v>1.0093000000000001</v>
      </c>
      <c r="M785" s="459">
        <f t="shared" si="70"/>
        <v>1.0000999999999998</v>
      </c>
    </row>
    <row r="786" spans="1:13" ht="20.100000000000001" customHeight="1">
      <c r="A786" s="448" t="s">
        <v>1243</v>
      </c>
      <c r="B786" s="175" t="s">
        <v>1248</v>
      </c>
      <c r="C786" s="69">
        <v>2.6796000000000002</v>
      </c>
      <c r="D786" s="69">
        <v>-1E-4</v>
      </c>
      <c r="E786" s="114">
        <f t="shared" ref="E786:E788" si="71">C786-D786/2</f>
        <v>2.6796500000000001</v>
      </c>
      <c r="F786" s="69">
        <v>3.6892</v>
      </c>
      <c r="G786" s="69">
        <v>0</v>
      </c>
      <c r="H786" s="114">
        <f t="shared" ref="H786:H788" si="72">F786-G786/2</f>
        <v>3.6892</v>
      </c>
      <c r="I786" s="69">
        <v>4.6886999999999999</v>
      </c>
      <c r="J786" s="69">
        <v>1E-4</v>
      </c>
      <c r="K786" s="114">
        <f t="shared" ref="K786:K788" si="73">I786-J786/2</f>
        <v>4.68865</v>
      </c>
      <c r="L786" s="459">
        <f t="shared" si="69"/>
        <v>1.0095499999999999</v>
      </c>
      <c r="M786" s="459">
        <f t="shared" si="70"/>
        <v>0.99944999999999995</v>
      </c>
    </row>
    <row r="787" spans="1:13" ht="20.100000000000001" customHeight="1">
      <c r="A787" s="448" t="s">
        <v>1244</v>
      </c>
      <c r="B787" s="175" t="s">
        <v>1248</v>
      </c>
      <c r="C787" s="69">
        <v>2.6737000000000002</v>
      </c>
      <c r="D787" s="69">
        <v>-1E-4</v>
      </c>
      <c r="E787" s="114">
        <f t="shared" si="71"/>
        <v>2.6737500000000001</v>
      </c>
      <c r="F787" s="69">
        <v>3.6833</v>
      </c>
      <c r="G787" s="69">
        <v>0</v>
      </c>
      <c r="H787" s="114">
        <f t="shared" si="72"/>
        <v>3.6833</v>
      </c>
      <c r="I787" s="69">
        <v>4.6836000000000002</v>
      </c>
      <c r="J787" s="69">
        <v>2.0000000000000001E-4</v>
      </c>
      <c r="K787" s="114">
        <f t="shared" si="73"/>
        <v>4.6835000000000004</v>
      </c>
      <c r="L787" s="459">
        <f t="shared" si="69"/>
        <v>1.0095499999999999</v>
      </c>
      <c r="M787" s="459">
        <f t="shared" si="70"/>
        <v>1.0002000000000004</v>
      </c>
    </row>
    <row r="788" spans="1:13" ht="20.100000000000001" customHeight="1">
      <c r="A788" s="449" t="s">
        <v>1245</v>
      </c>
      <c r="B788" s="456" t="s">
        <v>1248</v>
      </c>
      <c r="C788" s="76">
        <v>2.7320000000000002</v>
      </c>
      <c r="D788" s="76">
        <v>1E-4</v>
      </c>
      <c r="E788" s="122">
        <f t="shared" si="71"/>
        <v>2.7319500000000003</v>
      </c>
      <c r="F788" s="76">
        <v>3.7412999999999998</v>
      </c>
      <c r="G788" s="76">
        <v>-1E-4</v>
      </c>
      <c r="H788" s="122">
        <f t="shared" si="72"/>
        <v>3.7413499999999997</v>
      </c>
      <c r="I788" s="76">
        <v>4.742</v>
      </c>
      <c r="J788" s="76">
        <v>-1E-4</v>
      </c>
      <c r="K788" s="122">
        <f t="shared" si="73"/>
        <v>4.7420499999999999</v>
      </c>
      <c r="L788" s="460">
        <f t="shared" si="69"/>
        <v>1.0093999999999994</v>
      </c>
      <c r="M788" s="460">
        <f t="shared" si="70"/>
        <v>1.0007000000000001</v>
      </c>
    </row>
    <row r="791" spans="1:13" ht="20.100000000000001" customHeight="1">
      <c r="A791" s="446" t="s">
        <v>2238</v>
      </c>
    </row>
    <row r="793" spans="1:13" ht="20.100000000000001" customHeight="1">
      <c r="A793" s="239" t="s">
        <v>1250</v>
      </c>
    </row>
    <row r="794" spans="1:13" ht="20.100000000000001" customHeight="1">
      <c r="A794" s="239" t="s">
        <v>1251</v>
      </c>
    </row>
    <row r="796" spans="1:13" ht="20.100000000000001" customHeight="1">
      <c r="A796" s="443" t="s">
        <v>1272</v>
      </c>
    </row>
    <row r="798" spans="1:13" ht="20.100000000000001" customHeight="1">
      <c r="A798" s="239" t="s">
        <v>1252</v>
      </c>
    </row>
    <row r="799" spans="1:13" ht="20.100000000000001" customHeight="1">
      <c r="A799" s="239" t="s">
        <v>1253</v>
      </c>
    </row>
    <row r="801" spans="1:24" ht="20.100000000000001" customHeight="1">
      <c r="A801" s="239" t="s">
        <v>1254</v>
      </c>
    </row>
    <row r="804" spans="1:24" ht="20.100000000000001" customHeight="1">
      <c r="A804" s="446" t="s">
        <v>2239</v>
      </c>
    </row>
    <row r="806" spans="1:24" ht="20.100000000000001" customHeight="1">
      <c r="A806" s="239" t="s">
        <v>1255</v>
      </c>
    </row>
    <row r="807" spans="1:24" s="475" customFormat="1" ht="20.100000000000001" customHeight="1"/>
    <row r="808" spans="1:24" s="588" customFormat="1" ht="20.100000000000001" customHeight="1"/>
    <row r="809" spans="1:24" s="148" customFormat="1" ht="20.100000000000001" customHeight="1">
      <c r="A809" s="480" t="s">
        <v>2240</v>
      </c>
      <c r="B809" s="379"/>
      <c r="C809" s="484"/>
      <c r="D809" s="379"/>
      <c r="E809" s="484"/>
      <c r="F809" s="431"/>
      <c r="G809" s="485"/>
      <c r="H809" s="486"/>
      <c r="I809" s="486"/>
      <c r="J809" s="487"/>
      <c r="K809" s="487"/>
      <c r="L809" s="487"/>
      <c r="M809" s="487"/>
      <c r="N809" s="487"/>
      <c r="O809" s="487"/>
      <c r="P809" s="487"/>
      <c r="Q809" s="487"/>
      <c r="R809" s="487"/>
      <c r="S809" s="487"/>
      <c r="T809" s="487"/>
      <c r="U809" s="487"/>
      <c r="V809" s="487"/>
      <c r="W809" s="487"/>
      <c r="X809" s="487"/>
    </row>
    <row r="810" spans="1:24" s="148" customFormat="1" ht="20.100000000000001" customHeight="1">
      <c r="A810" s="314"/>
      <c r="B810" s="379"/>
      <c r="C810" s="484"/>
      <c r="D810" s="379"/>
      <c r="E810" s="484"/>
      <c r="F810" s="431"/>
      <c r="G810" s="485"/>
      <c r="H810" s="486"/>
      <c r="I810" s="486"/>
      <c r="J810" s="487"/>
      <c r="K810" s="487"/>
      <c r="L810" s="487"/>
      <c r="M810" s="487"/>
      <c r="N810" s="487"/>
      <c r="O810" s="487"/>
      <c r="P810" s="487"/>
      <c r="Q810" s="487"/>
      <c r="R810" s="487"/>
      <c r="S810" s="487"/>
      <c r="T810" s="487"/>
      <c r="U810" s="487"/>
      <c r="V810" s="487"/>
      <c r="W810" s="487"/>
      <c r="X810" s="487"/>
    </row>
    <row r="811" spans="1:24" s="148" customFormat="1" ht="20.100000000000001" customHeight="1">
      <c r="A811" s="316" t="s">
        <v>100</v>
      </c>
      <c r="B811" s="92" t="s">
        <v>1388</v>
      </c>
      <c r="C811" s="484"/>
      <c r="D811" s="520" t="s">
        <v>244</v>
      </c>
      <c r="E811"/>
      <c r="F811"/>
      <c r="G811" s="485"/>
      <c r="H811" s="486"/>
      <c r="I811" s="486"/>
      <c r="J811" s="487"/>
      <c r="K811" s="487"/>
      <c r="L811" s="487"/>
      <c r="M811" s="487"/>
      <c r="N811" s="487"/>
      <c r="O811" s="487"/>
      <c r="P811" s="487"/>
      <c r="Q811" s="487"/>
      <c r="R811" s="487"/>
      <c r="S811" s="487"/>
      <c r="T811" s="487"/>
      <c r="U811" s="487"/>
      <c r="V811" s="487"/>
      <c r="W811" s="487"/>
      <c r="X811" s="487"/>
    </row>
    <row r="812" spans="1:24" s="148" customFormat="1" ht="20.100000000000001" customHeight="1" thickBot="1">
      <c r="A812" s="228" t="s">
        <v>1449</v>
      </c>
      <c r="B812" s="379">
        <f>RAW_DATA!J246</f>
        <v>85.939072569693067</v>
      </c>
      <c r="C812" s="484"/>
      <c r="D812"/>
      <c r="E812"/>
      <c r="F812"/>
      <c r="G812" s="485"/>
      <c r="H812" s="486"/>
      <c r="I812" s="486"/>
      <c r="J812" s="487"/>
      <c r="K812" s="487"/>
      <c r="L812" s="487"/>
      <c r="M812" s="487"/>
      <c r="N812" s="487"/>
      <c r="O812" s="487"/>
      <c r="P812" s="487"/>
      <c r="Q812" s="487"/>
      <c r="R812" s="487"/>
      <c r="S812" s="487"/>
      <c r="T812" s="487"/>
      <c r="U812" s="487"/>
      <c r="V812" s="487"/>
      <c r="W812" s="487"/>
      <c r="X812" s="487"/>
    </row>
    <row r="813" spans="1:24" s="148" customFormat="1" ht="20.100000000000001" customHeight="1">
      <c r="A813" s="228" t="s">
        <v>1450</v>
      </c>
      <c r="B813" s="379">
        <f>RAW_DATA!J247</f>
        <v>83.50377038238112</v>
      </c>
      <c r="C813" s="484"/>
      <c r="D813" s="409"/>
      <c r="E813" s="409" t="s">
        <v>245</v>
      </c>
      <c r="F813" s="409" t="s">
        <v>246</v>
      </c>
      <c r="G813" s="485"/>
      <c r="H813" s="486"/>
      <c r="I813" s="486"/>
      <c r="J813" s="487"/>
      <c r="K813" s="487"/>
      <c r="L813" s="487"/>
      <c r="M813" s="487"/>
      <c r="N813" s="487"/>
      <c r="O813" s="487"/>
      <c r="P813" s="487"/>
      <c r="Q813" s="487"/>
      <c r="R813" s="487"/>
      <c r="S813" s="487"/>
      <c r="T813" s="487"/>
      <c r="U813" s="487"/>
      <c r="V813" s="487"/>
      <c r="W813" s="487"/>
      <c r="X813" s="487"/>
    </row>
    <row r="814" spans="1:24" s="148" customFormat="1" ht="20.100000000000001" customHeight="1">
      <c r="A814" s="228" t="s">
        <v>1451</v>
      </c>
      <c r="B814" s="379">
        <f>RAW_DATA!J248</f>
        <v>84.72196052785192</v>
      </c>
      <c r="C814" s="484"/>
      <c r="D814" s="407" t="s">
        <v>71</v>
      </c>
      <c r="E814" s="407">
        <v>84.011587077755266</v>
      </c>
      <c r="F814" s="407">
        <v>83.218035515821583</v>
      </c>
      <c r="G814" s="485"/>
      <c r="H814" s="486"/>
      <c r="I814" s="486"/>
      <c r="J814" s="487"/>
      <c r="K814" s="487"/>
      <c r="L814" s="487"/>
      <c r="M814" s="487"/>
      <c r="N814" s="487"/>
      <c r="O814" s="487"/>
      <c r="P814" s="487"/>
      <c r="Q814" s="487"/>
      <c r="R814" s="487"/>
      <c r="S814" s="487"/>
      <c r="T814" s="487"/>
      <c r="U814" s="487"/>
      <c r="V814" s="487"/>
      <c r="W814" s="487"/>
      <c r="X814" s="487"/>
    </row>
    <row r="815" spans="1:24" s="148" customFormat="1" ht="20.100000000000001" customHeight="1">
      <c r="A815" s="228" t="s">
        <v>1452</v>
      </c>
      <c r="B815" s="379">
        <f>RAW_DATA!J249</f>
        <v>84.621482279722471</v>
      </c>
      <c r="C815" s="484"/>
      <c r="D815" s="407" t="s">
        <v>233</v>
      </c>
      <c r="E815" s="407">
        <v>1.4425129833917376</v>
      </c>
      <c r="F815" s="407">
        <v>0.29765864301104122</v>
      </c>
      <c r="G815" s="485"/>
      <c r="H815" s="486"/>
      <c r="I815" s="486"/>
      <c r="J815" s="487"/>
      <c r="K815" s="487"/>
      <c r="L815" s="487"/>
      <c r="M815" s="487"/>
      <c r="N815" s="487"/>
      <c r="O815" s="487"/>
      <c r="P815" s="487"/>
      <c r="Q815" s="487"/>
      <c r="R815" s="487"/>
      <c r="S815" s="487"/>
      <c r="T815" s="487"/>
      <c r="U815" s="487"/>
      <c r="V815" s="487"/>
      <c r="W815" s="487"/>
      <c r="X815" s="487"/>
    </row>
    <row r="816" spans="1:24" s="148" customFormat="1" ht="20.100000000000001" customHeight="1">
      <c r="A816" s="228" t="s">
        <v>1453</v>
      </c>
      <c r="B816" s="379">
        <f>RAW_DATA!J250</f>
        <v>82.203076380012121</v>
      </c>
      <c r="C816" s="484"/>
      <c r="D816" s="407" t="s">
        <v>247</v>
      </c>
      <c r="E816" s="407">
        <v>7</v>
      </c>
      <c r="F816" s="407">
        <v>7</v>
      </c>
      <c r="G816" s="485"/>
      <c r="H816" s="486"/>
      <c r="I816" s="486"/>
      <c r="J816" s="487"/>
      <c r="K816" s="487"/>
      <c r="L816" s="487"/>
      <c r="M816" s="487"/>
      <c r="N816" s="487"/>
      <c r="O816" s="487"/>
      <c r="P816" s="487"/>
      <c r="Q816" s="487"/>
      <c r="R816" s="487"/>
      <c r="S816" s="487"/>
      <c r="T816" s="487"/>
      <c r="U816" s="487"/>
      <c r="V816" s="487"/>
      <c r="W816" s="487"/>
      <c r="X816" s="487"/>
    </row>
    <row r="817" spans="1:24" s="148" customFormat="1" ht="20.100000000000001" customHeight="1">
      <c r="A817" s="228" t="s">
        <v>1454</v>
      </c>
      <c r="B817" s="379">
        <f>RAW_DATA!J251</f>
        <v>83.770493766701094</v>
      </c>
      <c r="C817" s="484"/>
      <c r="D817" s="407" t="s">
        <v>248</v>
      </c>
      <c r="E817" s="407">
        <v>0.22330882356430035</v>
      </c>
      <c r="F817" s="407"/>
      <c r="G817" s="485"/>
      <c r="H817" s="486"/>
      <c r="I817" s="486"/>
      <c r="J817" s="487"/>
      <c r="K817" s="487"/>
      <c r="L817" s="487"/>
      <c r="M817" s="487"/>
      <c r="N817" s="487"/>
      <c r="O817" s="487"/>
      <c r="P817" s="487"/>
      <c r="Q817" s="487"/>
      <c r="R817" s="487"/>
      <c r="S817" s="487"/>
      <c r="T817" s="487"/>
      <c r="U817" s="487"/>
      <c r="V817" s="487"/>
      <c r="W817" s="487"/>
      <c r="X817" s="487"/>
    </row>
    <row r="818" spans="1:24" s="148" customFormat="1" ht="20.100000000000001" customHeight="1">
      <c r="A818" s="315" t="s">
        <v>1455</v>
      </c>
      <c r="B818" s="441">
        <f>RAW_DATA!J252</f>
        <v>83.321253637925139</v>
      </c>
      <c r="C818" s="484"/>
      <c r="D818" s="407" t="s">
        <v>249</v>
      </c>
      <c r="E818" s="407">
        <v>0</v>
      </c>
      <c r="F818" s="407"/>
      <c r="G818" s="485"/>
      <c r="H818" s="486"/>
      <c r="I818" s="486"/>
      <c r="J818" s="487"/>
      <c r="K818" s="487"/>
      <c r="L818" s="487"/>
      <c r="M818" s="487"/>
      <c r="N818" s="487"/>
      <c r="O818" s="487"/>
      <c r="P818" s="487"/>
      <c r="Q818" s="487"/>
      <c r="R818" s="487"/>
      <c r="S818" s="487"/>
      <c r="T818" s="487"/>
      <c r="U818" s="487"/>
      <c r="V818" s="487"/>
      <c r="W818" s="487"/>
      <c r="X818" s="487"/>
    </row>
    <row r="819" spans="1:24" s="148" customFormat="1" ht="20.100000000000001" customHeight="1">
      <c r="A819" s="228" t="s">
        <v>1456</v>
      </c>
      <c r="B819" s="379">
        <f>RAW_DATA!J253</f>
        <v>83.839134227800884</v>
      </c>
      <c r="C819" s="484"/>
      <c r="D819" s="407" t="s">
        <v>234</v>
      </c>
      <c r="E819" s="407">
        <v>6</v>
      </c>
      <c r="F819" s="407"/>
      <c r="G819" s="485"/>
      <c r="H819" s="486"/>
      <c r="I819" s="486"/>
      <c r="J819" s="487"/>
      <c r="K819" s="487"/>
      <c r="L819" s="487"/>
      <c r="M819" s="487"/>
      <c r="N819" s="487"/>
      <c r="O819" s="487"/>
      <c r="P819" s="487"/>
      <c r="Q819" s="487"/>
      <c r="R819" s="487"/>
      <c r="S819" s="487"/>
      <c r="T819" s="487"/>
      <c r="U819" s="487"/>
      <c r="V819" s="487"/>
      <c r="W819" s="487"/>
      <c r="X819" s="487"/>
    </row>
    <row r="820" spans="1:24" s="148" customFormat="1" ht="20.100000000000001" customHeight="1">
      <c r="A820" s="228" t="s">
        <v>1457</v>
      </c>
      <c r="B820" s="379">
        <f>RAW_DATA!J254</f>
        <v>84.132179883827021</v>
      </c>
      <c r="C820" s="484"/>
      <c r="D820" s="518" t="s">
        <v>250</v>
      </c>
      <c r="E820" s="518">
        <v>1.7450677552899216</v>
      </c>
      <c r="F820" s="407"/>
      <c r="G820" s="485"/>
      <c r="H820" s="486"/>
      <c r="I820" s="486"/>
      <c r="J820" s="487"/>
      <c r="K820" s="487"/>
      <c r="L820" s="487"/>
      <c r="M820" s="487"/>
      <c r="N820" s="487"/>
      <c r="O820" s="487"/>
      <c r="P820" s="487"/>
      <c r="Q820" s="487"/>
      <c r="R820" s="487"/>
      <c r="S820" s="487"/>
      <c r="T820" s="487"/>
      <c r="U820" s="487"/>
      <c r="V820" s="487"/>
      <c r="W820" s="487"/>
      <c r="X820" s="487"/>
    </row>
    <row r="821" spans="1:24" s="148" customFormat="1" ht="20.100000000000001" customHeight="1">
      <c r="A821" s="228" t="s">
        <v>1458</v>
      </c>
      <c r="B821" s="379">
        <f>RAW_DATA!J255</f>
        <v>82.6831480974935</v>
      </c>
      <c r="C821" s="484"/>
      <c r="D821" s="407" t="s">
        <v>251</v>
      </c>
      <c r="E821" s="407">
        <v>6.5792540030361196E-2</v>
      </c>
      <c r="F821" s="407"/>
      <c r="G821" s="485"/>
      <c r="H821" s="486"/>
      <c r="I821" s="486"/>
      <c r="J821" s="487"/>
      <c r="K821" s="487"/>
      <c r="L821" s="487"/>
      <c r="M821" s="487"/>
      <c r="N821" s="487"/>
      <c r="O821" s="487"/>
      <c r="P821" s="487"/>
      <c r="Q821" s="487"/>
      <c r="R821" s="487"/>
      <c r="S821" s="487"/>
      <c r="T821" s="487"/>
      <c r="U821" s="487"/>
      <c r="V821" s="487"/>
      <c r="W821" s="487"/>
      <c r="X821" s="487"/>
    </row>
    <row r="822" spans="1:24" s="148" customFormat="1" ht="20.100000000000001" customHeight="1">
      <c r="A822" s="228" t="s">
        <v>1459</v>
      </c>
      <c r="B822" s="379">
        <f>RAW_DATA!J256</f>
        <v>83.045330392857224</v>
      </c>
      <c r="C822" s="484"/>
      <c r="D822" s="407" t="s">
        <v>252</v>
      </c>
      <c r="E822" s="407">
        <v>1.9431802805153031</v>
      </c>
      <c r="F822" s="407"/>
      <c r="G822" s="485"/>
      <c r="H822" s="486"/>
      <c r="I822" s="486"/>
      <c r="J822" s="487"/>
      <c r="K822" s="487"/>
      <c r="L822" s="487"/>
      <c r="M822" s="487"/>
      <c r="N822" s="487"/>
      <c r="O822" s="487"/>
      <c r="P822" s="487"/>
      <c r="Q822" s="487"/>
      <c r="R822" s="487"/>
      <c r="S822" s="487"/>
      <c r="T822" s="487"/>
      <c r="U822" s="487"/>
      <c r="V822" s="487"/>
      <c r="W822" s="487"/>
      <c r="X822" s="487"/>
    </row>
    <row r="823" spans="1:24" s="148" customFormat="1" ht="20.100000000000001" customHeight="1">
      <c r="A823" s="228" t="s">
        <v>1460</v>
      </c>
      <c r="B823" s="379">
        <f>RAW_DATA!J257</f>
        <v>83.007906800164193</v>
      </c>
      <c r="C823" s="484"/>
      <c r="D823" s="407" t="s">
        <v>253</v>
      </c>
      <c r="E823" s="407">
        <v>0.13158508006072239</v>
      </c>
      <c r="F823" s="407"/>
      <c r="G823" s="485"/>
      <c r="H823" s="486"/>
      <c r="I823" s="486"/>
      <c r="J823" s="487"/>
      <c r="K823" s="487"/>
      <c r="L823" s="487"/>
      <c r="M823" s="487"/>
      <c r="N823" s="487"/>
      <c r="O823" s="487"/>
      <c r="P823" s="487"/>
      <c r="Q823" s="487"/>
      <c r="R823" s="487"/>
      <c r="S823" s="487"/>
      <c r="T823" s="487"/>
      <c r="U823" s="487"/>
      <c r="V823" s="487"/>
      <c r="W823" s="487"/>
      <c r="X823" s="487"/>
    </row>
    <row r="824" spans="1:24" s="148" customFormat="1" ht="20.100000000000001" customHeight="1" thickBot="1">
      <c r="A824" s="228" t="s">
        <v>1461</v>
      </c>
      <c r="B824" s="379">
        <f>RAW_DATA!J258</f>
        <v>82.826280524400772</v>
      </c>
      <c r="C824" s="484"/>
      <c r="D824" s="519" t="s">
        <v>254</v>
      </c>
      <c r="E824" s="519">
        <v>2.4469118511449697</v>
      </c>
      <c r="F824" s="408"/>
      <c r="G824" s="485"/>
      <c r="H824" s="486"/>
      <c r="I824" s="486"/>
      <c r="J824" s="487"/>
      <c r="K824" s="487"/>
      <c r="L824" s="487"/>
      <c r="M824" s="487"/>
      <c r="N824" s="487"/>
      <c r="O824" s="487"/>
      <c r="P824" s="487"/>
      <c r="Q824" s="487"/>
      <c r="R824" s="487"/>
      <c r="S824" s="487"/>
      <c r="T824" s="487"/>
      <c r="U824" s="487"/>
      <c r="V824" s="487"/>
      <c r="W824" s="487"/>
      <c r="X824" s="487"/>
    </row>
    <row r="825" spans="1:24" s="148" customFormat="1" ht="20.100000000000001" customHeight="1">
      <c r="A825" s="315" t="s">
        <v>1462</v>
      </c>
      <c r="B825" s="441">
        <f>RAW_DATA!J259</f>
        <v>82.99226868420746</v>
      </c>
      <c r="C825" s="484"/>
      <c r="D825" s="173" t="s">
        <v>255</v>
      </c>
      <c r="E825" s="484"/>
      <c r="F825" s="431"/>
      <c r="G825" s="485"/>
      <c r="H825" s="486"/>
      <c r="I825" s="486"/>
      <c r="J825" s="487"/>
      <c r="K825" s="487"/>
      <c r="L825" s="487"/>
      <c r="M825" s="487"/>
      <c r="N825" s="487"/>
      <c r="O825" s="487"/>
      <c r="P825" s="487"/>
      <c r="Q825" s="487"/>
      <c r="R825" s="487"/>
      <c r="S825" s="487"/>
      <c r="T825" s="487"/>
      <c r="U825" s="487"/>
      <c r="V825" s="487"/>
      <c r="W825" s="487"/>
      <c r="X825" s="487"/>
    </row>
    <row r="826" spans="1:24" s="148" customFormat="1" ht="20.100000000000001" customHeight="1">
      <c r="A826" s="314"/>
      <c r="B826" s="379"/>
      <c r="C826" s="484"/>
      <c r="D826" s="379"/>
      <c r="E826" s="484"/>
      <c r="F826" s="431"/>
      <c r="G826" s="485"/>
      <c r="H826" s="486"/>
      <c r="I826" s="486"/>
      <c r="J826" s="487"/>
      <c r="K826" s="487"/>
      <c r="L826" s="487"/>
      <c r="M826" s="487"/>
      <c r="N826" s="487"/>
      <c r="O826" s="487"/>
      <c r="P826" s="487"/>
      <c r="Q826" s="487"/>
      <c r="R826" s="487"/>
      <c r="S826" s="487"/>
      <c r="T826" s="487"/>
      <c r="U826" s="487"/>
      <c r="V826" s="487"/>
      <c r="W826" s="487"/>
      <c r="X826" s="487"/>
    </row>
    <row r="827" spans="1:24" s="148" customFormat="1" ht="20.100000000000001" customHeight="1">
      <c r="A827" s="228" t="s">
        <v>2241</v>
      </c>
      <c r="B827" s="379"/>
      <c r="C827" s="484"/>
      <c r="D827" s="379"/>
      <c r="E827" s="484"/>
      <c r="F827" s="431"/>
      <c r="G827" s="485"/>
      <c r="H827" s="486"/>
      <c r="I827" s="486"/>
      <c r="J827" s="487"/>
      <c r="K827" s="487"/>
      <c r="L827" s="487"/>
      <c r="M827" s="487"/>
      <c r="N827" s="487"/>
      <c r="O827" s="487"/>
      <c r="P827" s="487"/>
      <c r="Q827" s="487"/>
      <c r="R827" s="487"/>
      <c r="S827" s="487"/>
      <c r="T827" s="487"/>
      <c r="U827" s="487"/>
      <c r="V827" s="487"/>
      <c r="W827" s="487"/>
      <c r="X827" s="487"/>
    </row>
    <row r="828" spans="1:24" s="148" customFormat="1" ht="20.100000000000001" customHeight="1">
      <c r="A828" s="314"/>
      <c r="B828" s="379"/>
      <c r="C828" s="484"/>
      <c r="D828" s="379"/>
      <c r="E828" s="484"/>
      <c r="F828" s="431"/>
      <c r="G828" s="485"/>
      <c r="H828" s="486"/>
      <c r="I828" s="486"/>
      <c r="J828" s="487"/>
      <c r="K828" s="487"/>
      <c r="L828" s="487"/>
      <c r="M828" s="487"/>
      <c r="N828" s="487"/>
      <c r="O828" s="487"/>
      <c r="P828" s="487"/>
      <c r="Q828" s="487"/>
      <c r="R828" s="487"/>
      <c r="S828" s="487"/>
      <c r="T828" s="487"/>
      <c r="U828" s="487"/>
      <c r="V828" s="487"/>
      <c r="W828" s="487"/>
      <c r="X828" s="487"/>
    </row>
    <row r="829" spans="1:24" s="148" customFormat="1" ht="20.100000000000001" customHeight="1">
      <c r="A829" s="314"/>
      <c r="B829" s="379"/>
      <c r="C829" s="484"/>
      <c r="D829" s="379"/>
      <c r="E829" s="484"/>
      <c r="F829" s="431"/>
      <c r="G829" s="485"/>
      <c r="H829" s="486"/>
      <c r="I829" s="486"/>
      <c r="J829" s="487"/>
      <c r="K829" s="487"/>
      <c r="L829" s="487"/>
      <c r="M829" s="487"/>
      <c r="N829" s="487"/>
      <c r="O829" s="487"/>
      <c r="P829" s="487"/>
      <c r="Q829" s="487"/>
      <c r="R829" s="487"/>
      <c r="S829" s="487"/>
      <c r="T829" s="487"/>
      <c r="U829" s="487"/>
      <c r="V829" s="487"/>
      <c r="W829" s="487"/>
      <c r="X829" s="487"/>
    </row>
    <row r="830" spans="1:24" s="148" customFormat="1" ht="20.100000000000001" customHeight="1">
      <c r="A830" s="480" t="s">
        <v>2242</v>
      </c>
      <c r="B830" s="379"/>
      <c r="C830" s="484"/>
      <c r="D830" s="379"/>
      <c r="E830" s="484"/>
      <c r="F830" s="431"/>
      <c r="G830" s="485"/>
      <c r="H830" s="486"/>
      <c r="I830" s="486"/>
      <c r="J830" s="487"/>
      <c r="K830" s="487"/>
      <c r="L830" s="487"/>
      <c r="M830" s="487"/>
      <c r="N830" s="487"/>
      <c r="O830" s="487"/>
      <c r="P830" s="487"/>
      <c r="Q830" s="487"/>
      <c r="R830" s="487"/>
      <c r="S830" s="487"/>
      <c r="T830" s="487"/>
      <c r="U830" s="487"/>
      <c r="V830" s="487"/>
      <c r="W830" s="487"/>
      <c r="X830" s="487"/>
    </row>
    <row r="831" spans="1:24" s="148" customFormat="1" ht="20.100000000000001" customHeight="1">
      <c r="A831" s="314"/>
      <c r="B831" s="379"/>
      <c r="C831" s="484"/>
      <c r="D831" s="379"/>
      <c r="E831" s="484"/>
      <c r="F831" s="431"/>
      <c r="G831" s="485"/>
      <c r="H831" s="486"/>
      <c r="I831" s="486"/>
      <c r="J831" s="487"/>
      <c r="K831" s="487"/>
      <c r="L831" s="487"/>
      <c r="M831" s="487"/>
      <c r="N831" s="487"/>
      <c r="O831" s="487"/>
      <c r="P831" s="487"/>
      <c r="Q831" s="487"/>
      <c r="R831" s="487"/>
      <c r="S831" s="487"/>
      <c r="T831" s="487"/>
      <c r="U831" s="487"/>
      <c r="V831" s="487"/>
      <c r="W831" s="487"/>
      <c r="X831" s="487"/>
    </row>
    <row r="832" spans="1:24" s="148" customFormat="1" ht="20.100000000000001" customHeight="1">
      <c r="A832" s="316" t="s">
        <v>2247</v>
      </c>
      <c r="B832" s="316" t="s">
        <v>2246</v>
      </c>
      <c r="C832" s="815" t="s">
        <v>449</v>
      </c>
      <c r="D832" s="815" t="s">
        <v>2243</v>
      </c>
      <c r="E832" s="484"/>
      <c r="F832" s="431"/>
      <c r="G832" s="485"/>
      <c r="H832" s="486"/>
      <c r="I832" s="486"/>
      <c r="J832" s="487"/>
      <c r="K832" s="487"/>
      <c r="L832" s="487"/>
      <c r="M832" s="487"/>
      <c r="N832" s="487"/>
      <c r="O832" s="487"/>
      <c r="P832" s="487"/>
      <c r="Q832" s="487"/>
      <c r="R832" s="487"/>
      <c r="S832" s="487"/>
      <c r="T832" s="487"/>
      <c r="U832" s="487"/>
      <c r="V832" s="487"/>
      <c r="W832" s="487"/>
      <c r="X832" s="487"/>
    </row>
    <row r="833" spans="1:24" s="148" customFormat="1" ht="20.100000000000001" customHeight="1">
      <c r="A833" s="148" t="str">
        <f>RAW_DATA!A155</f>
        <v>AB2A_I.D</v>
      </c>
      <c r="B833" s="808">
        <f>RAW_DATA!D155</f>
        <v>22.311673856573901</v>
      </c>
      <c r="C833" s="484"/>
      <c r="D833" s="379"/>
      <c r="E833" s="484"/>
      <c r="F833" s="431"/>
      <c r="G833" s="485"/>
      <c r="H833" s="486"/>
      <c r="I833" s="486"/>
      <c r="J833" s="487"/>
      <c r="K833" s="487"/>
      <c r="L833" s="487"/>
      <c r="M833" s="487"/>
      <c r="N833" s="487"/>
      <c r="O833" s="487"/>
      <c r="P833" s="487"/>
      <c r="Q833" s="487"/>
      <c r="R833" s="487"/>
      <c r="S833" s="487"/>
      <c r="T833" s="487"/>
      <c r="U833" s="487"/>
      <c r="V833" s="487"/>
      <c r="W833" s="487"/>
      <c r="X833" s="487"/>
    </row>
    <row r="834" spans="1:24" s="148" customFormat="1" ht="20.100000000000001" customHeight="1">
      <c r="A834" s="148" t="str">
        <f>RAW_DATA!A156</f>
        <v>AB2B_I.D</v>
      </c>
      <c r="B834" s="808">
        <f>RAW_DATA!D156</f>
        <v>13.765230769230801</v>
      </c>
      <c r="C834" s="438">
        <f>AVERAGE(B833:B835)</f>
        <v>17.213702343851669</v>
      </c>
      <c r="D834" s="438">
        <f>STDEV(B833:B835)</f>
        <v>4.5056697499534843</v>
      </c>
      <c r="E834" s="484"/>
      <c r="F834" s="431"/>
      <c r="G834" s="485"/>
      <c r="H834" s="486"/>
      <c r="I834" s="486"/>
      <c r="J834" s="487"/>
      <c r="K834" s="487"/>
      <c r="L834" s="487"/>
      <c r="M834" s="487"/>
      <c r="N834" s="487"/>
      <c r="O834" s="487"/>
      <c r="P834" s="487"/>
      <c r="Q834" s="487"/>
      <c r="R834" s="487"/>
      <c r="S834" s="487"/>
      <c r="T834" s="487"/>
      <c r="U834" s="487"/>
      <c r="V834" s="487"/>
      <c r="W834" s="487"/>
      <c r="X834" s="487"/>
    </row>
    <row r="835" spans="1:24" s="148" customFormat="1" ht="20.100000000000001" customHeight="1">
      <c r="A835" s="315" t="str">
        <f>RAW_DATA!A157</f>
        <v>AB2C_I.D</v>
      </c>
      <c r="B835" s="809">
        <f>RAW_DATA!D157</f>
        <v>15.564202405750301</v>
      </c>
      <c r="C835" s="442"/>
      <c r="D835" s="442"/>
      <c r="E835" s="484"/>
      <c r="F835" s="431"/>
      <c r="G835" s="485"/>
      <c r="H835" s="486"/>
      <c r="I835" s="486"/>
      <c r="J835" s="487"/>
      <c r="K835" s="487"/>
      <c r="L835" s="487"/>
      <c r="M835" s="487"/>
      <c r="N835" s="487"/>
      <c r="O835" s="487"/>
      <c r="P835" s="487"/>
      <c r="Q835" s="487"/>
      <c r="R835" s="487"/>
      <c r="S835" s="487"/>
      <c r="T835" s="487"/>
      <c r="U835" s="487"/>
      <c r="V835" s="487"/>
      <c r="W835" s="487"/>
      <c r="X835" s="487"/>
    </row>
    <row r="836" spans="1:24" s="148" customFormat="1" ht="20.100000000000001" customHeight="1">
      <c r="A836" s="148" t="str">
        <f>RAW_DATA!A159</f>
        <v>S1_I.D</v>
      </c>
      <c r="B836" s="808">
        <f>RAW_DATA!D159</f>
        <v>22.875780777511601</v>
      </c>
      <c r="C836" s="438"/>
      <c r="D836" s="438"/>
      <c r="E836" s="484"/>
      <c r="F836" s="431"/>
      <c r="G836" s="485"/>
      <c r="H836" s="486"/>
      <c r="I836" s="486"/>
      <c r="J836" s="487"/>
      <c r="K836" s="487"/>
      <c r="L836" s="487"/>
      <c r="M836" s="487"/>
      <c r="N836" s="487"/>
      <c r="O836" s="487"/>
      <c r="P836" s="487"/>
      <c r="Q836" s="487"/>
      <c r="R836" s="487"/>
      <c r="S836" s="487"/>
      <c r="T836" s="487"/>
      <c r="U836" s="487"/>
      <c r="V836" s="487"/>
      <c r="W836" s="487"/>
      <c r="X836" s="487"/>
    </row>
    <row r="837" spans="1:24" s="148" customFormat="1" ht="20.100000000000001" customHeight="1">
      <c r="A837" s="148" t="str">
        <f>RAW_DATA!A160</f>
        <v>S2_I.D</v>
      </c>
      <c r="B837" s="808">
        <f>RAW_DATA!D160</f>
        <v>23.690846009703399</v>
      </c>
      <c r="C837" s="438">
        <f>AVERAGE(B836:B838)</f>
        <v>22.018707130787902</v>
      </c>
      <c r="D837" s="438">
        <f>STDEV(B836:B838)</f>
        <v>2.2279519368850025</v>
      </c>
      <c r="E837" s="484"/>
      <c r="F837" s="431"/>
      <c r="G837" s="485"/>
      <c r="H837" s="486"/>
      <c r="I837" s="486"/>
      <c r="J837" s="487"/>
      <c r="K837" s="487"/>
      <c r="L837" s="487"/>
      <c r="M837" s="487"/>
      <c r="N837" s="487"/>
      <c r="O837" s="487"/>
      <c r="P837" s="487"/>
      <c r="Q837" s="487"/>
      <c r="R837" s="487"/>
      <c r="S837" s="487"/>
      <c r="T837" s="487"/>
      <c r="U837" s="487"/>
      <c r="V837" s="487"/>
      <c r="W837" s="487"/>
      <c r="X837" s="487"/>
    </row>
    <row r="838" spans="1:24" s="148" customFormat="1" ht="20.100000000000001" customHeight="1">
      <c r="A838" s="315" t="str">
        <f>RAW_DATA!A161</f>
        <v>S3_I.D</v>
      </c>
      <c r="B838" s="809">
        <f>RAW_DATA!D161</f>
        <v>19.4894946051487</v>
      </c>
      <c r="C838" s="812"/>
      <c r="D838" s="441"/>
      <c r="E838" s="484"/>
      <c r="F838" s="431"/>
      <c r="G838" s="485"/>
      <c r="H838" s="486"/>
      <c r="I838" s="486"/>
      <c r="J838" s="487"/>
      <c r="K838" s="487"/>
      <c r="L838" s="487"/>
      <c r="M838" s="487"/>
      <c r="N838" s="487"/>
      <c r="O838" s="487"/>
      <c r="P838" s="487"/>
      <c r="Q838" s="487"/>
      <c r="R838" s="487"/>
      <c r="S838" s="487"/>
      <c r="T838" s="487"/>
      <c r="U838" s="487"/>
      <c r="V838" s="487"/>
      <c r="W838" s="487"/>
      <c r="X838" s="487"/>
    </row>
    <row r="839" spans="1:24" s="148" customFormat="1" ht="20.100000000000001" customHeight="1">
      <c r="A839" s="811" t="str">
        <f>RAW_DATA!A147</f>
        <v>WATER_I.D</v>
      </c>
      <c r="B839" s="810">
        <f>RAW_DATA!D147</f>
        <v>21.3962832400676</v>
      </c>
      <c r="C839" s="813"/>
      <c r="D839" s="814"/>
      <c r="E839" s="484"/>
      <c r="F839" s="431"/>
      <c r="G839" s="485"/>
      <c r="H839" s="486"/>
      <c r="I839" s="486"/>
      <c r="J839" s="487"/>
      <c r="K839" s="487"/>
      <c r="L839" s="487"/>
      <c r="M839" s="487"/>
      <c r="N839" s="487"/>
      <c r="O839" s="487"/>
      <c r="P839" s="487"/>
      <c r="Q839" s="487"/>
      <c r="R839" s="487"/>
      <c r="S839" s="487"/>
      <c r="T839" s="487"/>
      <c r="U839" s="487"/>
      <c r="V839" s="487"/>
      <c r="W839" s="487"/>
      <c r="X839" s="487"/>
    </row>
    <row r="840" spans="1:24" s="148" customFormat="1" ht="20.100000000000001" customHeight="1">
      <c r="B840" s="379"/>
      <c r="C840" s="484"/>
      <c r="D840" s="379"/>
      <c r="E840" s="484"/>
      <c r="F840" s="431"/>
      <c r="G840" s="485"/>
      <c r="H840" s="486"/>
      <c r="I840" s="486"/>
      <c r="J840" s="487"/>
      <c r="K840" s="487"/>
      <c r="L840" s="487"/>
      <c r="M840" s="487"/>
      <c r="N840" s="487"/>
      <c r="O840" s="487"/>
      <c r="P840" s="487"/>
      <c r="Q840" s="487"/>
      <c r="R840" s="487"/>
      <c r="S840" s="487"/>
      <c r="T840" s="487"/>
      <c r="U840" s="487"/>
      <c r="V840" s="487"/>
      <c r="W840" s="487"/>
      <c r="X840" s="487"/>
    </row>
    <row r="841" spans="1:24" s="148" customFormat="1" ht="20.100000000000001" customHeight="1">
      <c r="A841" s="380" t="s">
        <v>269</v>
      </c>
      <c r="B841" s="440"/>
      <c r="C841" s="816">
        <f>C837-C834</f>
        <v>4.8050047869362338</v>
      </c>
      <c r="D841" s="817">
        <f>SQRT(SUMSQ(D837,D834))</f>
        <v>5.0264132071205134</v>
      </c>
      <c r="E841" s="484"/>
      <c r="F841" s="431"/>
      <c r="G841" s="485"/>
      <c r="H841" s="486"/>
      <c r="I841" s="486"/>
      <c r="J841" s="487"/>
      <c r="K841" s="487"/>
      <c r="L841" s="487"/>
      <c r="M841" s="487"/>
      <c r="N841" s="487"/>
      <c r="O841" s="487"/>
      <c r="P841" s="487"/>
      <c r="Q841" s="487"/>
      <c r="R841" s="487"/>
      <c r="S841" s="487"/>
      <c r="T841" s="487"/>
      <c r="U841" s="487"/>
      <c r="V841" s="487"/>
      <c r="W841" s="487"/>
      <c r="X841" s="487"/>
    </row>
    <row r="842" spans="1:24" s="148" customFormat="1" ht="20.100000000000001" customHeight="1">
      <c r="A842" s="314"/>
      <c r="B842" s="379"/>
      <c r="C842" s="484"/>
      <c r="D842" s="379"/>
      <c r="E842" s="484"/>
      <c r="F842" s="431"/>
      <c r="G842" s="485"/>
      <c r="H842" s="486"/>
      <c r="I842" s="486"/>
      <c r="J842" s="487"/>
      <c r="K842" s="487"/>
      <c r="L842" s="487"/>
      <c r="M842" s="487"/>
      <c r="N842" s="487"/>
      <c r="O842" s="487"/>
      <c r="P842" s="487"/>
      <c r="Q842" s="487"/>
      <c r="R842" s="487"/>
      <c r="S842" s="487"/>
      <c r="T842" s="487"/>
      <c r="U842" s="487"/>
      <c r="V842" s="487"/>
      <c r="W842" s="487"/>
      <c r="X842" s="487"/>
    </row>
    <row r="843" spans="1:24" s="148" customFormat="1" ht="20.100000000000001" customHeight="1">
      <c r="A843" s="641" t="s">
        <v>2692</v>
      </c>
      <c r="B843" s="379"/>
      <c r="C843" s="484"/>
      <c r="D843" s="379"/>
      <c r="E843" s="484"/>
      <c r="F843" s="431"/>
      <c r="G843" s="485"/>
      <c r="H843" s="486"/>
      <c r="I843" s="486"/>
      <c r="J843" s="487"/>
      <c r="K843" s="487"/>
      <c r="L843" s="487"/>
      <c r="M843" s="487"/>
      <c r="N843" s="487"/>
      <c r="O843" s="487"/>
      <c r="P843" s="487"/>
      <c r="Q843" s="487"/>
      <c r="R843" s="487"/>
      <c r="S843" s="487"/>
      <c r="T843" s="487"/>
      <c r="U843" s="487"/>
      <c r="V843" s="487"/>
      <c r="W843" s="487"/>
      <c r="X843" s="487"/>
    </row>
    <row r="844" spans="1:24" s="148" customFormat="1" ht="20.100000000000001" customHeight="1">
      <c r="A844" s="641" t="s">
        <v>2244</v>
      </c>
      <c r="B844" s="379"/>
      <c r="C844" s="484"/>
      <c r="D844" s="379"/>
      <c r="E844" s="484"/>
      <c r="F844" s="431"/>
      <c r="G844" s="485"/>
      <c r="H844" s="486"/>
      <c r="I844" s="486"/>
      <c r="J844" s="487"/>
      <c r="K844" s="487"/>
      <c r="L844" s="487"/>
      <c r="M844" s="487"/>
      <c r="N844" s="487"/>
      <c r="O844" s="487"/>
      <c r="P844" s="487"/>
      <c r="Q844" s="487"/>
      <c r="R844" s="487"/>
      <c r="S844" s="487"/>
      <c r="T844" s="487"/>
      <c r="U844" s="487"/>
      <c r="V844" s="487"/>
      <c r="W844" s="487"/>
      <c r="X844" s="487"/>
    </row>
    <row r="845" spans="1:24" s="148" customFormat="1" ht="20.100000000000001" customHeight="1">
      <c r="A845" s="314"/>
      <c r="B845" s="379"/>
      <c r="C845" s="484"/>
      <c r="D845" s="379"/>
      <c r="E845" s="484"/>
      <c r="F845" s="431"/>
      <c r="G845" s="485"/>
      <c r="H845" s="486"/>
      <c r="I845" s="486"/>
      <c r="J845" s="487"/>
      <c r="K845" s="487"/>
      <c r="L845" s="487"/>
      <c r="M845" s="487"/>
      <c r="N845" s="487"/>
      <c r="O845" s="487"/>
      <c r="P845" s="487"/>
      <c r="Q845" s="487"/>
      <c r="R845" s="487"/>
      <c r="S845" s="487"/>
      <c r="T845" s="487"/>
      <c r="U845" s="487"/>
      <c r="V845" s="487"/>
      <c r="W845" s="487"/>
      <c r="X845" s="487"/>
    </row>
    <row r="846" spans="1:24" s="148" customFormat="1" ht="20.100000000000001" customHeight="1">
      <c r="A846" s="314"/>
      <c r="B846" s="379"/>
      <c r="C846" s="484"/>
      <c r="D846" s="379"/>
      <c r="E846" s="484"/>
      <c r="F846" s="431"/>
      <c r="G846" s="485"/>
      <c r="H846" s="486"/>
      <c r="I846" s="486"/>
      <c r="J846" s="487"/>
      <c r="K846" s="487"/>
      <c r="L846" s="487"/>
      <c r="M846" s="487"/>
      <c r="N846" s="487"/>
      <c r="O846" s="487"/>
      <c r="P846" s="487"/>
      <c r="Q846" s="487"/>
      <c r="R846" s="487"/>
      <c r="S846" s="487"/>
      <c r="T846" s="487"/>
      <c r="U846" s="487"/>
      <c r="V846" s="487"/>
      <c r="W846" s="487"/>
      <c r="X846" s="487"/>
    </row>
    <row r="847" spans="1:24" s="148" customFormat="1" ht="20.100000000000001" customHeight="1">
      <c r="A847" s="480" t="s">
        <v>2245</v>
      </c>
      <c r="B847" s="379"/>
      <c r="C847" s="484"/>
      <c r="D847" s="379"/>
      <c r="E847" s="484"/>
      <c r="F847" s="431"/>
      <c r="G847" s="485"/>
      <c r="H847" s="486"/>
      <c r="I847" s="486"/>
      <c r="J847" s="487"/>
      <c r="K847" s="487"/>
      <c r="L847" s="487"/>
      <c r="M847" s="487"/>
      <c r="N847" s="487"/>
      <c r="O847" s="487"/>
      <c r="P847" s="487"/>
      <c r="Q847" s="487"/>
      <c r="R847" s="487"/>
      <c r="S847" s="487"/>
      <c r="T847" s="487"/>
      <c r="U847" s="487"/>
      <c r="V847" s="487"/>
      <c r="W847" s="487"/>
      <c r="X847" s="487"/>
    </row>
    <row r="848" spans="1:24" s="148" customFormat="1" ht="20.100000000000001" customHeight="1">
      <c r="A848" s="314"/>
      <c r="B848" s="379"/>
      <c r="C848" s="484"/>
      <c r="D848" s="379"/>
      <c r="E848" s="484"/>
      <c r="F848" s="431"/>
      <c r="G848" s="485"/>
      <c r="H848" s="486"/>
      <c r="I848" s="486"/>
      <c r="J848" s="487"/>
      <c r="K848" s="487"/>
      <c r="L848" s="487"/>
      <c r="M848" s="487"/>
      <c r="N848" s="487"/>
      <c r="O848" s="487"/>
      <c r="P848" s="487"/>
      <c r="Q848" s="487"/>
      <c r="R848" s="487"/>
      <c r="S848" s="487"/>
      <c r="T848" s="487"/>
      <c r="U848" s="487"/>
      <c r="V848" s="487"/>
      <c r="W848" s="487"/>
      <c r="X848" s="487"/>
    </row>
    <row r="849" spans="1:24" s="148" customFormat="1" ht="20.100000000000001" customHeight="1">
      <c r="A849" s="316" t="s">
        <v>96</v>
      </c>
      <c r="B849" s="815" t="s">
        <v>283</v>
      </c>
      <c r="C849" s="815" t="s">
        <v>2249</v>
      </c>
      <c r="D849" s="815" t="s">
        <v>2248</v>
      </c>
      <c r="E849" s="815" t="s">
        <v>449</v>
      </c>
      <c r="F849" s="815" t="s">
        <v>2243</v>
      </c>
      <c r="G849" s="485"/>
      <c r="H849" s="486"/>
      <c r="I849" s="486"/>
      <c r="J849" s="487"/>
      <c r="K849" s="487"/>
      <c r="L849" s="487"/>
      <c r="M849" s="487"/>
      <c r="N849" s="487"/>
      <c r="O849" s="487"/>
      <c r="P849" s="487"/>
      <c r="Q849" s="487"/>
      <c r="R849" s="487"/>
      <c r="S849" s="487"/>
      <c r="T849" s="487"/>
      <c r="U849" s="487"/>
      <c r="V849" s="487"/>
      <c r="W849" s="487"/>
      <c r="X849" s="487"/>
    </row>
    <row r="850" spans="1:24" s="148" customFormat="1" ht="20.100000000000001" customHeight="1">
      <c r="A850" s="314" t="str">
        <f>RAW_DATA!M151</f>
        <v>SULF_BLK1</v>
      </c>
      <c r="B850" s="379">
        <f>RAW_DATA!S151</f>
        <v>1.7604135551521252E-2</v>
      </c>
      <c r="C850" s="379">
        <f>RAW_DATA!T151</f>
        <v>1.2888116333647115E-4</v>
      </c>
      <c r="D850" s="379">
        <f>B850*M783/L783</f>
        <v>1.7574507761760252E-2</v>
      </c>
      <c r="E850" s="484"/>
      <c r="F850" s="379"/>
      <c r="G850" s="485"/>
      <c r="H850" s="486"/>
      <c r="I850" s="486"/>
      <c r="J850" s="487"/>
      <c r="K850" s="487"/>
      <c r="L850" s="487"/>
      <c r="M850" s="487"/>
      <c r="N850" s="487"/>
      <c r="O850" s="487"/>
      <c r="P850" s="487"/>
      <c r="Q850" s="487"/>
      <c r="R850" s="487"/>
      <c r="S850" s="487"/>
      <c r="T850" s="487"/>
      <c r="U850" s="487"/>
      <c r="V850" s="487"/>
      <c r="W850" s="487"/>
      <c r="X850" s="487"/>
    </row>
    <row r="851" spans="1:24" s="148" customFormat="1" ht="20.100000000000001" customHeight="1">
      <c r="A851" s="314" t="str">
        <f>RAW_DATA!M152</f>
        <v>SULF_BLK2</v>
      </c>
      <c r="B851" s="379">
        <f>RAW_DATA!S152</f>
        <v>1.7120818901725322E-2</v>
      </c>
      <c r="C851" s="379">
        <f>RAW_DATA!T152</f>
        <v>1.1140075953525856E-4</v>
      </c>
      <c r="D851" s="379">
        <f t="shared" ref="D851:D855" si="74">B851*M784/L784</f>
        <v>1.6976647155475401E-2</v>
      </c>
      <c r="E851" s="379">
        <f>AVERAGE(D850:D852)</f>
        <v>1.667759638733075E-2</v>
      </c>
      <c r="F851" s="379">
        <f>STDEV(D850:D852)</f>
        <v>1.0780090032043942E-3</v>
      </c>
      <c r="G851" s="485"/>
      <c r="H851" s="486"/>
      <c r="I851" s="486"/>
      <c r="J851" s="487"/>
      <c r="K851" s="487"/>
      <c r="L851" s="487"/>
      <c r="M851" s="487"/>
      <c r="N851" s="487"/>
      <c r="O851" s="487"/>
      <c r="P851" s="487"/>
      <c r="Q851" s="487"/>
      <c r="R851" s="487"/>
      <c r="S851" s="487"/>
      <c r="T851" s="487"/>
      <c r="U851" s="487"/>
      <c r="V851" s="487"/>
      <c r="W851" s="487"/>
      <c r="X851" s="487"/>
    </row>
    <row r="852" spans="1:24" s="148" customFormat="1" ht="20.100000000000001" customHeight="1">
      <c r="A852" s="314" t="str">
        <f>RAW_DATA!M153</f>
        <v>SULF_BLK3</v>
      </c>
      <c r="B852" s="379">
        <f>RAW_DATA!S153</f>
        <v>1.5624051038129033E-2</v>
      </c>
      <c r="C852" s="379">
        <f>RAW_DATA!T153</f>
        <v>1.7707028542439157E-4</v>
      </c>
      <c r="D852" s="379">
        <f t="shared" si="74"/>
        <v>1.5481634244756605E-2</v>
      </c>
      <c r="E852" s="441"/>
      <c r="F852" s="441"/>
      <c r="G852" s="485"/>
      <c r="H852" s="486"/>
      <c r="I852" s="486"/>
      <c r="J852" s="487"/>
      <c r="K852" s="487"/>
      <c r="L852" s="487"/>
      <c r="M852" s="487"/>
      <c r="N852" s="487"/>
      <c r="O852" s="487"/>
      <c r="P852" s="487"/>
      <c r="Q852" s="487"/>
      <c r="R852" s="487"/>
      <c r="S852" s="487"/>
      <c r="T852" s="487"/>
      <c r="U852" s="487"/>
      <c r="V852" s="487"/>
      <c r="W852" s="487"/>
      <c r="X852" s="487"/>
    </row>
    <row r="853" spans="1:24" s="148" customFormat="1" ht="20.100000000000001" customHeight="1">
      <c r="A853" s="314" t="str">
        <f>RAW_DATA!M162</f>
        <v>SULF_S1</v>
      </c>
      <c r="B853" s="379">
        <f>RAW_DATA!S162</f>
        <v>1.3884726080816489E-2</v>
      </c>
      <c r="C853" s="379">
        <f>RAW_DATA!T162</f>
        <v>1.077551785227666E-4</v>
      </c>
      <c r="D853" s="379">
        <f t="shared" si="74"/>
        <v>1.3745816929792522E-2</v>
      </c>
      <c r="E853" s="379"/>
      <c r="F853" s="379"/>
      <c r="G853" s="485"/>
      <c r="H853" s="486"/>
      <c r="I853" s="486"/>
      <c r="J853" s="487"/>
      <c r="K853" s="487"/>
      <c r="L853" s="487"/>
      <c r="M853" s="487"/>
      <c r="N853" s="487"/>
      <c r="O853" s="487"/>
      <c r="P853" s="487"/>
      <c r="Q853" s="487"/>
      <c r="R853" s="487"/>
      <c r="S853" s="487"/>
      <c r="T853" s="487"/>
      <c r="U853" s="487"/>
      <c r="V853" s="487"/>
      <c r="W853" s="487"/>
      <c r="X853" s="487"/>
    </row>
    <row r="854" spans="1:24" s="148" customFormat="1" ht="20.100000000000001" customHeight="1">
      <c r="A854" s="314" t="str">
        <f>RAW_DATA!M163</f>
        <v>SULF_S2</v>
      </c>
      <c r="B854" s="379">
        <f>RAW_DATA!S163</f>
        <v>1.7279964115531832E-2</v>
      </c>
      <c r="C854" s="379">
        <f>RAW_DATA!T163</f>
        <v>2.2306554278013504E-4</v>
      </c>
      <c r="D854" s="379">
        <f t="shared" si="74"/>
        <v>1.7119924826264125E-2</v>
      </c>
      <c r="E854" s="379">
        <f>AVERAGE(D853:D855)</f>
        <v>1.5947108562732504E-2</v>
      </c>
      <c r="F854" s="379">
        <f>STDEV(D853:D855)</f>
        <v>1.9077400801387396E-3</v>
      </c>
      <c r="G854" s="485"/>
      <c r="H854" s="486"/>
      <c r="I854" s="486"/>
      <c r="J854" s="487"/>
      <c r="K854" s="487"/>
      <c r="L854" s="487"/>
      <c r="M854" s="487"/>
      <c r="N854" s="487"/>
      <c r="O854" s="487"/>
      <c r="P854" s="487"/>
      <c r="Q854" s="487"/>
      <c r="R854" s="487"/>
      <c r="S854" s="487"/>
      <c r="T854" s="487"/>
      <c r="U854" s="487"/>
      <c r="V854" s="487"/>
      <c r="W854" s="487"/>
      <c r="X854" s="487"/>
    </row>
    <row r="855" spans="1:24" s="148" customFormat="1" ht="20.100000000000001" customHeight="1">
      <c r="A855" s="316" t="str">
        <f>RAW_DATA!M164</f>
        <v>SULF_S3</v>
      </c>
      <c r="B855" s="441">
        <f>RAW_DATA!S164</f>
        <v>1.7123168203360635E-2</v>
      </c>
      <c r="C855" s="441">
        <f>RAW_DATA!T164</f>
        <v>1.2189350897745493E-4</v>
      </c>
      <c r="D855" s="441">
        <f t="shared" si="74"/>
        <v>1.6975583932140874E-2</v>
      </c>
      <c r="E855" s="812"/>
      <c r="F855" s="441"/>
      <c r="G855" s="485"/>
      <c r="H855" s="486"/>
      <c r="I855" s="486"/>
      <c r="J855" s="487"/>
      <c r="K855" s="487"/>
      <c r="L855" s="487"/>
      <c r="M855" s="487"/>
      <c r="N855" s="487"/>
      <c r="O855" s="487"/>
      <c r="P855" s="487"/>
      <c r="Q855" s="487"/>
      <c r="R855" s="487"/>
      <c r="S855" s="487"/>
      <c r="T855" s="487"/>
      <c r="U855" s="487"/>
      <c r="V855" s="487"/>
      <c r="W855" s="487"/>
      <c r="X855" s="487"/>
    </row>
    <row r="856" spans="1:24" s="148" customFormat="1" ht="20.100000000000001" customHeight="1">
      <c r="A856" s="314"/>
      <c r="B856" s="379"/>
      <c r="C856" s="484"/>
      <c r="D856" s="379"/>
      <c r="E856" s="818"/>
      <c r="F856" s="819"/>
      <c r="G856" s="485"/>
      <c r="H856" s="486"/>
      <c r="I856" s="486"/>
      <c r="J856" s="487"/>
      <c r="K856" s="487"/>
      <c r="L856" s="487"/>
      <c r="M856" s="487"/>
      <c r="N856" s="487"/>
      <c r="O856" s="487"/>
      <c r="P856" s="487"/>
      <c r="Q856" s="487"/>
      <c r="R856" s="487"/>
      <c r="S856" s="487"/>
      <c r="T856" s="487"/>
      <c r="U856" s="487"/>
      <c r="V856" s="487"/>
      <c r="W856" s="487"/>
      <c r="X856" s="487"/>
    </row>
    <row r="857" spans="1:24" s="148" customFormat="1" ht="20.100000000000001" customHeight="1">
      <c r="A857" s="314" t="s">
        <v>269</v>
      </c>
      <c r="B857" s="379"/>
      <c r="C857" s="484"/>
      <c r="D857" s="379"/>
      <c r="E857" s="440">
        <f>E854-E851</f>
        <v>-7.3048782459824574E-4</v>
      </c>
      <c r="F857" s="440">
        <f>SQRT(SUMSQ(F854,F851))</f>
        <v>2.1912497859343867E-3</v>
      </c>
      <c r="G857" s="485"/>
      <c r="H857" s="486"/>
      <c r="I857" s="486"/>
      <c r="J857" s="487"/>
      <c r="K857" s="487"/>
      <c r="L857" s="487"/>
      <c r="M857" s="487"/>
      <c r="N857" s="487"/>
      <c r="O857" s="487"/>
      <c r="P857" s="487"/>
      <c r="Q857" s="487"/>
      <c r="R857" s="487"/>
      <c r="S857" s="487"/>
      <c r="T857" s="487"/>
      <c r="U857" s="487"/>
      <c r="V857" s="487"/>
      <c r="W857" s="487"/>
      <c r="X857" s="487"/>
    </row>
    <row r="858" spans="1:24" s="148" customFormat="1" ht="20.100000000000001" customHeight="1">
      <c r="A858" s="314"/>
      <c r="B858" s="379"/>
      <c r="C858" s="484"/>
      <c r="D858" s="379"/>
      <c r="E858" s="484"/>
      <c r="F858" s="431"/>
      <c r="G858" s="485"/>
      <c r="H858" s="486"/>
      <c r="I858" s="486"/>
      <c r="J858" s="487"/>
      <c r="K858" s="487"/>
      <c r="L858" s="487"/>
      <c r="M858" s="487"/>
      <c r="N858" s="487"/>
      <c r="O858" s="487"/>
      <c r="P858" s="487"/>
      <c r="Q858" s="487"/>
      <c r="R858" s="487"/>
      <c r="S858" s="487"/>
      <c r="T858" s="487"/>
      <c r="U858" s="487"/>
      <c r="V858" s="487"/>
      <c r="W858" s="487"/>
      <c r="X858" s="487"/>
    </row>
    <row r="859" spans="1:24" s="148" customFormat="1" ht="20.100000000000001" customHeight="1">
      <c r="A859" s="641" t="s">
        <v>2251</v>
      </c>
      <c r="B859" s="379"/>
      <c r="C859" s="484"/>
      <c r="D859" s="379"/>
      <c r="E859" s="484"/>
      <c r="F859" s="431"/>
      <c r="G859" s="485"/>
      <c r="H859" s="486"/>
      <c r="I859" s="486"/>
      <c r="J859" s="487"/>
      <c r="K859" s="487"/>
      <c r="L859" s="487"/>
      <c r="M859" s="487"/>
      <c r="N859" s="487"/>
      <c r="O859" s="487"/>
      <c r="P859" s="487"/>
      <c r="Q859" s="487"/>
      <c r="R859" s="487"/>
      <c r="S859" s="487"/>
      <c r="T859" s="487"/>
      <c r="U859" s="487"/>
      <c r="V859" s="487"/>
      <c r="W859" s="487"/>
      <c r="X859" s="487"/>
    </row>
    <row r="860" spans="1:24" s="148" customFormat="1" ht="20.100000000000001" customHeight="1">
      <c r="A860" s="641"/>
      <c r="B860" s="379"/>
      <c r="C860" s="484"/>
      <c r="D860" s="379"/>
      <c r="E860" s="484"/>
      <c r="F860" s="431"/>
      <c r="G860" s="485"/>
      <c r="H860" s="486"/>
      <c r="I860" s="486"/>
      <c r="J860" s="487"/>
      <c r="K860" s="487"/>
      <c r="L860" s="487"/>
      <c r="M860" s="487"/>
      <c r="N860" s="487"/>
      <c r="O860" s="487"/>
      <c r="P860" s="487"/>
      <c r="Q860" s="487"/>
      <c r="R860" s="487"/>
      <c r="S860" s="487"/>
      <c r="T860" s="487"/>
      <c r="U860" s="487"/>
      <c r="V860" s="487"/>
      <c r="W860" s="487"/>
      <c r="X860" s="487"/>
    </row>
    <row r="861" spans="1:24" s="148" customFormat="1" ht="20.100000000000001" customHeight="1">
      <c r="A861" s="314"/>
      <c r="B861" s="379"/>
      <c r="C861" s="484"/>
      <c r="D861" s="379"/>
      <c r="E861" s="484"/>
      <c r="F861" s="431"/>
      <c r="G861" s="485"/>
      <c r="H861" s="486"/>
      <c r="I861" s="486"/>
      <c r="J861" s="487"/>
      <c r="K861" s="487"/>
      <c r="L861" s="487"/>
      <c r="M861" s="487"/>
      <c r="N861" s="487"/>
      <c r="O861" s="487"/>
      <c r="P861" s="487"/>
      <c r="Q861" s="487"/>
      <c r="R861" s="487"/>
      <c r="S861" s="487"/>
      <c r="T861" s="487"/>
      <c r="U861" s="487"/>
      <c r="V861" s="487"/>
      <c r="W861" s="487"/>
      <c r="X861" s="487"/>
    </row>
    <row r="862" spans="1:24" s="148" customFormat="1" ht="20.100000000000001" customHeight="1">
      <c r="A862" s="480" t="s">
        <v>2250</v>
      </c>
      <c r="B862" s="379"/>
      <c r="C862" s="484"/>
      <c r="D862" s="379"/>
      <c r="E862" s="484"/>
      <c r="F862" s="431"/>
      <c r="G862" s="485"/>
      <c r="H862" s="486"/>
      <c r="I862" s="486"/>
      <c r="J862" s="487"/>
      <c r="K862" s="487"/>
      <c r="L862" s="487"/>
      <c r="M862" s="487"/>
      <c r="N862" s="487"/>
      <c r="O862" s="487"/>
      <c r="P862" s="487"/>
      <c r="Q862" s="487"/>
      <c r="R862" s="487"/>
      <c r="S862" s="487"/>
      <c r="T862" s="487"/>
      <c r="U862" s="487"/>
      <c r="V862" s="487"/>
      <c r="W862" s="487"/>
      <c r="X862" s="487"/>
    </row>
    <row r="863" spans="1:24" s="148" customFormat="1" ht="20.100000000000001" customHeight="1">
      <c r="A863" s="314"/>
      <c r="B863" s="379"/>
      <c r="C863" s="484"/>
      <c r="D863" s="379"/>
      <c r="E863" s="484"/>
      <c r="F863" s="431"/>
      <c r="G863" s="485"/>
      <c r="H863" s="486"/>
      <c r="I863" s="486"/>
      <c r="J863" s="487"/>
      <c r="K863" s="487"/>
      <c r="L863" s="487"/>
      <c r="M863" s="487"/>
      <c r="N863" s="487"/>
      <c r="O863" s="487"/>
      <c r="P863" s="487"/>
      <c r="Q863" s="487"/>
      <c r="R863" s="487"/>
      <c r="S863" s="487"/>
      <c r="T863" s="487"/>
      <c r="U863" s="487"/>
      <c r="V863" s="487"/>
      <c r="W863" s="487"/>
      <c r="X863" s="487"/>
    </row>
    <row r="864" spans="1:24" s="148" customFormat="1" ht="20.100000000000001" customHeight="1">
      <c r="A864" s="587" t="s">
        <v>102</v>
      </c>
      <c r="B864" s="587" t="s">
        <v>1528</v>
      </c>
      <c r="C864" s="587" t="s">
        <v>2055</v>
      </c>
      <c r="D864" s="195" t="s">
        <v>2</v>
      </c>
      <c r="E864" s="587" t="s">
        <v>2052</v>
      </c>
      <c r="F864" s="587" t="s">
        <v>2080</v>
      </c>
      <c r="G864" s="587" t="s">
        <v>2053</v>
      </c>
      <c r="H864" s="587" t="s">
        <v>117</v>
      </c>
      <c r="I864" s="728" t="s">
        <v>2175</v>
      </c>
      <c r="J864" s="728" t="s">
        <v>2176</v>
      </c>
    </row>
    <row r="865" spans="1:24" s="148" customFormat="1" ht="20.100000000000001" customHeight="1">
      <c r="A865" s="148" t="str">
        <f>RAW_DATA!M154</f>
        <v>AB1</v>
      </c>
      <c r="B865" s="317">
        <f>RAW_DATA!S154</f>
        <v>0.52820849830407157</v>
      </c>
      <c r="C865" s="317">
        <f>RAW_DATA!V154</f>
        <v>1.7515322148397918E-4</v>
      </c>
      <c r="D865" s="724">
        <f>RAW_DATA!B154</f>
        <v>45328.601261574098</v>
      </c>
      <c r="E865" s="320">
        <f>P762</f>
        <v>50.157243005831155</v>
      </c>
      <c r="F865" s="320">
        <f>Q762</f>
        <v>2.8318227792766031E-2</v>
      </c>
      <c r="G865" s="317">
        <f>L772</f>
        <v>1.00725</v>
      </c>
      <c r="H865" s="317">
        <f t="shared" ref="H865:H869" si="75">M772</f>
        <v>1.0085999999999999</v>
      </c>
      <c r="I865" s="733">
        <f>E865*G865/H865</f>
        <v>50.090108088066067</v>
      </c>
      <c r="J865" s="733">
        <f>I865*SQRT((F865/E865)^2+(u_m3/G865)^2+(u_m3/H865)^2)</f>
        <v>3.4567792377046762E-2</v>
      </c>
      <c r="L865" s="732"/>
    </row>
    <row r="866" spans="1:24" s="148" customFormat="1" ht="20.100000000000001" customHeight="1">
      <c r="A866" s="148" t="str">
        <f>RAW_DATA!M155</f>
        <v>AB2A</v>
      </c>
      <c r="B866" s="317">
        <f>RAW_DATA!S155</f>
        <v>1.0496242247123462</v>
      </c>
      <c r="C866" s="317">
        <f>RAW_DATA!V155</f>
        <v>9.9848730864208796E-4</v>
      </c>
      <c r="D866" s="724">
        <f>RAW_DATA!B155</f>
        <v>45328.610729166699</v>
      </c>
      <c r="E866" s="320">
        <f>P763</f>
        <v>101.46460653134693</v>
      </c>
      <c r="F866" s="320">
        <f>Q763</f>
        <v>2.8769457598883785E-2</v>
      </c>
      <c r="G866" s="317">
        <f t="shared" ref="G866:G869" si="76">L773</f>
        <v>1.0054500000000002</v>
      </c>
      <c r="H866" s="317">
        <f t="shared" si="75"/>
        <v>0.99734999999999951</v>
      </c>
      <c r="I866" s="733">
        <f t="shared" ref="I866:I869" si="77">E866*G866/H866</f>
        <v>102.28865356890043</v>
      </c>
      <c r="J866" s="733">
        <f>I866*SQRT((F866/E866)^2+(u_m3/G866)^2+(u_m3/H866)^2)</f>
        <v>5.0106483338317097E-2</v>
      </c>
    </row>
    <row r="867" spans="1:24" s="148" customFormat="1" ht="20.100000000000001" customHeight="1">
      <c r="A867" s="148" t="str">
        <f>RAW_DATA!M156</f>
        <v>AB2B</v>
      </c>
      <c r="B867" s="317">
        <f>RAW_DATA!S156</f>
        <v>1.044012351933894</v>
      </c>
      <c r="C867" s="317">
        <f>RAW_DATA!V156</f>
        <v>7.2310107735535408E-4</v>
      </c>
      <c r="D867" s="724">
        <f>RAW_DATA!B156</f>
        <v>45328.620451388902</v>
      </c>
      <c r="E867" s="320">
        <f>E866</f>
        <v>101.46460653134693</v>
      </c>
      <c r="F867" s="320">
        <f>F866</f>
        <v>2.8769457598883785E-2</v>
      </c>
      <c r="G867" s="317">
        <f t="shared" si="76"/>
        <v>0.99380000000000024</v>
      </c>
      <c r="H867" s="317">
        <f t="shared" si="75"/>
        <v>0.99469999999999992</v>
      </c>
      <c r="I867" s="733">
        <f t="shared" si="77"/>
        <v>101.37280182050127</v>
      </c>
      <c r="J867" s="733">
        <f>I867*SQRT((F867/E867)^2+(u_m3/G867)^2+(u_m3/H867)^2)</f>
        <v>4.9894787525369237E-2</v>
      </c>
    </row>
    <row r="868" spans="1:24" s="148" customFormat="1" ht="20.100000000000001" customHeight="1">
      <c r="A868" s="148" t="str">
        <f>RAW_DATA!M157</f>
        <v>AB2C</v>
      </c>
      <c r="B868" s="317">
        <f>RAW_DATA!S157</f>
        <v>1.0389268179146292</v>
      </c>
      <c r="C868" s="317">
        <f>RAW_DATA!V157</f>
        <v>4.3830679284148378E-4</v>
      </c>
      <c r="D868" s="724">
        <f>RAW_DATA!B157</f>
        <v>45328.630011574103</v>
      </c>
      <c r="E868" s="320">
        <f>E866</f>
        <v>101.46460653134693</v>
      </c>
      <c r="F868" s="320">
        <f>F866</f>
        <v>2.8769457598883785E-2</v>
      </c>
      <c r="G868" s="317">
        <f t="shared" si="76"/>
        <v>0.9922500000000003</v>
      </c>
      <c r="H868" s="317">
        <f t="shared" si="75"/>
        <v>0.99425000000000008</v>
      </c>
      <c r="I868" s="733">
        <f t="shared" si="77"/>
        <v>101.2605037271602</v>
      </c>
      <c r="J868" s="733">
        <f>I868*SQRT((F868/E868)^2+(u_m3/G868)^2+(u_m3/H868)^2)</f>
        <v>4.9873087077552267E-2</v>
      </c>
    </row>
    <row r="869" spans="1:24" s="148" customFormat="1" ht="20.100000000000001" customHeight="1">
      <c r="A869" s="315" t="str">
        <f>RAW_DATA!M158</f>
        <v>AB3</v>
      </c>
      <c r="B869" s="319">
        <f>RAW_DATA!S158</f>
        <v>2.1056848196364224</v>
      </c>
      <c r="C869" s="319">
        <f>RAW_DATA!V158</f>
        <v>9.6165200002882234E-4</v>
      </c>
      <c r="D869" s="726">
        <f>RAW_DATA!B158</f>
        <v>45328.639594907399</v>
      </c>
      <c r="E869" s="321">
        <f>P764</f>
        <v>206.27321399278216</v>
      </c>
      <c r="F869" s="321">
        <f>Q764</f>
        <v>5.9252691712938031E-2</v>
      </c>
      <c r="G869" s="319">
        <f t="shared" si="76"/>
        <v>1.0058499999999997</v>
      </c>
      <c r="H869" s="319">
        <f t="shared" si="75"/>
        <v>0.99425000000000008</v>
      </c>
      <c r="I869" s="624">
        <f t="shared" si="77"/>
        <v>208.67982126692465</v>
      </c>
      <c r="J869" s="624">
        <f>I869*SQRT((F869/E869)^2+(u_m3/G869)^2+(u_m3/H869)^2)</f>
        <v>0.10276600653814309</v>
      </c>
    </row>
    <row r="870" spans="1:24" s="148" customFormat="1" ht="20.100000000000001" customHeight="1">
      <c r="A870" s="314"/>
      <c r="B870" s="379"/>
      <c r="C870" s="484"/>
      <c r="D870" s="379"/>
      <c r="E870" s="484"/>
      <c r="F870" s="431"/>
      <c r="G870" s="485"/>
      <c r="H870" s="486"/>
      <c r="I870" s="486"/>
      <c r="J870" s="487"/>
      <c r="K870" s="487"/>
      <c r="L870" s="487"/>
      <c r="M870" s="487"/>
      <c r="N870" s="487"/>
      <c r="O870" s="487"/>
      <c r="P870" s="487"/>
      <c r="Q870" s="487"/>
      <c r="R870" s="487"/>
      <c r="S870" s="487"/>
      <c r="T870" s="487"/>
      <c r="U870" s="487"/>
      <c r="V870" s="487"/>
      <c r="W870" s="487"/>
      <c r="X870" s="487"/>
    </row>
    <row r="871" spans="1:24" s="148" customFormat="1" ht="20.100000000000001" customHeight="1">
      <c r="A871" s="228"/>
      <c r="B871" s="543"/>
      <c r="C871" s="543"/>
      <c r="D871" s="727"/>
      <c r="E871" s="543"/>
      <c r="F871" s="543"/>
      <c r="G871" s="588"/>
      <c r="H871" s="588"/>
      <c r="I871" s="737" t="s">
        <v>2063</v>
      </c>
      <c r="J871" s="737"/>
      <c r="K871" s="737"/>
      <c r="L871" s="737"/>
      <c r="M871" s="290" t="s">
        <v>2064</v>
      </c>
      <c r="N871" s="290"/>
      <c r="O871" s="290"/>
      <c r="P871" s="480" t="s">
        <v>2065</v>
      </c>
      <c r="Q871" s="480" t="s">
        <v>2066</v>
      </c>
    </row>
    <row r="872" spans="1:24" s="148" customFormat="1" ht="20.100000000000001" customHeight="1">
      <c r="A872" s="587" t="s">
        <v>102</v>
      </c>
      <c r="B872" s="587" t="s">
        <v>115</v>
      </c>
      <c r="C872" s="587" t="s">
        <v>2068</v>
      </c>
      <c r="D872" s="195" t="s">
        <v>2</v>
      </c>
      <c r="E872" s="587" t="s">
        <v>116</v>
      </c>
      <c r="F872" s="587" t="s">
        <v>117</v>
      </c>
      <c r="G872" s="587" t="s">
        <v>1530</v>
      </c>
      <c r="H872" s="587" t="s">
        <v>2067</v>
      </c>
      <c r="I872" s="738" t="s">
        <v>1531</v>
      </c>
      <c r="J872" s="738" t="s">
        <v>2069</v>
      </c>
      <c r="K872" s="738" t="s">
        <v>2070</v>
      </c>
      <c r="L872" s="738" t="s">
        <v>2071</v>
      </c>
      <c r="M872" s="668" t="s">
        <v>1531</v>
      </c>
      <c r="N872" s="668" t="s">
        <v>2069</v>
      </c>
      <c r="O872" s="668" t="s">
        <v>2070</v>
      </c>
      <c r="P872" s="589" t="s">
        <v>2230</v>
      </c>
      <c r="Q872" s="589" t="s">
        <v>2230</v>
      </c>
    </row>
    <row r="873" spans="1:24" s="148" customFormat="1" ht="20.100000000000001" customHeight="1">
      <c r="A873" s="729" t="str">
        <f>RAW_DATA!M159</f>
        <v>S1</v>
      </c>
      <c r="B873" s="730">
        <f>RAW_DATA!S159</f>
        <v>1.0555253073950879</v>
      </c>
      <c r="C873" s="730">
        <f>RAW_DATA!V159</f>
        <v>4.094068740276324E-4</v>
      </c>
      <c r="D873" s="731">
        <f>RAW_DATA!B159</f>
        <v>45328.649259259299</v>
      </c>
      <c r="E873" s="730">
        <f>L780</f>
        <v>1.0064000000000002</v>
      </c>
      <c r="F873" s="730">
        <f t="shared" ref="F873:F875" si="78">M780</f>
        <v>0.99575000000000014</v>
      </c>
      <c r="G873" s="734">
        <f>F873/E873</f>
        <v>0.98941772655007942</v>
      </c>
      <c r="H873" s="734">
        <f t="shared" ref="H873:H875" si="79">G873*SQRT((u_m3/E873)^2+(u_m3/F873)^2)</f>
        <v>3.9535887746385673E-4</v>
      </c>
      <c r="I873" s="823">
        <f t="array" ref="I873:J873">ResultIDMS_GS($I$865:$I$869,$B$865:$B$869,G873,H873,B873,C873)</f>
        <v>101.69011641898111</v>
      </c>
      <c r="J873" s="823">
        <v>0.13836830746569331</v>
      </c>
      <c r="K873" s="830">
        <f>J873/I873</f>
        <v>1.360685898869381E-3</v>
      </c>
      <c r="L873" s="750">
        <f>INDEX(FitIDMS($I$865:$I$869,$B$865:$B$869),5,2)</f>
        <v>0.99999282856080352</v>
      </c>
      <c r="M873" s="670">
        <f t="array" ref="M873:N873">ResultIDMS_MT($I$865:$I$869,$J$865:$J$869,$B$865:$B$869,$C$865:$C$869,G873,H873,B873,C873,MC)</f>
        <v>101.68834029783908</v>
      </c>
      <c r="N873" s="670">
        <v>7.863403183485651E-2</v>
      </c>
      <c r="O873" s="952">
        <f>N873/M873</f>
        <v>7.7328464211867481E-4</v>
      </c>
      <c r="P873" s="794">
        <f>I873/M873</f>
        <v>1.0000174663204928</v>
      </c>
      <c r="Q873" s="821">
        <f>J873/N873</f>
        <v>1.7596491523706672</v>
      </c>
      <c r="T873" s="320"/>
    </row>
    <row r="874" spans="1:24" s="148" customFormat="1" ht="20.100000000000001" customHeight="1">
      <c r="A874" s="228" t="str">
        <f>RAW_DATA!M160</f>
        <v>S2</v>
      </c>
      <c r="B874" s="543">
        <f>RAW_DATA!S160</f>
        <v>1.0612986789881171</v>
      </c>
      <c r="C874" s="543">
        <f>RAW_DATA!V160</f>
        <v>4.1885029226044438E-4</v>
      </c>
      <c r="D874" s="727">
        <f>RAW_DATA!B160</f>
        <v>45328.658831018503</v>
      </c>
      <c r="E874" s="543">
        <f t="shared" ref="E874:E875" si="80">L781</f>
        <v>1.0068999999999999</v>
      </c>
      <c r="F874" s="543">
        <f t="shared" si="78"/>
        <v>0.99620000000000042</v>
      </c>
      <c r="G874" s="596">
        <f t="shared" ref="G874:G875" si="81">F874/E874</f>
        <v>0.98937332406395917</v>
      </c>
      <c r="H874" s="596">
        <f t="shared" si="79"/>
        <v>3.9515378016227216E-4</v>
      </c>
      <c r="I874" s="824">
        <f t="array" ref="I874:J874">ResultIDMS_GS($I$865:$I$869,$B$865:$B$869,G874,H874,B874,C874)</f>
        <v>102.25807201105876</v>
      </c>
      <c r="J874" s="824">
        <v>0.13937334832963663</v>
      </c>
      <c r="K874" s="831">
        <f t="shared" ref="K874:K875" si="82">J874/I874</f>
        <v>1.362956934241475E-3</v>
      </c>
      <c r="L874" s="744">
        <f>INDEX(FitIDMS($I$865:$I$869,$B$865:$B$869),5,2)</f>
        <v>0.99999282856080352</v>
      </c>
      <c r="M874" s="752">
        <f t="array" ref="M874:N874">ResultIDMS_MT($I$865:$I$869,$J$865:$J$869,$B$865:$B$869,$C$865:$C$869,G874,H874,B874,C874,MC)</f>
        <v>102.26310229857553</v>
      </c>
      <c r="N874" s="752">
        <v>7.7883533101898175E-2</v>
      </c>
      <c r="O874" s="953">
        <f t="shared" ref="O874:O875" si="83">N874/M874</f>
        <v>7.6159955400632363E-4</v>
      </c>
      <c r="P874" s="597">
        <f t="shared" ref="P874:Q875" si="84">I874/M874</f>
        <v>0.99995081033722122</v>
      </c>
      <c r="Q874" s="598">
        <f t="shared" si="84"/>
        <v>1.7895098331927091</v>
      </c>
      <c r="T874" s="320"/>
    </row>
    <row r="875" spans="1:24" s="148" customFormat="1" ht="20.100000000000001" customHeight="1">
      <c r="A875" s="315" t="str">
        <f>RAW_DATA!M161</f>
        <v>S3</v>
      </c>
      <c r="B875" s="319">
        <f>RAW_DATA!S161</f>
        <v>1.0646688858348428</v>
      </c>
      <c r="C875" s="319">
        <f>RAW_DATA!V161</f>
        <v>8.8071574978877112E-4</v>
      </c>
      <c r="D875" s="726">
        <f>RAW_DATA!B161</f>
        <v>45328.668425925898</v>
      </c>
      <c r="E875" s="319">
        <f t="shared" si="80"/>
        <v>1.0082500000000003</v>
      </c>
      <c r="F875" s="319">
        <f t="shared" si="78"/>
        <v>0.9965499999999996</v>
      </c>
      <c r="G875" s="622">
        <f t="shared" si="81"/>
        <v>0.98839573518472534</v>
      </c>
      <c r="H875" s="622">
        <f t="shared" si="79"/>
        <v>3.9443185640547441E-4</v>
      </c>
      <c r="I875" s="825">
        <f t="array" ref="I875:J875">ResultIDMS_GS($I$865:$I$869,$B$865:$B$869,G875,H875,B875,C875)</f>
        <v>102.49092766310142</v>
      </c>
      <c r="J875" s="825">
        <v>0.15936207771701888</v>
      </c>
      <c r="K875" s="832">
        <f t="shared" si="82"/>
        <v>1.5548896019446617E-3</v>
      </c>
      <c r="L875" s="747">
        <f>INDEX(FitIDMS($I$865:$I$869,$B$865:$B$869),5,2)</f>
        <v>0.99999282856080352</v>
      </c>
      <c r="M875" s="678">
        <f t="array" ref="M875:N875">ResultIDMS_MT($I$865:$I$869,$J$865:$J$869,$B$865:$B$869,$C$865:$C$869,G875,H875,B875,C875,MC)</f>
        <v>102.49221234392807</v>
      </c>
      <c r="N875" s="678">
        <v>0.11052294221345664</v>
      </c>
      <c r="O875" s="954">
        <f t="shared" si="83"/>
        <v>1.0783545372460128E-3</v>
      </c>
      <c r="P875" s="321">
        <f t="shared" si="84"/>
        <v>0.99998746557619089</v>
      </c>
      <c r="Q875" s="599">
        <f t="shared" si="84"/>
        <v>1.4418913804270392</v>
      </c>
      <c r="T875" s="320"/>
    </row>
    <row r="876" spans="1:24" s="148" customFormat="1" ht="20.100000000000001" customHeight="1">
      <c r="A876" s="314" t="s">
        <v>2252</v>
      </c>
      <c r="B876" s="379"/>
      <c r="C876" s="484"/>
      <c r="D876" s="379"/>
      <c r="E876" s="484"/>
      <c r="F876" s="431"/>
      <c r="G876" s="485"/>
      <c r="H876" s="486"/>
      <c r="I876" s="820">
        <f>AVERAGE(I873:I875)</f>
        <v>102.14637203104708</v>
      </c>
      <c r="J876" s="828">
        <f>SQRT(MEDIAN(J873:J875)^2+(STDEV(I873:I875)/SQRT(3))^2)</f>
        <v>0.27565504832560661</v>
      </c>
      <c r="K876" s="829">
        <f>J876/I876</f>
        <v>2.6986278890240183E-3</v>
      </c>
      <c r="L876" s="826"/>
      <c r="M876" s="822"/>
      <c r="N876" s="822"/>
      <c r="O876" s="822"/>
      <c r="P876" s="822"/>
      <c r="Q876" s="822"/>
      <c r="R876" s="822"/>
      <c r="S876" s="822"/>
      <c r="T876" s="822"/>
      <c r="U876" s="822"/>
      <c r="V876" s="822"/>
      <c r="W876" s="822"/>
      <c r="X876" s="822"/>
    </row>
    <row r="877" spans="1:24" s="148" customFormat="1" ht="20.100000000000001" customHeight="1">
      <c r="A877" s="314" t="s">
        <v>2253</v>
      </c>
      <c r="B877" s="379"/>
      <c r="C877" s="484"/>
      <c r="D877" s="379"/>
      <c r="E877" s="484"/>
      <c r="F877" s="431"/>
      <c r="G877" s="485"/>
      <c r="H877" s="486"/>
      <c r="I877" s="486"/>
      <c r="J877" s="487"/>
      <c r="K877" s="827"/>
      <c r="L877" s="827"/>
      <c r="M877" s="487"/>
      <c r="N877" s="487"/>
      <c r="O877" s="487"/>
      <c r="P877" s="487"/>
      <c r="Q877" s="487"/>
      <c r="R877" s="487"/>
      <c r="S877" s="487"/>
      <c r="T877" s="487"/>
      <c r="U877" s="487"/>
      <c r="V877" s="487"/>
      <c r="W877" s="487"/>
      <c r="X877" s="487"/>
    </row>
    <row r="878" spans="1:24" s="148" customFormat="1" ht="20.100000000000001" customHeight="1">
      <c r="A878" s="314"/>
      <c r="B878" s="379"/>
      <c r="C878" s="484"/>
      <c r="D878" s="379"/>
      <c r="E878" s="484"/>
      <c r="F878" s="431"/>
      <c r="G878" s="485"/>
      <c r="H878" s="486"/>
      <c r="I878" s="486"/>
      <c r="J878" s="487"/>
      <c r="K878" s="948"/>
      <c r="L878" s="487"/>
      <c r="M878" s="487"/>
      <c r="N878" s="487"/>
      <c r="O878" s="487"/>
      <c r="P878" s="487"/>
      <c r="Q878" s="487"/>
      <c r="R878" s="487"/>
      <c r="S878" s="487"/>
      <c r="T878" s="487"/>
      <c r="U878" s="487"/>
      <c r="V878" s="487"/>
      <c r="W878" s="487"/>
      <c r="X878" s="487"/>
    </row>
    <row r="879" spans="1:24" s="148" customFormat="1" ht="20.100000000000001" customHeight="1">
      <c r="B879" s="379"/>
      <c r="C879" s="484"/>
      <c r="D879" s="379"/>
      <c r="E879" s="484"/>
      <c r="F879" s="431"/>
      <c r="G879" s="485"/>
      <c r="H879" s="486"/>
      <c r="I879" s="486"/>
      <c r="J879" s="487"/>
      <c r="K879" s="948"/>
      <c r="L879" s="487"/>
      <c r="M879" s="487"/>
      <c r="N879" s="487"/>
      <c r="O879" s="487"/>
      <c r="P879" s="487"/>
      <c r="Q879" s="487"/>
      <c r="R879" s="487"/>
      <c r="S879" s="487"/>
      <c r="T879" s="487"/>
      <c r="U879" s="487"/>
      <c r="V879" s="487"/>
      <c r="W879" s="487"/>
      <c r="X879" s="487"/>
    </row>
    <row r="880" spans="1:24" s="148" customFormat="1" ht="19.95" customHeight="1">
      <c r="A880" s="314" t="s">
        <v>2258</v>
      </c>
      <c r="B880" s="379"/>
      <c r="C880" s="484"/>
      <c r="D880" s="379"/>
      <c r="E880" s="484"/>
      <c r="F880" s="431"/>
      <c r="G880" s="485"/>
      <c r="H880" s="486"/>
      <c r="I880" s="486"/>
      <c r="J880" s="487"/>
      <c r="K880" s="822"/>
      <c r="L880" s="487"/>
      <c r="M880" s="487"/>
      <c r="N880" s="487"/>
      <c r="O880" s="487"/>
      <c r="P880" s="487"/>
      <c r="Q880" s="487"/>
      <c r="R880" s="487"/>
      <c r="S880" s="487"/>
      <c r="T880" s="487"/>
      <c r="U880" s="487"/>
      <c r="V880" s="487"/>
      <c r="W880" s="487"/>
      <c r="X880" s="487"/>
    </row>
    <row r="881" spans="1:24" s="148" customFormat="1" ht="19.95" customHeight="1">
      <c r="A881" s="314"/>
      <c r="B881" s="379"/>
      <c r="C881" s="484"/>
      <c r="D881" s="379"/>
      <c r="E881" s="484"/>
      <c r="F881" s="431"/>
      <c r="G881" s="485"/>
      <c r="H881" s="486"/>
      <c r="I881" s="486"/>
      <c r="J881" s="487"/>
      <c r="K881" s="947"/>
      <c r="L881" s="487"/>
      <c r="M881" s="487"/>
      <c r="N881" s="487"/>
      <c r="O881" s="487"/>
      <c r="P881" s="487"/>
      <c r="Q881" s="487"/>
      <c r="R881" s="487"/>
      <c r="S881" s="487"/>
      <c r="T881" s="487"/>
      <c r="U881" s="487"/>
      <c r="V881" s="487"/>
      <c r="W881" s="487"/>
      <c r="X881" s="487"/>
    </row>
    <row r="882" spans="1:24" s="148" customFormat="1" ht="19.95" customHeight="1">
      <c r="A882" s="314" t="s">
        <v>2259</v>
      </c>
      <c r="B882" s="379">
        <f>J876/I876</f>
        <v>2.6986278890240183E-3</v>
      </c>
      <c r="C882" s="484"/>
      <c r="D882" s="379"/>
      <c r="E882" s="484"/>
      <c r="F882" s="431"/>
      <c r="G882" s="485"/>
      <c r="H882" s="486"/>
      <c r="I882" s="486"/>
      <c r="J882" s="487"/>
      <c r="K882" s="487"/>
      <c r="L882" s="487"/>
      <c r="M882" s="487"/>
      <c r="N882" s="487"/>
      <c r="O882" s="487"/>
      <c r="P882" s="487"/>
      <c r="Q882" s="487"/>
      <c r="R882" s="487"/>
      <c r="S882" s="487"/>
      <c r="T882" s="487"/>
      <c r="U882" s="487"/>
      <c r="V882" s="487"/>
      <c r="W882" s="487"/>
      <c r="X882" s="487"/>
    </row>
    <row r="883" spans="1:24" s="148" customFormat="1" ht="19.95" customHeight="1">
      <c r="A883" s="316" t="s">
        <v>2260</v>
      </c>
      <c r="B883" s="441">
        <f>pNO3u/pNO3v</f>
        <v>9.1548124560378286E-4</v>
      </c>
      <c r="C883" s="484"/>
      <c r="D883" s="379"/>
      <c r="E883" s="484"/>
      <c r="F883" s="431"/>
      <c r="G883" s="485"/>
      <c r="H883" s="486"/>
      <c r="I883" s="486"/>
      <c r="J883" s="487"/>
      <c r="K883" s="487"/>
      <c r="L883" s="487"/>
      <c r="M883" s="487"/>
      <c r="N883" s="487"/>
      <c r="O883" s="487"/>
      <c r="P883" s="487"/>
      <c r="Q883" s="487"/>
      <c r="R883" s="487"/>
      <c r="S883" s="487"/>
      <c r="T883" s="487"/>
      <c r="U883" s="487"/>
      <c r="V883" s="487"/>
      <c r="W883" s="487"/>
      <c r="X883" s="487"/>
    </row>
    <row r="884" spans="1:24" s="148" customFormat="1" ht="20.100000000000001" customHeight="1">
      <c r="A884" s="314" t="s">
        <v>1075</v>
      </c>
      <c r="B884" s="379">
        <f>SQRT(SUMSQ(B882:B883))</f>
        <v>2.8496839113260411E-3</v>
      </c>
      <c r="C884" s="484"/>
      <c r="D884" s="379"/>
      <c r="E884" s="484"/>
      <c r="F884" s="431"/>
      <c r="G884" s="485"/>
      <c r="H884" s="486"/>
      <c r="I884" s="486"/>
      <c r="J884" s="487"/>
      <c r="K884" s="487"/>
      <c r="L884" s="487"/>
      <c r="M884" s="487"/>
      <c r="N884" s="487"/>
      <c r="O884" s="487"/>
      <c r="P884" s="487"/>
      <c r="Q884" s="487"/>
      <c r="R884" s="487"/>
      <c r="S884" s="487"/>
      <c r="T884" s="487"/>
      <c r="U884" s="487"/>
      <c r="V884" s="487"/>
      <c r="W884" s="487"/>
      <c r="X884" s="487"/>
    </row>
    <row r="885" spans="1:24" s="148" customFormat="1" ht="20.100000000000001" customHeight="1">
      <c r="B885" s="379"/>
      <c r="C885" s="484"/>
      <c r="D885" s="379"/>
      <c r="E885" s="484"/>
      <c r="F885" s="431"/>
      <c r="G885" s="485"/>
      <c r="H885" s="486"/>
      <c r="I885" s="486"/>
      <c r="J885" s="487"/>
      <c r="K885" s="487"/>
      <c r="L885" s="487"/>
      <c r="M885" s="487"/>
      <c r="N885" s="487"/>
      <c r="O885" s="487"/>
      <c r="P885" s="487"/>
      <c r="Q885" s="487"/>
      <c r="R885" s="487"/>
      <c r="S885" s="487"/>
      <c r="T885" s="487"/>
      <c r="U885" s="487"/>
      <c r="V885" s="487"/>
      <c r="W885" s="487"/>
      <c r="X885" s="487"/>
    </row>
    <row r="886" spans="1:24" s="148" customFormat="1" ht="20.100000000000001" customHeight="1">
      <c r="B886" s="379"/>
      <c r="C886" s="484"/>
      <c r="D886" s="379"/>
      <c r="E886" s="484"/>
      <c r="F886" s="431"/>
      <c r="G886" s="485"/>
      <c r="H886" s="486"/>
      <c r="I886" s="486"/>
      <c r="J886" s="487"/>
      <c r="K886" s="487"/>
      <c r="L886" s="487"/>
      <c r="M886" s="487"/>
      <c r="N886" s="487"/>
      <c r="O886" s="487"/>
      <c r="P886" s="487"/>
      <c r="Q886" s="487"/>
      <c r="R886" s="487"/>
      <c r="S886" s="487"/>
      <c r="T886" s="487"/>
      <c r="U886" s="487"/>
      <c r="V886" s="487"/>
      <c r="W886" s="487"/>
      <c r="X886" s="487"/>
    </row>
    <row r="887" spans="1:24" s="148" customFormat="1" ht="20.100000000000001" customHeight="1">
      <c r="A887" s="314" t="s">
        <v>2257</v>
      </c>
      <c r="B887" s="379"/>
      <c r="C887" s="484"/>
      <c r="D887" s="379"/>
      <c r="E887" s="484"/>
      <c r="F887" s="431"/>
      <c r="G887" s="485"/>
      <c r="H887" s="486"/>
      <c r="I887" s="486"/>
      <c r="J887" s="487"/>
      <c r="K887" s="487"/>
      <c r="L887" s="487"/>
      <c r="M887" s="487"/>
      <c r="N887" s="487"/>
      <c r="O887" s="487"/>
      <c r="P887" s="487"/>
      <c r="Q887" s="487"/>
      <c r="R887" s="487"/>
      <c r="S887" s="487"/>
      <c r="T887" s="487"/>
      <c r="U887" s="487"/>
      <c r="V887" s="487"/>
      <c r="W887" s="487"/>
      <c r="X887" s="487"/>
    </row>
    <row r="888" spans="1:24" s="148" customFormat="1" ht="20.100000000000001" customHeight="1">
      <c r="A888" s="314"/>
      <c r="B888" s="379"/>
      <c r="C888" s="484"/>
      <c r="D888" s="379"/>
      <c r="E888" s="484"/>
      <c r="F888" s="431"/>
      <c r="G888" s="485"/>
      <c r="H888" s="486"/>
      <c r="I888" s="486"/>
      <c r="J888" s="487"/>
      <c r="K888" s="487"/>
      <c r="L888" s="487"/>
      <c r="M888" s="487"/>
      <c r="N888" s="487"/>
      <c r="O888" s="487"/>
      <c r="P888" s="487"/>
      <c r="Q888" s="487"/>
      <c r="R888" s="487"/>
      <c r="S888" s="487"/>
      <c r="T888" s="487"/>
      <c r="U888" s="487"/>
      <c r="V888" s="487"/>
      <c r="W888" s="487"/>
      <c r="X888" s="487"/>
    </row>
    <row r="889" spans="1:24" s="148" customFormat="1" ht="20.100000000000001" customHeight="1">
      <c r="A889" s="314" t="s">
        <v>2256</v>
      </c>
      <c r="B889" s="314" t="s">
        <v>2254</v>
      </c>
      <c r="C889" s="314" t="s">
        <v>2255</v>
      </c>
      <c r="D889" s="379"/>
      <c r="E889" s="484"/>
      <c r="F889" s="431"/>
      <c r="G889" s="485"/>
      <c r="H889" s="486"/>
      <c r="I889" s="486"/>
      <c r="J889" s="487"/>
      <c r="K889" s="487"/>
      <c r="L889" s="487"/>
      <c r="M889" s="487"/>
      <c r="N889" s="487"/>
      <c r="O889" s="487"/>
      <c r="P889" s="487"/>
      <c r="Q889" s="487"/>
      <c r="R889" s="487"/>
      <c r="S889" s="487"/>
      <c r="T889" s="487"/>
      <c r="U889" s="487"/>
      <c r="V889" s="487"/>
      <c r="W889" s="487"/>
      <c r="X889" s="487"/>
    </row>
    <row r="890" spans="1:24" s="148" customFormat="1" ht="20.100000000000001" customHeight="1">
      <c r="A890" s="315" t="s">
        <v>96</v>
      </c>
      <c r="B890" s="315" t="s">
        <v>959</v>
      </c>
      <c r="C890" s="315" t="s">
        <v>959</v>
      </c>
      <c r="D890" s="379"/>
      <c r="E890" s="484"/>
      <c r="F890" s="431"/>
      <c r="G890" s="485"/>
      <c r="H890" s="486"/>
      <c r="I890" s="486"/>
      <c r="J890" s="487"/>
      <c r="K890" s="487"/>
      <c r="L890" s="487"/>
      <c r="M890" s="487"/>
      <c r="N890" s="487"/>
      <c r="O890" s="487"/>
      <c r="P890" s="487"/>
      <c r="Q890" s="487"/>
      <c r="R890" s="487"/>
      <c r="S890" s="487"/>
      <c r="T890" s="487"/>
      <c r="U890" s="487"/>
      <c r="V890" s="487"/>
      <c r="W890" s="487"/>
      <c r="X890" s="487"/>
    </row>
    <row r="891" spans="1:24" s="148" customFormat="1" ht="20.100000000000001" customHeight="1">
      <c r="A891" s="148" t="s">
        <v>2234</v>
      </c>
      <c r="B891" s="695">
        <f>I876/MM_NO3*MM_NO2</f>
        <v>75.789155435181868</v>
      </c>
      <c r="C891" s="695">
        <f>(I876*B884)/MM_NO3*MM_NO2</f>
        <v>0.21597513689662637</v>
      </c>
      <c r="D891" s="379"/>
      <c r="E891" s="484"/>
      <c r="F891" s="431"/>
      <c r="G891" s="485"/>
      <c r="H891" s="486"/>
      <c r="I891" s="486"/>
      <c r="J891" s="487"/>
      <c r="K891" s="487"/>
      <c r="L891" s="487"/>
      <c r="M891" s="487"/>
      <c r="N891" s="487"/>
      <c r="O891" s="487"/>
      <c r="P891" s="487"/>
      <c r="Q891" s="487"/>
      <c r="R891" s="487"/>
      <c r="S891" s="487"/>
      <c r="T891" s="487"/>
      <c r="U891" s="487"/>
      <c r="V891" s="487"/>
      <c r="W891" s="487"/>
      <c r="X891" s="487"/>
    </row>
    <row r="892" spans="1:24" s="148" customFormat="1" ht="20.100000000000001" customHeight="1">
      <c r="A892" s="833" t="s">
        <v>1540</v>
      </c>
      <c r="B892" s="834">
        <f>B891*(L726-J726)/(K726-J726)</f>
        <v>1004.0619057904013</v>
      </c>
      <c r="C892" s="834">
        <f>B892*SQRT((C891/B891)^2+(u_m3/(L726-J726))^2+(u_m3/(K726-J726))^2)</f>
        <v>2.8864876906188699</v>
      </c>
      <c r="D892" s="379"/>
      <c r="E892" s="484"/>
      <c r="F892" s="431"/>
      <c r="G892" s="485"/>
      <c r="H892" s="486"/>
      <c r="I892" s="486"/>
      <c r="J892" s="487"/>
      <c r="K892" s="487"/>
      <c r="L892" s="487"/>
      <c r="M892" s="487"/>
      <c r="N892" s="487"/>
      <c r="O892" s="487"/>
      <c r="P892" s="487"/>
      <c r="Q892" s="487"/>
      <c r="R892" s="487"/>
      <c r="S892" s="487"/>
      <c r="T892" s="487"/>
      <c r="U892" s="487"/>
      <c r="V892" s="487"/>
      <c r="W892" s="487"/>
      <c r="X892" s="487"/>
    </row>
    <row r="893" spans="1:24" s="148" customFormat="1" ht="20.100000000000001" customHeight="1">
      <c r="A893" s="314"/>
      <c r="B893" s="379"/>
      <c r="C893" s="484"/>
      <c r="D893" s="379"/>
      <c r="E893" s="484"/>
      <c r="F893" s="431"/>
      <c r="G893" s="485"/>
      <c r="H893" s="486"/>
      <c r="I893" s="486"/>
      <c r="J893" s="487"/>
      <c r="K893" s="487"/>
      <c r="L893" s="487"/>
      <c r="M893" s="487"/>
      <c r="N893" s="487"/>
      <c r="O893" s="487"/>
      <c r="P893" s="487"/>
      <c r="Q893" s="487"/>
      <c r="R893" s="487"/>
      <c r="S893" s="487"/>
      <c r="T893" s="487"/>
      <c r="U893" s="487"/>
      <c r="V893" s="487"/>
      <c r="W893" s="487"/>
      <c r="X893" s="487"/>
    </row>
    <row r="894" spans="1:24" s="148" customFormat="1" ht="20.100000000000001" customHeight="1">
      <c r="A894" s="314"/>
      <c r="B894" s="379"/>
      <c r="C894" s="484"/>
      <c r="D894" s="379"/>
      <c r="E894" s="484"/>
      <c r="F894" s="431"/>
      <c r="G894" s="485"/>
      <c r="H894" s="486"/>
      <c r="I894" s="486"/>
      <c r="J894" s="487"/>
      <c r="K894" s="487"/>
      <c r="L894" s="487"/>
      <c r="M894" s="487"/>
      <c r="N894" s="487"/>
      <c r="O894" s="487"/>
      <c r="P894" s="487"/>
      <c r="Q894" s="487"/>
      <c r="R894" s="487"/>
      <c r="S894" s="487"/>
      <c r="T894" s="487"/>
      <c r="U894" s="487"/>
      <c r="V894" s="487"/>
      <c r="W894" s="487"/>
      <c r="X894" s="487"/>
    </row>
    <row r="895" spans="1:24" s="148" customFormat="1" ht="20.100000000000001" customHeight="1">
      <c r="A895" s="314" t="s">
        <v>2261</v>
      </c>
      <c r="B895" s="379"/>
      <c r="C895" s="484"/>
      <c r="D895" s="379"/>
      <c r="E895" s="484"/>
      <c r="F895" s="431"/>
      <c r="G895" s="485"/>
      <c r="H895" s="486"/>
      <c r="I895" s="486"/>
      <c r="J895" s="487"/>
      <c r="K895" s="487"/>
      <c r="L895" s="487"/>
      <c r="M895" s="487"/>
      <c r="N895" s="487"/>
      <c r="O895" s="487"/>
      <c r="P895" s="487"/>
      <c r="Q895" s="487"/>
      <c r="R895" s="487"/>
      <c r="S895" s="487"/>
      <c r="T895" s="487"/>
      <c r="U895" s="487"/>
      <c r="V895" s="487"/>
      <c r="W895" s="487"/>
      <c r="X895" s="487"/>
    </row>
    <row r="896" spans="1:24" s="148" customFormat="1" ht="20.100000000000001" customHeight="1">
      <c r="A896" s="314"/>
      <c r="B896" s="379"/>
      <c r="C896" s="484"/>
      <c r="D896" s="379"/>
      <c r="E896" s="484"/>
      <c r="F896" s="431"/>
      <c r="G896" s="485"/>
      <c r="H896" s="486"/>
      <c r="I896" s="486"/>
      <c r="J896" s="487"/>
      <c r="K896" s="487"/>
      <c r="L896" s="487"/>
      <c r="M896" s="487"/>
      <c r="N896" s="487"/>
      <c r="O896" s="487"/>
      <c r="P896" s="487"/>
      <c r="Q896" s="487"/>
      <c r="R896" s="487"/>
      <c r="S896" s="487"/>
      <c r="T896" s="487"/>
      <c r="U896" s="487"/>
      <c r="V896" s="487"/>
      <c r="W896" s="487"/>
      <c r="X896" s="487"/>
    </row>
    <row r="897" spans="1:24" s="148" customFormat="1" ht="20.100000000000001" customHeight="1">
      <c r="A897" s="593"/>
      <c r="B897" s="380" t="s">
        <v>2178</v>
      </c>
      <c r="C897" s="230"/>
      <c r="D897" s="380" t="s">
        <v>2184</v>
      </c>
      <c r="E897" s="230"/>
      <c r="F897" s="230"/>
      <c r="G897" s="380" t="s">
        <v>2185</v>
      </c>
      <c r="H897" s="230"/>
      <c r="I897" s="230"/>
      <c r="J897" s="230"/>
      <c r="K897" s="230"/>
      <c r="L897" s="233" t="s">
        <v>217</v>
      </c>
    </row>
    <row r="898" spans="1:24" s="148" customFormat="1" ht="20.100000000000001" customHeight="1">
      <c r="A898" s="587" t="s">
        <v>100</v>
      </c>
      <c r="B898" s="663" t="s">
        <v>2179</v>
      </c>
      <c r="C898" s="663" t="s">
        <v>2180</v>
      </c>
      <c r="D898" s="663" t="s">
        <v>229</v>
      </c>
      <c r="E898" s="663" t="s">
        <v>1171</v>
      </c>
      <c r="F898" s="663" t="s">
        <v>1172</v>
      </c>
      <c r="G898" s="589" t="s">
        <v>2181</v>
      </c>
      <c r="H898" s="589" t="s">
        <v>2182</v>
      </c>
      <c r="I898" s="589" t="s">
        <v>2183</v>
      </c>
      <c r="J898" s="589" t="s">
        <v>2186</v>
      </c>
      <c r="K898" s="589" t="s">
        <v>2187</v>
      </c>
      <c r="L898" s="663" t="s">
        <v>2188</v>
      </c>
    </row>
    <row r="899" spans="1:24" s="148" customFormat="1" ht="20.100000000000001" customHeight="1">
      <c r="A899" s="589" t="str">
        <f>A891</f>
        <v>NO2-SAMPLE</v>
      </c>
      <c r="B899" s="172">
        <v>1001</v>
      </c>
      <c r="C899" s="172">
        <v>2</v>
      </c>
      <c r="D899" s="146">
        <f>B892</f>
        <v>1004.0619057904013</v>
      </c>
      <c r="E899" s="146">
        <f>C892</f>
        <v>2.8864876906188699</v>
      </c>
      <c r="F899" s="589">
        <v>3</v>
      </c>
      <c r="G899" s="589" t="b">
        <f>IF(ABS(B899-D899)&lt;2*SQRT(C899^2+E899^2/F899),TRUE,FALSE)</f>
        <v>1</v>
      </c>
      <c r="H899" s="589" t="b">
        <f>IF(SQRT(F899)*(ABS(D899-B899)-2*C899)/E899&gt;ABS(_xlfn.T.INV(0.05/2,F899-1)),FALSE,TRUE)</f>
        <v>1</v>
      </c>
      <c r="I899" s="589" t="b">
        <f>IF((D899-B899)^2/MAX(E899^2,C899^2)&lt;_xlfn.T.INV(0.05/2,F899-1)^2,TRUE,FALSE)</f>
        <v>1</v>
      </c>
      <c r="J899" s="589" t="b">
        <f>IF(SQRT(F899)*ABS(D899-B899)/(E899/(1-0.333/F899))&gt;ABS(_xlfn.T.INV(0.05/2,F899-1)),FALSE,TRUE)</f>
        <v>1</v>
      </c>
      <c r="K899" s="589" t="b">
        <f>IF(F899*(D899-B899)^2/(2*C899)^2&lt;_xlfn.CHISQ.INV(SQRT(0.95),1),IF((F899-1)*E899^2/(2*C899)^2&lt;_xlfn.CHISQ.INV(SQRT(0.95),F899-1),TRUE,FALSE),FALSE)</f>
        <v>1</v>
      </c>
      <c r="L899" s="321">
        <f>D899/B899</f>
        <v>1.0030588469434578</v>
      </c>
    </row>
    <row r="900" spans="1:24" s="148" customFormat="1" ht="20.100000000000001" customHeight="1">
      <c r="A900" s="314"/>
      <c r="B900" s="379"/>
      <c r="C900" s="484"/>
      <c r="D900" s="379"/>
      <c r="E900" s="484"/>
      <c r="F900" s="431"/>
      <c r="G900" s="485"/>
      <c r="H900" s="486"/>
      <c r="I900" s="486"/>
      <c r="J900" s="487"/>
      <c r="K900" s="487"/>
      <c r="L900" s="487"/>
      <c r="M900" s="487"/>
      <c r="N900" s="487"/>
      <c r="O900" s="487"/>
      <c r="P900" s="487"/>
      <c r="Q900" s="487"/>
      <c r="R900" s="487"/>
      <c r="S900" s="487"/>
      <c r="T900" s="487"/>
      <c r="U900" s="487"/>
      <c r="V900" s="487"/>
      <c r="W900" s="487"/>
      <c r="X900" s="487"/>
    </row>
    <row r="901" spans="1:24" s="149" customFormat="1" ht="20.100000000000001" customHeight="1">
      <c r="A901" s="150" t="s">
        <v>1256</v>
      </c>
    </row>
    <row r="903" spans="1:24" ht="20.100000000000001" customHeight="1">
      <c r="A903" s="465" t="s">
        <v>1261</v>
      </c>
    </row>
    <row r="905" spans="1:24" ht="20.100000000000001" customHeight="1">
      <c r="A905" s="465" t="s">
        <v>1398</v>
      </c>
    </row>
    <row r="906" spans="1:24" s="461" customFormat="1" ht="20.100000000000001" customHeight="1">
      <c r="A906" s="465"/>
    </row>
    <row r="907" spans="1:24" s="461" customFormat="1" ht="20.100000000000001" customHeight="1">
      <c r="A907" s="465" t="s">
        <v>2</v>
      </c>
      <c r="B907" s="461">
        <v>20240122</v>
      </c>
    </row>
    <row r="909" spans="1:24" ht="20.100000000000001" customHeight="1">
      <c r="A909" s="464" t="s">
        <v>1399</v>
      </c>
      <c r="B909" s="464"/>
      <c r="C909" s="464"/>
      <c r="D909" s="464"/>
    </row>
    <row r="910" spans="1:24" ht="20.100000000000001" customHeight="1">
      <c r="A910" s="462" t="s">
        <v>1257</v>
      </c>
      <c r="B910" s="462" t="s">
        <v>1258</v>
      </c>
      <c r="C910" s="169" t="s">
        <v>1259</v>
      </c>
      <c r="D910" s="462" t="s">
        <v>1260</v>
      </c>
    </row>
    <row r="911" spans="1:24" ht="20.100000000000001" customHeight="1">
      <c r="A911" s="239">
        <v>0</v>
      </c>
      <c r="B911" s="239">
        <v>14.6</v>
      </c>
      <c r="C911" s="166">
        <v>0.83695650100707997</v>
      </c>
      <c r="D911" s="204">
        <f t="shared" ref="D911:D942" si="85">C911/MAX($C$911:$C$1007)</f>
        <v>7.0218576726320147E-6</v>
      </c>
    </row>
    <row r="912" spans="1:24" ht="20.100000000000001" customHeight="1">
      <c r="A912" s="239">
        <v>1</v>
      </c>
      <c r="B912" s="239">
        <v>15.2</v>
      </c>
      <c r="C912" s="166">
        <v>4.9130434989929199</v>
      </c>
      <c r="D912" s="204">
        <f t="shared" si="85"/>
        <v>4.1219217662885972E-5</v>
      </c>
    </row>
    <row r="913" spans="1:4" ht="20.100000000000001" customHeight="1">
      <c r="A913" s="239">
        <v>2</v>
      </c>
      <c r="B913" s="239">
        <v>19</v>
      </c>
      <c r="C913" s="166">
        <v>22.206521987915</v>
      </c>
      <c r="D913" s="204">
        <f t="shared" si="85"/>
        <v>1.8630721741892943E-4</v>
      </c>
    </row>
    <row r="914" spans="1:4" ht="20.100000000000001" customHeight="1">
      <c r="A914" s="239">
        <v>3</v>
      </c>
      <c r="B914" s="239">
        <v>19.7</v>
      </c>
      <c r="C914" s="166">
        <v>0.81521737575530995</v>
      </c>
      <c r="D914" s="204">
        <f t="shared" si="85"/>
        <v>6.8394717980235101E-6</v>
      </c>
    </row>
    <row r="915" spans="1:4" ht="20.100000000000001" customHeight="1">
      <c r="A915" s="239">
        <v>4</v>
      </c>
      <c r="B915" s="239">
        <v>20.399999999999999</v>
      </c>
      <c r="C915" s="166">
        <v>0.81521737575530995</v>
      </c>
      <c r="D915" s="204">
        <f t="shared" si="85"/>
        <v>6.8394717980235101E-6</v>
      </c>
    </row>
    <row r="916" spans="1:4" ht="20.100000000000001" customHeight="1">
      <c r="A916" s="239">
        <v>5</v>
      </c>
      <c r="B916" s="239">
        <v>20.9</v>
      </c>
      <c r="C916" s="166">
        <v>1.8478261232376101</v>
      </c>
      <c r="D916" s="204">
        <f t="shared" si="85"/>
        <v>1.5502803342268468E-5</v>
      </c>
    </row>
    <row r="917" spans="1:4" ht="20.100000000000001" customHeight="1">
      <c r="A917" s="239">
        <v>6</v>
      </c>
      <c r="B917" s="239">
        <v>23</v>
      </c>
      <c r="C917" s="166">
        <v>0.91304349899292003</v>
      </c>
      <c r="D917" s="204">
        <f t="shared" si="85"/>
        <v>7.6602087338299824E-6</v>
      </c>
    </row>
    <row r="918" spans="1:4" ht="20.100000000000001" customHeight="1">
      <c r="A918" s="239">
        <v>7</v>
      </c>
      <c r="B918" s="239">
        <v>25.1</v>
      </c>
      <c r="C918" s="166">
        <v>194.30435180664099</v>
      </c>
      <c r="D918" s="204">
        <f t="shared" si="85"/>
        <v>1.6301653693083756E-3</v>
      </c>
    </row>
    <row r="919" spans="1:4" ht="20.100000000000001" customHeight="1">
      <c r="A919" s="239">
        <v>8</v>
      </c>
      <c r="B919" s="239">
        <v>28.4</v>
      </c>
      <c r="C919" s="166">
        <v>12.75</v>
      </c>
      <c r="D919" s="204">
        <f t="shared" si="85"/>
        <v>1.0696934096136598E-4</v>
      </c>
    </row>
    <row r="920" spans="1:4" ht="20.100000000000001" customHeight="1">
      <c r="A920" s="239">
        <v>9</v>
      </c>
      <c r="B920" s="239">
        <v>29.3</v>
      </c>
      <c r="C920" s="166">
        <v>1.73913049697876</v>
      </c>
      <c r="D920" s="204">
        <f t="shared" si="85"/>
        <v>1.4590873969225948E-5</v>
      </c>
    </row>
    <row r="921" spans="1:4" ht="20.100000000000001" customHeight="1">
      <c r="A921" s="239">
        <v>10</v>
      </c>
      <c r="B921" s="239">
        <v>30.2</v>
      </c>
      <c r="C921" s="166">
        <v>115.67391204834</v>
      </c>
      <c r="D921" s="204">
        <f t="shared" si="85"/>
        <v>9.7047546182226993E-4</v>
      </c>
    </row>
    <row r="922" spans="1:4" ht="20.100000000000001" customHeight="1">
      <c r="A922" s="239">
        <v>11</v>
      </c>
      <c r="B922" s="239">
        <v>31.1</v>
      </c>
      <c r="C922" s="166">
        <v>8447.880859375</v>
      </c>
      <c r="D922" s="204">
        <f t="shared" si="85"/>
        <v>7.0875627297841706E-2</v>
      </c>
    </row>
    <row r="923" spans="1:4" ht="20.100000000000001" customHeight="1">
      <c r="A923" s="239">
        <v>12</v>
      </c>
      <c r="B923" s="239">
        <v>32</v>
      </c>
      <c r="C923" s="166">
        <v>103.63043212890599</v>
      </c>
      <c r="D923" s="204">
        <f t="shared" si="85"/>
        <v>8.6943364928397182E-4</v>
      </c>
    </row>
    <row r="924" spans="1:4" ht="20.100000000000001" customHeight="1">
      <c r="A924" s="239">
        <v>13</v>
      </c>
      <c r="B924" s="239">
        <v>33</v>
      </c>
      <c r="C924" s="166">
        <v>120.510871887207</v>
      </c>
      <c r="D924" s="204">
        <f t="shared" si="85"/>
        <v>1.0110563564277757E-3</v>
      </c>
    </row>
    <row r="925" spans="1:4" ht="20.100000000000001" customHeight="1">
      <c r="A925" s="239">
        <v>14</v>
      </c>
      <c r="B925" s="239">
        <v>34.299999999999997</v>
      </c>
      <c r="C925" s="166">
        <v>0.93478262424469005</v>
      </c>
      <c r="D925" s="204">
        <f t="shared" si="85"/>
        <v>7.8425946084384861E-6</v>
      </c>
    </row>
    <row r="926" spans="1:4" ht="20.100000000000001" customHeight="1">
      <c r="A926" s="239">
        <v>15</v>
      </c>
      <c r="B926" s="239">
        <v>35.299999999999997</v>
      </c>
      <c r="C926" s="166">
        <v>0.84782612323760997</v>
      </c>
      <c r="D926" s="204">
        <f t="shared" si="85"/>
        <v>7.1130511100044702E-6</v>
      </c>
    </row>
    <row r="927" spans="1:4" ht="20.100000000000001" customHeight="1">
      <c r="A927" s="239">
        <v>16</v>
      </c>
      <c r="B927" s="239">
        <v>35.799999999999997</v>
      </c>
      <c r="C927" s="166">
        <v>0.83695650100707997</v>
      </c>
      <c r="D927" s="204">
        <f t="shared" si="85"/>
        <v>7.0218576726320147E-6</v>
      </c>
    </row>
    <row r="928" spans="1:4" ht="20.100000000000001" customHeight="1">
      <c r="A928" s="239">
        <v>17</v>
      </c>
      <c r="B928" s="239">
        <v>36.299999999999997</v>
      </c>
      <c r="C928" s="166">
        <v>0.82608693838119496</v>
      </c>
      <c r="D928" s="204">
        <f t="shared" si="85"/>
        <v>6.930664735327762E-6</v>
      </c>
    </row>
    <row r="929" spans="1:4" ht="20.100000000000001" customHeight="1">
      <c r="A929" s="239">
        <v>18</v>
      </c>
      <c r="B929" s="239">
        <v>37.200000000000003</v>
      </c>
      <c r="C929" s="166">
        <v>0.48913043737411499</v>
      </c>
      <c r="D929" s="204">
        <f t="shared" si="85"/>
        <v>4.1036831788277468E-6</v>
      </c>
    </row>
    <row r="930" spans="1:4" ht="20.100000000000001" customHeight="1">
      <c r="A930" s="239">
        <v>19</v>
      </c>
      <c r="B930" s="239">
        <v>38.1</v>
      </c>
      <c r="C930" s="166">
        <v>7.1630434989929199</v>
      </c>
      <c r="D930" s="204">
        <f t="shared" si="85"/>
        <v>6.0096160185479968E-5</v>
      </c>
    </row>
    <row r="931" spans="1:4" ht="20.100000000000001" customHeight="1">
      <c r="A931" s="239">
        <v>20</v>
      </c>
      <c r="B931" s="239">
        <v>39</v>
      </c>
      <c r="C931" s="166">
        <v>8.5543479919433594</v>
      </c>
      <c r="D931" s="204">
        <f t="shared" si="85"/>
        <v>7.1768860160969844E-5</v>
      </c>
    </row>
    <row r="932" spans="1:4" ht="20.100000000000001" customHeight="1">
      <c r="A932" s="239">
        <v>21</v>
      </c>
      <c r="B932" s="239">
        <v>40.5</v>
      </c>
      <c r="C932" s="166">
        <v>4.6847825050354004</v>
      </c>
      <c r="D932" s="204">
        <f t="shared" si="85"/>
        <v>3.9304164479292079E-5</v>
      </c>
    </row>
    <row r="933" spans="1:4" ht="20.100000000000001" customHeight="1">
      <c r="A933" s="239">
        <v>22</v>
      </c>
      <c r="B933" s="239">
        <v>40.9</v>
      </c>
      <c r="C933" s="166">
        <v>9.9021739959716797</v>
      </c>
      <c r="D933" s="204">
        <f t="shared" si="85"/>
        <v>8.3076786386969921E-5</v>
      </c>
    </row>
    <row r="934" spans="1:4" ht="20.100000000000001" customHeight="1">
      <c r="A934" s="239">
        <v>23</v>
      </c>
      <c r="B934" s="239">
        <v>43.1</v>
      </c>
      <c r="C934" s="166">
        <v>33287.4140625</v>
      </c>
      <c r="D934" s="204">
        <f t="shared" si="85"/>
        <v>0.27927315643715539</v>
      </c>
    </row>
    <row r="935" spans="1:4" ht="20.100000000000001" customHeight="1">
      <c r="A935" s="239">
        <v>24</v>
      </c>
      <c r="B935" s="239">
        <v>44.2</v>
      </c>
      <c r="C935" s="166">
        <v>1148.67395019531</v>
      </c>
      <c r="D935" s="204">
        <f t="shared" si="85"/>
        <v>9.637089837794606E-3</v>
      </c>
    </row>
    <row r="936" spans="1:4" ht="20.100000000000001" customHeight="1">
      <c r="A936" s="239">
        <v>25</v>
      </c>
      <c r="B936" s="239">
        <v>45.1</v>
      </c>
      <c r="C936" s="166">
        <v>119193.03125</v>
      </c>
      <c r="D936" s="204">
        <f t="shared" si="85"/>
        <v>1</v>
      </c>
    </row>
    <row r="937" spans="1:4" ht="20.100000000000001" customHeight="1">
      <c r="A937" s="239">
        <v>26</v>
      </c>
      <c r="B937" s="239">
        <v>46.1</v>
      </c>
      <c r="C937" s="166">
        <v>4156.29345703125</v>
      </c>
      <c r="D937" s="204">
        <f t="shared" si="85"/>
        <v>3.4870272309072178E-2</v>
      </c>
    </row>
    <row r="938" spans="1:4" ht="20.100000000000001" customHeight="1">
      <c r="A938" s="239">
        <v>27</v>
      </c>
      <c r="B938" s="239">
        <v>47.2</v>
      </c>
      <c r="C938" s="166">
        <v>253.05435180664099</v>
      </c>
      <c r="D938" s="204">
        <f t="shared" si="85"/>
        <v>2.1230633129538856E-3</v>
      </c>
    </row>
    <row r="939" spans="1:4" ht="20.100000000000001" customHeight="1">
      <c r="A939" s="239">
        <v>28</v>
      </c>
      <c r="B939" s="239">
        <v>47.9</v>
      </c>
      <c r="C939" s="166">
        <v>20.739130020141602</v>
      </c>
      <c r="D939" s="204">
        <f t="shared" si="85"/>
        <v>1.739961623816963E-4</v>
      </c>
    </row>
    <row r="940" spans="1:4" ht="20.100000000000001" customHeight="1">
      <c r="A940" s="239">
        <v>29</v>
      </c>
      <c r="B940" s="239">
        <v>48.4</v>
      </c>
      <c r="C940" s="166">
        <v>0.69565218687057495</v>
      </c>
      <c r="D940" s="204">
        <f t="shared" si="85"/>
        <v>5.8363494876767386E-6</v>
      </c>
    </row>
    <row r="941" spans="1:4" ht="20.100000000000001" customHeight="1">
      <c r="A941" s="239">
        <v>30</v>
      </c>
      <c r="B941" s="239">
        <v>49.3</v>
      </c>
      <c r="C941" s="166">
        <v>0.72826087474822998</v>
      </c>
      <c r="D941" s="204">
        <f t="shared" si="85"/>
        <v>6.1099282995894943E-6</v>
      </c>
    </row>
    <row r="942" spans="1:4" ht="20.100000000000001" customHeight="1">
      <c r="A942" s="239">
        <v>31</v>
      </c>
      <c r="B942" s="239">
        <v>50.2</v>
      </c>
      <c r="C942" s="166">
        <v>0.73913043737411499</v>
      </c>
      <c r="D942" s="204">
        <f t="shared" si="85"/>
        <v>6.201121236893747E-6</v>
      </c>
    </row>
    <row r="943" spans="1:4" ht="20.100000000000001" customHeight="1">
      <c r="A943" s="239">
        <v>32</v>
      </c>
      <c r="B943" s="239">
        <v>51</v>
      </c>
      <c r="C943" s="166">
        <v>0.61956524848937999</v>
      </c>
      <c r="D943" s="204">
        <f t="shared" ref="D943:D974" si="86">C943/MAX($C$911:$C$1007)</f>
        <v>5.1979989265469747E-6</v>
      </c>
    </row>
    <row r="944" spans="1:4" ht="20.100000000000001" customHeight="1">
      <c r="A944" s="239">
        <v>33</v>
      </c>
      <c r="B944" s="239">
        <v>54.1</v>
      </c>
      <c r="C944" s="166">
        <v>4.7826085090637198</v>
      </c>
      <c r="D944" s="204">
        <f t="shared" si="86"/>
        <v>4.0124900414962138E-5</v>
      </c>
    </row>
    <row r="945" spans="1:4" ht="20.100000000000001" customHeight="1">
      <c r="A945" s="239">
        <v>34</v>
      </c>
      <c r="B945" s="239">
        <v>55.2</v>
      </c>
      <c r="C945" s="166">
        <v>16.554347991943398</v>
      </c>
      <c r="D945" s="204">
        <f t="shared" si="86"/>
        <v>1.3888687801908217E-4</v>
      </c>
    </row>
    <row r="946" spans="1:4" ht="20.100000000000001" customHeight="1">
      <c r="A946" s="239">
        <v>35</v>
      </c>
      <c r="B946" s="239">
        <v>57</v>
      </c>
      <c r="C946" s="166">
        <v>211.77174377441401</v>
      </c>
      <c r="D946" s="204">
        <f t="shared" si="86"/>
        <v>1.7767124600618293E-3</v>
      </c>
    </row>
    <row r="947" spans="1:4" ht="20.100000000000001" customHeight="1">
      <c r="A947" s="239">
        <v>36</v>
      </c>
      <c r="B947" s="239">
        <v>58.4</v>
      </c>
      <c r="C947" s="166">
        <v>5.8586955070495597</v>
      </c>
      <c r="D947" s="204">
        <f t="shared" si="86"/>
        <v>4.91530037084241E-5</v>
      </c>
    </row>
    <row r="948" spans="1:4" ht="20.100000000000001" customHeight="1">
      <c r="A948" s="239">
        <v>37</v>
      </c>
      <c r="B948" s="239">
        <v>58.9</v>
      </c>
      <c r="C948" s="166">
        <v>34.760868072509801</v>
      </c>
      <c r="D948" s="204">
        <f t="shared" si="86"/>
        <v>2.9163507050677343E-4</v>
      </c>
    </row>
    <row r="949" spans="1:4" ht="20.100000000000001" customHeight="1">
      <c r="A949" s="239">
        <v>38</v>
      </c>
      <c r="B949" s="239">
        <v>59.3</v>
      </c>
      <c r="C949" s="166">
        <v>29.739130020141602</v>
      </c>
      <c r="D949" s="204">
        <f t="shared" si="86"/>
        <v>2.4950393247207231E-4</v>
      </c>
    </row>
    <row r="950" spans="1:4" ht="20.100000000000001" customHeight="1">
      <c r="A950" s="239">
        <v>39</v>
      </c>
      <c r="B950" s="239">
        <v>60</v>
      </c>
      <c r="C950" s="166">
        <v>11.543478012085</v>
      </c>
      <c r="D950" s="204">
        <f t="shared" si="86"/>
        <v>9.6846920419980508E-5</v>
      </c>
    </row>
    <row r="951" spans="1:4" ht="20.100000000000001" customHeight="1">
      <c r="A951" s="239">
        <v>40</v>
      </c>
      <c r="B951" s="239">
        <v>60.8</v>
      </c>
      <c r="C951" s="166">
        <v>2.5543477535247798</v>
      </c>
      <c r="D951" s="204">
        <f t="shared" si="86"/>
        <v>2.1430344767113052E-5</v>
      </c>
    </row>
    <row r="952" spans="1:4" ht="20.100000000000001" customHeight="1">
      <c r="A952" s="239">
        <v>41</v>
      </c>
      <c r="B952" s="239">
        <v>61.4</v>
      </c>
      <c r="C952" s="166">
        <v>0.80434781312942505</v>
      </c>
      <c r="D952" s="204">
        <f t="shared" si="86"/>
        <v>6.7482788607192591E-6</v>
      </c>
    </row>
    <row r="953" spans="1:4" ht="20.100000000000001" customHeight="1">
      <c r="A953" s="239">
        <v>42</v>
      </c>
      <c r="B953" s="239">
        <v>61.9</v>
      </c>
      <c r="C953" s="166">
        <v>7.79347848892212</v>
      </c>
      <c r="D953" s="204">
        <f t="shared" si="86"/>
        <v>6.538535354953581E-5</v>
      </c>
    </row>
    <row r="954" spans="1:4" ht="20.100000000000001" customHeight="1">
      <c r="A954" s="239">
        <v>43</v>
      </c>
      <c r="B954" s="239">
        <v>63.1</v>
      </c>
      <c r="C954" s="166">
        <v>313.01086425781301</v>
      </c>
      <c r="D954" s="204">
        <f t="shared" si="86"/>
        <v>2.6260835971298703E-3</v>
      </c>
    </row>
    <row r="955" spans="1:4" ht="20.100000000000001" customHeight="1">
      <c r="A955" s="239">
        <v>44</v>
      </c>
      <c r="B955" s="239">
        <v>64.3</v>
      </c>
      <c r="C955" s="166">
        <v>1.75</v>
      </c>
      <c r="D955" s="204">
        <f t="shared" si="86"/>
        <v>1.4682066406461997E-5</v>
      </c>
    </row>
    <row r="956" spans="1:4" ht="20.100000000000001" customHeight="1">
      <c r="A956" s="239">
        <v>45</v>
      </c>
      <c r="B956" s="239">
        <v>64.8</v>
      </c>
      <c r="C956" s="166">
        <v>3.70652174949646</v>
      </c>
      <c r="D956" s="204">
        <f t="shared" si="86"/>
        <v>3.1096799121772988E-5</v>
      </c>
    </row>
    <row r="957" spans="1:4" ht="20.100000000000001" customHeight="1">
      <c r="A957" s="239">
        <v>46</v>
      </c>
      <c r="B957" s="239">
        <v>65.3</v>
      </c>
      <c r="C957" s="166">
        <v>19.75</v>
      </c>
      <c r="D957" s="204">
        <f t="shared" si="86"/>
        <v>1.6569760658721397E-4</v>
      </c>
    </row>
    <row r="958" spans="1:4" ht="20.100000000000001" customHeight="1">
      <c r="A958" s="239">
        <v>47</v>
      </c>
      <c r="B958" s="239">
        <v>67.2</v>
      </c>
      <c r="C958" s="166">
        <v>15.043478012085</v>
      </c>
      <c r="D958" s="204">
        <f t="shared" si="86"/>
        <v>1.2621105323290451E-4</v>
      </c>
    </row>
    <row r="959" spans="1:4" ht="20.100000000000001" customHeight="1">
      <c r="A959" s="239">
        <v>48</v>
      </c>
      <c r="B959" s="239">
        <v>69.099999999999994</v>
      </c>
      <c r="C959" s="166">
        <v>25.195652008056602</v>
      </c>
      <c r="D959" s="204">
        <f t="shared" si="86"/>
        <v>2.1138527767793977E-4</v>
      </c>
    </row>
    <row r="960" spans="1:4" ht="20.100000000000001" customHeight="1">
      <c r="A960" s="239">
        <v>49</v>
      </c>
      <c r="B960" s="239">
        <v>70.099999999999994</v>
      </c>
      <c r="C960" s="166">
        <v>14.673913002014199</v>
      </c>
      <c r="D960" s="204">
        <f t="shared" si="86"/>
        <v>1.2311049436469635E-4</v>
      </c>
    </row>
    <row r="961" spans="1:4" ht="20.100000000000001" customHeight="1">
      <c r="A961" s="239">
        <v>50</v>
      </c>
      <c r="B961" s="239">
        <v>71.2</v>
      </c>
      <c r="C961" s="166">
        <v>56.173912048339801</v>
      </c>
      <c r="D961" s="204">
        <f t="shared" si="86"/>
        <v>4.7128520400256034E-4</v>
      </c>
    </row>
    <row r="962" spans="1:4" ht="20.100000000000001" customHeight="1">
      <c r="A962" s="239">
        <v>51</v>
      </c>
      <c r="B962" s="239">
        <v>72</v>
      </c>
      <c r="C962" s="166">
        <v>5.0869565010070801</v>
      </c>
      <c r="D962" s="204">
        <f t="shared" si="86"/>
        <v>4.2678304659754009E-5</v>
      </c>
    </row>
    <row r="963" spans="1:4" ht="20.100000000000001" customHeight="1">
      <c r="A963" s="239">
        <v>52</v>
      </c>
      <c r="B963" s="239">
        <v>73</v>
      </c>
      <c r="C963" s="166">
        <v>4.5543479919433603</v>
      </c>
      <c r="D963" s="204">
        <f t="shared" si="86"/>
        <v>3.8209851231913868E-5</v>
      </c>
    </row>
    <row r="964" spans="1:4" ht="20.100000000000001" customHeight="1">
      <c r="A964" s="239">
        <v>53</v>
      </c>
      <c r="B964" s="239">
        <v>74.099999999999994</v>
      </c>
      <c r="C964" s="166">
        <v>4.3586955070495597</v>
      </c>
      <c r="D964" s="204">
        <f t="shared" si="86"/>
        <v>3.65683753600281E-5</v>
      </c>
    </row>
    <row r="965" spans="1:4" ht="20.100000000000001" customHeight="1">
      <c r="A965" s="239">
        <v>54</v>
      </c>
      <c r="B965" s="239">
        <v>74.900000000000006</v>
      </c>
      <c r="C965" s="166">
        <v>147.48913574218801</v>
      </c>
      <c r="D965" s="204">
        <f t="shared" si="86"/>
        <v>1.2373973058277096E-3</v>
      </c>
    </row>
    <row r="966" spans="1:4" ht="20.100000000000001" customHeight="1">
      <c r="A966" s="239">
        <v>55</v>
      </c>
      <c r="B966" s="239">
        <v>76.2</v>
      </c>
      <c r="C966" s="166">
        <v>6.9130434989929199</v>
      </c>
      <c r="D966" s="204">
        <f t="shared" si="86"/>
        <v>5.7998722127413973E-5</v>
      </c>
    </row>
    <row r="967" spans="1:4" ht="20.100000000000001" customHeight="1">
      <c r="A967" s="239">
        <v>56</v>
      </c>
      <c r="B967" s="239">
        <v>77.2</v>
      </c>
      <c r="C967" s="166">
        <v>23.793478012085</v>
      </c>
      <c r="D967" s="204">
        <f t="shared" si="86"/>
        <v>1.9962138526521448E-4</v>
      </c>
    </row>
    <row r="968" spans="1:4" ht="20.100000000000001" customHeight="1">
      <c r="A968" s="239">
        <v>57</v>
      </c>
      <c r="B968" s="239">
        <v>77.900000000000006</v>
      </c>
      <c r="C968" s="166">
        <v>5.7173914909362802</v>
      </c>
      <c r="D968" s="204">
        <f t="shared" si="86"/>
        <v>4.7967498023809844E-5</v>
      </c>
    </row>
    <row r="969" spans="1:4" ht="20.100000000000001" customHeight="1">
      <c r="A969" s="239">
        <v>58</v>
      </c>
      <c r="B969" s="239">
        <v>79.2</v>
      </c>
      <c r="C969" s="166">
        <v>17.467391967773398</v>
      </c>
      <c r="D969" s="204">
        <f t="shared" si="86"/>
        <v>1.465470907534571E-4</v>
      </c>
    </row>
    <row r="970" spans="1:4" ht="20.100000000000001" customHeight="1">
      <c r="A970" s="239">
        <v>59</v>
      </c>
      <c r="B970" s="239">
        <v>80.2</v>
      </c>
      <c r="C970" s="166">
        <v>2.5543477535247798</v>
      </c>
      <c r="D970" s="204">
        <f t="shared" si="86"/>
        <v>2.1430344767113052E-5</v>
      </c>
    </row>
    <row r="971" spans="1:4" ht="20.100000000000001" customHeight="1">
      <c r="A971" s="239">
        <v>60</v>
      </c>
      <c r="B971" s="239">
        <v>80.900000000000006</v>
      </c>
      <c r="C971" s="166">
        <v>44.271739959716797</v>
      </c>
      <c r="D971" s="204">
        <f t="shared" si="86"/>
        <v>3.7142892915324527E-4</v>
      </c>
    </row>
    <row r="972" spans="1:4" ht="20.100000000000001" customHeight="1">
      <c r="A972" s="239">
        <v>61</v>
      </c>
      <c r="B972" s="239">
        <v>81.900000000000006</v>
      </c>
      <c r="C972" s="166">
        <v>3.3152174949646001</v>
      </c>
      <c r="D972" s="204">
        <f t="shared" si="86"/>
        <v>2.7813853378819913E-5</v>
      </c>
    </row>
    <row r="973" spans="1:4" ht="20.100000000000001" customHeight="1">
      <c r="A973" s="239">
        <v>62</v>
      </c>
      <c r="B973" s="239">
        <v>82.7</v>
      </c>
      <c r="C973" s="166">
        <v>0.33695650100708002</v>
      </c>
      <c r="D973" s="204">
        <f t="shared" si="86"/>
        <v>2.8269815565000156E-6</v>
      </c>
    </row>
    <row r="974" spans="1:4" ht="20.100000000000001" customHeight="1">
      <c r="A974" s="239">
        <v>63</v>
      </c>
      <c r="B974" s="239">
        <v>83.3</v>
      </c>
      <c r="C974" s="166">
        <v>5.6304349899292001</v>
      </c>
      <c r="D974" s="204">
        <f t="shared" si="86"/>
        <v>4.7237954525375829E-5</v>
      </c>
    </row>
    <row r="975" spans="1:4" ht="20.100000000000001" customHeight="1">
      <c r="A975" s="239">
        <v>64</v>
      </c>
      <c r="B975" s="239">
        <v>83.8</v>
      </c>
      <c r="C975" s="166">
        <v>11.086956024169901</v>
      </c>
      <c r="D975" s="204">
        <f t="shared" ref="D975:D1006" si="87">C975/MAX($C$911:$C$1007)</f>
        <v>9.3016814052792208E-5</v>
      </c>
    </row>
    <row r="976" spans="1:4" ht="20.100000000000001" customHeight="1">
      <c r="A976" s="239">
        <v>65</v>
      </c>
      <c r="B976" s="239">
        <v>84.9</v>
      </c>
      <c r="C976" s="166">
        <v>21.3152179718018</v>
      </c>
      <c r="D976" s="204">
        <f t="shared" si="87"/>
        <v>1.7882939756011786E-4</v>
      </c>
    </row>
    <row r="977" spans="1:4" ht="20.100000000000001" customHeight="1">
      <c r="A977" s="239">
        <v>66</v>
      </c>
      <c r="B977" s="239">
        <v>85.4</v>
      </c>
      <c r="C977" s="166">
        <v>26.760869979858398</v>
      </c>
      <c r="D977" s="204">
        <f t="shared" si="87"/>
        <v>2.2451706865084361E-4</v>
      </c>
    </row>
    <row r="978" spans="1:4" ht="20.100000000000001" customHeight="1">
      <c r="A978" s="239">
        <v>67</v>
      </c>
      <c r="B978" s="239">
        <v>86.7</v>
      </c>
      <c r="C978" s="166">
        <v>3.3478260040283199</v>
      </c>
      <c r="D978" s="204">
        <f t="shared" si="87"/>
        <v>2.8087430690528059E-5</v>
      </c>
    </row>
    <row r="979" spans="1:4" ht="20.100000000000001" customHeight="1">
      <c r="A979" s="239">
        <v>68</v>
      </c>
      <c r="B979" s="239">
        <v>87.8</v>
      </c>
      <c r="C979" s="166">
        <v>1.6413043737411499</v>
      </c>
      <c r="D979" s="204">
        <f t="shared" si="87"/>
        <v>1.3770137033419477E-5</v>
      </c>
    </row>
    <row r="980" spans="1:4" ht="20.100000000000001" customHeight="1">
      <c r="A980" s="239">
        <v>69</v>
      </c>
      <c r="B980" s="239">
        <v>88.9</v>
      </c>
      <c r="C980" s="166">
        <v>24.543478012085</v>
      </c>
      <c r="D980" s="204">
        <f t="shared" si="87"/>
        <v>2.0591369943941248E-4</v>
      </c>
    </row>
    <row r="981" spans="1:4" ht="20.100000000000001" customHeight="1">
      <c r="A981" s="239">
        <v>70</v>
      </c>
      <c r="B981" s="239">
        <v>89.6</v>
      </c>
      <c r="C981" s="166">
        <v>9.3586959838867205</v>
      </c>
      <c r="D981" s="204">
        <f t="shared" si="87"/>
        <v>7.851714052189373E-5</v>
      </c>
    </row>
    <row r="982" spans="1:4" ht="20.100000000000001" customHeight="1">
      <c r="A982" s="239">
        <v>71</v>
      </c>
      <c r="B982" s="239">
        <v>91</v>
      </c>
      <c r="C982" s="166">
        <v>117.489128112793</v>
      </c>
      <c r="D982" s="204">
        <f t="shared" si="87"/>
        <v>9.857046748510559E-4</v>
      </c>
    </row>
    <row r="983" spans="1:4" ht="20.100000000000001" customHeight="1">
      <c r="A983" s="239">
        <v>72</v>
      </c>
      <c r="B983" s="239">
        <v>91.7</v>
      </c>
      <c r="C983" s="166">
        <v>26.5217399597168</v>
      </c>
      <c r="D983" s="204">
        <f t="shared" si="87"/>
        <v>2.2251082703055931E-4</v>
      </c>
    </row>
    <row r="984" spans="1:4" ht="20.100000000000001" customHeight="1">
      <c r="A984" s="239">
        <v>73</v>
      </c>
      <c r="B984" s="239">
        <v>92.9</v>
      </c>
      <c r="C984" s="166">
        <v>23.369565963745099</v>
      </c>
      <c r="D984" s="204">
        <f t="shared" si="87"/>
        <v>1.960648682113712E-4</v>
      </c>
    </row>
    <row r="985" spans="1:4" ht="20.100000000000001" customHeight="1">
      <c r="A985" s="239">
        <v>74</v>
      </c>
      <c r="B985" s="239">
        <v>93.8</v>
      </c>
      <c r="C985" s="166">
        <v>1.3369565010070801</v>
      </c>
      <c r="D985" s="204">
        <f t="shared" si="87"/>
        <v>1.1216733788764015E-5</v>
      </c>
    </row>
    <row r="986" spans="1:4" ht="20.100000000000001" customHeight="1">
      <c r="A986" s="239">
        <v>75</v>
      </c>
      <c r="B986" s="239">
        <v>95.1</v>
      </c>
      <c r="C986" s="166">
        <v>16.608695983886701</v>
      </c>
      <c r="D986" s="204">
        <f t="shared" si="87"/>
        <v>1.3934284420580756E-4</v>
      </c>
    </row>
    <row r="987" spans="1:4" ht="20.100000000000001" customHeight="1">
      <c r="A987" s="239">
        <v>76</v>
      </c>
      <c r="B987" s="239">
        <v>97</v>
      </c>
      <c r="C987" s="166">
        <v>17.326087951660199</v>
      </c>
      <c r="D987" s="204">
        <f t="shared" si="87"/>
        <v>1.4536158506884352E-4</v>
      </c>
    </row>
    <row r="988" spans="1:4" ht="20.100000000000001" customHeight="1">
      <c r="A988" s="239">
        <v>77</v>
      </c>
      <c r="B988" s="239">
        <v>98</v>
      </c>
      <c r="C988" s="166">
        <v>4.2282609939575204</v>
      </c>
      <c r="D988" s="204">
        <f t="shared" si="87"/>
        <v>3.5474062112649896E-5</v>
      </c>
    </row>
    <row r="989" spans="1:4" ht="20.100000000000001" customHeight="1">
      <c r="A989" s="239">
        <v>78</v>
      </c>
      <c r="B989" s="239">
        <v>98.8</v>
      </c>
      <c r="C989" s="166">
        <v>43.467391967773402</v>
      </c>
      <c r="D989" s="204">
        <f t="shared" si="87"/>
        <v>3.6468064879232107E-4</v>
      </c>
    </row>
    <row r="990" spans="1:4" ht="20.100000000000001" customHeight="1">
      <c r="A990" s="239">
        <v>79</v>
      </c>
      <c r="B990" s="239">
        <v>100</v>
      </c>
      <c r="C990" s="166">
        <v>6.3369565010070801</v>
      </c>
      <c r="D990" s="204">
        <f t="shared" si="87"/>
        <v>5.3165494950084007E-5</v>
      </c>
    </row>
    <row r="991" spans="1:4" ht="20.100000000000001" customHeight="1">
      <c r="A991" s="239">
        <v>80</v>
      </c>
      <c r="B991" s="239">
        <v>100.8</v>
      </c>
      <c r="C991" s="166">
        <v>2.5</v>
      </c>
      <c r="D991" s="204">
        <f t="shared" si="87"/>
        <v>2.0974380580659997E-5</v>
      </c>
    </row>
    <row r="992" spans="1:4" ht="20.100000000000001" customHeight="1">
      <c r="A992" s="239">
        <v>81</v>
      </c>
      <c r="B992" s="239">
        <v>102</v>
      </c>
      <c r="C992" s="166">
        <v>8.5108699798584002</v>
      </c>
      <c r="D992" s="204">
        <f t="shared" si="87"/>
        <v>7.1404090412025668E-5</v>
      </c>
    </row>
    <row r="993" spans="1:4" ht="20.100000000000001" customHeight="1">
      <c r="A993" s="239">
        <v>82</v>
      </c>
      <c r="B993" s="239">
        <v>102.5</v>
      </c>
      <c r="C993" s="166">
        <v>0.5</v>
      </c>
      <c r="D993" s="204">
        <f t="shared" si="87"/>
        <v>4.1948761161319995E-6</v>
      </c>
    </row>
    <row r="994" spans="1:4" ht="20.100000000000001" customHeight="1">
      <c r="A994" s="239">
        <v>83</v>
      </c>
      <c r="B994" s="239">
        <v>103.9</v>
      </c>
      <c r="C994" s="166">
        <v>1.2173912525177</v>
      </c>
      <c r="D994" s="204">
        <f t="shared" si="87"/>
        <v>1.0213610978349038E-5</v>
      </c>
    </row>
    <row r="995" spans="1:4" ht="20.100000000000001" customHeight="1">
      <c r="A995" s="239">
        <v>84</v>
      </c>
      <c r="B995" s="239">
        <v>105.1</v>
      </c>
      <c r="C995" s="166">
        <v>7.8152174949645996</v>
      </c>
      <c r="D995" s="204">
        <f t="shared" si="87"/>
        <v>6.5567738424007898E-5</v>
      </c>
    </row>
    <row r="996" spans="1:4" ht="20.100000000000001" customHeight="1">
      <c r="A996" s="239">
        <v>85</v>
      </c>
      <c r="B996" s="239">
        <v>106.2</v>
      </c>
      <c r="C996" s="166">
        <v>9.5108699798584002</v>
      </c>
      <c r="D996" s="204">
        <f t="shared" si="87"/>
        <v>7.9793842644289658E-5</v>
      </c>
    </row>
    <row r="997" spans="1:4" ht="20.100000000000001" customHeight="1">
      <c r="A997" s="239">
        <v>86</v>
      </c>
      <c r="B997" s="239">
        <v>107.1</v>
      </c>
      <c r="C997" s="166">
        <v>15.619565010070801</v>
      </c>
      <c r="D997" s="204">
        <f t="shared" si="87"/>
        <v>1.3104428041023415E-4</v>
      </c>
    </row>
    <row r="998" spans="1:4" ht="20.100000000000001" customHeight="1">
      <c r="A998" s="239">
        <v>87</v>
      </c>
      <c r="B998" s="239">
        <v>108.9</v>
      </c>
      <c r="C998" s="166">
        <v>23.173913955688501</v>
      </c>
      <c r="D998" s="204">
        <f t="shared" si="87"/>
        <v>1.9442339634003142E-4</v>
      </c>
    </row>
    <row r="999" spans="1:4" ht="20.100000000000001" customHeight="1">
      <c r="A999" s="239">
        <v>88</v>
      </c>
      <c r="B999" s="239">
        <v>109.6</v>
      </c>
      <c r="C999" s="166">
        <v>8.4565219879150408</v>
      </c>
      <c r="D999" s="204">
        <f t="shared" si="87"/>
        <v>7.0948124225299791E-5</v>
      </c>
    </row>
    <row r="1000" spans="1:4" ht="20.100000000000001" customHeight="1">
      <c r="A1000" s="239">
        <v>89</v>
      </c>
      <c r="B1000" s="239">
        <v>111</v>
      </c>
      <c r="C1000" s="166">
        <v>24.532608032226602</v>
      </c>
      <c r="D1000" s="204">
        <f t="shared" si="87"/>
        <v>2.0582250300163083E-4</v>
      </c>
    </row>
    <row r="1001" spans="1:4" ht="20.100000000000001" customHeight="1">
      <c r="A1001" s="239">
        <v>90</v>
      </c>
      <c r="B1001" s="239">
        <v>112.1</v>
      </c>
      <c r="C1001" s="166">
        <v>9.6847829818725604</v>
      </c>
      <c r="D1001" s="204">
        <f t="shared" si="87"/>
        <v>8.1252929641157688E-5</v>
      </c>
    </row>
    <row r="1002" spans="1:4" ht="20.100000000000001" customHeight="1">
      <c r="A1002" s="239">
        <v>91</v>
      </c>
      <c r="B1002" s="239">
        <v>112.8</v>
      </c>
      <c r="C1002" s="166">
        <v>20.391304016113299</v>
      </c>
      <c r="D1002" s="204">
        <f t="shared" si="87"/>
        <v>1.7107798838796037E-4</v>
      </c>
    </row>
    <row r="1003" spans="1:4" ht="20.100000000000001" customHeight="1">
      <c r="A1003" s="239">
        <v>92</v>
      </c>
      <c r="B1003" s="239">
        <v>114.5</v>
      </c>
      <c r="C1003" s="166">
        <v>0.70652174949645996</v>
      </c>
      <c r="D1003" s="204">
        <f t="shared" si="87"/>
        <v>5.9275424249809905E-6</v>
      </c>
    </row>
    <row r="1004" spans="1:4" ht="20.100000000000001" customHeight="1">
      <c r="A1004" s="239">
        <v>93</v>
      </c>
      <c r="B1004" s="239">
        <v>115</v>
      </c>
      <c r="C1004" s="166">
        <v>12.097826004028301</v>
      </c>
      <c r="D1004" s="204">
        <f t="shared" si="87"/>
        <v>1.0149776272283789E-4</v>
      </c>
    </row>
    <row r="1005" spans="1:4" ht="20.100000000000001" customHeight="1">
      <c r="A1005" s="239">
        <v>94</v>
      </c>
      <c r="B1005" s="239">
        <v>116.2</v>
      </c>
      <c r="C1005" s="166">
        <v>4.8260869979858398</v>
      </c>
      <c r="D1005" s="204">
        <f t="shared" si="87"/>
        <v>4.0489674164451957E-5</v>
      </c>
    </row>
    <row r="1006" spans="1:4" ht="20.100000000000001" customHeight="1">
      <c r="A1006" s="239">
        <v>95</v>
      </c>
      <c r="B1006" s="239">
        <v>117.1</v>
      </c>
      <c r="C1006" s="166">
        <v>53.413043975830099</v>
      </c>
      <c r="D1006" s="204">
        <f t="shared" si="87"/>
        <v>4.4812220492823569E-4</v>
      </c>
    </row>
    <row r="1007" spans="1:4" ht="20.100000000000001" customHeight="1">
      <c r="A1007" s="482">
        <v>96</v>
      </c>
      <c r="B1007" s="482">
        <v>119.5</v>
      </c>
      <c r="C1007" s="169">
        <v>1.80434787273407</v>
      </c>
      <c r="D1007" s="208">
        <f t="shared" ref="D1007" si="88">C1007/MAX($C$911:$C$1007)</f>
        <v>1.5138031593051461E-5</v>
      </c>
    </row>
    <row r="1009" spans="1:4" ht="20.100000000000001" customHeight="1">
      <c r="A1009" s="465" t="s">
        <v>1397</v>
      </c>
    </row>
    <row r="1010" spans="1:4" s="461" customFormat="1" ht="20.100000000000001" customHeight="1">
      <c r="A1010" s="465"/>
    </row>
    <row r="1011" spans="1:4" ht="20.100000000000001" customHeight="1">
      <c r="A1011" s="465" t="s">
        <v>2</v>
      </c>
      <c r="B1011" s="239">
        <v>20240122</v>
      </c>
    </row>
    <row r="1012" spans="1:4" s="461" customFormat="1" ht="20.100000000000001" customHeight="1"/>
    <row r="1013" spans="1:4" ht="20.100000000000001" customHeight="1">
      <c r="A1013" s="464" t="s">
        <v>1395</v>
      </c>
      <c r="B1013" s="464" t="s">
        <v>1396</v>
      </c>
      <c r="C1013" s="464"/>
      <c r="D1013" s="464"/>
    </row>
    <row r="1014" spans="1:4" ht="20.100000000000001" customHeight="1">
      <c r="A1014" s="462" t="s">
        <v>1257</v>
      </c>
      <c r="B1014" s="462" t="s">
        <v>1258</v>
      </c>
      <c r="C1014" s="169" t="s">
        <v>1259</v>
      </c>
      <c r="D1014" s="462" t="s">
        <v>1260</v>
      </c>
    </row>
    <row r="1015" spans="1:4" ht="20.100000000000001" customHeight="1">
      <c r="A1015" s="239">
        <v>0</v>
      </c>
      <c r="B1015" s="239">
        <v>16.8</v>
      </c>
      <c r="C1015" s="166">
        <v>30.5</v>
      </c>
      <c r="D1015" s="204">
        <f t="shared" ref="D1015:D1046" si="89">C1015/MAX($C$1015:$C$1143)</f>
        <v>4.491563936331161E-4</v>
      </c>
    </row>
    <row r="1016" spans="1:4" ht="20.100000000000001" customHeight="1">
      <c r="A1016" s="239">
        <v>1</v>
      </c>
      <c r="B1016" s="239">
        <v>17.8</v>
      </c>
      <c r="C1016" s="166">
        <v>0.375</v>
      </c>
      <c r="D1016" s="204">
        <f t="shared" si="89"/>
        <v>5.5224146758170012E-6</v>
      </c>
    </row>
    <row r="1017" spans="1:4" ht="20.100000000000001" customHeight="1">
      <c r="A1017" s="239">
        <v>2</v>
      </c>
      <c r="B1017" s="239">
        <v>18.2</v>
      </c>
      <c r="C1017" s="166">
        <v>0.30000001192092901</v>
      </c>
      <c r="D1017" s="204">
        <f t="shared" si="89"/>
        <v>4.4179319162064361E-6</v>
      </c>
    </row>
    <row r="1018" spans="1:4" ht="20.100000000000001" customHeight="1">
      <c r="A1018" s="239">
        <v>3</v>
      </c>
      <c r="B1018" s="239">
        <v>18.5</v>
      </c>
      <c r="C1018" s="166">
        <v>0.375</v>
      </c>
      <c r="D1018" s="204">
        <f t="shared" si="89"/>
        <v>5.5224146758170012E-6</v>
      </c>
    </row>
    <row r="1019" spans="1:4" ht="20.100000000000001" customHeight="1">
      <c r="A1019" s="239">
        <v>4</v>
      </c>
      <c r="B1019" s="239">
        <v>19.100000000000001</v>
      </c>
      <c r="C1019" s="166">
        <v>3.875</v>
      </c>
      <c r="D1019" s="204">
        <f t="shared" si="89"/>
        <v>5.7064951650109011E-5</v>
      </c>
    </row>
    <row r="1020" spans="1:4" ht="20.100000000000001" customHeight="1">
      <c r="A1020" s="239">
        <v>5</v>
      </c>
      <c r="B1020" s="239">
        <v>19.399999999999999</v>
      </c>
      <c r="C1020" s="166">
        <v>11.9750003814697</v>
      </c>
      <c r="D1020" s="204">
        <f t="shared" si="89"/>
        <v>1.7634911426544654E-4</v>
      </c>
    </row>
    <row r="1021" spans="1:4" ht="20.100000000000001" customHeight="1">
      <c r="A1021" s="239">
        <v>6</v>
      </c>
      <c r="B1021" s="239">
        <v>20</v>
      </c>
      <c r="C1021" s="166">
        <v>0.44999998807907099</v>
      </c>
      <c r="D1021" s="204">
        <f t="shared" si="89"/>
        <v>6.6268974354275654E-6</v>
      </c>
    </row>
    <row r="1022" spans="1:4" ht="20.100000000000001" customHeight="1">
      <c r="A1022" s="239">
        <v>7</v>
      </c>
      <c r="B1022" s="239">
        <v>21.8</v>
      </c>
      <c r="C1022" s="166">
        <v>1.4750000238418599</v>
      </c>
      <c r="D1022" s="204">
        <f t="shared" si="89"/>
        <v>2.1721498075985903E-5</v>
      </c>
    </row>
    <row r="1023" spans="1:4" ht="20.100000000000001" customHeight="1">
      <c r="A1023" s="239">
        <v>8</v>
      </c>
      <c r="B1023" s="239">
        <v>22.5</v>
      </c>
      <c r="C1023" s="166">
        <v>0.42500001192092901</v>
      </c>
      <c r="D1023" s="204">
        <f t="shared" si="89"/>
        <v>6.2587368081454368E-6</v>
      </c>
    </row>
    <row r="1024" spans="1:4" ht="20.100000000000001" customHeight="1">
      <c r="A1024" s="239">
        <v>9</v>
      </c>
      <c r="B1024" s="239">
        <v>23.3</v>
      </c>
      <c r="C1024" s="166">
        <v>0.34999999403953602</v>
      </c>
      <c r="D1024" s="204">
        <f t="shared" si="89"/>
        <v>5.154253609652791E-6</v>
      </c>
    </row>
    <row r="1025" spans="1:4" ht="20.100000000000001" customHeight="1">
      <c r="A1025" s="239">
        <v>10</v>
      </c>
      <c r="B1025" s="239">
        <v>25</v>
      </c>
      <c r="C1025" s="166">
        <v>85.324996948242202</v>
      </c>
      <c r="D1025" s="204">
        <f t="shared" si="89"/>
        <v>1.2565333742960362E-3</v>
      </c>
    </row>
    <row r="1026" spans="1:4" ht="20.100000000000001" customHeight="1">
      <c r="A1026" s="239">
        <v>11</v>
      </c>
      <c r="B1026" s="239">
        <v>25.2</v>
      </c>
      <c r="C1026" s="166">
        <v>49.674999237060497</v>
      </c>
      <c r="D1026" s="204">
        <f t="shared" si="89"/>
        <v>7.3153585282117659E-4</v>
      </c>
    </row>
    <row r="1027" spans="1:4" ht="20.100000000000001" customHeight="1">
      <c r="A1027" s="239">
        <v>12</v>
      </c>
      <c r="B1027" s="239">
        <v>25.9</v>
      </c>
      <c r="C1027" s="166">
        <v>5.2750000953674299</v>
      </c>
      <c r="D1027" s="204">
        <f t="shared" si="89"/>
        <v>7.7681967844248461E-5</v>
      </c>
    </row>
    <row r="1028" spans="1:4" ht="20.100000000000001" customHeight="1">
      <c r="A1028" s="239">
        <v>13</v>
      </c>
      <c r="B1028" s="239">
        <v>26.7</v>
      </c>
      <c r="C1028" s="166">
        <v>0.19999998807907099</v>
      </c>
      <c r="D1028" s="204">
        <f t="shared" si="89"/>
        <v>2.9452876515495649E-6</v>
      </c>
    </row>
    <row r="1029" spans="1:4" ht="20.100000000000001" customHeight="1">
      <c r="A1029" s="239">
        <v>14</v>
      </c>
      <c r="B1029" s="239">
        <v>27</v>
      </c>
      <c r="C1029" s="166">
        <v>5.6500000953674299</v>
      </c>
      <c r="D1029" s="204">
        <f t="shared" si="89"/>
        <v>8.3204382520065466E-5</v>
      </c>
    </row>
    <row r="1030" spans="1:4" ht="20.100000000000001" customHeight="1">
      <c r="A1030" s="239">
        <v>15</v>
      </c>
      <c r="B1030" s="239">
        <v>28.8</v>
      </c>
      <c r="C1030" s="166">
        <v>2.3250000476837198</v>
      </c>
      <c r="D1030" s="204">
        <f t="shared" si="89"/>
        <v>3.4238971692276805E-5</v>
      </c>
    </row>
    <row r="1031" spans="1:4" ht="20.100000000000001" customHeight="1">
      <c r="A1031" s="239">
        <v>16</v>
      </c>
      <c r="B1031" s="239">
        <v>29.5</v>
      </c>
      <c r="C1031" s="166">
        <v>0.27500000596046398</v>
      </c>
      <c r="D1031" s="204">
        <f t="shared" si="89"/>
        <v>4.0497708500422107E-6</v>
      </c>
    </row>
    <row r="1032" spans="1:4" ht="20.100000000000001" customHeight="1">
      <c r="A1032" s="239">
        <v>17</v>
      </c>
      <c r="B1032" s="239">
        <v>30</v>
      </c>
      <c r="C1032" s="166">
        <v>2.7000000476837198</v>
      </c>
      <c r="D1032" s="204">
        <f t="shared" si="89"/>
        <v>3.9761386368093804E-5</v>
      </c>
    </row>
    <row r="1033" spans="1:4" ht="20.100000000000001" customHeight="1">
      <c r="A1033" s="239">
        <v>18</v>
      </c>
      <c r="B1033" s="239">
        <v>31.2</v>
      </c>
      <c r="C1033" s="166">
        <v>62.150001525878899</v>
      </c>
      <c r="D1033" s="204">
        <f t="shared" si="89"/>
        <v>9.1524821474283367E-4</v>
      </c>
    </row>
    <row r="1034" spans="1:4" ht="20.100000000000001" customHeight="1">
      <c r="A1034" s="239">
        <v>19</v>
      </c>
      <c r="B1034" s="239">
        <v>32.1</v>
      </c>
      <c r="C1034" s="166">
        <v>5541.39990234375</v>
      </c>
      <c r="D1034" s="204">
        <f t="shared" si="89"/>
        <v>8.1605088387397384E-2</v>
      </c>
    </row>
    <row r="1035" spans="1:4" ht="20.100000000000001" customHeight="1">
      <c r="A1035" s="239">
        <v>20</v>
      </c>
      <c r="B1035" s="239">
        <v>33</v>
      </c>
      <c r="C1035" s="166">
        <v>34.275001525878899</v>
      </c>
      <c r="D1035" s="204">
        <f t="shared" si="89"/>
        <v>5.0474872384043666E-4</v>
      </c>
    </row>
    <row r="1036" spans="1:4" ht="20.100000000000001" customHeight="1">
      <c r="A1036" s="239">
        <v>21</v>
      </c>
      <c r="B1036" s="239">
        <v>33.9</v>
      </c>
      <c r="C1036" s="166">
        <v>11.800000190734901</v>
      </c>
      <c r="D1036" s="204">
        <f t="shared" si="89"/>
        <v>1.7377198460788755E-4</v>
      </c>
    </row>
    <row r="1037" spans="1:4" ht="20.100000000000001" customHeight="1">
      <c r="A1037" s="239">
        <v>22</v>
      </c>
      <c r="B1037" s="239">
        <v>34.1</v>
      </c>
      <c r="C1037" s="166">
        <v>21.899999618530298</v>
      </c>
      <c r="D1037" s="204">
        <f t="shared" si="89"/>
        <v>3.2250901145002253E-4</v>
      </c>
    </row>
    <row r="1038" spans="1:4" ht="20.100000000000001" customHeight="1">
      <c r="A1038" s="239">
        <v>23</v>
      </c>
      <c r="B1038" s="239">
        <v>34.9</v>
      </c>
      <c r="C1038" s="166">
        <v>0.92500001192092896</v>
      </c>
      <c r="D1038" s="204">
        <f t="shared" si="89"/>
        <v>1.3621956375901437E-5</v>
      </c>
    </row>
    <row r="1039" spans="1:4" ht="20.100000000000001" customHeight="1">
      <c r="A1039" s="239">
        <v>24</v>
      </c>
      <c r="B1039" s="239">
        <v>35.6</v>
      </c>
      <c r="C1039" s="166">
        <v>0.89999997615814198</v>
      </c>
      <c r="D1039" s="204">
        <f t="shared" si="89"/>
        <v>1.3253794870855131E-5</v>
      </c>
    </row>
    <row r="1040" spans="1:4" ht="20.100000000000001" customHeight="1">
      <c r="A1040" s="239">
        <v>25</v>
      </c>
      <c r="B1040" s="239">
        <v>36.6</v>
      </c>
      <c r="C1040" s="166">
        <v>1.2749999761581401</v>
      </c>
      <c r="D1040" s="204">
        <f t="shared" si="89"/>
        <v>1.8776209546672106E-5</v>
      </c>
    </row>
    <row r="1041" spans="1:4" ht="20.100000000000001" customHeight="1">
      <c r="A1041" s="239">
        <v>26</v>
      </c>
      <c r="B1041" s="239">
        <v>38.9</v>
      </c>
      <c r="C1041" s="166">
        <v>14.25</v>
      </c>
      <c r="D1041" s="204">
        <f t="shared" si="89"/>
        <v>2.0985175768104604E-4</v>
      </c>
    </row>
    <row r="1042" spans="1:4" ht="20.100000000000001" customHeight="1">
      <c r="A1042" s="239">
        <v>27</v>
      </c>
      <c r="B1042" s="239">
        <v>39.1</v>
      </c>
      <c r="C1042" s="166">
        <v>10.875</v>
      </c>
      <c r="D1042" s="204">
        <f t="shared" si="89"/>
        <v>1.6015002559869302E-4</v>
      </c>
    </row>
    <row r="1043" spans="1:4" ht="20.100000000000001" customHeight="1">
      <c r="A1043" s="239">
        <v>28</v>
      </c>
      <c r="B1043" s="239">
        <v>39.799999999999997</v>
      </c>
      <c r="C1043" s="166">
        <v>0.19999998807907099</v>
      </c>
      <c r="D1043" s="204">
        <f t="shared" si="89"/>
        <v>2.9452876515495649E-6</v>
      </c>
    </row>
    <row r="1044" spans="1:4" ht="20.100000000000001" customHeight="1">
      <c r="A1044" s="239">
        <v>29</v>
      </c>
      <c r="B1044" s="239">
        <v>41.1</v>
      </c>
      <c r="C1044" s="166">
        <v>14.7749996185303</v>
      </c>
      <c r="D1044" s="204">
        <f t="shared" si="89"/>
        <v>2.1758313260949953E-4</v>
      </c>
    </row>
    <row r="1045" spans="1:4" ht="20.100000000000001" customHeight="1">
      <c r="A1045" s="239">
        <v>30</v>
      </c>
      <c r="B1045" s="239">
        <v>41.4</v>
      </c>
      <c r="C1045" s="166">
        <v>4.5749998092651403</v>
      </c>
      <c r="D1045" s="204">
        <f t="shared" si="89"/>
        <v>6.7373456236122104E-5</v>
      </c>
    </row>
    <row r="1046" spans="1:4" ht="20.100000000000001" customHeight="1">
      <c r="A1046" s="239">
        <v>31</v>
      </c>
      <c r="B1046" s="239">
        <v>41.8</v>
      </c>
      <c r="C1046" s="166">
        <v>24.399999618530298</v>
      </c>
      <c r="D1046" s="204">
        <f t="shared" si="89"/>
        <v>3.5932510928880253E-4</v>
      </c>
    </row>
    <row r="1047" spans="1:4" ht="20.100000000000001" customHeight="1">
      <c r="A1047" s="239">
        <v>32</v>
      </c>
      <c r="B1047" s="239">
        <v>43.1</v>
      </c>
      <c r="C1047" s="166">
        <v>19349.25</v>
      </c>
      <c r="D1047" s="204">
        <f t="shared" ref="D1047:D1078" si="90">C1047/MAX($C$1015:$C$1143)</f>
        <v>0.28494555244280562</v>
      </c>
    </row>
    <row r="1048" spans="1:4" ht="20.100000000000001" customHeight="1">
      <c r="A1048" s="239">
        <v>33</v>
      </c>
      <c r="B1048" s="239">
        <v>44.2</v>
      </c>
      <c r="C1048" s="166">
        <v>799.77502441406295</v>
      </c>
      <c r="D1048" s="204">
        <f t="shared" si="90"/>
        <v>1.1777838219136324E-2</v>
      </c>
    </row>
    <row r="1049" spans="1:4" ht="20.100000000000001" customHeight="1">
      <c r="A1049" s="239">
        <v>34</v>
      </c>
      <c r="B1049" s="239">
        <v>45.1</v>
      </c>
      <c r="C1049" s="166">
        <v>67905.078125</v>
      </c>
      <c r="D1049" s="204">
        <f t="shared" si="90"/>
        <v>1</v>
      </c>
    </row>
    <row r="1050" spans="1:4" ht="20.100000000000001" customHeight="1">
      <c r="A1050" s="239">
        <v>35</v>
      </c>
      <c r="B1050" s="239">
        <v>46.1</v>
      </c>
      <c r="C1050" s="166">
        <v>1959.30004882813</v>
      </c>
      <c r="D1050" s="204">
        <f t="shared" si="90"/>
        <v>2.8853512917273151E-2</v>
      </c>
    </row>
    <row r="1051" spans="1:4" ht="20.100000000000001" customHeight="1">
      <c r="A1051" s="239">
        <v>36</v>
      </c>
      <c r="B1051" s="239">
        <v>47.1</v>
      </c>
      <c r="C1051" s="166">
        <v>633.20001220703102</v>
      </c>
      <c r="D1051" s="204">
        <f t="shared" si="90"/>
        <v>9.3247814403723001E-3</v>
      </c>
    </row>
    <row r="1052" spans="1:4" ht="20.100000000000001" customHeight="1">
      <c r="A1052" s="239">
        <v>37</v>
      </c>
      <c r="B1052" s="239">
        <v>48</v>
      </c>
      <c r="C1052" s="166">
        <v>1.6499999761581401</v>
      </c>
      <c r="D1052" s="204">
        <f t="shared" si="90"/>
        <v>2.4298624222489105E-5</v>
      </c>
    </row>
    <row r="1053" spans="1:4" ht="20.100000000000001" customHeight="1">
      <c r="A1053" s="239">
        <v>38</v>
      </c>
      <c r="B1053" s="239">
        <v>48.8</v>
      </c>
      <c r="C1053" s="166">
        <v>0.27500000596046398</v>
      </c>
      <c r="D1053" s="204">
        <f t="shared" si="90"/>
        <v>4.0497708500422107E-6</v>
      </c>
    </row>
    <row r="1054" spans="1:4" ht="20.100000000000001" customHeight="1">
      <c r="A1054" s="239">
        <v>39</v>
      </c>
      <c r="B1054" s="239">
        <v>49.8</v>
      </c>
      <c r="C1054" s="166">
        <v>0.375</v>
      </c>
      <c r="D1054" s="204">
        <f t="shared" si="90"/>
        <v>5.5224146758170012E-6</v>
      </c>
    </row>
    <row r="1055" spans="1:4" ht="20.100000000000001" customHeight="1">
      <c r="A1055" s="239">
        <v>40</v>
      </c>
      <c r="B1055" s="239">
        <v>51</v>
      </c>
      <c r="C1055" s="166">
        <v>0.25</v>
      </c>
      <c r="D1055" s="204">
        <f t="shared" si="90"/>
        <v>3.6816097838780005E-6</v>
      </c>
    </row>
    <row r="1056" spans="1:4" ht="20.100000000000001" customHeight="1">
      <c r="A1056" s="239">
        <v>41</v>
      </c>
      <c r="B1056" s="239">
        <v>51.5</v>
      </c>
      <c r="C1056" s="166">
        <v>0.40000000596046398</v>
      </c>
      <c r="D1056" s="204">
        <f t="shared" si="90"/>
        <v>5.8905757419812114E-6</v>
      </c>
    </row>
    <row r="1057" spans="1:4" ht="20.100000000000001" customHeight="1">
      <c r="A1057" s="239">
        <v>42</v>
      </c>
      <c r="B1057" s="239">
        <v>52.2</v>
      </c>
      <c r="C1057" s="166">
        <v>0.5</v>
      </c>
      <c r="D1057" s="204">
        <f t="shared" si="90"/>
        <v>7.3632195677560011E-6</v>
      </c>
    </row>
    <row r="1058" spans="1:4" ht="20.100000000000001" customHeight="1">
      <c r="A1058" s="239">
        <v>43</v>
      </c>
      <c r="B1058" s="239">
        <v>53.1</v>
      </c>
      <c r="C1058" s="166">
        <v>0.44999998807907099</v>
      </c>
      <c r="D1058" s="204">
        <f t="shared" si="90"/>
        <v>6.6268974354275654E-6</v>
      </c>
    </row>
    <row r="1059" spans="1:4" ht="20.100000000000001" customHeight="1">
      <c r="A1059" s="239">
        <v>44</v>
      </c>
      <c r="B1059" s="239">
        <v>54</v>
      </c>
      <c r="C1059" s="166">
        <v>0.94999998807907104</v>
      </c>
      <c r="D1059" s="204">
        <f t="shared" si="90"/>
        <v>1.3990117003183568E-5</v>
      </c>
    </row>
    <row r="1060" spans="1:4" ht="20.100000000000001" customHeight="1">
      <c r="A1060" s="239">
        <v>45</v>
      </c>
      <c r="B1060" s="239">
        <v>54.7</v>
      </c>
      <c r="C1060" s="166">
        <v>0.77499997615814198</v>
      </c>
      <c r="D1060" s="204">
        <f t="shared" si="90"/>
        <v>1.141298997891613E-5</v>
      </c>
    </row>
    <row r="1061" spans="1:4" ht="20.100000000000001" customHeight="1">
      <c r="A1061" s="239">
        <v>46</v>
      </c>
      <c r="B1061" s="239">
        <v>55.6</v>
      </c>
      <c r="C1061" s="166">
        <v>1.32500004768372</v>
      </c>
      <c r="D1061" s="204">
        <f t="shared" si="90"/>
        <v>1.9512532556764803E-5</v>
      </c>
    </row>
    <row r="1062" spans="1:4" ht="20.100000000000001" customHeight="1">
      <c r="A1062" s="239">
        <v>47</v>
      </c>
      <c r="B1062" s="239">
        <v>56.8</v>
      </c>
      <c r="C1062" s="166">
        <v>19.350000381469702</v>
      </c>
      <c r="D1062" s="204">
        <f t="shared" si="90"/>
        <v>2.8495660288984758E-4</v>
      </c>
    </row>
    <row r="1063" spans="1:4" ht="20.100000000000001" customHeight="1">
      <c r="A1063" s="239">
        <v>48</v>
      </c>
      <c r="B1063" s="239">
        <v>57.2</v>
      </c>
      <c r="C1063" s="166">
        <v>85</v>
      </c>
      <c r="D1063" s="204">
        <f t="shared" si="90"/>
        <v>1.2517473265185202E-3</v>
      </c>
    </row>
    <row r="1064" spans="1:4" ht="20.100000000000001" customHeight="1">
      <c r="A1064" s="239">
        <v>49</v>
      </c>
      <c r="B1064" s="239">
        <v>57.8</v>
      </c>
      <c r="C1064" s="166">
        <v>1.1000000238418599</v>
      </c>
      <c r="D1064" s="204">
        <f t="shared" si="90"/>
        <v>1.61990834001689E-5</v>
      </c>
    </row>
    <row r="1065" spans="1:4" ht="20.100000000000001" customHeight="1">
      <c r="A1065" s="239">
        <v>50</v>
      </c>
      <c r="B1065" s="239">
        <v>58.3</v>
      </c>
      <c r="C1065" s="166">
        <v>3.9000000953674299</v>
      </c>
      <c r="D1065" s="204">
        <f t="shared" si="90"/>
        <v>5.7433114032919464E-5</v>
      </c>
    </row>
    <row r="1066" spans="1:4" ht="20.100000000000001" customHeight="1">
      <c r="A1066" s="239">
        <v>51</v>
      </c>
      <c r="B1066" s="239">
        <v>58.8</v>
      </c>
      <c r="C1066" s="166">
        <v>2.0250000953674299</v>
      </c>
      <c r="D1066" s="204">
        <f t="shared" si="90"/>
        <v>2.9821040653834457E-5</v>
      </c>
    </row>
    <row r="1067" spans="1:4" ht="20.100000000000001" customHeight="1">
      <c r="A1067" s="239">
        <v>52</v>
      </c>
      <c r="B1067" s="239">
        <v>59.7</v>
      </c>
      <c r="C1067" s="166">
        <v>0.40000000596046398</v>
      </c>
      <c r="D1067" s="204">
        <f t="shared" si="90"/>
        <v>5.8905757419812114E-6</v>
      </c>
    </row>
    <row r="1068" spans="1:4" ht="20.100000000000001" customHeight="1">
      <c r="A1068" s="239">
        <v>53</v>
      </c>
      <c r="B1068" s="239">
        <v>60.9</v>
      </c>
      <c r="C1068" s="166">
        <v>1.375</v>
      </c>
      <c r="D1068" s="204">
        <f t="shared" si="90"/>
        <v>2.0248853811329004E-5</v>
      </c>
    </row>
    <row r="1069" spans="1:4" ht="20.100000000000001" customHeight="1">
      <c r="A1069" s="239">
        <v>54</v>
      </c>
      <c r="B1069" s="239">
        <v>61.4</v>
      </c>
      <c r="C1069" s="166">
        <v>12.5</v>
      </c>
      <c r="D1069" s="204">
        <f t="shared" si="90"/>
        <v>1.8408048919390003E-4</v>
      </c>
    </row>
    <row r="1070" spans="1:4" ht="20.100000000000001" customHeight="1">
      <c r="A1070" s="239">
        <v>55</v>
      </c>
      <c r="B1070" s="239">
        <v>62.1</v>
      </c>
      <c r="C1070" s="166">
        <v>4.7249999046325701</v>
      </c>
      <c r="D1070" s="204">
        <f t="shared" si="90"/>
        <v>6.9582423510871567E-5</v>
      </c>
    </row>
    <row r="1071" spans="1:4" ht="20.100000000000001" customHeight="1">
      <c r="A1071" s="239">
        <v>56</v>
      </c>
      <c r="B1071" s="239">
        <v>63</v>
      </c>
      <c r="C1071" s="166">
        <v>95.724998474121094</v>
      </c>
      <c r="D1071" s="204">
        <f t="shared" si="90"/>
        <v>1.4096883637761237E-3</v>
      </c>
    </row>
    <row r="1072" spans="1:4" ht="20.100000000000001" customHeight="1">
      <c r="A1072" s="239">
        <v>57</v>
      </c>
      <c r="B1072" s="239">
        <v>63.6</v>
      </c>
      <c r="C1072" s="166">
        <v>4.8499999046325701</v>
      </c>
      <c r="D1072" s="204">
        <f t="shared" si="90"/>
        <v>7.1423228402810564E-5</v>
      </c>
    </row>
    <row r="1073" spans="1:4" ht="20.100000000000001" customHeight="1">
      <c r="A1073" s="239">
        <v>58</v>
      </c>
      <c r="B1073" s="239">
        <v>64.099999999999994</v>
      </c>
      <c r="C1073" s="166">
        <v>0.22499999403953599</v>
      </c>
      <c r="D1073" s="204">
        <f t="shared" si="90"/>
        <v>3.3134487177137903E-6</v>
      </c>
    </row>
    <row r="1074" spans="1:4" ht="20.100000000000001" customHeight="1">
      <c r="A1074" s="239">
        <v>59</v>
      </c>
      <c r="B1074" s="239">
        <v>64.3</v>
      </c>
      <c r="C1074" s="166">
        <v>2.4000000953674299</v>
      </c>
      <c r="D1074" s="204">
        <f t="shared" si="90"/>
        <v>3.5343455329651455E-5</v>
      </c>
    </row>
    <row r="1075" spans="1:4" ht="20.100000000000001" customHeight="1">
      <c r="A1075" s="239">
        <v>60</v>
      </c>
      <c r="B1075" s="239">
        <v>65.099999999999994</v>
      </c>
      <c r="C1075" s="166">
        <v>1.375</v>
      </c>
      <c r="D1075" s="204">
        <f t="shared" si="90"/>
        <v>2.0248853811329004E-5</v>
      </c>
    </row>
    <row r="1076" spans="1:4" ht="20.100000000000001" customHeight="1">
      <c r="A1076" s="239">
        <v>61</v>
      </c>
      <c r="B1076" s="239">
        <v>65.3</v>
      </c>
      <c r="C1076" s="166">
        <v>2.8499999046325701</v>
      </c>
      <c r="D1076" s="204">
        <f t="shared" si="90"/>
        <v>4.1970350131786553E-5</v>
      </c>
    </row>
    <row r="1077" spans="1:4" ht="20.100000000000001" customHeight="1">
      <c r="A1077" s="239">
        <v>62</v>
      </c>
      <c r="B1077" s="239">
        <v>65.900000000000006</v>
      </c>
      <c r="C1077" s="166">
        <v>0.27500000596046398</v>
      </c>
      <c r="D1077" s="204">
        <f t="shared" si="90"/>
        <v>4.0497708500422107E-6</v>
      </c>
    </row>
    <row r="1078" spans="1:4" ht="20.100000000000001" customHeight="1">
      <c r="A1078" s="239">
        <v>63</v>
      </c>
      <c r="B1078" s="239">
        <v>66.3</v>
      </c>
      <c r="C1078" s="166">
        <v>0.375</v>
      </c>
      <c r="D1078" s="204">
        <f t="shared" si="90"/>
        <v>5.5224146758170012E-6</v>
      </c>
    </row>
    <row r="1079" spans="1:4" ht="20.100000000000001" customHeight="1">
      <c r="A1079" s="239">
        <v>64</v>
      </c>
      <c r="B1079" s="239">
        <v>66.900000000000006</v>
      </c>
      <c r="C1079" s="166">
        <v>7.75</v>
      </c>
      <c r="D1079" s="204">
        <f t="shared" ref="D1079:D1110" si="91">C1079/MAX($C$1015:$C$1143)</f>
        <v>1.1412990330021802E-4</v>
      </c>
    </row>
    <row r="1080" spans="1:4" ht="20.100000000000001" customHeight="1">
      <c r="A1080" s="239">
        <v>65</v>
      </c>
      <c r="B1080" s="239">
        <v>67.099999999999994</v>
      </c>
      <c r="C1080" s="166">
        <v>2.75</v>
      </c>
      <c r="D1080" s="204">
        <f t="shared" si="91"/>
        <v>4.0497707622658008E-5</v>
      </c>
    </row>
    <row r="1081" spans="1:4" ht="20.100000000000001" customHeight="1">
      <c r="A1081" s="239">
        <v>66</v>
      </c>
      <c r="B1081" s="239">
        <v>67.900000000000006</v>
      </c>
      <c r="C1081" s="166">
        <v>0.375</v>
      </c>
      <c r="D1081" s="204">
        <f t="shared" si="91"/>
        <v>5.5224146758170012E-6</v>
      </c>
    </row>
    <row r="1082" spans="1:4" ht="20.100000000000001" customHeight="1">
      <c r="A1082" s="239">
        <v>67</v>
      </c>
      <c r="B1082" s="239">
        <v>69.099999999999994</v>
      </c>
      <c r="C1082" s="166">
        <v>7.3499999046325701</v>
      </c>
      <c r="D1082" s="204">
        <f t="shared" si="91"/>
        <v>1.0823932624159056E-4</v>
      </c>
    </row>
    <row r="1083" spans="1:4" ht="20.100000000000001" customHeight="1">
      <c r="A1083" s="239">
        <v>68</v>
      </c>
      <c r="B1083" s="239">
        <v>69.7</v>
      </c>
      <c r="C1083" s="166">
        <v>0.44999998807907099</v>
      </c>
      <c r="D1083" s="204">
        <f t="shared" si="91"/>
        <v>6.6268974354275654E-6</v>
      </c>
    </row>
    <row r="1084" spans="1:4" ht="20.100000000000001" customHeight="1">
      <c r="A1084" s="239">
        <v>69</v>
      </c>
      <c r="B1084" s="239">
        <v>70.900000000000006</v>
      </c>
      <c r="C1084" s="166">
        <v>1.6500000953674301</v>
      </c>
      <c r="D1084" s="204">
        <f t="shared" si="91"/>
        <v>2.4298625978017458E-5</v>
      </c>
    </row>
    <row r="1085" spans="1:4" ht="20.100000000000001" customHeight="1">
      <c r="A1085" s="239">
        <v>70</v>
      </c>
      <c r="B1085" s="239">
        <v>71.2</v>
      </c>
      <c r="C1085" s="166">
        <v>22.274999618530298</v>
      </c>
      <c r="D1085" s="204">
        <f t="shared" si="91"/>
        <v>3.2803142612583953E-4</v>
      </c>
    </row>
    <row r="1086" spans="1:4" ht="20.100000000000001" customHeight="1">
      <c r="A1086" s="239">
        <v>71</v>
      </c>
      <c r="B1086" s="239">
        <v>72.099999999999994</v>
      </c>
      <c r="C1086" s="166">
        <v>3.0250000953674299</v>
      </c>
      <c r="D1086" s="204">
        <f t="shared" si="91"/>
        <v>4.4547479789346462E-5</v>
      </c>
    </row>
    <row r="1087" spans="1:4" ht="20.100000000000001" customHeight="1">
      <c r="A1087" s="239">
        <v>72</v>
      </c>
      <c r="B1087" s="239">
        <v>72.5</v>
      </c>
      <c r="C1087" s="166">
        <v>2.7249999046325701</v>
      </c>
      <c r="D1087" s="204">
        <f t="shared" si="91"/>
        <v>4.0129545239847556E-5</v>
      </c>
    </row>
    <row r="1088" spans="1:4" ht="20.100000000000001" customHeight="1">
      <c r="A1088" s="239">
        <v>73</v>
      </c>
      <c r="B1088" s="239">
        <v>72.900000000000006</v>
      </c>
      <c r="C1088" s="166">
        <v>1.7749999761581401</v>
      </c>
      <c r="D1088" s="204">
        <f t="shared" si="91"/>
        <v>2.6139429114428105E-5</v>
      </c>
    </row>
    <row r="1089" spans="1:4" ht="20.100000000000001" customHeight="1">
      <c r="A1089" s="239">
        <v>74</v>
      </c>
      <c r="B1089" s="239">
        <v>74</v>
      </c>
      <c r="C1089" s="166">
        <v>0.75</v>
      </c>
      <c r="D1089" s="204">
        <f t="shared" si="91"/>
        <v>1.1044829351634002E-5</v>
      </c>
    </row>
    <row r="1090" spans="1:4" ht="20.100000000000001" customHeight="1">
      <c r="A1090" s="239">
        <v>75</v>
      </c>
      <c r="B1090" s="239">
        <v>74.8</v>
      </c>
      <c r="C1090" s="166">
        <v>0.40000000596046398</v>
      </c>
      <c r="D1090" s="204">
        <f t="shared" si="91"/>
        <v>5.8905757419812114E-6</v>
      </c>
    </row>
    <row r="1091" spans="1:4" ht="20.100000000000001" customHeight="1">
      <c r="A1091" s="239">
        <v>76</v>
      </c>
      <c r="B1091" s="239">
        <v>75</v>
      </c>
      <c r="C1091" s="166">
        <v>2.1749999523162802</v>
      </c>
      <c r="D1091" s="204">
        <f t="shared" si="91"/>
        <v>3.2030004417527206E-5</v>
      </c>
    </row>
    <row r="1092" spans="1:4" ht="20.100000000000001" customHeight="1">
      <c r="A1092" s="239">
        <v>77</v>
      </c>
      <c r="B1092" s="239">
        <v>75.900000000000006</v>
      </c>
      <c r="C1092" s="166">
        <v>106.949996948242</v>
      </c>
      <c r="D1092" s="204">
        <f t="shared" si="91"/>
        <v>1.5749926206014802E-3</v>
      </c>
    </row>
    <row r="1093" spans="1:4" ht="20.100000000000001" customHeight="1">
      <c r="A1093" s="239">
        <v>78</v>
      </c>
      <c r="B1093" s="239">
        <v>76.099999999999994</v>
      </c>
      <c r="C1093" s="166">
        <v>51.974998474121101</v>
      </c>
      <c r="D1093" s="204">
        <f t="shared" si="91"/>
        <v>7.6540665159747362E-4</v>
      </c>
    </row>
    <row r="1094" spans="1:4" ht="20.100000000000001" customHeight="1">
      <c r="A1094" s="239">
        <v>79</v>
      </c>
      <c r="B1094" s="239">
        <v>76.900000000000006</v>
      </c>
      <c r="C1094" s="166">
        <v>2</v>
      </c>
      <c r="D1094" s="204">
        <f t="shared" si="91"/>
        <v>2.9452878271024004E-5</v>
      </c>
    </row>
    <row r="1095" spans="1:4" ht="20.100000000000001" customHeight="1">
      <c r="A1095" s="239">
        <v>80</v>
      </c>
      <c r="B1095" s="239">
        <v>77.900000000000006</v>
      </c>
      <c r="C1095" s="166">
        <v>0.27500000596046398</v>
      </c>
      <c r="D1095" s="204">
        <f t="shared" si="91"/>
        <v>4.0497708500422107E-6</v>
      </c>
    </row>
    <row r="1096" spans="1:4" ht="20.100000000000001" customHeight="1">
      <c r="A1096" s="239">
        <v>81</v>
      </c>
      <c r="B1096" s="239">
        <v>78.2</v>
      </c>
      <c r="C1096" s="166">
        <v>0.97500002384185802</v>
      </c>
      <c r="D1096" s="204">
        <f t="shared" si="91"/>
        <v>1.4358278508229874E-5</v>
      </c>
    </row>
    <row r="1097" spans="1:4" ht="20.100000000000001" customHeight="1">
      <c r="A1097" s="239">
        <v>82</v>
      </c>
      <c r="B1097" s="239">
        <v>79</v>
      </c>
      <c r="C1097" s="166">
        <v>7.1750001907348597</v>
      </c>
      <c r="D1097" s="204">
        <f t="shared" si="91"/>
        <v>1.0566220360614393E-4</v>
      </c>
    </row>
    <row r="1098" spans="1:4" ht="20.100000000000001" customHeight="1">
      <c r="A1098" s="239">
        <v>83</v>
      </c>
      <c r="B1098" s="239">
        <v>79.7</v>
      </c>
      <c r="C1098" s="166">
        <v>0.77499997615814198</v>
      </c>
      <c r="D1098" s="204">
        <f t="shared" si="91"/>
        <v>1.141298997891613E-5</v>
      </c>
    </row>
    <row r="1099" spans="1:4" ht="20.100000000000001" customHeight="1">
      <c r="A1099" s="239">
        <v>84</v>
      </c>
      <c r="B1099" s="239">
        <v>80.400000000000006</v>
      </c>
      <c r="C1099" s="166">
        <v>0.55000001192092896</v>
      </c>
      <c r="D1099" s="204">
        <f t="shared" si="91"/>
        <v>8.0995417000844367E-6</v>
      </c>
    </row>
    <row r="1100" spans="1:4" ht="20.100000000000001" customHeight="1">
      <c r="A1100" s="239">
        <v>85</v>
      </c>
      <c r="B1100" s="239">
        <v>80.900000000000006</v>
      </c>
      <c r="C1100" s="166">
        <v>18.25</v>
      </c>
      <c r="D1100" s="204">
        <f t="shared" si="91"/>
        <v>2.6875751422309407E-4</v>
      </c>
    </row>
    <row r="1101" spans="1:4" ht="20.100000000000001" customHeight="1">
      <c r="A1101" s="239">
        <v>86</v>
      </c>
      <c r="B1101" s="239">
        <v>81.599999999999994</v>
      </c>
      <c r="C1101" s="166">
        <v>0.75</v>
      </c>
      <c r="D1101" s="204">
        <f t="shared" si="91"/>
        <v>1.1044829351634002E-5</v>
      </c>
    </row>
    <row r="1102" spans="1:4" ht="20.100000000000001" customHeight="1">
      <c r="A1102" s="239">
        <v>87</v>
      </c>
      <c r="B1102" s="239">
        <v>82.9</v>
      </c>
      <c r="C1102" s="166">
        <v>2.0250000953674299</v>
      </c>
      <c r="D1102" s="204">
        <f t="shared" si="91"/>
        <v>2.9821040653834457E-5</v>
      </c>
    </row>
    <row r="1103" spans="1:4" ht="20.100000000000001" customHeight="1">
      <c r="A1103" s="239">
        <v>88</v>
      </c>
      <c r="B1103" s="239">
        <v>85</v>
      </c>
      <c r="C1103" s="166">
        <v>1.3500000238418599</v>
      </c>
      <c r="D1103" s="204">
        <f t="shared" si="91"/>
        <v>1.9880693184046902E-5</v>
      </c>
    </row>
    <row r="1104" spans="1:4" ht="20.100000000000001" customHeight="1">
      <c r="A1104" s="239">
        <v>89</v>
      </c>
      <c r="B1104" s="239">
        <v>85.3</v>
      </c>
      <c r="C1104" s="166">
        <v>14.8500003814697</v>
      </c>
      <c r="D1104" s="204">
        <f t="shared" si="91"/>
        <v>2.1868762678004355E-4</v>
      </c>
    </row>
    <row r="1105" spans="1:4" ht="20.100000000000001" customHeight="1">
      <c r="A1105" s="239">
        <v>90</v>
      </c>
      <c r="B1105" s="239">
        <v>86</v>
      </c>
      <c r="C1105" s="166">
        <v>4.4749999046325701</v>
      </c>
      <c r="D1105" s="204">
        <f t="shared" si="91"/>
        <v>6.5900813726993559E-5</v>
      </c>
    </row>
    <row r="1106" spans="1:4" ht="20.100000000000001" customHeight="1">
      <c r="A1106" s="239">
        <v>91</v>
      </c>
      <c r="B1106" s="239">
        <v>86.9</v>
      </c>
      <c r="C1106" s="166">
        <v>2.0250000953674299</v>
      </c>
      <c r="D1106" s="204">
        <f t="shared" si="91"/>
        <v>2.9821040653834457E-5</v>
      </c>
    </row>
    <row r="1107" spans="1:4" ht="20.100000000000001" customHeight="1">
      <c r="A1107" s="239">
        <v>92</v>
      </c>
      <c r="B1107" s="239">
        <v>88.8</v>
      </c>
      <c r="C1107" s="166">
        <v>5.6500000953674299</v>
      </c>
      <c r="D1107" s="204">
        <f t="shared" si="91"/>
        <v>8.3204382520065466E-5</v>
      </c>
    </row>
    <row r="1108" spans="1:4" ht="20.100000000000001" customHeight="1">
      <c r="A1108" s="239">
        <v>93</v>
      </c>
      <c r="B1108" s="239">
        <v>89.7</v>
      </c>
      <c r="C1108" s="166">
        <v>0.375</v>
      </c>
      <c r="D1108" s="204">
        <f t="shared" si="91"/>
        <v>5.5224146758170012E-6</v>
      </c>
    </row>
    <row r="1109" spans="1:4" ht="20.100000000000001" customHeight="1">
      <c r="A1109" s="239">
        <v>94</v>
      </c>
      <c r="B1109" s="239">
        <v>90.6</v>
      </c>
      <c r="C1109" s="166">
        <v>1.20000004768372</v>
      </c>
      <c r="D1109" s="204">
        <f t="shared" si="91"/>
        <v>1.7671727664825806E-5</v>
      </c>
    </row>
    <row r="1110" spans="1:4" ht="20.100000000000001" customHeight="1">
      <c r="A1110" s="239">
        <v>95</v>
      </c>
      <c r="B1110" s="239">
        <v>90.9</v>
      </c>
      <c r="C1110" s="166">
        <v>70.699996948242202</v>
      </c>
      <c r="D1110" s="204">
        <f t="shared" si="91"/>
        <v>1.0411592019391731E-3</v>
      </c>
    </row>
    <row r="1111" spans="1:4" ht="20.100000000000001" customHeight="1">
      <c r="A1111" s="239">
        <v>96</v>
      </c>
      <c r="B1111" s="239">
        <v>91.1</v>
      </c>
      <c r="C1111" s="166">
        <v>11.8999996185303</v>
      </c>
      <c r="D1111" s="204">
        <f t="shared" ref="D1111:D1142" si="92">C1111/MAX($C$1015:$C$1143)</f>
        <v>1.752446200949025E-4</v>
      </c>
    </row>
    <row r="1112" spans="1:4" ht="20.100000000000001" customHeight="1">
      <c r="A1112" s="239">
        <v>97</v>
      </c>
      <c r="B1112" s="239">
        <v>92.1</v>
      </c>
      <c r="C1112" s="166">
        <v>0.85000002384185802</v>
      </c>
      <c r="D1112" s="204">
        <f t="shared" si="92"/>
        <v>1.2517473616290874E-5</v>
      </c>
    </row>
    <row r="1113" spans="1:4" ht="20.100000000000001" customHeight="1">
      <c r="A1113" s="239">
        <v>98</v>
      </c>
      <c r="B1113" s="239">
        <v>92.9</v>
      </c>
      <c r="C1113" s="166">
        <v>8.8999996185302699</v>
      </c>
      <c r="D1113" s="204">
        <f t="shared" si="92"/>
        <v>1.3106530268836605E-4</v>
      </c>
    </row>
    <row r="1114" spans="1:4" ht="20.100000000000001" customHeight="1">
      <c r="A1114" s="239">
        <v>99</v>
      </c>
      <c r="B1114" s="239">
        <v>93.7</v>
      </c>
      <c r="C1114" s="166">
        <v>2.0999999046325701</v>
      </c>
      <c r="D1114" s="204">
        <f t="shared" si="92"/>
        <v>3.0925520780152556E-5</v>
      </c>
    </row>
    <row r="1115" spans="1:4" ht="20.100000000000001" customHeight="1">
      <c r="A1115" s="239">
        <v>100</v>
      </c>
      <c r="B1115" s="239">
        <v>94.6</v>
      </c>
      <c r="C1115" s="166">
        <v>1.45000004768372</v>
      </c>
      <c r="D1115" s="204">
        <f t="shared" si="92"/>
        <v>2.1353337448703804E-5</v>
      </c>
    </row>
    <row r="1116" spans="1:4" ht="20.100000000000001" customHeight="1">
      <c r="A1116" s="239">
        <v>101</v>
      </c>
      <c r="B1116" s="239">
        <v>95.2</v>
      </c>
      <c r="C1116" s="166">
        <v>3.8499999046325701</v>
      </c>
      <c r="D1116" s="204">
        <f t="shared" si="92"/>
        <v>5.6696789267298559E-5</v>
      </c>
    </row>
    <row r="1117" spans="1:4" ht="20.100000000000001" customHeight="1">
      <c r="A1117" s="239">
        <v>102</v>
      </c>
      <c r="B1117" s="239">
        <v>95.4</v>
      </c>
      <c r="C1117" s="166">
        <v>1</v>
      </c>
      <c r="D1117" s="204">
        <f t="shared" si="92"/>
        <v>1.4726439135512002E-5</v>
      </c>
    </row>
    <row r="1118" spans="1:4" ht="20.100000000000001" customHeight="1">
      <c r="A1118" s="239">
        <v>103</v>
      </c>
      <c r="B1118" s="239">
        <v>96.3</v>
      </c>
      <c r="C1118" s="166">
        <v>1.2250000238418599</v>
      </c>
      <c r="D1118" s="204">
        <f t="shared" si="92"/>
        <v>1.8039888292107901E-5</v>
      </c>
    </row>
    <row r="1119" spans="1:4" ht="20.100000000000001" customHeight="1">
      <c r="A1119" s="239">
        <v>104</v>
      </c>
      <c r="B1119" s="239">
        <v>96.8</v>
      </c>
      <c r="C1119" s="166">
        <v>1.54999995231628</v>
      </c>
      <c r="D1119" s="204">
        <f t="shared" si="92"/>
        <v>2.2825979957832203E-5</v>
      </c>
    </row>
    <row r="1120" spans="1:4" ht="20.100000000000001" customHeight="1">
      <c r="A1120" s="239">
        <v>105</v>
      </c>
      <c r="B1120" s="239">
        <v>97.1</v>
      </c>
      <c r="C1120" s="166">
        <v>3.4749999046325701</v>
      </c>
      <c r="D1120" s="204">
        <f t="shared" si="92"/>
        <v>5.117437459148156E-5</v>
      </c>
    </row>
    <row r="1121" spans="1:4" ht="20.100000000000001" customHeight="1">
      <c r="A1121" s="239">
        <v>106</v>
      </c>
      <c r="B1121" s="239">
        <v>98.8</v>
      </c>
      <c r="C1121" s="166">
        <v>15.2250003814697</v>
      </c>
      <c r="D1121" s="204">
        <f t="shared" si="92"/>
        <v>2.2421004145586055E-4</v>
      </c>
    </row>
    <row r="1122" spans="1:4" ht="20.100000000000001" customHeight="1">
      <c r="A1122" s="239">
        <v>107</v>
      </c>
      <c r="B1122" s="239">
        <v>99.5</v>
      </c>
      <c r="C1122" s="166">
        <v>0.875</v>
      </c>
      <c r="D1122" s="204">
        <f t="shared" si="92"/>
        <v>1.2885634243573003E-5</v>
      </c>
    </row>
    <row r="1123" spans="1:4" ht="20.100000000000001" customHeight="1">
      <c r="A1123" s="239">
        <v>108</v>
      </c>
      <c r="B1123" s="239">
        <v>100.6</v>
      </c>
      <c r="C1123" s="166">
        <v>0.47499999403953602</v>
      </c>
      <c r="D1123" s="204">
        <f t="shared" si="92"/>
        <v>6.9950585015917909E-6</v>
      </c>
    </row>
    <row r="1124" spans="1:4" ht="20.100000000000001" customHeight="1">
      <c r="A1124" s="239">
        <v>109</v>
      </c>
      <c r="B1124" s="239">
        <v>100.9</v>
      </c>
      <c r="C1124" s="166">
        <v>2.0250000953674299</v>
      </c>
      <c r="D1124" s="204">
        <f t="shared" si="92"/>
        <v>2.9821040653834457E-5</v>
      </c>
    </row>
    <row r="1125" spans="1:4" ht="20.100000000000001" customHeight="1">
      <c r="A1125" s="239">
        <v>110</v>
      </c>
      <c r="B1125" s="239">
        <v>104.3</v>
      </c>
      <c r="C1125" s="166">
        <v>0.375</v>
      </c>
      <c r="D1125" s="204">
        <f t="shared" si="92"/>
        <v>5.5224146758170012E-6</v>
      </c>
    </row>
    <row r="1126" spans="1:4" ht="20.100000000000001" customHeight="1">
      <c r="A1126" s="239">
        <v>111</v>
      </c>
      <c r="B1126" s="239">
        <v>104.6</v>
      </c>
      <c r="C1126" s="166">
        <v>3.5999999046325701</v>
      </c>
      <c r="D1126" s="204">
        <f t="shared" si="92"/>
        <v>5.3015179483420557E-5</v>
      </c>
    </row>
    <row r="1127" spans="1:4" ht="20.100000000000001" customHeight="1">
      <c r="A1127" s="239">
        <v>112</v>
      </c>
      <c r="B1127" s="239">
        <v>104.8</v>
      </c>
      <c r="C1127" s="166">
        <v>2.3499999046325701</v>
      </c>
      <c r="D1127" s="204">
        <f t="shared" si="92"/>
        <v>3.4607130564030557E-5</v>
      </c>
    </row>
    <row r="1128" spans="1:4" ht="20.100000000000001" customHeight="1">
      <c r="A1128" s="239">
        <v>113</v>
      </c>
      <c r="B1128" s="239">
        <v>105.2</v>
      </c>
      <c r="C1128" s="166">
        <v>4.7249999046325701</v>
      </c>
      <c r="D1128" s="204">
        <f t="shared" si="92"/>
        <v>6.9582423510871567E-5</v>
      </c>
    </row>
    <row r="1129" spans="1:4" ht="20.100000000000001" customHeight="1">
      <c r="A1129" s="239">
        <v>114</v>
      </c>
      <c r="B1129" s="239">
        <v>105.9</v>
      </c>
      <c r="C1129" s="166">
        <v>2.9000000953674299</v>
      </c>
      <c r="D1129" s="204">
        <f t="shared" si="92"/>
        <v>4.2706674897407458E-5</v>
      </c>
    </row>
    <row r="1130" spans="1:4" ht="20.100000000000001" customHeight="1">
      <c r="A1130" s="239">
        <v>115</v>
      </c>
      <c r="B1130" s="239">
        <v>106.3</v>
      </c>
      <c r="C1130" s="166">
        <v>3.125</v>
      </c>
      <c r="D1130" s="204">
        <f t="shared" si="92"/>
        <v>4.6020122298475007E-5</v>
      </c>
    </row>
    <row r="1131" spans="1:4" ht="20.100000000000001" customHeight="1">
      <c r="A1131" s="239">
        <v>116</v>
      </c>
      <c r="B1131" s="239">
        <v>107</v>
      </c>
      <c r="C1131" s="166">
        <v>0.10000002384185799</v>
      </c>
      <c r="D1131" s="204">
        <f t="shared" si="92"/>
        <v>1.4726442646568708E-6</v>
      </c>
    </row>
    <row r="1132" spans="1:4" ht="20.100000000000001" customHeight="1">
      <c r="A1132" s="239">
        <v>117</v>
      </c>
      <c r="B1132" s="239">
        <v>108.1</v>
      </c>
      <c r="C1132" s="166">
        <v>10.6999969482422</v>
      </c>
      <c r="D1132" s="204">
        <f t="shared" si="92"/>
        <v>1.5757285380845292E-4</v>
      </c>
    </row>
    <row r="1133" spans="1:4" ht="20.100000000000001" customHeight="1">
      <c r="A1133" s="239">
        <v>118</v>
      </c>
      <c r="B1133" s="239">
        <v>109.8</v>
      </c>
      <c r="C1133" s="166">
        <v>13.1000003814697</v>
      </c>
      <c r="D1133" s="204">
        <f t="shared" si="92"/>
        <v>1.9291635829289756E-4</v>
      </c>
    </row>
    <row r="1134" spans="1:4" ht="20.100000000000001" customHeight="1">
      <c r="A1134" s="239">
        <v>119</v>
      </c>
      <c r="B1134" s="239">
        <v>110</v>
      </c>
      <c r="C1134" s="166">
        <v>4.5250000953674299</v>
      </c>
      <c r="D1134" s="204">
        <f t="shared" si="92"/>
        <v>6.6637138492614464E-5</v>
      </c>
    </row>
    <row r="1135" spans="1:4" ht="20.100000000000001" customHeight="1">
      <c r="A1135" s="239">
        <v>120</v>
      </c>
      <c r="B1135" s="239">
        <v>111.3</v>
      </c>
      <c r="C1135" s="166">
        <v>8.3999996185302699</v>
      </c>
      <c r="D1135" s="204">
        <f t="shared" si="92"/>
        <v>1.2370208312061006E-4</v>
      </c>
    </row>
    <row r="1136" spans="1:4" ht="20.100000000000001" customHeight="1">
      <c r="A1136" s="239">
        <v>121</v>
      </c>
      <c r="B1136" s="239">
        <v>112.9</v>
      </c>
      <c r="C1136" s="166">
        <v>0.95000004768371604</v>
      </c>
      <c r="D1136" s="204">
        <f t="shared" si="92"/>
        <v>1.3990117880947745E-5</v>
      </c>
    </row>
    <row r="1137" spans="1:4" ht="20.100000000000001" customHeight="1">
      <c r="A1137" s="239">
        <v>122</v>
      </c>
      <c r="B1137" s="239">
        <v>113.2</v>
      </c>
      <c r="C1137" s="166">
        <v>8.5249996185302699</v>
      </c>
      <c r="D1137" s="204">
        <f t="shared" si="92"/>
        <v>1.2554288801254907E-4</v>
      </c>
    </row>
    <row r="1138" spans="1:4" ht="20.100000000000001" customHeight="1">
      <c r="A1138" s="239">
        <v>123</v>
      </c>
      <c r="B1138" s="239">
        <v>113.7</v>
      </c>
      <c r="C1138" s="166">
        <v>0.40000000596046398</v>
      </c>
      <c r="D1138" s="204">
        <f t="shared" si="92"/>
        <v>5.8905757419812114E-6</v>
      </c>
    </row>
    <row r="1139" spans="1:4" ht="20.100000000000001" customHeight="1">
      <c r="A1139" s="239">
        <v>124</v>
      </c>
      <c r="B1139" s="239">
        <v>116.2</v>
      </c>
      <c r="C1139" s="166">
        <v>9.9999994039535495E-2</v>
      </c>
      <c r="D1139" s="204">
        <f t="shared" si="92"/>
        <v>1.4726438257747825E-6</v>
      </c>
    </row>
    <row r="1140" spans="1:4" ht="20.100000000000001" customHeight="1">
      <c r="A1140" s="239">
        <v>125</v>
      </c>
      <c r="B1140" s="239">
        <v>117.3</v>
      </c>
      <c r="C1140" s="166">
        <v>3.4249999523162802</v>
      </c>
      <c r="D1140" s="204">
        <f t="shared" si="92"/>
        <v>5.0438053336917213E-5</v>
      </c>
    </row>
    <row r="1141" spans="1:4" ht="20.100000000000001" customHeight="1">
      <c r="A1141" s="239">
        <v>126</v>
      </c>
      <c r="B1141" s="239">
        <v>117.9</v>
      </c>
      <c r="C1141" s="166">
        <v>10.324999809265099</v>
      </c>
      <c r="D1141" s="204">
        <f t="shared" si="92"/>
        <v>1.5205048126531553E-4</v>
      </c>
    </row>
    <row r="1142" spans="1:4" ht="20.100000000000001" customHeight="1">
      <c r="A1142" s="239">
        <v>127</v>
      </c>
      <c r="B1142" s="239">
        <v>119.1</v>
      </c>
      <c r="C1142" s="166">
        <v>5.4499998092651403</v>
      </c>
      <c r="D1142" s="204">
        <f t="shared" si="92"/>
        <v>8.0259090479695112E-5</v>
      </c>
    </row>
    <row r="1143" spans="1:4" ht="20.100000000000001" customHeight="1">
      <c r="A1143" s="482">
        <v>128</v>
      </c>
      <c r="B1143" s="482">
        <v>119.7</v>
      </c>
      <c r="C1143" s="169">
        <v>3.625</v>
      </c>
      <c r="D1143" s="208">
        <f t="shared" ref="D1143" si="93">C1143/MAX($C$1015:$C$1143)</f>
        <v>5.338334186623101E-5</v>
      </c>
    </row>
    <row r="1145" spans="1:4" ht="20.100000000000001" customHeight="1">
      <c r="A1145" s="465" t="s">
        <v>1262</v>
      </c>
    </row>
    <row r="1146" spans="1:4" ht="20.100000000000001" customHeight="1">
      <c r="A1146" s="239" t="s">
        <v>2</v>
      </c>
      <c r="B1146" s="239">
        <v>20240123</v>
      </c>
    </row>
    <row r="1148" spans="1:4" ht="20.100000000000001" customHeight="1">
      <c r="A1148" s="465" t="s">
        <v>2265</v>
      </c>
      <c r="B1148" s="461"/>
    </row>
    <row r="1149" spans="1:4" ht="20.100000000000001" customHeight="1">
      <c r="A1149" s="461" t="s">
        <v>2</v>
      </c>
      <c r="B1149" s="461">
        <v>20240123</v>
      </c>
    </row>
    <row r="1151" spans="1:4" ht="20.100000000000001" customHeight="1">
      <c r="A1151" s="465" t="s">
        <v>1263</v>
      </c>
      <c r="B1151" s="461"/>
    </row>
    <row r="1152" spans="1:4" ht="20.100000000000001" customHeight="1">
      <c r="A1152" s="461" t="s">
        <v>2</v>
      </c>
      <c r="B1152" s="461">
        <v>20240124</v>
      </c>
    </row>
    <row r="1154" spans="1:2" ht="20.100000000000001" customHeight="1">
      <c r="A1154" s="465" t="s">
        <v>1264</v>
      </c>
      <c r="B1154" s="461"/>
    </row>
    <row r="1155" spans="1:2" s="461" customFormat="1" ht="20.100000000000001" customHeight="1">
      <c r="A1155" s="465"/>
    </row>
    <row r="1156" spans="1:2" ht="20.100000000000001" customHeight="1">
      <c r="A1156" s="461" t="s">
        <v>2</v>
      </c>
      <c r="B1156" s="461">
        <v>20240124</v>
      </c>
    </row>
    <row r="1158" spans="1:2" ht="20.100000000000001" customHeight="1">
      <c r="A1158" s="463" t="s">
        <v>108</v>
      </c>
      <c r="B1158" s="463" t="s">
        <v>1265</v>
      </c>
    </row>
    <row r="1159" spans="1:2" ht="20.100000000000001" customHeight="1">
      <c r="A1159" s="239">
        <v>1863.38</v>
      </c>
      <c r="B1159" s="239">
        <v>452</v>
      </c>
    </row>
    <row r="1160" spans="1:2" ht="20.100000000000001" customHeight="1">
      <c r="A1160" s="239">
        <v>1859.78</v>
      </c>
      <c r="B1160" s="239">
        <v>442</v>
      </c>
    </row>
    <row r="1161" spans="1:2" ht="20.100000000000001" customHeight="1">
      <c r="A1161" s="462">
        <v>1978.84</v>
      </c>
      <c r="B1161" s="462">
        <v>314.5</v>
      </c>
    </row>
    <row r="1162" spans="1:2" ht="20.100000000000001" customHeight="1">
      <c r="A1162" s="204">
        <f>STDEV(A1159:A1161)/AVERAGE(A1159:A1161)</f>
        <v>3.5631717329342699E-2</v>
      </c>
      <c r="B1162" s="239">
        <f>MEDIAN(B1159:B1161)</f>
        <v>442</v>
      </c>
    </row>
    <row r="1197" spans="1:1" ht="20.100000000000001" customHeight="1">
      <c r="A1197" s="465" t="s">
        <v>1266</v>
      </c>
    </row>
    <row r="1198" spans="1:1" ht="20.100000000000001" customHeight="1">
      <c r="A1198" s="239" t="s">
        <v>1267</v>
      </c>
    </row>
    <row r="1220" spans="1:3" s="149" customFormat="1" ht="20.100000000000001" customHeight="1">
      <c r="A1220" s="150" t="s">
        <v>1463</v>
      </c>
    </row>
    <row r="1222" spans="1:3" ht="20.100000000000001" customHeight="1">
      <c r="A1222" s="480" t="s">
        <v>2</v>
      </c>
      <c r="B1222" s="235">
        <v>45336</v>
      </c>
    </row>
    <row r="1224" spans="1:3" ht="20.100000000000001" customHeight="1">
      <c r="A1224" s="480" t="s">
        <v>1466</v>
      </c>
    </row>
    <row r="1226" spans="1:3" ht="20.100000000000001" customHeight="1">
      <c r="B1226" s="480" t="s">
        <v>171</v>
      </c>
    </row>
    <row r="1227" spans="1:3" ht="20.100000000000001" customHeight="1">
      <c r="A1227" s="508"/>
      <c r="B1227" s="508" t="s">
        <v>64</v>
      </c>
    </row>
    <row r="1228" spans="1:3" ht="20.100000000000001" customHeight="1">
      <c r="A1228" s="507" t="s">
        <v>526</v>
      </c>
      <c r="B1228" s="182">
        <v>7.3148999999999997</v>
      </c>
    </row>
    <row r="1229" spans="1:3" ht="20.100000000000001" customHeight="1">
      <c r="A1229" s="507" t="s">
        <v>1465</v>
      </c>
      <c r="B1229" s="182">
        <v>8.2866999999999997</v>
      </c>
    </row>
    <row r="1230" spans="1:3" ht="20.100000000000001" customHeight="1">
      <c r="A1230" s="483" t="s">
        <v>961</v>
      </c>
      <c r="B1230" s="141">
        <v>17.258500000000002</v>
      </c>
    </row>
    <row r="1231" spans="1:3" ht="20.100000000000001" customHeight="1">
      <c r="A1231" s="52" t="s">
        <v>1467</v>
      </c>
      <c r="B1231" s="227">
        <f>D720*(B1229-B1228)/(B1230-B1228)</f>
        <v>7.384377728858702</v>
      </c>
      <c r="C1231" s="507" t="s">
        <v>959</v>
      </c>
    </row>
    <row r="1232" spans="1:3" ht="20.100000000000001" customHeight="1">
      <c r="A1232" s="508" t="s">
        <v>96</v>
      </c>
      <c r="B1232" s="508" t="s">
        <v>1464</v>
      </c>
    </row>
    <row r="1234" spans="1:3" ht="20.100000000000001" customHeight="1">
      <c r="A1234" s="507"/>
      <c r="B1234" s="480" t="s">
        <v>171</v>
      </c>
    </row>
    <row r="1235" spans="1:3" ht="20.100000000000001" customHeight="1">
      <c r="A1235" s="508"/>
      <c r="B1235" s="508" t="s">
        <v>64</v>
      </c>
    </row>
    <row r="1236" spans="1:3" ht="20.100000000000001" customHeight="1">
      <c r="A1236" s="507" t="s">
        <v>526</v>
      </c>
      <c r="B1236" s="182">
        <v>8.1616999999999997</v>
      </c>
    </row>
    <row r="1237" spans="1:3" ht="20.100000000000001" customHeight="1">
      <c r="A1237" s="507" t="s">
        <v>1469</v>
      </c>
      <c r="B1237" s="182">
        <v>8.5640000000000001</v>
      </c>
    </row>
    <row r="1238" spans="1:3" ht="20.100000000000001" customHeight="1">
      <c r="A1238" s="507" t="s">
        <v>1470</v>
      </c>
      <c r="B1238" s="182">
        <v>8.8672000000000004</v>
      </c>
    </row>
    <row r="1239" spans="1:3" ht="20.100000000000001" customHeight="1">
      <c r="A1239" s="483" t="s">
        <v>961</v>
      </c>
      <c r="B1239" s="141">
        <v>37.306100000000001</v>
      </c>
    </row>
    <row r="1240" spans="1:3" ht="20.100000000000001" customHeight="1">
      <c r="A1240" s="52" t="s">
        <v>1467</v>
      </c>
      <c r="B1240" s="178">
        <f>B1231*(B1237-B1236)/(B1239-B1236)</f>
        <v>0.10193159441676131</v>
      </c>
      <c r="C1240" s="507" t="s">
        <v>959</v>
      </c>
    </row>
    <row r="1241" spans="1:3" ht="20.100000000000001" customHeight="1">
      <c r="A1241" s="237" t="s">
        <v>1472</v>
      </c>
      <c r="B1241" s="178">
        <f>P763*(B1238-B1237)/(B1239-B1236)</f>
        <v>1.0555739250183371</v>
      </c>
      <c r="C1241" s="507" t="s">
        <v>959</v>
      </c>
    </row>
    <row r="1242" spans="1:3" ht="20.100000000000001" customHeight="1">
      <c r="A1242" s="508" t="s">
        <v>96</v>
      </c>
      <c r="B1242" s="508" t="s">
        <v>1471</v>
      </c>
    </row>
    <row r="1244" spans="1:3" ht="20.100000000000001" customHeight="1">
      <c r="A1244" s="507"/>
      <c r="B1244" s="480" t="s">
        <v>171</v>
      </c>
    </row>
    <row r="1245" spans="1:3" ht="20.100000000000001" customHeight="1">
      <c r="A1245" s="508"/>
      <c r="B1245" s="508" t="s">
        <v>64</v>
      </c>
    </row>
    <row r="1246" spans="1:3" ht="20.100000000000001" customHeight="1">
      <c r="A1246" s="507" t="s">
        <v>526</v>
      </c>
      <c r="B1246" s="182">
        <v>7.2912999999999997</v>
      </c>
    </row>
    <row r="1247" spans="1:3" ht="20.100000000000001" customHeight="1">
      <c r="A1247" s="507" t="s">
        <v>1474</v>
      </c>
      <c r="B1247" s="182">
        <v>14.771699999999999</v>
      </c>
    </row>
    <row r="1248" spans="1:3" ht="20.100000000000001" customHeight="1">
      <c r="A1248" s="483" t="s">
        <v>961</v>
      </c>
      <c r="B1248" s="141">
        <v>17.290600000000001</v>
      </c>
    </row>
    <row r="1249" spans="1:3" ht="20.100000000000001" customHeight="1">
      <c r="A1249" s="52" t="s">
        <v>1467</v>
      </c>
      <c r="B1249" s="55">
        <f>$B$1240*(B1247-B1246)/(B1248-B1246)</f>
        <v>7.6254247684852047E-2</v>
      </c>
      <c r="C1249" s="507" t="s">
        <v>959</v>
      </c>
    </row>
    <row r="1250" spans="1:3" ht="20.100000000000001" customHeight="1">
      <c r="A1250" s="237" t="s">
        <v>1472</v>
      </c>
      <c r="B1250" s="178">
        <f>$B$1241*(B1247-B1246)/(B1248-B1246)</f>
        <v>0.78966679554640506</v>
      </c>
      <c r="C1250" s="507" t="s">
        <v>959</v>
      </c>
    </row>
    <row r="1251" spans="1:3" ht="20.100000000000001" customHeight="1">
      <c r="A1251" s="508" t="s">
        <v>96</v>
      </c>
      <c r="B1251" s="508" t="s">
        <v>1473</v>
      </c>
    </row>
    <row r="1253" spans="1:3" ht="20.100000000000001" customHeight="1">
      <c r="A1253" s="507"/>
      <c r="B1253" s="480" t="s">
        <v>171</v>
      </c>
    </row>
    <row r="1254" spans="1:3" ht="20.100000000000001" customHeight="1">
      <c r="A1254" s="508"/>
      <c r="B1254" s="508" t="s">
        <v>64</v>
      </c>
    </row>
    <row r="1255" spans="1:3" ht="20.100000000000001" customHeight="1">
      <c r="A1255" s="507" t="s">
        <v>526</v>
      </c>
      <c r="B1255" s="182">
        <v>7.3513999999999999</v>
      </c>
    </row>
    <row r="1256" spans="1:3" ht="20.100000000000001" customHeight="1">
      <c r="A1256" s="507" t="s">
        <v>1474</v>
      </c>
      <c r="B1256" s="182">
        <v>12.323399999999999</v>
      </c>
    </row>
    <row r="1257" spans="1:3" ht="20.100000000000001" customHeight="1">
      <c r="A1257" s="483" t="s">
        <v>961</v>
      </c>
      <c r="B1257" s="141">
        <v>17.363600000000002</v>
      </c>
    </row>
    <row r="1258" spans="1:3" ht="20.100000000000001" customHeight="1">
      <c r="A1258" s="52" t="s">
        <v>1467</v>
      </c>
      <c r="B1258" s="55">
        <f>$B$1240*(B1256-B1255)/(B1257-B1255)</f>
        <v>5.0618634010520872E-2</v>
      </c>
      <c r="C1258" s="507" t="s">
        <v>959</v>
      </c>
    </row>
    <row r="1259" spans="1:3" ht="20.100000000000001" customHeight="1">
      <c r="A1259" s="237" t="s">
        <v>1472</v>
      </c>
      <c r="B1259" s="178">
        <f>$B$1241*(B1256-B1255)/(B1257-B1255)</f>
        <v>0.52419184147252063</v>
      </c>
      <c r="C1259" s="507" t="s">
        <v>959</v>
      </c>
    </row>
    <row r="1260" spans="1:3" ht="20.100000000000001" customHeight="1">
      <c r="A1260" s="508" t="s">
        <v>96</v>
      </c>
      <c r="B1260" s="508" t="s">
        <v>1475</v>
      </c>
    </row>
    <row r="1262" spans="1:3" ht="20.100000000000001" customHeight="1">
      <c r="A1262" s="507"/>
      <c r="B1262" s="480" t="s">
        <v>171</v>
      </c>
    </row>
    <row r="1263" spans="1:3" ht="20.100000000000001" customHeight="1">
      <c r="A1263" s="508"/>
      <c r="B1263" s="508" t="s">
        <v>64</v>
      </c>
    </row>
    <row r="1264" spans="1:3" ht="20.100000000000001" customHeight="1">
      <c r="A1264" s="507" t="s">
        <v>526</v>
      </c>
      <c r="B1264" s="182">
        <v>7.3281999999999998</v>
      </c>
    </row>
    <row r="1265" spans="1:3" ht="20.100000000000001" customHeight="1">
      <c r="A1265" s="507" t="s">
        <v>1474</v>
      </c>
      <c r="B1265" s="182">
        <v>9.8146000000000004</v>
      </c>
    </row>
    <row r="1266" spans="1:3" ht="20.100000000000001" customHeight="1">
      <c r="A1266" s="483" t="s">
        <v>961</v>
      </c>
      <c r="B1266" s="141">
        <v>17.268599999999999</v>
      </c>
    </row>
    <row r="1267" spans="1:3" ht="20.100000000000001" customHeight="1">
      <c r="A1267" s="52" t="s">
        <v>1467</v>
      </c>
      <c r="B1267" s="55">
        <f>$B$1240*(B1265-B1264)/(B1266-B1264)</f>
        <v>2.5496229161586594E-2</v>
      </c>
      <c r="C1267" s="507" t="s">
        <v>959</v>
      </c>
    </row>
    <row r="1268" spans="1:3" ht="20.100000000000001" customHeight="1">
      <c r="A1268" s="237" t="s">
        <v>1472</v>
      </c>
      <c r="B1268" s="178">
        <f>$B$1241*(B1265-B1264)/(B1266-B1264)</f>
        <v>0.26403152862717738</v>
      </c>
      <c r="C1268" s="507" t="s">
        <v>959</v>
      </c>
    </row>
    <row r="1269" spans="1:3" ht="20.100000000000001" customHeight="1">
      <c r="A1269" s="508" t="s">
        <v>96</v>
      </c>
      <c r="B1269" s="508" t="s">
        <v>1476</v>
      </c>
    </row>
    <row r="1271" spans="1:3" ht="20.100000000000001" customHeight="1">
      <c r="A1271" s="507"/>
      <c r="B1271" s="480" t="s">
        <v>171</v>
      </c>
      <c r="C1271" s="507"/>
    </row>
    <row r="1272" spans="1:3" ht="20.100000000000001" customHeight="1">
      <c r="A1272" s="508"/>
      <c r="B1272" s="508" t="s">
        <v>64</v>
      </c>
      <c r="C1272" s="507"/>
    </row>
    <row r="1273" spans="1:3" ht="20.100000000000001" customHeight="1">
      <c r="A1273" s="507" t="s">
        <v>526</v>
      </c>
      <c r="B1273" s="182">
        <v>7.3216999999999999</v>
      </c>
      <c r="C1273" s="507"/>
    </row>
    <row r="1274" spans="1:3" ht="20.100000000000001" customHeight="1">
      <c r="A1274" s="507" t="s">
        <v>1474</v>
      </c>
      <c r="B1274" s="182">
        <v>8.3253000000000004</v>
      </c>
      <c r="C1274" s="507"/>
    </row>
    <row r="1275" spans="1:3" ht="20.100000000000001" customHeight="1">
      <c r="A1275" s="483" t="s">
        <v>961</v>
      </c>
      <c r="B1275" s="141">
        <v>17.363800000000001</v>
      </c>
      <c r="C1275" s="507"/>
    </row>
    <row r="1276" spans="1:3" ht="20.100000000000001" customHeight="1">
      <c r="A1276" s="52" t="s">
        <v>1467</v>
      </c>
      <c r="B1276" s="55">
        <f>$B$1240*(B1274-B1273)/(B1275-B1273)</f>
        <v>1.0186967681726103E-2</v>
      </c>
      <c r="C1276" s="507" t="s">
        <v>959</v>
      </c>
    </row>
    <row r="1277" spans="1:3" ht="20.100000000000001" customHeight="1">
      <c r="A1277" s="237" t="s">
        <v>1472</v>
      </c>
      <c r="B1277" s="178">
        <f>$B$1241*(B1274-B1273)/(B1275-B1273)</f>
        <v>0.10549327243787689</v>
      </c>
      <c r="C1277" s="507" t="s">
        <v>959</v>
      </c>
    </row>
    <row r="1278" spans="1:3" ht="20.100000000000001" customHeight="1">
      <c r="A1278" s="508" t="s">
        <v>96</v>
      </c>
      <c r="B1278" s="508" t="s">
        <v>1477</v>
      </c>
      <c r="C1278" s="507"/>
    </row>
    <row r="1280" spans="1:3" ht="20.100000000000001" customHeight="1">
      <c r="A1280" s="507"/>
      <c r="B1280" s="480" t="s">
        <v>171</v>
      </c>
      <c r="C1280" s="507"/>
    </row>
    <row r="1281" spans="1:3" ht="20.100000000000001" customHeight="1">
      <c r="A1281" s="508"/>
      <c r="B1281" s="508" t="s">
        <v>64</v>
      </c>
      <c r="C1281" s="507"/>
    </row>
    <row r="1282" spans="1:3" ht="20.100000000000001" customHeight="1">
      <c r="A1282" s="507" t="s">
        <v>526</v>
      </c>
      <c r="B1282" s="182">
        <v>7.3042999999999996</v>
      </c>
      <c r="C1282" s="507"/>
    </row>
    <row r="1283" spans="1:3" ht="20.100000000000001" customHeight="1">
      <c r="A1283" s="507" t="s">
        <v>1474</v>
      </c>
      <c r="B1283" s="182">
        <v>7.4061000000000003</v>
      </c>
      <c r="C1283" s="507"/>
    </row>
    <row r="1284" spans="1:3" ht="20.100000000000001" customHeight="1">
      <c r="A1284" s="483" t="s">
        <v>961</v>
      </c>
      <c r="B1284" s="141">
        <v>17.464700000000001</v>
      </c>
      <c r="C1284" s="507"/>
    </row>
    <row r="1285" spans="1:3" ht="20.100000000000001" customHeight="1">
      <c r="A1285" s="52" t="s">
        <v>1467</v>
      </c>
      <c r="B1285" s="971">
        <f>$B$1240*(B1283-B1282)/(B1284-B1282)</f>
        <v>1.0212822636536337E-3</v>
      </c>
      <c r="C1285" s="507" t="s">
        <v>959</v>
      </c>
    </row>
    <row r="1286" spans="1:3" ht="20.100000000000001" customHeight="1">
      <c r="A1286" s="237" t="s">
        <v>1472</v>
      </c>
      <c r="B1286" s="55">
        <f>$B$1241*(B1283-B1282)/(B1284-B1282)</f>
        <v>1.0576101882491589E-2</v>
      </c>
      <c r="C1286" s="507" t="s">
        <v>959</v>
      </c>
    </row>
    <row r="1287" spans="1:3" ht="20.100000000000001" customHeight="1">
      <c r="A1287" s="508" t="s">
        <v>96</v>
      </c>
      <c r="B1287" s="508" t="s">
        <v>1478</v>
      </c>
      <c r="C1287" s="507"/>
    </row>
    <row r="1289" spans="1:3" ht="20.100000000000001" customHeight="1">
      <c r="A1289" s="480" t="s">
        <v>1479</v>
      </c>
    </row>
    <row r="1291" spans="1:3" ht="20.100000000000001" customHeight="1">
      <c r="A1291" s="239" t="s">
        <v>398</v>
      </c>
      <c r="B1291" s="182">
        <v>72.415999999999997</v>
      </c>
      <c r="C1291" s="239" t="s">
        <v>1480</v>
      </c>
    </row>
    <row r="1292" spans="1:3" ht="20.100000000000001" customHeight="1">
      <c r="A1292" s="239" t="s">
        <v>372</v>
      </c>
      <c r="B1292" s="182">
        <v>72.911100000000005</v>
      </c>
      <c r="C1292" s="507" t="s">
        <v>1480</v>
      </c>
    </row>
    <row r="1294" spans="1:3" ht="20.100000000000001" customHeight="1">
      <c r="A1294" s="54" t="s">
        <v>1481</v>
      </c>
    </row>
    <row r="1295" spans="1:3" ht="20.100000000000001" customHeight="1">
      <c r="A1295" s="507" t="s">
        <v>1483</v>
      </c>
    </row>
    <row r="1296" spans="1:3" ht="20.100000000000001" customHeight="1">
      <c r="A1296" s="239" t="s">
        <v>1482</v>
      </c>
    </row>
    <row r="1298" spans="1:9" ht="20.100000000000001" customHeight="1">
      <c r="A1298" s="54" t="s">
        <v>1484</v>
      </c>
    </row>
    <row r="1300" spans="1:9" ht="20.100000000000001" customHeight="1">
      <c r="A1300" s="176" t="s">
        <v>1</v>
      </c>
      <c r="B1300" s="176" t="s">
        <v>99</v>
      </c>
      <c r="C1300" s="176" t="s">
        <v>100</v>
      </c>
      <c r="D1300" s="176" t="s">
        <v>435</v>
      </c>
      <c r="E1300" s="176" t="s">
        <v>116</v>
      </c>
      <c r="F1300" s="176" t="s">
        <v>117</v>
      </c>
    </row>
    <row r="1301" spans="1:9" ht="20.100000000000001" customHeight="1">
      <c r="A1301" s="237" t="s">
        <v>1468</v>
      </c>
      <c r="B1301" s="182">
        <v>11.587</v>
      </c>
      <c r="C1301" s="182">
        <v>13.5985</v>
      </c>
      <c r="D1301" s="182">
        <v>13.798500000000001</v>
      </c>
      <c r="E1301" s="180">
        <f>C1301-B1301</f>
        <v>2.0114999999999998</v>
      </c>
      <c r="F1301" s="180">
        <f>D1301-C1301</f>
        <v>0.20000000000000107</v>
      </c>
    </row>
    <row r="1302" spans="1:9" ht="20.100000000000001" customHeight="1">
      <c r="A1302" s="237" t="s">
        <v>1473</v>
      </c>
      <c r="B1302" s="182">
        <v>11.7432</v>
      </c>
      <c r="C1302" s="182">
        <v>13.7561</v>
      </c>
      <c r="D1302" s="182">
        <v>13.955299999999999</v>
      </c>
      <c r="E1302" s="180">
        <f t="shared" ref="E1302:F1307" si="94">C1302-B1302</f>
        <v>2.0129000000000001</v>
      </c>
      <c r="F1302" s="180">
        <f t="shared" si="94"/>
        <v>0.19919999999999938</v>
      </c>
    </row>
    <row r="1303" spans="1:9" ht="20.100000000000001" customHeight="1">
      <c r="A1303" s="237" t="s">
        <v>1475</v>
      </c>
      <c r="B1303" s="182">
        <v>11.7925</v>
      </c>
      <c r="C1303" s="182">
        <v>13.8047</v>
      </c>
      <c r="D1303" s="182">
        <v>14.0037</v>
      </c>
      <c r="E1303" s="180">
        <f t="shared" si="94"/>
        <v>2.0122</v>
      </c>
      <c r="F1303" s="180">
        <f t="shared" si="94"/>
        <v>0.19899999999999984</v>
      </c>
    </row>
    <row r="1304" spans="1:9" ht="20.100000000000001" customHeight="1">
      <c r="A1304" s="237" t="s">
        <v>1476</v>
      </c>
      <c r="B1304" s="182">
        <v>11.7523</v>
      </c>
      <c r="C1304" s="182">
        <v>13.7669</v>
      </c>
      <c r="D1304" s="182">
        <v>13.9664</v>
      </c>
      <c r="E1304" s="180">
        <f t="shared" si="94"/>
        <v>2.0145999999999997</v>
      </c>
      <c r="F1304" s="180">
        <f t="shared" si="94"/>
        <v>0.19950000000000045</v>
      </c>
    </row>
    <row r="1305" spans="1:9" ht="20.100000000000001" customHeight="1">
      <c r="A1305" s="237" t="s">
        <v>1477</v>
      </c>
      <c r="B1305" s="182">
        <v>11.753500000000001</v>
      </c>
      <c r="C1305" s="182">
        <v>13.7682</v>
      </c>
      <c r="D1305" s="182">
        <v>13.9674</v>
      </c>
      <c r="E1305" s="180">
        <f t="shared" si="94"/>
        <v>2.0146999999999995</v>
      </c>
      <c r="F1305" s="180">
        <f t="shared" si="94"/>
        <v>0.19919999999999938</v>
      </c>
    </row>
    <row r="1306" spans="1:9" ht="20.100000000000001" customHeight="1">
      <c r="A1306" s="237" t="s">
        <v>398</v>
      </c>
      <c r="B1306" s="182">
        <v>11.792299999999999</v>
      </c>
      <c r="C1306" s="182">
        <v>13.848100000000001</v>
      </c>
      <c r="D1306" s="182">
        <v>14.0473</v>
      </c>
      <c r="E1306" s="180">
        <f t="shared" si="94"/>
        <v>2.0558000000000014</v>
      </c>
      <c r="F1306" s="180">
        <f t="shared" si="94"/>
        <v>0.19919999999999938</v>
      </c>
    </row>
    <row r="1307" spans="1:9" ht="20.100000000000001" customHeight="1">
      <c r="A1307" s="483" t="s">
        <v>372</v>
      </c>
      <c r="B1307" s="141">
        <v>11.6889</v>
      </c>
      <c r="C1307" s="141">
        <v>13.7468</v>
      </c>
      <c r="D1307" s="141">
        <v>13.946099999999999</v>
      </c>
      <c r="E1307" s="177">
        <f t="shared" si="94"/>
        <v>2.0579000000000001</v>
      </c>
      <c r="F1307" s="177">
        <f t="shared" si="94"/>
        <v>0.19929999999999914</v>
      </c>
    </row>
    <row r="1309" spans="1:9" ht="20.100000000000001" customHeight="1">
      <c r="A1309" s="480" t="s">
        <v>1503</v>
      </c>
    </row>
    <row r="1311" spans="1:9" ht="20.100000000000001" customHeight="1">
      <c r="A1311" s="510" t="s">
        <v>100</v>
      </c>
      <c r="B1311" s="510" t="s">
        <v>520</v>
      </c>
      <c r="C1311" s="510"/>
      <c r="D1311" s="510" t="s">
        <v>98</v>
      </c>
      <c r="E1311" s="510"/>
      <c r="F1311" s="592"/>
      <c r="G1311" s="592"/>
      <c r="H1311" s="592"/>
      <c r="I1311" s="592"/>
    </row>
    <row r="1312" spans="1:9" ht="20.100000000000001" customHeight="1">
      <c r="A1312" s="508" t="s">
        <v>106</v>
      </c>
      <c r="B1312" s="508" t="s">
        <v>2741</v>
      </c>
      <c r="C1312" s="508" t="s">
        <v>2742</v>
      </c>
      <c r="D1312" s="508" t="s">
        <v>2743</v>
      </c>
      <c r="E1312" s="239" t="s">
        <v>2744</v>
      </c>
      <c r="F1312" s="593"/>
      <c r="G1312" s="593"/>
      <c r="H1312" s="593"/>
      <c r="I1312" s="593"/>
    </row>
    <row r="1313" spans="1:10" ht="20.100000000000001" customHeight="1">
      <c r="A1313" s="184" t="str">
        <f>RAW_DATA!A265</f>
        <v>VOID.D</v>
      </c>
      <c r="B1313" s="184" t="str">
        <f>RAW_DATA!D265</f>
        <v/>
      </c>
      <c r="C1313" s="184" t="str">
        <f>RAW_DATA!F265</f>
        <v/>
      </c>
      <c r="D1313" s="184" t="str">
        <f>RAW_DATA!H265</f>
        <v/>
      </c>
      <c r="E1313" s="184" t="str">
        <f>RAW_DATA!J265</f>
        <v/>
      </c>
      <c r="F1313" s="56"/>
      <c r="G1313" s="593"/>
      <c r="H1313" s="56"/>
      <c r="I1313" s="593"/>
    </row>
    <row r="1314" spans="1:10" ht="20.100000000000001" customHeight="1">
      <c r="A1314" s="507" t="str">
        <f>RAW_DATA!A266</f>
        <v>BLK_M1.D</v>
      </c>
      <c r="B1314" s="170">
        <f>RAW_DATA!D266</f>
        <v>33.1798266736401</v>
      </c>
      <c r="C1314" s="507" t="str">
        <f>RAW_DATA!F266</f>
        <v/>
      </c>
      <c r="D1314" s="170">
        <f>RAW_DATA!H266</f>
        <v>63.345500000000101</v>
      </c>
      <c r="E1314" s="507" t="str">
        <f>RAW_DATA!J266</f>
        <v/>
      </c>
      <c r="F1314" s="56"/>
      <c r="G1314" s="593"/>
      <c r="H1314" s="56"/>
      <c r="I1314" s="593"/>
    </row>
    <row r="1315" spans="1:10" ht="20.100000000000001" customHeight="1">
      <c r="A1315" s="507" t="str">
        <f>RAW_DATA!A267</f>
        <v>BLK_1.D</v>
      </c>
      <c r="B1315" s="170">
        <f>RAW_DATA!D267</f>
        <v>4.0592602301255098</v>
      </c>
      <c r="C1315" s="507" t="str">
        <f>RAW_DATA!F267</f>
        <v/>
      </c>
      <c r="D1315" s="170">
        <f>RAW_DATA!H267</f>
        <v>31.2491107923736</v>
      </c>
      <c r="E1315" s="507" t="str">
        <f>RAW_DATA!J267</f>
        <v/>
      </c>
      <c r="F1315" s="56"/>
      <c r="G1315" s="593"/>
      <c r="H1315" s="56"/>
      <c r="I1315" s="593"/>
    </row>
    <row r="1316" spans="1:10" ht="20.100000000000001" customHeight="1">
      <c r="A1316" s="507" t="str">
        <f>RAW_DATA!A268</f>
        <v>BLK_M2.D</v>
      </c>
      <c r="B1316" s="170">
        <f>RAW_DATA!D268</f>
        <v>26.4854615384616</v>
      </c>
      <c r="C1316" s="507" t="str">
        <f>RAW_DATA!F268</f>
        <v/>
      </c>
      <c r="D1316" s="170">
        <f>RAW_DATA!H268</f>
        <v>39.107999999999898</v>
      </c>
      <c r="E1316" s="507" t="str">
        <f>RAW_DATA!J268</f>
        <v/>
      </c>
      <c r="F1316" s="56"/>
      <c r="G1316" s="593"/>
      <c r="H1316" s="56"/>
      <c r="I1316" s="593"/>
    </row>
    <row r="1317" spans="1:10" ht="20.100000000000001" customHeight="1">
      <c r="A1317" s="507" t="str">
        <f>RAW_DATA!A269</f>
        <v>BLK_2.D</v>
      </c>
      <c r="B1317" s="170">
        <f>RAW_DATA!D269</f>
        <v>3.9273956903765499</v>
      </c>
      <c r="C1317" s="507" t="str">
        <f>RAW_DATA!F269</f>
        <v/>
      </c>
      <c r="D1317" s="170">
        <f>RAW_DATA!H269</f>
        <v>30.668807692307599</v>
      </c>
      <c r="E1317" s="507" t="str">
        <f>RAW_DATA!J269</f>
        <v/>
      </c>
      <c r="F1317" s="56"/>
      <c r="G1317" s="593"/>
      <c r="H1317" s="56"/>
      <c r="I1317" s="593"/>
    </row>
    <row r="1318" spans="1:10" ht="20.100000000000001" customHeight="1">
      <c r="A1318" s="507" t="str">
        <f>RAW_DATA!A270</f>
        <v>BLK_M3.D</v>
      </c>
      <c r="B1318" s="170">
        <f>RAW_DATA!D270</f>
        <v>26.0299744184743</v>
      </c>
      <c r="C1318" s="507" t="str">
        <f>RAW_DATA!F270</f>
        <v/>
      </c>
      <c r="D1318" s="170">
        <f>RAW_DATA!H270</f>
        <v>41.946999999999903</v>
      </c>
      <c r="E1318" s="507" t="str">
        <f>RAW_DATA!J270</f>
        <v/>
      </c>
      <c r="F1318" s="56"/>
      <c r="G1318" s="593"/>
      <c r="H1318" s="56"/>
      <c r="I1318" s="593"/>
    </row>
    <row r="1319" spans="1:10" ht="20.100000000000001" customHeight="1">
      <c r="A1319" s="508" t="str">
        <f>RAW_DATA!A271</f>
        <v>BLK_3.D</v>
      </c>
      <c r="B1319" s="172">
        <f>RAW_DATA!D271</f>
        <v>3.63488811715481</v>
      </c>
      <c r="C1319" s="508" t="str">
        <f>RAW_DATA!F271</f>
        <v/>
      </c>
      <c r="D1319" s="172">
        <f>RAW_DATA!H271</f>
        <v>29.6837692307693</v>
      </c>
      <c r="E1319" s="508" t="str">
        <f>RAW_DATA!J271</f>
        <v/>
      </c>
      <c r="F1319" s="56"/>
      <c r="G1319" s="593"/>
      <c r="H1319" s="56"/>
      <c r="I1319" s="593"/>
    </row>
    <row r="1320" spans="1:10" ht="20.100000000000001" customHeight="1">
      <c r="A1320" s="507" t="str">
        <f>RAW_DATA!A272</f>
        <v>LOD_1.D</v>
      </c>
      <c r="B1320" s="170">
        <f>RAW_DATA!D272</f>
        <v>44.218407827178702</v>
      </c>
      <c r="C1320" s="507" t="str">
        <f>RAW_DATA!F272</f>
        <v/>
      </c>
      <c r="D1320" s="170">
        <f>RAW_DATA!H272</f>
        <v>255.80500000000001</v>
      </c>
      <c r="E1320" s="507" t="str">
        <f>RAW_DATA!J272</f>
        <v/>
      </c>
      <c r="F1320" s="56"/>
      <c r="G1320" s="593"/>
      <c r="H1320" s="56"/>
      <c r="I1320" s="593"/>
    </row>
    <row r="1321" spans="1:10" ht="20.100000000000001" customHeight="1">
      <c r="A1321" s="507" t="str">
        <f>RAW_DATA!A273</f>
        <v>LOD_2.D</v>
      </c>
      <c r="B1321" s="170">
        <f>RAW_DATA!D273</f>
        <v>46.182230769230799</v>
      </c>
      <c r="C1321" s="507" t="str">
        <f>RAW_DATA!F273</f>
        <v/>
      </c>
      <c r="D1321" s="170">
        <f>RAW_DATA!H273</f>
        <v>282.193373983892</v>
      </c>
      <c r="E1321" s="507" t="str">
        <f>RAW_DATA!J273</f>
        <v/>
      </c>
      <c r="F1321" s="56"/>
      <c r="G1321" s="593"/>
      <c r="H1321" s="56"/>
      <c r="I1321" s="593"/>
    </row>
    <row r="1322" spans="1:10" ht="20.100000000000001" customHeight="1">
      <c r="A1322" s="508" t="str">
        <f>RAW_DATA!A274</f>
        <v>LOD_3.D</v>
      </c>
      <c r="B1322" s="172">
        <f>RAW_DATA!D274</f>
        <v>45.395499999999998</v>
      </c>
      <c r="C1322" s="508" t="str">
        <f>RAW_DATA!F274</f>
        <v/>
      </c>
      <c r="D1322" s="172">
        <f>RAW_DATA!H274</f>
        <v>284.54195782799098</v>
      </c>
      <c r="E1322" s="172">
        <f>RAW_DATA!J274</f>
        <v>4.1099999999999604</v>
      </c>
      <c r="F1322" s="56"/>
      <c r="G1322" s="593"/>
      <c r="H1322" s="56"/>
      <c r="I1322" s="593"/>
    </row>
    <row r="1323" spans="1:10" ht="20.100000000000001" customHeight="1">
      <c r="A1323" s="507" t="str">
        <f>RAW_DATA!A275</f>
        <v>CAL_5.D</v>
      </c>
      <c r="B1323" s="170">
        <f>RAW_DATA!D275</f>
        <v>420.01536480731301</v>
      </c>
      <c r="C1323" s="170">
        <f>RAW_DATA!F275</f>
        <v>3048.9850844386601</v>
      </c>
      <c r="D1323" s="170">
        <f>RAW_DATA!H275</f>
        <v>2196.9591549872998</v>
      </c>
      <c r="E1323" s="170">
        <f>RAW_DATA!J275</f>
        <v>18759.695423076999</v>
      </c>
      <c r="F1323" s="56"/>
      <c r="G1323" s="593"/>
      <c r="H1323" s="56"/>
      <c r="I1323" s="593"/>
    </row>
    <row r="1324" spans="1:10" ht="20.100000000000001" customHeight="1">
      <c r="A1324" s="507" t="str">
        <f>RAW_DATA!A276</f>
        <v>CAL_4.D</v>
      </c>
      <c r="B1324" s="170">
        <f>RAW_DATA!D276</f>
        <v>983.78527671960001</v>
      </c>
      <c r="C1324" s="170">
        <f>RAW_DATA!F276</f>
        <v>3057.17583150562</v>
      </c>
      <c r="D1324" s="170">
        <f>RAW_DATA!H276</f>
        <v>4876.6445000000103</v>
      </c>
      <c r="E1324" s="170">
        <f>RAW_DATA!J276</f>
        <v>18735.4776285687</v>
      </c>
      <c r="F1324" s="56"/>
      <c r="G1324" s="593"/>
      <c r="H1324" s="56"/>
      <c r="I1324" s="593"/>
      <c r="J1324" s="530"/>
    </row>
    <row r="1325" spans="1:10" ht="20.100000000000001" customHeight="1">
      <c r="A1325" s="507" t="str">
        <f>RAW_DATA!A277</f>
        <v>CAL_3.D</v>
      </c>
      <c r="B1325" s="170">
        <f>RAW_DATA!D277</f>
        <v>1962.4017101664001</v>
      </c>
      <c r="C1325" s="170">
        <f>RAW_DATA!F277</f>
        <v>3148.3170502152698</v>
      </c>
      <c r="D1325" s="170">
        <f>RAW_DATA!H277</f>
        <v>9719.6390318673002</v>
      </c>
      <c r="E1325" s="170">
        <f>RAW_DATA!J277</f>
        <v>19328.18</v>
      </c>
      <c r="F1325" s="56"/>
      <c r="G1325" s="593"/>
      <c r="H1325" s="56"/>
      <c r="I1325" s="593"/>
      <c r="J1325" s="530"/>
    </row>
    <row r="1326" spans="1:10" ht="20.100000000000001" customHeight="1">
      <c r="A1326" s="507" t="str">
        <f>RAW_DATA!A278</f>
        <v>CAL_2.D</v>
      </c>
      <c r="B1326" s="170">
        <f>RAW_DATA!D278</f>
        <v>2713.22957376265</v>
      </c>
      <c r="C1326" s="170">
        <f>RAW_DATA!F278</f>
        <v>2931.6985</v>
      </c>
      <c r="D1326" s="170">
        <f>RAW_DATA!H278</f>
        <v>12998.823248955599</v>
      </c>
      <c r="E1326" s="170">
        <f>RAW_DATA!J278</f>
        <v>17489.110499999901</v>
      </c>
      <c r="F1326" s="56"/>
      <c r="G1326" s="593"/>
      <c r="H1326" s="56"/>
      <c r="I1326" s="593"/>
      <c r="J1326" s="530"/>
    </row>
    <row r="1327" spans="1:10" ht="20.100000000000001" customHeight="1">
      <c r="A1327" s="507" t="str">
        <f>RAW_DATA!A279</f>
        <v>CAL_1.D</v>
      </c>
      <c r="B1327" s="170">
        <f>RAW_DATA!D279</f>
        <v>3559.5853708925401</v>
      </c>
      <c r="C1327" s="170">
        <f>RAW_DATA!F279</f>
        <v>2906.5899859528099</v>
      </c>
      <c r="D1327" s="170">
        <f>RAW_DATA!H279</f>
        <v>17380.055</v>
      </c>
      <c r="E1327" s="170">
        <f>RAW_DATA!J279</f>
        <v>17406.299913479201</v>
      </c>
      <c r="F1327" s="56"/>
      <c r="G1327" s="593"/>
      <c r="H1327" s="56"/>
      <c r="I1327" s="593"/>
      <c r="J1327" s="530"/>
    </row>
    <row r="1328" spans="1:10" ht="20.100000000000001" customHeight="1">
      <c r="A1328" s="507" t="str">
        <f>RAW_DATA!A280</f>
        <v>SEAN1797.D</v>
      </c>
      <c r="B1328" s="170">
        <f>RAW_DATA!D280</f>
        <v>878.69038078515996</v>
      </c>
      <c r="C1328" s="170">
        <f>RAW_DATA!F280</f>
        <v>2375.5601543467901</v>
      </c>
      <c r="D1328" s="170">
        <f>RAW_DATA!H280</f>
        <v>4811.4430000000002</v>
      </c>
      <c r="E1328" s="170">
        <f>RAW_DATA!J280</f>
        <v>9018.5270000000091</v>
      </c>
      <c r="F1328" s="56"/>
      <c r="G1328" s="593"/>
      <c r="H1328" s="56"/>
      <c r="I1328" s="593"/>
      <c r="J1328" s="530"/>
    </row>
    <row r="1329" spans="1:10" ht="20.100000000000001" customHeight="1">
      <c r="A1329" s="508" t="str">
        <f>RAW_DATA!A281</f>
        <v>MOOS2157.D</v>
      </c>
      <c r="B1329" s="172">
        <f>RAW_DATA!D281</f>
        <v>2229.75906404537</v>
      </c>
      <c r="C1329" s="172">
        <f>RAW_DATA!F281</f>
        <v>2308.6758717385101</v>
      </c>
      <c r="D1329" s="172">
        <f>RAW_DATA!H281</f>
        <v>8910.6326342228804</v>
      </c>
      <c r="E1329" s="172">
        <f>RAW_DATA!J281</f>
        <v>8814.1540000000005</v>
      </c>
      <c r="F1329" s="56"/>
      <c r="G1329" s="593"/>
      <c r="H1329" s="56"/>
      <c r="I1329" s="593"/>
      <c r="J1329" s="530"/>
    </row>
    <row r="1331" spans="1:10" ht="20.100000000000001" customHeight="1">
      <c r="A1331" s="480" t="s">
        <v>1506</v>
      </c>
    </row>
    <row r="1333" spans="1:10" ht="20.100000000000001" customHeight="1">
      <c r="A1333" s="239" t="s">
        <v>520</v>
      </c>
      <c r="B1333" s="522">
        <f>(AVERAGE(C1323:C1327)-AVERAGE(C1328:C1329))/AVERAGE(C1323:C1327)</f>
        <v>0.22409254112759064</v>
      </c>
    </row>
    <row r="1334" spans="1:10" ht="20.100000000000001" customHeight="1">
      <c r="A1334" s="239" t="s">
        <v>98</v>
      </c>
      <c r="B1334" s="522">
        <f>(AVERAGE(E1323:E1327)-AVERAGE(E1328:E1329))/AVERAGE(E1323:E1327)</f>
        <v>0.51393040185335903</v>
      </c>
    </row>
    <row r="1336" spans="1:10" ht="20.100000000000001" customHeight="1">
      <c r="A1336" s="239" t="s">
        <v>1519</v>
      </c>
    </row>
    <row r="1338" spans="1:10" ht="20.100000000000001" customHeight="1">
      <c r="A1338" s="480" t="s">
        <v>1507</v>
      </c>
    </row>
    <row r="1340" spans="1:10" ht="20.100000000000001" customHeight="1">
      <c r="A1340" s="508"/>
      <c r="B1340" s="509" t="s">
        <v>520</v>
      </c>
      <c r="C1340" s="509" t="s">
        <v>98</v>
      </c>
      <c r="E1340" s="508"/>
      <c r="F1340" s="509" t="s">
        <v>520</v>
      </c>
      <c r="G1340" s="509" t="s">
        <v>98</v>
      </c>
    </row>
    <row r="1341" spans="1:10" ht="20.100000000000001" customHeight="1">
      <c r="A1341" s="239" t="s">
        <v>1487</v>
      </c>
      <c r="B1341" s="170">
        <f>B1314</f>
        <v>33.1798266736401</v>
      </c>
      <c r="C1341" s="170">
        <f>D1314</f>
        <v>63.345500000000101</v>
      </c>
      <c r="E1341" s="507" t="s">
        <v>1488</v>
      </c>
      <c r="F1341" s="170">
        <f>B1315</f>
        <v>4.0592602301255098</v>
      </c>
      <c r="G1341" s="170">
        <f>D1315</f>
        <v>31.2491107923736</v>
      </c>
    </row>
    <row r="1342" spans="1:10" ht="20.100000000000001" customHeight="1">
      <c r="A1342" s="239" t="s">
        <v>1489</v>
      </c>
      <c r="B1342" s="170">
        <f>B1316</f>
        <v>26.4854615384616</v>
      </c>
      <c r="C1342" s="170">
        <f>D1316</f>
        <v>39.107999999999898</v>
      </c>
      <c r="E1342" s="507" t="s">
        <v>1490</v>
      </c>
      <c r="F1342" s="170">
        <f>B1317</f>
        <v>3.9273956903765499</v>
      </c>
      <c r="G1342" s="170">
        <f>D1317</f>
        <v>30.668807692307599</v>
      </c>
    </row>
    <row r="1343" spans="1:10" ht="20.100000000000001" customHeight="1">
      <c r="A1343" s="508" t="s">
        <v>1491</v>
      </c>
      <c r="B1343" s="172">
        <f>B1318</f>
        <v>26.0299744184743</v>
      </c>
      <c r="C1343" s="172">
        <f>D1318</f>
        <v>41.946999999999903</v>
      </c>
      <c r="E1343" s="508" t="s">
        <v>1492</v>
      </c>
      <c r="F1343" s="172">
        <f>B1319</f>
        <v>3.63488811715481</v>
      </c>
      <c r="G1343" s="172">
        <f>D1319</f>
        <v>29.6837692307693</v>
      </c>
    </row>
    <row r="1345" spans="1:3" ht="20.100000000000001" customHeight="1">
      <c r="A1345" s="239" t="s">
        <v>1504</v>
      </c>
    </row>
    <row r="1346" spans="1:3" ht="20.100000000000001" customHeight="1">
      <c r="A1346" s="239" t="s">
        <v>1505</v>
      </c>
    </row>
    <row r="1348" spans="1:3" ht="20.100000000000001" customHeight="1">
      <c r="A1348" s="523" t="s">
        <v>1508</v>
      </c>
    </row>
    <row r="1349" spans="1:3" ht="20.100000000000001" customHeight="1">
      <c r="A1349" s="239" t="s">
        <v>1509</v>
      </c>
      <c r="B1349" s="161">
        <f>AVERAGE(F1341:F1343)/(B1329*(1+B1333))</f>
        <v>1.4192875327331338E-3</v>
      </c>
      <c r="C1349" s="161">
        <f>AVERAGE(F1341:F1343)/(B1329)</f>
        <v>1.7373392825340106E-3</v>
      </c>
    </row>
    <row r="1351" spans="1:3" ht="20.100000000000001" customHeight="1">
      <c r="A1351" s="523" t="s">
        <v>1510</v>
      </c>
    </row>
    <row r="1352" spans="1:3" ht="20.100000000000001" customHeight="1">
      <c r="A1352" s="507" t="s">
        <v>1509</v>
      </c>
      <c r="B1352" s="161">
        <f>AVERAGE(C1341:C1343)/(D1329*(1+B1334))</f>
        <v>3.5680669353984405E-3</v>
      </c>
      <c r="C1352" s="161">
        <f>AVERAGE(C1341:C1343)/(D1329)</f>
        <v>5.4018050093474447E-3</v>
      </c>
    </row>
    <row r="1354" spans="1:3" ht="20.100000000000001" customHeight="1">
      <c r="A1354" s="523" t="s">
        <v>1511</v>
      </c>
    </row>
    <row r="1355" spans="1:3" ht="20.100000000000001" customHeight="1">
      <c r="A1355" s="239" t="s">
        <v>1512</v>
      </c>
      <c r="B1355" s="170">
        <f>AVERAGE(C1341:C1343)</f>
        <v>48.13349999999997</v>
      </c>
      <c r="C1355" s="166">
        <f>STDEV(C1341:C1343)/SQRT(3)</f>
        <v>7.6500258877558096</v>
      </c>
    </row>
    <row r="1356" spans="1:3" ht="20.100000000000001" customHeight="1">
      <c r="A1356" s="239" t="s">
        <v>110</v>
      </c>
      <c r="B1356" s="170">
        <f>AVERAGE(G1341:G1343)</f>
        <v>30.533895905150164</v>
      </c>
      <c r="C1356" s="166">
        <f>STDEV(G1341:G1343)/SQRT(3)</f>
        <v>0.45688234950110729</v>
      </c>
    </row>
    <row r="1357" spans="1:3" ht="20.100000000000001" customHeight="1">
      <c r="A1357" s="239" t="s">
        <v>269</v>
      </c>
      <c r="B1357" s="170">
        <f>B1355-B1356</f>
        <v>17.599604094849806</v>
      </c>
      <c r="C1357" s="166">
        <f>SQRT(SUMSQ(C1355:C1356))</f>
        <v>7.6636569315581777</v>
      </c>
    </row>
    <row r="1358" spans="1:3" ht="20.100000000000001" customHeight="1">
      <c r="A1358" s="507" t="s">
        <v>1509</v>
      </c>
      <c r="B1358" s="161">
        <f>B1357/(D1329*(1+B1334))</f>
        <v>1.304633268865481E-3</v>
      </c>
      <c r="C1358" s="161">
        <f>B1357/(D1329)</f>
        <v>1.9751239690047793E-3</v>
      </c>
    </row>
    <row r="1360" spans="1:3" ht="20.100000000000001" customHeight="1">
      <c r="A1360" s="480" t="s">
        <v>1516</v>
      </c>
    </row>
    <row r="1362" spans="1:4" ht="20.100000000000001" customHeight="1">
      <c r="A1362" s="480" t="s">
        <v>2740</v>
      </c>
    </row>
    <row r="1363" spans="1:4" ht="20.100000000000001" customHeight="1">
      <c r="A1363" s="237" t="s">
        <v>1467</v>
      </c>
      <c r="B1363" s="154">
        <f>B1285</f>
        <v>1.0212822636536337E-3</v>
      </c>
    </row>
    <row r="1364" spans="1:4" ht="20.100000000000001" customHeight="1">
      <c r="A1364" s="239" t="s">
        <v>276</v>
      </c>
      <c r="B1364" s="170">
        <f>AVERAGE(B1320:B1322)-AVERAGE(F1341:F1343)</f>
        <v>41.391531519584213</v>
      </c>
    </row>
    <row r="1365" spans="1:4" ht="20.100000000000001" customHeight="1">
      <c r="A1365" s="239" t="s">
        <v>1265</v>
      </c>
      <c r="B1365" s="166">
        <f>(B1364/AVERAGE(B1320:B1322))*MEDIAN(13.7,15.1,14.7)</f>
        <v>13.441962038690304</v>
      </c>
      <c r="C1365" s="239" t="s">
        <v>1518</v>
      </c>
    </row>
    <row r="1366" spans="1:4" ht="20.100000000000001" customHeight="1">
      <c r="A1366" s="239" t="s">
        <v>1515</v>
      </c>
      <c r="B1366" s="166">
        <f>1000*B1363/B1365*3</f>
        <v>0.22793151640676873</v>
      </c>
      <c r="C1366" s="239" t="s">
        <v>540</v>
      </c>
    </row>
    <row r="1367" spans="1:4" ht="20.100000000000001" customHeight="1">
      <c r="A1367" s="507" t="s">
        <v>1515</v>
      </c>
      <c r="B1367" s="144">
        <f>1000*B1366/MM_NO2</f>
        <v>4.9544238943401364</v>
      </c>
      <c r="C1367" s="239" t="s">
        <v>1513</v>
      </c>
    </row>
    <row r="1368" spans="1:4" ht="20.100000000000001" customHeight="1">
      <c r="A1368" s="239" t="s">
        <v>1514</v>
      </c>
      <c r="B1368" s="166">
        <f>B1366/(1-B1333)</f>
        <v>0.29376121314520054</v>
      </c>
      <c r="C1368" s="507" t="s">
        <v>540</v>
      </c>
      <c r="D1368" s="524"/>
    </row>
    <row r="1369" spans="1:4" ht="20.100000000000001" customHeight="1">
      <c r="A1369" s="507" t="s">
        <v>1514</v>
      </c>
      <c r="B1369" s="144">
        <f>B1367/(1-B1333)</f>
        <v>6.3853283502908624</v>
      </c>
      <c r="C1369" s="507" t="s">
        <v>1513</v>
      </c>
    </row>
    <row r="1371" spans="1:4" ht="20.100000000000001" customHeight="1">
      <c r="A1371" s="480" t="s">
        <v>1517</v>
      </c>
    </row>
    <row r="1373" spans="1:4" ht="20.100000000000001" customHeight="1">
      <c r="A1373" s="480" t="s">
        <v>2740</v>
      </c>
      <c r="B1373" s="507"/>
      <c r="C1373" s="507"/>
      <c r="D1373" s="507"/>
    </row>
    <row r="1374" spans="1:4" ht="20.100000000000001" customHeight="1">
      <c r="A1374" s="237" t="s">
        <v>1472</v>
      </c>
      <c r="B1374" s="154">
        <f>B1286</f>
        <v>1.0576101882491589E-2</v>
      </c>
      <c r="C1374" s="507"/>
      <c r="D1374" s="507"/>
    </row>
    <row r="1375" spans="1:4" ht="20.100000000000001" customHeight="1">
      <c r="A1375" s="507" t="s">
        <v>276</v>
      </c>
      <c r="B1375" s="170">
        <f>AVERAGE(D1320:D1322)-AVERAGE(G1341:G1343)</f>
        <v>243.64621469881078</v>
      </c>
      <c r="C1375" s="507"/>
      <c r="D1375" s="507"/>
    </row>
    <row r="1376" spans="1:4" ht="20.100000000000001" customHeight="1">
      <c r="A1376" s="507" t="s">
        <v>1265</v>
      </c>
      <c r="B1376" s="170">
        <f>(B1375/AVERAGE(D1320:D1322))*MEDIAN(244.7, 245.4,266.9)</f>
        <v>218.07118304599734</v>
      </c>
      <c r="C1376" s="588" t="s">
        <v>1518</v>
      </c>
      <c r="D1376" s="507"/>
    </row>
    <row r="1377" spans="1:5" ht="20.100000000000001" customHeight="1">
      <c r="A1377" s="507" t="s">
        <v>1515</v>
      </c>
      <c r="B1377" s="166">
        <f>1000*B1374/B1376*3</f>
        <v>0.14549517824545563</v>
      </c>
      <c r="C1377" s="507" t="s">
        <v>540</v>
      </c>
      <c r="D1377" s="507"/>
    </row>
    <row r="1378" spans="1:5" ht="20.100000000000001" customHeight="1">
      <c r="A1378" s="507" t="s">
        <v>1515</v>
      </c>
      <c r="B1378" s="144">
        <f>1000*B1377/MM_NO3</f>
        <v>2.3465051074538299</v>
      </c>
      <c r="C1378" s="507" t="s">
        <v>1513</v>
      </c>
      <c r="D1378" s="507"/>
    </row>
    <row r="1379" spans="1:5" ht="20.100000000000001" customHeight="1">
      <c r="A1379" s="507" t="s">
        <v>1514</v>
      </c>
      <c r="B1379" s="166">
        <f>B1377/(1-B1334)</f>
        <v>0.29932992888306831</v>
      </c>
      <c r="C1379" s="507" t="s">
        <v>540</v>
      </c>
      <c r="D1379" s="524"/>
    </row>
    <row r="1380" spans="1:5" ht="20.100000000000001" customHeight="1">
      <c r="A1380" s="507" t="s">
        <v>1514</v>
      </c>
      <c r="B1380" s="144">
        <f>B1378/(1-B1334)</f>
        <v>4.8275084810918774</v>
      </c>
      <c r="C1380" s="507" t="s">
        <v>1513</v>
      </c>
      <c r="D1380" s="507"/>
    </row>
    <row r="1382" spans="1:5" ht="20.100000000000001" customHeight="1">
      <c r="A1382" s="480" t="s">
        <v>1534</v>
      </c>
    </row>
    <row r="1383" spans="1:5" ht="20.100000000000001" customHeight="1">
      <c r="D1383" s="515"/>
      <c r="E1383" s="515"/>
    </row>
    <row r="1384" spans="1:5" ht="20.100000000000001" customHeight="1">
      <c r="A1384" s="514"/>
      <c r="B1384" s="176" t="s">
        <v>1526</v>
      </c>
      <c r="C1384" s="514" t="s">
        <v>1525</v>
      </c>
      <c r="D1384" s="514" t="s">
        <v>1527</v>
      </c>
      <c r="E1384" s="514" t="s">
        <v>1528</v>
      </c>
    </row>
    <row r="1385" spans="1:5" ht="20.100000000000001" customHeight="1">
      <c r="A1385" s="515" t="s">
        <v>1524</v>
      </c>
      <c r="B1385" s="60">
        <f>B1276</f>
        <v>1.0186967681726103E-2</v>
      </c>
      <c r="C1385" s="170">
        <f>B1323</f>
        <v>420.01536480731301</v>
      </c>
      <c r="D1385" s="154">
        <f>B1385*E1305/F1305</f>
        <v>0.10303054110629335</v>
      </c>
      <c r="E1385" s="142">
        <f>B1323/C1323</f>
        <v>0.13775579518278977</v>
      </c>
    </row>
    <row r="1386" spans="1:5" ht="20.100000000000001" customHeight="1">
      <c r="A1386" s="515" t="s">
        <v>1523</v>
      </c>
      <c r="B1386" s="60">
        <f>B1267</f>
        <v>2.5496229161586594E-2</v>
      </c>
      <c r="C1386" s="170">
        <f>B1324</f>
        <v>983.78527671960001</v>
      </c>
      <c r="D1386" s="154">
        <f>B1386*E1304/F1304</f>
        <v>0.2574671843054247</v>
      </c>
      <c r="E1386" s="142">
        <f>B1324/C1324</f>
        <v>0.32179545140362381</v>
      </c>
    </row>
    <row r="1387" spans="1:5" ht="20.100000000000001" customHeight="1">
      <c r="A1387" s="515" t="s">
        <v>1522</v>
      </c>
      <c r="B1387" s="60">
        <f>B1258</f>
        <v>5.0618634010520872E-2</v>
      </c>
      <c r="C1387" s="170">
        <f>B1325</f>
        <v>1962.4017101664001</v>
      </c>
      <c r="D1387" s="154">
        <f>B1387*E1303/F1303</f>
        <v>0.51183324299482502</v>
      </c>
      <c r="E1387" s="142">
        <f>B1325/C1325</f>
        <v>0.62331768969463186</v>
      </c>
    </row>
    <row r="1388" spans="1:5" ht="20.100000000000001" customHeight="1">
      <c r="A1388" s="515" t="s">
        <v>1521</v>
      </c>
      <c r="B1388" s="60">
        <f>B1249</f>
        <v>7.6254247684852047E-2</v>
      </c>
      <c r="C1388" s="170">
        <f>B1326</f>
        <v>2713.22957376265</v>
      </c>
      <c r="D1388" s="154">
        <f>B1388*E1302/F1302</f>
        <v>0.77054304801626095</v>
      </c>
      <c r="E1388" s="142">
        <f>B1326/C1326</f>
        <v>0.92548042500367966</v>
      </c>
    </row>
    <row r="1389" spans="1:5" ht="20.100000000000001" customHeight="1">
      <c r="A1389" s="516" t="s">
        <v>1520</v>
      </c>
      <c r="B1389" s="143">
        <f>B1240</f>
        <v>0.10193159441676131</v>
      </c>
      <c r="C1389" s="172">
        <f>B1327</f>
        <v>3559.5853708925401</v>
      </c>
      <c r="D1389" s="155">
        <f>B1389*E1301/F1301</f>
        <v>1.0251770108465712</v>
      </c>
      <c r="E1389" s="143">
        <f>B1327/C1327</f>
        <v>1.2246603023114977</v>
      </c>
    </row>
    <row r="1402" spans="1:5" ht="20.100000000000001" customHeight="1">
      <c r="A1402" s="480" t="s">
        <v>1535</v>
      </c>
      <c r="B1402" s="515"/>
      <c r="C1402" s="515"/>
      <c r="D1402" s="515"/>
      <c r="E1402" s="515"/>
    </row>
    <row r="1403" spans="1:5" ht="20.100000000000001" customHeight="1">
      <c r="A1403" s="515"/>
      <c r="B1403" s="515"/>
      <c r="C1403" s="515"/>
      <c r="D1403" s="515"/>
      <c r="E1403" s="515"/>
    </row>
    <row r="1404" spans="1:5" ht="20.100000000000001" customHeight="1">
      <c r="A1404" s="514"/>
      <c r="B1404" s="176" t="s">
        <v>296</v>
      </c>
      <c r="C1404" s="514" t="s">
        <v>1529</v>
      </c>
      <c r="D1404" s="514" t="s">
        <v>1527</v>
      </c>
      <c r="E1404" s="514" t="s">
        <v>1528</v>
      </c>
    </row>
    <row r="1405" spans="1:5" ht="20.100000000000001" customHeight="1">
      <c r="A1405" s="515" t="s">
        <v>1524</v>
      </c>
      <c r="B1405" s="60">
        <f>B1277</f>
        <v>0.10549327243787689</v>
      </c>
      <c r="C1405" s="170">
        <f>D1323</f>
        <v>2196.9591549872998</v>
      </c>
      <c r="D1405" s="154">
        <f>B1405*E1305/F1305</f>
        <v>1.0669542970913211</v>
      </c>
      <c r="E1405" s="142">
        <f>D1323/E1323</f>
        <v>0.11711059830346386</v>
      </c>
    </row>
    <row r="1406" spans="1:5" ht="20.100000000000001" customHeight="1">
      <c r="A1406" s="515" t="s">
        <v>1523</v>
      </c>
      <c r="B1406" s="60">
        <f>B1268</f>
        <v>0.26403152862717738</v>
      </c>
      <c r="C1406" s="170">
        <f>D1324</f>
        <v>4876.6445000000103</v>
      </c>
      <c r="D1406" s="154">
        <f>B1406*E1304/F1304</f>
        <v>2.666255225926367</v>
      </c>
      <c r="E1406" s="142">
        <f>D1324/E1324</f>
        <v>0.26028930762693142</v>
      </c>
    </row>
    <row r="1407" spans="1:5" ht="20.100000000000001" customHeight="1">
      <c r="A1407" s="515" t="s">
        <v>1522</v>
      </c>
      <c r="B1407" s="60">
        <f>B1259</f>
        <v>0.52419184147252063</v>
      </c>
      <c r="C1407" s="170">
        <f>D1325</f>
        <v>9719.6390318673002</v>
      </c>
      <c r="D1407" s="154">
        <f>B1407*E1303/F1303</f>
        <v>5.3003960975427482</v>
      </c>
      <c r="E1407" s="142">
        <f>D1325/E1325</f>
        <v>0.50287399185372339</v>
      </c>
    </row>
    <row r="1408" spans="1:5" ht="20.100000000000001" customHeight="1">
      <c r="A1408" s="515" t="s">
        <v>1521</v>
      </c>
      <c r="B1408" s="60">
        <f>B1250</f>
        <v>0.78966679554640506</v>
      </c>
      <c r="C1408" s="170">
        <f>D1326</f>
        <v>12998.823248955599</v>
      </c>
      <c r="D1408" s="154">
        <f>B1408*E1302/F1302</f>
        <v>7.9795195419445974</v>
      </c>
      <c r="E1408" s="142">
        <f>D1326/E1326</f>
        <v>0.74325239405146837</v>
      </c>
    </row>
    <row r="1409" spans="1:9" ht="20.100000000000001" customHeight="1">
      <c r="A1409" s="516" t="s">
        <v>1520</v>
      </c>
      <c r="B1409" s="143">
        <f>B1241</f>
        <v>1.0555739250183371</v>
      </c>
      <c r="C1409" s="172">
        <f>D1327</f>
        <v>17380.055</v>
      </c>
      <c r="D1409" s="155">
        <f>B1409*E1301/F1301</f>
        <v>10.616434750871869</v>
      </c>
      <c r="E1409" s="143">
        <f>D1327/E1327</f>
        <v>0.99849221755285988</v>
      </c>
    </row>
    <row r="1422" spans="1:9" ht="20.100000000000001" customHeight="1">
      <c r="A1422" s="480" t="s">
        <v>1536</v>
      </c>
    </row>
    <row r="1424" spans="1:9" ht="20.100000000000001" customHeight="1">
      <c r="A1424" s="514" t="s">
        <v>100</v>
      </c>
      <c r="B1424" s="514" t="s">
        <v>116</v>
      </c>
      <c r="C1424" s="514" t="s">
        <v>117</v>
      </c>
      <c r="D1424" s="514" t="s">
        <v>1530</v>
      </c>
      <c r="E1424" s="514" t="s">
        <v>115</v>
      </c>
      <c r="F1424" s="514" t="s">
        <v>243</v>
      </c>
      <c r="G1424" s="514" t="s">
        <v>1531</v>
      </c>
      <c r="H1424" s="514" t="s">
        <v>1532</v>
      </c>
      <c r="I1424" s="514" t="s">
        <v>1533</v>
      </c>
    </row>
    <row r="1425" spans="1:9" ht="20.100000000000001" customHeight="1">
      <c r="A1425" s="517" t="s">
        <v>1501</v>
      </c>
      <c r="B1425" s="82">
        <f>E1306</f>
        <v>2.0558000000000014</v>
      </c>
      <c r="C1425" s="82">
        <f>F1306</f>
        <v>0.19919999999999938</v>
      </c>
      <c r="D1425" s="82">
        <f>C1425/B1425</f>
        <v>9.6896585270940389E-2</v>
      </c>
      <c r="E1425" s="82">
        <f>B1328/C1328</f>
        <v>0.36988765751830616</v>
      </c>
      <c r="F1425" s="82">
        <f>E1425*0.5/100</f>
        <v>1.8494382875915308E-3</v>
      </c>
      <c r="G1425" s="82">
        <f t="array" ref="G1425:H1425">ResultIDMS_GS($D$1385:$D$1389,$E$1385:$E$1389,D1425,D1425*0.1/100,E1425,F1425)</f>
        <v>2.8892797257073846E-2</v>
      </c>
      <c r="H1425" s="272">
        <v>1.6279700408022602E-4</v>
      </c>
      <c r="I1425" s="525">
        <f>H1425/G1425</f>
        <v>5.6345186183164838E-3</v>
      </c>
    </row>
    <row r="1426" spans="1:9" ht="20.100000000000001" customHeight="1">
      <c r="A1426" s="516" t="s">
        <v>1502</v>
      </c>
      <c r="B1426" s="81">
        <f>E1307</f>
        <v>2.0579000000000001</v>
      </c>
      <c r="C1426" s="81">
        <f>F1307</f>
        <v>0.19929999999999914</v>
      </c>
      <c r="D1426" s="81">
        <f>C1426/B1426</f>
        <v>9.6846299625831744E-2</v>
      </c>
      <c r="E1426" s="81">
        <f>B1329/C1329</f>
        <v>0.96581728571810599</v>
      </c>
      <c r="F1426" s="81">
        <f t="shared" ref="F1426" si="95">E1426*0.5/100</f>
        <v>4.82908642859053E-3</v>
      </c>
      <c r="G1426" s="81">
        <f t="array" ref="G1426:H1426">ResultIDMS_GS($D$1385:$D$1389,$E$1385:$E$1389,D1426,D1426*0.1/100,E1426,F1426)</f>
        <v>7.7862267406234434E-2</v>
      </c>
      <c r="H1426" s="143">
        <v>4.1086226725749398E-4</v>
      </c>
      <c r="I1426" s="202">
        <f t="shared" ref="I1426" si="96">H1426/G1426</f>
        <v>5.276782720876636E-3</v>
      </c>
    </row>
    <row r="1428" spans="1:9" ht="20.100000000000001" customHeight="1">
      <c r="A1428" s="480" t="s">
        <v>1537</v>
      </c>
      <c r="B1428" s="515"/>
      <c r="C1428" s="515"/>
      <c r="D1428" s="515"/>
      <c r="E1428" s="515"/>
      <c r="F1428" s="515"/>
      <c r="G1428" s="515"/>
      <c r="H1428" s="515"/>
      <c r="I1428" s="515"/>
    </row>
    <row r="1429" spans="1:9" ht="20.100000000000001" customHeight="1">
      <c r="A1429" s="515"/>
      <c r="B1429" s="515"/>
      <c r="C1429" s="515"/>
      <c r="D1429" s="515"/>
      <c r="E1429" s="515"/>
      <c r="F1429" s="515"/>
      <c r="G1429" s="515"/>
      <c r="H1429" s="515"/>
      <c r="I1429" s="515"/>
    </row>
    <row r="1430" spans="1:9" ht="20.100000000000001" customHeight="1">
      <c r="A1430" s="514" t="s">
        <v>100</v>
      </c>
      <c r="B1430" s="514" t="s">
        <v>116</v>
      </c>
      <c r="C1430" s="514" t="s">
        <v>117</v>
      </c>
      <c r="D1430" s="514" t="s">
        <v>1530</v>
      </c>
      <c r="E1430" s="514" t="s">
        <v>115</v>
      </c>
      <c r="F1430" s="514" t="s">
        <v>243</v>
      </c>
      <c r="G1430" s="514" t="s">
        <v>1531</v>
      </c>
      <c r="H1430" s="514" t="s">
        <v>1532</v>
      </c>
      <c r="I1430" s="514" t="s">
        <v>1533</v>
      </c>
    </row>
    <row r="1431" spans="1:9" ht="20.100000000000001" customHeight="1">
      <c r="A1431" s="590" t="s">
        <v>1501</v>
      </c>
      <c r="B1431" s="82">
        <f>B1425</f>
        <v>2.0558000000000014</v>
      </c>
      <c r="C1431" s="82">
        <f t="shared" ref="C1431:C1432" si="97">C1425</f>
        <v>0.19919999999999938</v>
      </c>
      <c r="D1431" s="82">
        <f>C1431/B1431</f>
        <v>9.6896585270940389E-2</v>
      </c>
      <c r="E1431" s="82">
        <f>D1328/E1328</f>
        <v>0.5335065249569021</v>
      </c>
      <c r="F1431" s="82">
        <f>E1431*0.5/100</f>
        <v>2.6675326247845104E-3</v>
      </c>
      <c r="G1431" s="82">
        <f t="array" ref="G1431:H1431">ResultIDMS_GS($D$1405:$D$1409,$E$1405:$E$1409,D1431,D1431*0.1/100,E1431,F1431)</f>
        <v>0.5497222372570113</v>
      </c>
      <c r="H1431" s="272">
        <v>4.2419247384710753E-3</v>
      </c>
      <c r="I1431" s="525">
        <f>H1431/G1431</f>
        <v>7.7164874385240679E-3</v>
      </c>
    </row>
    <row r="1432" spans="1:9" ht="20.100000000000001" customHeight="1">
      <c r="A1432" s="589" t="s">
        <v>1502</v>
      </c>
      <c r="B1432" s="81">
        <f t="shared" ref="B1432" si="98">B1426</f>
        <v>2.0579000000000001</v>
      </c>
      <c r="C1432" s="81">
        <f t="shared" si="97"/>
        <v>0.19929999999999914</v>
      </c>
      <c r="D1432" s="81">
        <f>C1432/B1432</f>
        <v>9.6846299625831744E-2</v>
      </c>
      <c r="E1432" s="81">
        <f>D1329/E1329</f>
        <v>1.0109458757156817</v>
      </c>
      <c r="F1432" s="81">
        <f t="shared" ref="F1432" si="99">E1432*0.5/100</f>
        <v>5.0547293785784091E-3</v>
      </c>
      <c r="G1432" s="81">
        <f t="array" ref="G1432:H1432">ResultIDMS_GS($D$1405:$D$1409,$E$1405:$E$1409,D1432,D1432*0.1/100,E1432,F1432)</f>
        <v>1.0422494587926852</v>
      </c>
      <c r="H1432" s="143">
        <v>6.7067146587788326E-3</v>
      </c>
      <c r="I1432" s="202">
        <f t="shared" ref="I1432" si="100">H1432/G1432</f>
        <v>6.4348459020048014E-3</v>
      </c>
    </row>
    <row r="1434" spans="1:9" s="149" customFormat="1" ht="20.100000000000001" customHeight="1">
      <c r="A1434" s="150" t="s">
        <v>2266</v>
      </c>
    </row>
    <row r="1436" spans="1:9" ht="20.100000000000001" customHeight="1">
      <c r="A1436" s="480" t="s">
        <v>2</v>
      </c>
      <c r="B1436" s="235">
        <v>45356</v>
      </c>
    </row>
    <row r="1438" spans="1:9" ht="20.100000000000001" customHeight="1">
      <c r="A1438" s="588" t="s">
        <v>2267</v>
      </c>
    </row>
    <row r="1439" spans="1:9" ht="20.100000000000001" customHeight="1">
      <c r="A1439" s="588" t="s">
        <v>2268</v>
      </c>
    </row>
    <row r="1440" spans="1:9" ht="20.100000000000001" customHeight="1">
      <c r="A1440" s="588" t="s">
        <v>2269</v>
      </c>
    </row>
    <row r="1441" spans="1:1" ht="20.100000000000001" customHeight="1">
      <c r="A1441" s="588" t="s">
        <v>2271</v>
      </c>
    </row>
    <row r="1442" spans="1:1" ht="20.100000000000001" customHeight="1">
      <c r="A1442" s="588" t="s">
        <v>2270</v>
      </c>
    </row>
    <row r="1443" spans="1:1" ht="20.100000000000001" customHeight="1">
      <c r="A1443" s="588" t="s">
        <v>2272</v>
      </c>
    </row>
    <row r="1445" spans="1:1" ht="20.100000000000001" customHeight="1">
      <c r="A1445" s="239" t="s">
        <v>2273</v>
      </c>
    </row>
    <row r="1446" spans="1:1" ht="20.100000000000001" customHeight="1">
      <c r="A1446" s="239" t="s">
        <v>2274</v>
      </c>
    </row>
    <row r="1447" spans="1:1" s="588" customFormat="1" ht="20.100000000000001" customHeight="1"/>
    <row r="1448" spans="1:1" ht="20.100000000000001" customHeight="1">
      <c r="A1448" s="57" t="s">
        <v>2275</v>
      </c>
    </row>
    <row r="1465" spans="1:5" s="149" customFormat="1" ht="20.100000000000001" customHeight="1">
      <c r="A1465" s="150" t="s">
        <v>2484</v>
      </c>
    </row>
    <row r="1467" spans="1:5" s="588" customFormat="1" ht="20.100000000000001" customHeight="1">
      <c r="A1467" s="480" t="s">
        <v>2</v>
      </c>
      <c r="B1467" s="235">
        <v>45414</v>
      </c>
    </row>
    <row r="1468" spans="1:5" s="588" customFormat="1" ht="20.100000000000001" customHeight="1">
      <c r="A1468" s="480"/>
    </row>
    <row r="1469" spans="1:5" s="588" customFormat="1" ht="20.100000000000001" customHeight="1">
      <c r="A1469" s="587" t="s">
        <v>298</v>
      </c>
      <c r="B1469" s="587" t="s">
        <v>302</v>
      </c>
      <c r="C1469" s="587" t="s">
        <v>429</v>
      </c>
      <c r="D1469" s="587" t="s">
        <v>262</v>
      </c>
      <c r="E1469" s="587" t="s">
        <v>4</v>
      </c>
    </row>
    <row r="1470" spans="1:5" s="588" customFormat="1" ht="20.100000000000001" customHeight="1">
      <c r="A1470" s="593" t="s">
        <v>520</v>
      </c>
      <c r="B1470" s="157">
        <f>AVERAGE(CHAR_HOM!I593:I602,CHAR_HOM!L630:L639,CHAR_HOM!L746:L750,CHAR_HOM!I1013:I1022)</f>
        <v>7.5564716705330173E-2</v>
      </c>
      <c r="C1470" s="157">
        <f>STDEV(CHAR_HOM!I593:I602,CHAR_HOM!L630:L639,CHAR_HOM!L746:L750,CHAR_HOM!I1013:I1022)</f>
        <v>2.4519529003950996E-4</v>
      </c>
      <c r="D1470" s="206">
        <f>C1470/B1470</f>
        <v>3.2448383416253104E-3</v>
      </c>
      <c r="E1470" s="593" t="s">
        <v>257</v>
      </c>
    </row>
    <row r="1471" spans="1:5" s="588" customFormat="1" ht="20.100000000000001" customHeight="1">
      <c r="A1471" s="593" t="s">
        <v>97</v>
      </c>
      <c r="B1471" s="157">
        <f>AVERAGE(CHAR_HOM!L668:L677,CHAR_HOM!L979:L988)</f>
        <v>0.26356538999397416</v>
      </c>
      <c r="C1471" s="157">
        <f>STDEV(CHAR_HOM!L668:L677,CHAR_HOM!L979:L988)</f>
        <v>9.6944221658184474E-4</v>
      </c>
      <c r="D1471" s="206">
        <f>C1471/B1471</f>
        <v>3.6781848201086222E-3</v>
      </c>
      <c r="E1471" s="593" t="s">
        <v>257</v>
      </c>
    </row>
    <row r="1472" spans="1:5" s="588" customFormat="1" ht="20.100000000000001" customHeight="1">
      <c r="A1472" s="589" t="s">
        <v>521</v>
      </c>
      <c r="B1472" s="155">
        <f>AVERAGE(CHAR_HOM!L708:L717,CHAR_HOM!L1052:L1061,CHAR_HOM!I1173:I1177)</f>
        <v>0.42171281247641884</v>
      </c>
      <c r="C1472" s="155">
        <f>STDEV(CHAR_HOM!L708:L717,CHAR_HOM!L1052:L1061,CHAR_HOM!I1173:I1177)</f>
        <v>5.2795434752972688E-3</v>
      </c>
      <c r="D1472" s="208">
        <f>C1472/B1472</f>
        <v>1.2519286393729116E-2</v>
      </c>
      <c r="E1472" s="589" t="s">
        <v>257</v>
      </c>
    </row>
    <row r="1474" spans="1:43" s="588" customFormat="1" ht="20.100000000000001" customHeight="1">
      <c r="A1474" s="480" t="s">
        <v>2311</v>
      </c>
    </row>
    <row r="1475" spans="1:43" s="588" customFormat="1" ht="20.100000000000001" customHeight="1">
      <c r="A1475" s="480"/>
    </row>
    <row r="1476" spans="1:43" s="588" customFormat="1" ht="20.100000000000001" customHeight="1">
      <c r="A1476" s="587" t="s">
        <v>298</v>
      </c>
      <c r="B1476" s="587" t="s">
        <v>302</v>
      </c>
      <c r="C1476" s="587" t="s">
        <v>4</v>
      </c>
      <c r="D1476" s="592"/>
    </row>
    <row r="1477" spans="1:43" s="588" customFormat="1" ht="20.100000000000001" customHeight="1">
      <c r="A1477" s="593" t="s">
        <v>520</v>
      </c>
      <c r="B1477" s="157">
        <f>B1470</f>
        <v>7.5564716705330173E-2</v>
      </c>
      <c r="C1477" s="593" t="s">
        <v>257</v>
      </c>
      <c r="D1477" s="206"/>
    </row>
    <row r="1478" spans="1:43" s="588" customFormat="1" ht="20.100000000000001" customHeight="1">
      <c r="A1478" s="593" t="s">
        <v>97</v>
      </c>
      <c r="B1478" s="157">
        <f t="shared" ref="B1478" si="101">B1471</f>
        <v>0.26356538999397416</v>
      </c>
      <c r="C1478" s="593" t="s">
        <v>257</v>
      </c>
      <c r="D1478" s="206"/>
    </row>
    <row r="1479" spans="1:43" ht="20.100000000000001" customHeight="1">
      <c r="A1479" s="589" t="s">
        <v>521</v>
      </c>
      <c r="B1479" s="155">
        <f>B1472-(B1472/C1481*C1480)</f>
        <v>0.37953251993826603</v>
      </c>
      <c r="C1479" s="589" t="s">
        <v>257</v>
      </c>
      <c r="D1479" s="206"/>
    </row>
    <row r="1480" spans="1:43" s="588" customFormat="1" ht="20.100000000000001" customHeight="1">
      <c r="A1480" s="593" t="s">
        <v>2312</v>
      </c>
      <c r="B1480" s="157"/>
      <c r="C1480" s="154">
        <f>CHAR_HOM!F1045</f>
        <v>1.2451E-2</v>
      </c>
      <c r="D1480" s="206"/>
    </row>
    <row r="1481" spans="1:43" s="588" customFormat="1" ht="20.100000000000001" customHeight="1">
      <c r="A1481" s="593" t="s">
        <v>2313</v>
      </c>
      <c r="B1481" s="157"/>
      <c r="C1481" s="157">
        <f>AVERAGE(CHAR_HOM!G1052:G1061)</f>
        <v>0.12448339999999999</v>
      </c>
      <c r="D1481" s="206"/>
    </row>
    <row r="1483" spans="1:43" ht="20.100000000000001" customHeight="1">
      <c r="A1483" s="480" t="s">
        <v>2318</v>
      </c>
    </row>
    <row r="1485" spans="1:43" s="129" customFormat="1" ht="19.95" customHeight="1">
      <c r="A1485" s="104"/>
      <c r="B1485" s="89" t="s">
        <v>158</v>
      </c>
      <c r="D1485" s="89" t="s">
        <v>158</v>
      </c>
      <c r="F1485" s="89" t="s">
        <v>158</v>
      </c>
      <c r="H1485" s="89" t="s">
        <v>2156</v>
      </c>
      <c r="J1485" s="89" t="s">
        <v>2159</v>
      </c>
      <c r="L1485" s="89" t="s">
        <v>2160</v>
      </c>
      <c r="N1485" s="89" t="s">
        <v>2161</v>
      </c>
      <c r="P1485" s="89" t="s">
        <v>2162</v>
      </c>
      <c r="AB1485" s="89" t="s">
        <v>176</v>
      </c>
      <c r="AD1485" s="89" t="s">
        <v>176</v>
      </c>
      <c r="AF1485" s="89" t="s">
        <v>176</v>
      </c>
      <c r="AH1485" s="89" t="s">
        <v>179</v>
      </c>
      <c r="AI1485" s="89" t="s">
        <v>179</v>
      </c>
      <c r="AJ1485" s="89" t="s">
        <v>179</v>
      </c>
    </row>
    <row r="1486" spans="1:43" s="129" customFormat="1" ht="19.95" customHeight="1">
      <c r="A1486" s="89" t="s">
        <v>157</v>
      </c>
      <c r="B1486" s="89" t="s">
        <v>1561</v>
      </c>
      <c r="C1486" s="89" t="s">
        <v>1562</v>
      </c>
      <c r="D1486" s="89" t="s">
        <v>168</v>
      </c>
      <c r="E1486" s="89" t="s">
        <v>173</v>
      </c>
      <c r="F1486" s="89" t="s">
        <v>1557</v>
      </c>
      <c r="G1486" s="89" t="s">
        <v>1558</v>
      </c>
      <c r="H1486" s="129" t="s">
        <v>169</v>
      </c>
      <c r="I1486" s="129" t="s">
        <v>170</v>
      </c>
      <c r="J1486" s="129" t="s">
        <v>169</v>
      </c>
      <c r="K1486" s="129" t="s">
        <v>170</v>
      </c>
      <c r="L1486" s="129" t="s">
        <v>169</v>
      </c>
      <c r="M1486" s="129" t="s">
        <v>170</v>
      </c>
      <c r="N1486" s="129" t="s">
        <v>169</v>
      </c>
      <c r="O1486" s="129" t="s">
        <v>170</v>
      </c>
      <c r="P1486" s="129" t="s">
        <v>169</v>
      </c>
      <c r="Q1486" s="129" t="s">
        <v>170</v>
      </c>
      <c r="R1486" s="89" t="s">
        <v>140</v>
      </c>
      <c r="S1486" s="89" t="s">
        <v>2008</v>
      </c>
      <c r="T1486" s="89" t="s">
        <v>2009</v>
      </c>
      <c r="U1486" s="89" t="s">
        <v>2017</v>
      </c>
      <c r="V1486" s="89" t="s">
        <v>2018</v>
      </c>
      <c r="W1486" s="714" t="s">
        <v>2150</v>
      </c>
      <c r="X1486" s="714" t="s">
        <v>2151</v>
      </c>
      <c r="Y1486" s="714" t="s">
        <v>2152</v>
      </c>
      <c r="Z1486" s="714" t="s">
        <v>2165</v>
      </c>
      <c r="AA1486" s="714" t="s">
        <v>2166</v>
      </c>
      <c r="AB1486" s="89" t="s">
        <v>1561</v>
      </c>
      <c r="AC1486" s="89" t="s">
        <v>1562</v>
      </c>
      <c r="AD1486" s="89" t="s">
        <v>168</v>
      </c>
      <c r="AE1486" s="89" t="s">
        <v>173</v>
      </c>
      <c r="AF1486" s="89" t="s">
        <v>1557</v>
      </c>
      <c r="AG1486" s="89" t="s">
        <v>1558</v>
      </c>
      <c r="AH1486" s="129" t="s">
        <v>1563</v>
      </c>
      <c r="AI1486" s="129" t="s">
        <v>258</v>
      </c>
      <c r="AJ1486" s="129" t="s">
        <v>1559</v>
      </c>
      <c r="AK1486" s="89" t="s">
        <v>159</v>
      </c>
      <c r="AL1486" s="89" t="s">
        <v>160</v>
      </c>
      <c r="AM1486" s="89" t="s">
        <v>161</v>
      </c>
      <c r="AN1486" s="89" t="s">
        <v>79</v>
      </c>
      <c r="AO1486" s="89" t="s">
        <v>80</v>
      </c>
      <c r="AP1486" s="89" t="s">
        <v>3</v>
      </c>
      <c r="AQ1486" s="89" t="s">
        <v>75</v>
      </c>
    </row>
    <row r="1487" spans="1:43" s="129" customFormat="1" ht="19.95" customHeight="1">
      <c r="A1487" s="576" t="s">
        <v>162</v>
      </c>
      <c r="B1487" s="576" t="s">
        <v>156</v>
      </c>
      <c r="C1487" s="576" t="s">
        <v>156</v>
      </c>
      <c r="D1487" s="576" t="s">
        <v>156</v>
      </c>
      <c r="E1487" s="576" t="s">
        <v>156</v>
      </c>
      <c r="F1487" s="576" t="s">
        <v>156</v>
      </c>
      <c r="G1487" s="576" t="s">
        <v>156</v>
      </c>
      <c r="H1487" s="576" t="s">
        <v>64</v>
      </c>
      <c r="I1487" s="576" t="s">
        <v>64</v>
      </c>
      <c r="J1487" s="576" t="s">
        <v>64</v>
      </c>
      <c r="K1487" s="576" t="s">
        <v>64</v>
      </c>
      <c r="L1487" s="576" t="s">
        <v>64</v>
      </c>
      <c r="M1487" s="576" t="s">
        <v>64</v>
      </c>
      <c r="N1487" s="576" t="s">
        <v>64</v>
      </c>
      <c r="O1487" s="576" t="s">
        <v>64</v>
      </c>
      <c r="P1487" s="576" t="s">
        <v>64</v>
      </c>
      <c r="Q1487" s="576" t="s">
        <v>64</v>
      </c>
      <c r="R1487" s="576" t="s">
        <v>64</v>
      </c>
      <c r="S1487" s="576" t="s">
        <v>64</v>
      </c>
      <c r="T1487" s="576" t="s">
        <v>64</v>
      </c>
      <c r="U1487" s="576" t="s">
        <v>64</v>
      </c>
      <c r="V1487" s="576" t="s">
        <v>64</v>
      </c>
      <c r="W1487" s="576" t="s">
        <v>64</v>
      </c>
      <c r="X1487" s="576" t="s">
        <v>64</v>
      </c>
      <c r="Y1487" s="576" t="s">
        <v>64</v>
      </c>
      <c r="Z1487" s="576" t="s">
        <v>64</v>
      </c>
      <c r="AA1487" s="576" t="s">
        <v>64</v>
      </c>
      <c r="AB1487" s="576" t="s">
        <v>156</v>
      </c>
      <c r="AC1487" s="576" t="s">
        <v>156</v>
      </c>
      <c r="AD1487" s="576" t="s">
        <v>156</v>
      </c>
      <c r="AE1487" s="576" t="s">
        <v>156</v>
      </c>
      <c r="AF1487" s="576" t="s">
        <v>156</v>
      </c>
      <c r="AG1487" s="576" t="s">
        <v>156</v>
      </c>
      <c r="AH1487" s="129" t="s">
        <v>74</v>
      </c>
      <c r="AI1487" s="576" t="s">
        <v>74</v>
      </c>
      <c r="AJ1487" s="576" t="s">
        <v>74</v>
      </c>
      <c r="AK1487" s="576"/>
      <c r="AL1487" s="576" t="s">
        <v>163</v>
      </c>
      <c r="AM1487" s="576" t="s">
        <v>163</v>
      </c>
      <c r="AN1487" s="576" t="s">
        <v>92</v>
      </c>
      <c r="AO1487" s="576" t="s">
        <v>74</v>
      </c>
      <c r="AP1487" s="576" t="s">
        <v>90</v>
      </c>
      <c r="AQ1487" s="576" t="s">
        <v>91</v>
      </c>
    </row>
    <row r="1488" spans="1:43" s="129" customFormat="1" ht="19.95" customHeight="1">
      <c r="A1488" s="513" t="s">
        <v>2316</v>
      </c>
      <c r="B1488" s="538">
        <f>pNO2v</f>
        <v>1004.0619057904013</v>
      </c>
      <c r="C1488" s="538">
        <v>0</v>
      </c>
      <c r="D1488" s="538">
        <f>pPO4v</f>
        <v>1000.5</v>
      </c>
      <c r="E1488" s="538">
        <v>0</v>
      </c>
      <c r="F1488" s="538">
        <f>CHAR_HOM!P773</f>
        <v>744.46277781926381</v>
      </c>
      <c r="G1488" s="538">
        <f>CHAR_HOM!Q773</f>
        <v>0.20096610640142498</v>
      </c>
      <c r="H1488" s="539">
        <v>11.765499999999999</v>
      </c>
      <c r="I1488" s="539">
        <v>-1E-4</v>
      </c>
      <c r="J1488" s="539">
        <v>12.1433</v>
      </c>
      <c r="K1488" s="539">
        <v>-1E-4</v>
      </c>
      <c r="L1488" s="539">
        <v>13.4793</v>
      </c>
      <c r="M1488" s="539">
        <v>0</v>
      </c>
      <c r="N1488" s="539">
        <v>16.045400000000001</v>
      </c>
      <c r="O1488" s="539">
        <v>0</v>
      </c>
      <c r="P1488" s="539">
        <v>61.755699999999997</v>
      </c>
      <c r="Q1488" s="539">
        <v>2.0000000000000001E-4</v>
      </c>
      <c r="R1488" s="112">
        <f>H1488-I1488/2</f>
        <v>11.765549999999999</v>
      </c>
      <c r="S1488" s="112">
        <f>J1488-K1488/2</f>
        <v>12.14335</v>
      </c>
      <c r="T1488" s="112">
        <f>L1488-M1488/2</f>
        <v>13.4793</v>
      </c>
      <c r="U1488" s="112">
        <f>N1488-O1488/2</f>
        <v>16.045400000000001</v>
      </c>
      <c r="V1488" s="112">
        <f>P1488-Q1488/2</f>
        <v>61.755599999999994</v>
      </c>
      <c r="W1488" s="513">
        <f>u_m1</f>
        <v>2.0000000000000001E-4</v>
      </c>
      <c r="X1488" s="513">
        <f>u_m1</f>
        <v>2.0000000000000001E-4</v>
      </c>
      <c r="Y1488" s="513">
        <f>u_m1</f>
        <v>2.0000000000000001E-4</v>
      </c>
      <c r="Z1488" s="513">
        <f>u_m1</f>
        <v>2.0000000000000001E-4</v>
      </c>
      <c r="AA1488" s="112">
        <f>u_m2</f>
        <v>2E-3</v>
      </c>
      <c r="AB1488" s="717" cm="1">
        <f t="array" ref="AB1488:AG1488">WnAnS(B1488:G1488,R1488:V1488,W1488:AA1488)</f>
        <v>7.588201812312934</v>
      </c>
      <c r="AC1488" s="717">
        <v>5.6891494160944724E-3</v>
      </c>
      <c r="AD1488" s="717">
        <v>26.737680298379384</v>
      </c>
      <c r="AE1488" s="717">
        <v>5.7619879051600265E-3</v>
      </c>
      <c r="AF1488" s="717">
        <v>38.214923453007415</v>
      </c>
      <c r="AG1488" s="717">
        <v>1.1248277907504208E-2</v>
      </c>
      <c r="AH1488" s="872">
        <f>AB1488/(B1477*100)</f>
        <v>1.0041990684493201</v>
      </c>
      <c r="AI1488" s="872">
        <f>AD1488/(B1478*100)</f>
        <v>1.0144609767993698</v>
      </c>
      <c r="AJ1488" s="872">
        <f>AF1488/(B1479*100)</f>
        <v>1.0068945728082372</v>
      </c>
      <c r="AK1488" s="513" t="s">
        <v>196</v>
      </c>
      <c r="AL1488" s="541">
        <v>20240502</v>
      </c>
      <c r="AM1488" s="513">
        <f>AL1488+1</f>
        <v>20240503</v>
      </c>
      <c r="AN1488" s="541">
        <v>22.3</v>
      </c>
      <c r="AO1488" s="541">
        <v>46.1</v>
      </c>
      <c r="AP1488" s="513" t="s">
        <v>101</v>
      </c>
      <c r="AQ1488" s="513" t="s">
        <v>94</v>
      </c>
    </row>
    <row r="1489" spans="1:35" s="129" customFormat="1" ht="19.95" customHeight="1">
      <c r="A1489" s="129" t="s">
        <v>2314</v>
      </c>
      <c r="L1489" s="77"/>
      <c r="N1489" s="77"/>
    </row>
    <row r="1490" spans="1:35" ht="20.100000000000001" customHeight="1">
      <c r="A1490" s="80" t="s">
        <v>1566</v>
      </c>
      <c r="I1490" s="60"/>
    </row>
    <row r="1492" spans="1:35" ht="20.100000000000001" customHeight="1">
      <c r="A1492" s="480" t="s">
        <v>2315</v>
      </c>
    </row>
    <row r="1494" spans="1:35" s="148" customFormat="1" ht="20.100000000000001" customHeight="1">
      <c r="A1494" s="86"/>
      <c r="B1494" s="89" t="s">
        <v>158</v>
      </c>
      <c r="C1494" s="129"/>
      <c r="D1494" s="89" t="s">
        <v>158</v>
      </c>
      <c r="E1494" s="129"/>
      <c r="F1494" s="89" t="s">
        <v>158</v>
      </c>
      <c r="G1494" s="129"/>
      <c r="H1494" s="89" t="s">
        <v>2156</v>
      </c>
      <c r="I1494" s="129"/>
      <c r="J1494" s="89" t="s">
        <v>2167</v>
      </c>
      <c r="K1494" s="129"/>
      <c r="L1494" s="89" t="s">
        <v>2168</v>
      </c>
      <c r="M1494" s="129"/>
      <c r="N1494" s="132"/>
      <c r="O1494" s="132"/>
      <c r="P1494" s="87"/>
      <c r="Q1494" s="564"/>
      <c r="R1494" s="564"/>
      <c r="S1494" s="564"/>
      <c r="T1494" s="89" t="s">
        <v>176</v>
      </c>
      <c r="U1494" s="129"/>
      <c r="V1494" s="89" t="s">
        <v>176</v>
      </c>
      <c r="W1494" s="129"/>
      <c r="X1494" s="89" t="s">
        <v>176</v>
      </c>
      <c r="Y1494" s="129"/>
      <c r="Z1494" s="89" t="s">
        <v>179</v>
      </c>
      <c r="AA1494" s="89"/>
      <c r="AB1494" s="129"/>
      <c r="AC1494" s="554"/>
      <c r="AD1494" s="86"/>
      <c r="AE1494" s="554"/>
      <c r="AF1494" s="554"/>
      <c r="AG1494" s="86"/>
      <c r="AH1494" s="86"/>
    </row>
    <row r="1495" spans="1:35" s="148" customFormat="1" ht="20.100000000000001" customHeight="1">
      <c r="A1495" s="89" t="s">
        <v>157</v>
      </c>
      <c r="B1495" s="89" t="s">
        <v>1561</v>
      </c>
      <c r="C1495" s="89" t="s">
        <v>1562</v>
      </c>
      <c r="D1495" s="89" t="s">
        <v>168</v>
      </c>
      <c r="E1495" s="89" t="s">
        <v>173</v>
      </c>
      <c r="F1495" s="89" t="s">
        <v>1557</v>
      </c>
      <c r="G1495" s="89" t="s">
        <v>1558</v>
      </c>
      <c r="H1495" s="129" t="s">
        <v>169</v>
      </c>
      <c r="I1495" s="129" t="s">
        <v>170</v>
      </c>
      <c r="J1495" s="129" t="s">
        <v>169</v>
      </c>
      <c r="K1495" s="129" t="s">
        <v>170</v>
      </c>
      <c r="L1495" s="129" t="s">
        <v>169</v>
      </c>
      <c r="M1495" s="129" t="s">
        <v>170</v>
      </c>
      <c r="N1495" s="89" t="s">
        <v>140</v>
      </c>
      <c r="O1495" s="89" t="s">
        <v>2008</v>
      </c>
      <c r="P1495" s="89" t="s">
        <v>2009</v>
      </c>
      <c r="Q1495" s="714" t="s">
        <v>2150</v>
      </c>
      <c r="R1495" s="714" t="s">
        <v>2151</v>
      </c>
      <c r="S1495" s="714" t="s">
        <v>2152</v>
      </c>
      <c r="T1495" s="89" t="s">
        <v>1561</v>
      </c>
      <c r="U1495" s="89" t="s">
        <v>1562</v>
      </c>
      <c r="V1495" s="89" t="s">
        <v>168</v>
      </c>
      <c r="W1495" s="89" t="s">
        <v>173</v>
      </c>
      <c r="X1495" s="89" t="s">
        <v>1557</v>
      </c>
      <c r="Y1495" s="89" t="s">
        <v>1558</v>
      </c>
      <c r="Z1495" s="129" t="s">
        <v>1563</v>
      </c>
      <c r="AA1495" s="129" t="s">
        <v>258</v>
      </c>
      <c r="AB1495" s="129" t="s">
        <v>1559</v>
      </c>
      <c r="AC1495" s="89" t="s">
        <v>159</v>
      </c>
      <c r="AD1495" s="89" t="s">
        <v>160</v>
      </c>
      <c r="AE1495" s="89" t="s">
        <v>161</v>
      </c>
      <c r="AF1495" s="89" t="s">
        <v>79</v>
      </c>
      <c r="AG1495" s="89" t="s">
        <v>80</v>
      </c>
      <c r="AH1495" s="89" t="s">
        <v>3</v>
      </c>
      <c r="AI1495" s="89" t="s">
        <v>75</v>
      </c>
    </row>
    <row r="1496" spans="1:35" s="148" customFormat="1" ht="20.100000000000001" customHeight="1">
      <c r="A1496" s="576" t="s">
        <v>162</v>
      </c>
      <c r="B1496" s="576" t="s">
        <v>156</v>
      </c>
      <c r="C1496" s="576" t="s">
        <v>156</v>
      </c>
      <c r="D1496" s="576" t="s">
        <v>156</v>
      </c>
      <c r="E1496" s="576" t="s">
        <v>156</v>
      </c>
      <c r="F1496" s="576" t="s">
        <v>156</v>
      </c>
      <c r="G1496" s="576" t="s">
        <v>156</v>
      </c>
      <c r="H1496" s="576" t="s">
        <v>64</v>
      </c>
      <c r="I1496" s="576" t="s">
        <v>64</v>
      </c>
      <c r="J1496" s="576" t="s">
        <v>64</v>
      </c>
      <c r="K1496" s="576" t="s">
        <v>64</v>
      </c>
      <c r="L1496" s="576" t="s">
        <v>64</v>
      </c>
      <c r="M1496" s="576" t="s">
        <v>64</v>
      </c>
      <c r="N1496" s="576" t="s">
        <v>64</v>
      </c>
      <c r="O1496" s="576" t="s">
        <v>64</v>
      </c>
      <c r="P1496" s="576" t="s">
        <v>64</v>
      </c>
      <c r="Q1496" s="576" t="s">
        <v>64</v>
      </c>
      <c r="R1496" s="576" t="s">
        <v>64</v>
      </c>
      <c r="S1496" s="576" t="s">
        <v>64</v>
      </c>
      <c r="T1496" s="576" t="s">
        <v>156</v>
      </c>
      <c r="U1496" s="576" t="s">
        <v>156</v>
      </c>
      <c r="V1496" s="576" t="s">
        <v>156</v>
      </c>
      <c r="W1496" s="576" t="s">
        <v>156</v>
      </c>
      <c r="X1496" s="576" t="s">
        <v>156</v>
      </c>
      <c r="Y1496" s="576" t="s">
        <v>156</v>
      </c>
      <c r="Z1496" s="576" t="s">
        <v>74</v>
      </c>
      <c r="AA1496" s="576" t="s">
        <v>74</v>
      </c>
      <c r="AB1496" s="576" t="s">
        <v>74</v>
      </c>
      <c r="AC1496" s="576"/>
      <c r="AD1496" s="576" t="s">
        <v>163</v>
      </c>
      <c r="AE1496" s="576" t="s">
        <v>163</v>
      </c>
      <c r="AF1496" s="576" t="s">
        <v>92</v>
      </c>
      <c r="AG1496" s="576" t="s">
        <v>74</v>
      </c>
      <c r="AH1496" s="576" t="s">
        <v>90</v>
      </c>
      <c r="AI1496" s="576" t="s">
        <v>91</v>
      </c>
    </row>
    <row r="1497" spans="1:35" s="148" customFormat="1" ht="20.100000000000001" customHeight="1">
      <c r="A1497" s="513" t="s">
        <v>2317</v>
      </c>
      <c r="B1497" s="542">
        <f>AB1488</f>
        <v>7.588201812312934</v>
      </c>
      <c r="C1497" s="542">
        <f t="shared" ref="C1497:G1497" si="102">AC1488</f>
        <v>5.6891494160944724E-3</v>
      </c>
      <c r="D1497" s="542">
        <f t="shared" si="102"/>
        <v>26.737680298379384</v>
      </c>
      <c r="E1497" s="542">
        <f t="shared" si="102"/>
        <v>5.7619879051600265E-3</v>
      </c>
      <c r="F1497" s="542">
        <f t="shared" si="102"/>
        <v>38.214923453007415</v>
      </c>
      <c r="G1497" s="542">
        <f t="shared" si="102"/>
        <v>1.1248277907504208E-2</v>
      </c>
      <c r="H1497" s="539">
        <v>21.740200000000002</v>
      </c>
      <c r="I1497" s="539">
        <v>0</v>
      </c>
      <c r="J1497" s="539">
        <v>22.766999999999999</v>
      </c>
      <c r="K1497" s="539">
        <v>0</v>
      </c>
      <c r="L1497" s="539">
        <v>124.8505</v>
      </c>
      <c r="M1497" s="539">
        <v>0</v>
      </c>
      <c r="N1497" s="112">
        <f t="shared" ref="N1497" si="103">H1497-I1497/2</f>
        <v>21.740200000000002</v>
      </c>
      <c r="O1497" s="112">
        <f t="shared" ref="O1497" si="104">J1497-K1497/2</f>
        <v>22.766999999999999</v>
      </c>
      <c r="P1497" s="112">
        <f t="shared" ref="P1497" si="105">L1497-M1497/2</f>
        <v>124.8505</v>
      </c>
      <c r="Q1497" s="513">
        <f t="shared" ref="Q1497:R1497" si="106">u_m1</f>
        <v>2.0000000000000001E-4</v>
      </c>
      <c r="R1497" s="513">
        <f t="shared" si="106"/>
        <v>2.0000000000000001E-4</v>
      </c>
      <c r="S1497" s="112">
        <f t="shared" ref="S1497" si="107">u_m2</f>
        <v>2E-3</v>
      </c>
      <c r="T1497" s="873" cm="1">
        <f t="array" ref="T1497:Y1497">WnA1S(B1497:G1497,N1497:P1497,Q1497:S1497)</f>
        <v>7.5565347214418987E-2</v>
      </c>
      <c r="U1497" s="873">
        <v>6.0374903522450672E-5</v>
      </c>
      <c r="V1497" s="873">
        <v>0.26626098586053865</v>
      </c>
      <c r="W1497" s="873">
        <v>9.3266989255918703E-5</v>
      </c>
      <c r="X1497" s="873">
        <v>0.38055444898858737</v>
      </c>
      <c r="Y1497" s="873">
        <v>1.5359318401331844E-4</v>
      </c>
      <c r="Z1497" s="872">
        <f>T1497/B1477</f>
        <v>1.0000083439615246</v>
      </c>
      <c r="AA1497" s="872">
        <f>V1497/B1478</f>
        <v>1.0102274273060894</v>
      </c>
      <c r="AB1497" s="872">
        <f>X1497/B1479</f>
        <v>1.0026925994391405</v>
      </c>
      <c r="AC1497" s="513" t="s">
        <v>196</v>
      </c>
      <c r="AD1497" s="541">
        <v>20240502</v>
      </c>
      <c r="AE1497" s="513">
        <f>AD1497+1</f>
        <v>20240503</v>
      </c>
      <c r="AF1497" s="541">
        <v>23</v>
      </c>
      <c r="AG1497" s="541">
        <v>45.1</v>
      </c>
      <c r="AH1497" s="513" t="s">
        <v>101</v>
      </c>
      <c r="AI1497" s="513" t="s">
        <v>94</v>
      </c>
    </row>
    <row r="1498" spans="1:35" ht="20.100000000000001" customHeight="1">
      <c r="A1498" s="80" t="s">
        <v>1633</v>
      </c>
    </row>
    <row r="1499" spans="1:35" ht="20.100000000000001" customHeight="1">
      <c r="I1499" s="60"/>
    </row>
    <row r="1500" spans="1:35" ht="20.100000000000001" customHeight="1">
      <c r="A1500" s="480" t="s">
        <v>2319</v>
      </c>
    </row>
    <row r="1502" spans="1:35" ht="20.100000000000001" customHeight="1">
      <c r="A1502" s="592" t="s">
        <v>100</v>
      </c>
      <c r="B1502" s="592" t="s">
        <v>99</v>
      </c>
      <c r="C1502" s="592" t="s">
        <v>100</v>
      </c>
      <c r="D1502" s="592" t="s">
        <v>2320</v>
      </c>
      <c r="E1502" s="592" t="s">
        <v>2329</v>
      </c>
      <c r="F1502" s="592" t="s">
        <v>2330</v>
      </c>
      <c r="G1502" s="592" t="s">
        <v>2407</v>
      </c>
      <c r="H1502" s="592" t="s">
        <v>2408</v>
      </c>
    </row>
    <row r="1503" spans="1:35" ht="20.100000000000001" customHeight="1">
      <c r="A1503" s="589" t="s">
        <v>96</v>
      </c>
      <c r="B1503" s="589" t="s">
        <v>64</v>
      </c>
      <c r="C1503" s="589" t="s">
        <v>64</v>
      </c>
      <c r="D1503" s="589" t="s">
        <v>64</v>
      </c>
      <c r="E1503" s="589" t="s">
        <v>64</v>
      </c>
      <c r="F1503" s="589" t="s">
        <v>64</v>
      </c>
      <c r="G1503" s="589" t="s">
        <v>64</v>
      </c>
      <c r="H1503" s="589" t="s">
        <v>64</v>
      </c>
    </row>
    <row r="1504" spans="1:35" ht="20.100000000000001" customHeight="1">
      <c r="A1504" s="590" t="s">
        <v>2321</v>
      </c>
      <c r="B1504" s="67">
        <v>8.1776999999999997</v>
      </c>
      <c r="C1504" s="67">
        <v>23.5246</v>
      </c>
      <c r="D1504" s="67">
        <f>C1504</f>
        <v>23.5246</v>
      </c>
      <c r="E1504" s="82">
        <f>C1504-B1504</f>
        <v>15.3469</v>
      </c>
      <c r="F1504" s="82">
        <f>D1504-C1504</f>
        <v>0</v>
      </c>
      <c r="G1504" s="272">
        <f>E1504/(E1504+F1504)</f>
        <v>1</v>
      </c>
      <c r="H1504" s="272">
        <f>F1504/(E1504+F1504)</f>
        <v>0</v>
      </c>
    </row>
    <row r="1505" spans="1:18" ht="20.100000000000001" customHeight="1">
      <c r="A1505" s="593" t="s">
        <v>2322</v>
      </c>
      <c r="B1505" s="69">
        <v>8.2073</v>
      </c>
      <c r="C1505" s="69">
        <v>23.550799999999999</v>
      </c>
      <c r="D1505" s="69">
        <v>23.707799999999999</v>
      </c>
      <c r="E1505" s="80">
        <f t="shared" ref="E1505:E1511" si="108">C1505-B1505</f>
        <v>15.343499999999999</v>
      </c>
      <c r="F1505" s="80">
        <f t="shared" ref="F1505:F1511" si="109">D1505-C1505</f>
        <v>0.15700000000000003</v>
      </c>
      <c r="G1505" s="197">
        <f t="shared" ref="G1505:G1511" si="110">E1505/(E1505+F1505)</f>
        <v>0.98987129447437183</v>
      </c>
      <c r="H1505" s="197">
        <f t="shared" ref="H1505:H1511" si="111">F1505/(E1505+F1505)</f>
        <v>1.0128705525628208E-2</v>
      </c>
    </row>
    <row r="1506" spans="1:18" ht="20.100000000000001" customHeight="1">
      <c r="A1506" s="593" t="s">
        <v>2323</v>
      </c>
      <c r="B1506" s="69">
        <v>8.1862999999999992</v>
      </c>
      <c r="C1506" s="69">
        <v>23.540099999999999</v>
      </c>
      <c r="D1506" s="69">
        <v>23.8507</v>
      </c>
      <c r="E1506" s="80">
        <f t="shared" si="108"/>
        <v>15.3538</v>
      </c>
      <c r="F1506" s="80">
        <f t="shared" si="109"/>
        <v>0.31060000000000088</v>
      </c>
      <c r="G1506" s="197">
        <f t="shared" si="110"/>
        <v>0.98017159929521713</v>
      </c>
      <c r="H1506" s="197">
        <f t="shared" si="111"/>
        <v>1.9828400704782874E-2</v>
      </c>
    </row>
    <row r="1507" spans="1:18" ht="20.100000000000001" customHeight="1">
      <c r="A1507" s="589" t="s">
        <v>2324</v>
      </c>
      <c r="B1507" s="76">
        <v>8.1575000000000006</v>
      </c>
      <c r="C1507" s="76">
        <v>23.507999999999999</v>
      </c>
      <c r="D1507" s="76">
        <v>23.9741</v>
      </c>
      <c r="E1507" s="81">
        <f t="shared" si="108"/>
        <v>15.350499999999998</v>
      </c>
      <c r="F1507" s="81">
        <f t="shared" si="109"/>
        <v>0.46610000000000085</v>
      </c>
      <c r="G1507" s="143">
        <f t="shared" si="110"/>
        <v>0.97053096114209114</v>
      </c>
      <c r="H1507" s="143">
        <f t="shared" si="111"/>
        <v>2.9469038857908834E-2</v>
      </c>
    </row>
    <row r="1508" spans="1:18" ht="20.100000000000001" customHeight="1">
      <c r="A1508" s="239" t="s">
        <v>2325</v>
      </c>
      <c r="B1508" s="69">
        <v>8.1418999999999997</v>
      </c>
      <c r="C1508" s="69">
        <v>23.431999999999999</v>
      </c>
      <c r="D1508" s="69">
        <f>C1508</f>
        <v>23.431999999999999</v>
      </c>
      <c r="E1508" s="60">
        <f t="shared" si="108"/>
        <v>15.290099999999999</v>
      </c>
      <c r="F1508" s="60">
        <f t="shared" si="109"/>
        <v>0</v>
      </c>
      <c r="G1508" s="142">
        <f t="shared" si="110"/>
        <v>1</v>
      </c>
      <c r="H1508" s="142">
        <f t="shared" si="111"/>
        <v>0</v>
      </c>
    </row>
    <row r="1509" spans="1:18" ht="20.100000000000001" customHeight="1">
      <c r="A1509" s="588" t="s">
        <v>2326</v>
      </c>
      <c r="B1509" s="69">
        <v>8.1496999999999993</v>
      </c>
      <c r="C1509" s="69">
        <v>23.440300000000001</v>
      </c>
      <c r="D1509" s="69">
        <v>23.596900000000002</v>
      </c>
      <c r="E1509" s="60">
        <f t="shared" si="108"/>
        <v>15.290600000000001</v>
      </c>
      <c r="F1509" s="60">
        <f t="shared" si="109"/>
        <v>0.15660000000000096</v>
      </c>
      <c r="G1509" s="142">
        <f t="shared" si="110"/>
        <v>0.98986224040602822</v>
      </c>
      <c r="H1509" s="142">
        <f t="shared" si="111"/>
        <v>1.0137759593971783E-2</v>
      </c>
    </row>
    <row r="1510" spans="1:18" ht="20.100000000000001" customHeight="1">
      <c r="A1510" s="593" t="s">
        <v>2327</v>
      </c>
      <c r="B1510" s="69">
        <v>8.1564999999999994</v>
      </c>
      <c r="C1510" s="69">
        <v>23.456499999999998</v>
      </c>
      <c r="D1510" s="69">
        <v>23.767199999999999</v>
      </c>
      <c r="E1510" s="80">
        <f t="shared" si="108"/>
        <v>15.299999999999999</v>
      </c>
      <c r="F1510" s="80">
        <f t="shared" si="109"/>
        <v>0.31070000000000064</v>
      </c>
      <c r="G1510" s="142">
        <f t="shared" si="110"/>
        <v>0.98009698476045271</v>
      </c>
      <c r="H1510" s="142">
        <f t="shared" si="111"/>
        <v>1.9903015239547274E-2</v>
      </c>
    </row>
    <row r="1511" spans="1:18" ht="20.100000000000001" customHeight="1">
      <c r="A1511" s="589" t="s">
        <v>2328</v>
      </c>
      <c r="B1511" s="76">
        <v>8.1125000000000007</v>
      </c>
      <c r="C1511" s="76">
        <v>23.376799999999999</v>
      </c>
      <c r="D1511" s="76">
        <v>23.843299999999999</v>
      </c>
      <c r="E1511" s="81">
        <f t="shared" si="108"/>
        <v>15.264299999999999</v>
      </c>
      <c r="F1511" s="81">
        <f t="shared" si="109"/>
        <v>0.46649999999999991</v>
      </c>
      <c r="G1511" s="143">
        <f t="shared" si="110"/>
        <v>0.97034480128156231</v>
      </c>
      <c r="H1511" s="143">
        <f t="shared" si="111"/>
        <v>2.9655198718437713E-2</v>
      </c>
    </row>
    <row r="1512" spans="1:18" ht="20.100000000000001" customHeight="1">
      <c r="A1512" s="239" t="s">
        <v>2331</v>
      </c>
    </row>
    <row r="1513" spans="1:18" ht="20.100000000000001" customHeight="1">
      <c r="A1513" s="239" t="s">
        <v>2332</v>
      </c>
    </row>
    <row r="1514" spans="1:18" ht="20.100000000000001" customHeight="1">
      <c r="A1514" s="239" t="s">
        <v>2333</v>
      </c>
    </row>
    <row r="1515" spans="1:18" ht="20.100000000000001" customHeight="1">
      <c r="A1515" s="874" t="s">
        <v>109</v>
      </c>
    </row>
    <row r="1516" spans="1:18" ht="20.100000000000001" customHeight="1">
      <c r="A1516" s="480" t="s">
        <v>2334</v>
      </c>
    </row>
    <row r="1517" spans="1:18" ht="20.100000000000001" customHeight="1">
      <c r="A1517" s="874" t="s">
        <v>109</v>
      </c>
      <c r="J1517" s="592"/>
    </row>
    <row r="1518" spans="1:18" ht="20.100000000000001" customHeight="1">
      <c r="A1518" s="592" t="s">
        <v>100</v>
      </c>
      <c r="B1518" s="592" t="s">
        <v>99</v>
      </c>
      <c r="C1518" s="592" t="s">
        <v>2404</v>
      </c>
      <c r="D1518" s="592" t="s">
        <v>275</v>
      </c>
      <c r="E1518" s="592" t="s">
        <v>2405</v>
      </c>
      <c r="F1518" s="592" t="s">
        <v>2329</v>
      </c>
      <c r="G1518" s="592" t="s">
        <v>2330</v>
      </c>
      <c r="H1518" s="592" t="s">
        <v>2406</v>
      </c>
      <c r="I1518" s="592" t="s">
        <v>2426</v>
      </c>
      <c r="J1518" s="592" t="s">
        <v>224</v>
      </c>
      <c r="K1518" s="592" t="s">
        <v>134</v>
      </c>
      <c r="L1518" s="480" t="s">
        <v>2427</v>
      </c>
      <c r="N1518" s="480" t="s">
        <v>2428</v>
      </c>
      <c r="Q1518" s="480" t="s">
        <v>2429</v>
      </c>
    </row>
    <row r="1519" spans="1:18" ht="20.100000000000001" customHeight="1">
      <c r="A1519" s="589" t="s">
        <v>96</v>
      </c>
      <c r="B1519" s="589" t="s">
        <v>64</v>
      </c>
      <c r="C1519" s="589" t="s">
        <v>64</v>
      </c>
      <c r="D1519" s="589" t="s">
        <v>64</v>
      </c>
      <c r="E1519" s="589" t="s">
        <v>64</v>
      </c>
      <c r="F1519" s="589" t="s">
        <v>64</v>
      </c>
      <c r="G1519" s="589" t="s">
        <v>64</v>
      </c>
      <c r="H1519" s="589" t="s">
        <v>64</v>
      </c>
      <c r="I1519" s="589" t="s">
        <v>2425</v>
      </c>
      <c r="J1519" s="589" t="s">
        <v>2425</v>
      </c>
      <c r="K1519" s="589" t="s">
        <v>2425</v>
      </c>
      <c r="L1519" s="576" t="s">
        <v>156</v>
      </c>
    </row>
    <row r="1520" spans="1:18" ht="20.100000000000001" customHeight="1">
      <c r="A1520" s="590" t="s">
        <v>2336</v>
      </c>
      <c r="B1520" s="67">
        <v>7.3091999999999997</v>
      </c>
      <c r="C1520" s="67">
        <v>12.4533</v>
      </c>
      <c r="D1520" s="67">
        <v>12.654500000000001</v>
      </c>
      <c r="E1520" s="60">
        <f>C1520-B1520</f>
        <v>5.1441000000000008</v>
      </c>
      <c r="F1520" s="82">
        <f t="shared" ref="F1520:F1527" si="112">E1520*G1504</f>
        <v>5.1441000000000008</v>
      </c>
      <c r="G1520" s="82">
        <f t="shared" ref="G1520:G1527" si="113">E1520*H1504</f>
        <v>0</v>
      </c>
      <c r="H1520" s="60">
        <f t="shared" ref="H1520:H1527" si="114">D1520-B1520</f>
        <v>5.3453000000000008</v>
      </c>
      <c r="I1520" s="60">
        <f>RAW_DATA!G889</f>
        <v>8.3995E-2</v>
      </c>
      <c r="J1520" s="60">
        <f>I1520*H1520/F1520</f>
        <v>8.7280277113586449E-2</v>
      </c>
      <c r="K1520" s="60">
        <f>J1520/dLNSW</f>
        <v>8.521722570420312E-2</v>
      </c>
      <c r="L1520" s="60">
        <f>$AB$1488*G1520/H1520</f>
        <v>0</v>
      </c>
      <c r="N1520" s="845" cm="1">
        <f t="array" ref="N1520:O1524">LINEST(K1520:K1523,L1520:L1523,TRUE,TRUE)</f>
        <v>1.1707777341577585</v>
      </c>
      <c r="O1520" s="660">
        <v>8.5332236617432028E-2</v>
      </c>
      <c r="Q1520" s="897" cm="1">
        <f t="array" ref="Q1520:R1524">LINEST(K1524:K1527,L1524:L1527,TRUE,TRUE)</f>
        <v>1.181990913657609</v>
      </c>
      <c r="R1520" s="898">
        <v>8.5916144674515499E-2</v>
      </c>
    </row>
    <row r="1521" spans="1:18" ht="20.100000000000001" customHeight="1">
      <c r="A1521" s="593" t="s">
        <v>2337</v>
      </c>
      <c r="B1521" s="69">
        <v>7.3243</v>
      </c>
      <c r="C1521" s="69">
        <v>12.463100000000001</v>
      </c>
      <c r="D1521" s="69">
        <v>12.663500000000001</v>
      </c>
      <c r="E1521" s="60">
        <f t="shared" ref="E1521:E1527" si="115">C1521-B1521</f>
        <v>5.1388000000000007</v>
      </c>
      <c r="F1521" s="80">
        <f t="shared" si="112"/>
        <v>5.0867506080449028</v>
      </c>
      <c r="G1521" s="80">
        <f t="shared" si="113"/>
        <v>5.2049391955098237E-2</v>
      </c>
      <c r="H1521" s="60">
        <f t="shared" si="114"/>
        <v>5.3392000000000008</v>
      </c>
      <c r="I1521" s="60">
        <f>RAW_DATA!G890</f>
        <v>0.168045</v>
      </c>
      <c r="J1521" s="60">
        <f t="shared" ref="J1521:J1527" si="116">I1521*H1521/F1521</f>
        <v>0.17638487378976295</v>
      </c>
      <c r="K1521" s="60">
        <f>J1521/dLNSW</f>
        <v>0.17221564937274714</v>
      </c>
      <c r="L1521" s="60">
        <f t="shared" ref="L1521:L1527" si="117">$AB$1488*G1521/H1521</f>
        <v>7.3973870685395307E-2</v>
      </c>
      <c r="N1521" s="846">
        <v>1.6071544971260174E-3</v>
      </c>
      <c r="O1521" s="899">
        <v>2.1675176296084836E-4</v>
      </c>
      <c r="Q1521" s="615">
        <v>1.8670885785407264E-4</v>
      </c>
      <c r="R1521" s="658">
        <v>2.5306846593447928E-5</v>
      </c>
    </row>
    <row r="1522" spans="1:18" ht="20.100000000000001" customHeight="1">
      <c r="A1522" s="593" t="s">
        <v>2338</v>
      </c>
      <c r="B1522" s="69">
        <v>7.2995999999999999</v>
      </c>
      <c r="C1522" s="69">
        <v>12.448399999999999</v>
      </c>
      <c r="D1522" s="69">
        <v>12.6494</v>
      </c>
      <c r="E1522" s="60">
        <f t="shared" si="115"/>
        <v>5.1487999999999996</v>
      </c>
      <c r="F1522" s="80">
        <f t="shared" si="112"/>
        <v>5.0467075304512132</v>
      </c>
      <c r="G1522" s="80">
        <f t="shared" si="113"/>
        <v>0.10209246954878605</v>
      </c>
      <c r="H1522" s="60">
        <f t="shared" si="114"/>
        <v>5.3498000000000001</v>
      </c>
      <c r="I1522" s="60">
        <f>RAW_DATA!G891</f>
        <v>0.246056</v>
      </c>
      <c r="J1522" s="60">
        <f t="shared" si="116"/>
        <v>0.26083350003092187</v>
      </c>
      <c r="K1522" s="60">
        <f>J1522/dLNSW</f>
        <v>0.2546681561794939</v>
      </c>
      <c r="L1522" s="60">
        <f t="shared" si="117"/>
        <v>0.14480882695682107</v>
      </c>
      <c r="N1522" s="900">
        <v>0.99999623127276804</v>
      </c>
      <c r="O1522" s="901">
        <v>2.5749216057858088E-4</v>
      </c>
      <c r="Q1522" s="900">
        <v>0.99999995009643838</v>
      </c>
      <c r="R1522" s="901">
        <v>3.0098393984199715E-5</v>
      </c>
    </row>
    <row r="1523" spans="1:18" ht="20.100000000000001" customHeight="1">
      <c r="A1523" s="589" t="s">
        <v>2339</v>
      </c>
      <c r="B1523" s="76">
        <v>7.2998000000000003</v>
      </c>
      <c r="C1523" s="76">
        <v>12.449</v>
      </c>
      <c r="D1523" s="76">
        <v>12.6502</v>
      </c>
      <c r="E1523" s="81">
        <f t="shared" si="115"/>
        <v>5.1491999999999996</v>
      </c>
      <c r="F1523" s="81">
        <f t="shared" si="112"/>
        <v>4.9974580251128549</v>
      </c>
      <c r="G1523" s="81">
        <f t="shared" si="113"/>
        <v>0.15174197488714417</v>
      </c>
      <c r="H1523" s="81">
        <f t="shared" si="114"/>
        <v>5.3503999999999996</v>
      </c>
      <c r="I1523" s="81">
        <f>RAW_DATA!G892</f>
        <v>0.32271</v>
      </c>
      <c r="J1523" s="81">
        <f t="shared" si="116"/>
        <v>0.34550116785843504</v>
      </c>
      <c r="K1523" s="81">
        <f>J1523/dLNSW</f>
        <v>0.33733452706779787</v>
      </c>
      <c r="L1523" s="81">
        <f t="shared" si="117"/>
        <v>0.2152079711503011</v>
      </c>
      <c r="N1523" s="781">
        <v>530681.13965297921</v>
      </c>
      <c r="O1523" s="606">
        <v>2</v>
      </c>
      <c r="Q1523" s="781">
        <v>40077297.781070739</v>
      </c>
      <c r="R1523" s="606">
        <v>2</v>
      </c>
    </row>
    <row r="1524" spans="1:18" ht="20.100000000000001" customHeight="1">
      <c r="A1524" s="593" t="s">
        <v>2340</v>
      </c>
      <c r="B1524" s="69">
        <v>7.2995000000000001</v>
      </c>
      <c r="C1524" s="69">
        <v>12.436500000000001</v>
      </c>
      <c r="D1524" s="69">
        <v>12.6378</v>
      </c>
      <c r="E1524" s="60">
        <f t="shared" si="115"/>
        <v>5.1370000000000005</v>
      </c>
      <c r="F1524" s="80">
        <f t="shared" si="112"/>
        <v>5.1370000000000005</v>
      </c>
      <c r="G1524" s="80">
        <f t="shared" si="113"/>
        <v>0</v>
      </c>
      <c r="H1524" s="60">
        <f t="shared" si="114"/>
        <v>5.3383000000000003</v>
      </c>
      <c r="I1524" s="60">
        <f>RAW_DATA!G893</f>
        <v>8.4393999999999997E-2</v>
      </c>
      <c r="J1524" s="60">
        <f t="shared" si="116"/>
        <v>8.7701088222698065E-2</v>
      </c>
      <c r="K1524" s="60">
        <f>J1524/dMOOS4</f>
        <v>8.5898016109452371E-2</v>
      </c>
      <c r="L1524" s="60">
        <f t="shared" si="117"/>
        <v>0</v>
      </c>
      <c r="N1524" s="616">
        <v>3.518533382868632E-2</v>
      </c>
      <c r="O1524" s="902">
        <v>1.3260442551885138E-7</v>
      </c>
      <c r="Q1524" s="616">
        <v>3.6306557906635901E-2</v>
      </c>
      <c r="R1524" s="902">
        <v>1.8118266408562193E-9</v>
      </c>
    </row>
    <row r="1525" spans="1:18" ht="20.100000000000001" customHeight="1">
      <c r="A1525" s="593" t="s">
        <v>2341</v>
      </c>
      <c r="B1525" s="69">
        <v>7.3269000000000002</v>
      </c>
      <c r="C1525" s="69">
        <v>12.4452</v>
      </c>
      <c r="D1525" s="69">
        <v>12.6462</v>
      </c>
      <c r="E1525" s="60">
        <f t="shared" si="115"/>
        <v>5.1182999999999996</v>
      </c>
      <c r="F1525" s="80">
        <f t="shared" si="112"/>
        <v>5.0664119050701739</v>
      </c>
      <c r="G1525" s="80">
        <f t="shared" si="113"/>
        <v>5.1888094929825775E-2</v>
      </c>
      <c r="H1525" s="60">
        <f t="shared" si="114"/>
        <v>5.3193000000000001</v>
      </c>
      <c r="I1525" s="60">
        <f>RAW_DATA!G894</f>
        <v>0.16864399999999999</v>
      </c>
      <c r="J1525" s="60">
        <f t="shared" si="116"/>
        <v>0.17706180350284306</v>
      </c>
      <c r="K1525" s="60">
        <f>J1525/dMOOS4</f>
        <v>0.17342153852225028</v>
      </c>
      <c r="L1525" s="60">
        <f t="shared" si="117"/>
        <v>7.4020516982303969E-2</v>
      </c>
    </row>
    <row r="1526" spans="1:18" ht="20.100000000000001" customHeight="1">
      <c r="A1526" s="593" t="s">
        <v>2342</v>
      </c>
      <c r="B1526" s="69">
        <v>7.2919</v>
      </c>
      <c r="C1526" s="69">
        <v>12.432399999999999</v>
      </c>
      <c r="D1526" s="69">
        <v>12.633599999999999</v>
      </c>
      <c r="E1526" s="60">
        <f t="shared" si="115"/>
        <v>5.1404999999999994</v>
      </c>
      <c r="F1526" s="80">
        <f t="shared" si="112"/>
        <v>5.0381885501611068</v>
      </c>
      <c r="G1526" s="80">
        <f t="shared" si="113"/>
        <v>0.10231144983889275</v>
      </c>
      <c r="H1526" s="60">
        <f t="shared" si="114"/>
        <v>5.3416999999999994</v>
      </c>
      <c r="I1526" s="60">
        <f>RAW_DATA!G895</f>
        <v>0.248192</v>
      </c>
      <c r="J1526" s="60">
        <f t="shared" si="116"/>
        <v>0.26314362656348095</v>
      </c>
      <c r="K1526" s="60">
        <f>J1526/dMOOS4</f>
        <v>0.25773358041182837</v>
      </c>
      <c r="L1526" s="60">
        <f t="shared" si="117"/>
        <v>0.14533948538627214</v>
      </c>
    </row>
    <row r="1527" spans="1:18" ht="20.100000000000001" customHeight="1">
      <c r="A1527" s="589" t="s">
        <v>2343</v>
      </c>
      <c r="B1527" s="76">
        <v>7.3190999999999997</v>
      </c>
      <c r="C1527" s="76">
        <v>12.434799999999999</v>
      </c>
      <c r="D1527" s="76">
        <v>12.6357</v>
      </c>
      <c r="E1527" s="81">
        <f t="shared" si="115"/>
        <v>5.1156999999999995</v>
      </c>
      <c r="F1527" s="81">
        <f t="shared" si="112"/>
        <v>4.9639928999160876</v>
      </c>
      <c r="G1527" s="81">
        <f t="shared" si="113"/>
        <v>0.15170710008391178</v>
      </c>
      <c r="H1527" s="81">
        <f t="shared" si="114"/>
        <v>5.3166000000000002</v>
      </c>
      <c r="I1527" s="81">
        <f>RAW_DATA!G896</f>
        <v>0.32585399999999998</v>
      </c>
      <c r="J1527" s="81">
        <f t="shared" si="116"/>
        <v>0.34900037355599067</v>
      </c>
      <c r="K1527" s="81">
        <f>J1527/dMOOS4</f>
        <v>0.34182517363745335</v>
      </c>
      <c r="L1527" s="81">
        <f t="shared" si="117"/>
        <v>0.21652636869380409</v>
      </c>
    </row>
    <row r="1528" spans="1:18" ht="20.100000000000001" customHeight="1">
      <c r="F1528" s="60"/>
      <c r="G1528" s="60"/>
    </row>
    <row r="1529" spans="1:18" s="588" customFormat="1" ht="20.100000000000001" customHeight="1">
      <c r="A1529" s="589"/>
      <c r="B1529" s="587" t="s">
        <v>302</v>
      </c>
      <c r="C1529" s="587" t="s">
        <v>270</v>
      </c>
      <c r="F1529" s="60"/>
      <c r="G1529" s="60"/>
    </row>
    <row r="1530" spans="1:18" s="588" customFormat="1" ht="20.100000000000001" customHeight="1">
      <c r="A1530" s="903" t="s">
        <v>2477</v>
      </c>
      <c r="B1530" s="222">
        <f>Q1520/N1520</f>
        <v>1.009577547618735</v>
      </c>
      <c r="C1530" s="222">
        <f>B1530*SQRT((N1521/N1520)^2+(Q1521/Q1520)^2)</f>
        <v>1.3950164497718756E-3</v>
      </c>
      <c r="F1530" s="60"/>
      <c r="G1530" s="60"/>
    </row>
    <row r="1531" spans="1:18" s="588" customFormat="1" ht="20.100000000000001" customHeight="1">
      <c r="F1531" s="60"/>
      <c r="G1531" s="60"/>
    </row>
    <row r="1532" spans="1:18" ht="20.100000000000001" customHeight="1">
      <c r="A1532" s="480" t="s">
        <v>2335</v>
      </c>
      <c r="B1532" s="588"/>
      <c r="C1532" s="588"/>
      <c r="D1532" s="588"/>
      <c r="F1532" s="60"/>
      <c r="G1532" s="60"/>
    </row>
    <row r="1533" spans="1:18" ht="20.100000000000001" customHeight="1">
      <c r="A1533" s="874" t="s">
        <v>109</v>
      </c>
      <c r="B1533" s="588"/>
      <c r="C1533" s="588"/>
      <c r="D1533" s="588"/>
      <c r="F1533" s="60"/>
      <c r="G1533" s="60"/>
    </row>
    <row r="1534" spans="1:18" ht="20.100000000000001" customHeight="1">
      <c r="A1534" s="592" t="s">
        <v>100</v>
      </c>
      <c r="B1534" s="592" t="s">
        <v>99</v>
      </c>
      <c r="C1534" s="592" t="s">
        <v>2404</v>
      </c>
      <c r="D1534" s="592" t="s">
        <v>275</v>
      </c>
      <c r="E1534" s="592" t="s">
        <v>2405</v>
      </c>
      <c r="F1534" s="592" t="s">
        <v>2329</v>
      </c>
      <c r="G1534" s="592" t="s">
        <v>2330</v>
      </c>
      <c r="H1534" s="592" t="s">
        <v>2406</v>
      </c>
      <c r="I1534" s="592" t="s">
        <v>2426</v>
      </c>
      <c r="J1534" s="592" t="s">
        <v>224</v>
      </c>
      <c r="K1534" s="592" t="s">
        <v>134</v>
      </c>
      <c r="L1534" s="480" t="s">
        <v>2447</v>
      </c>
      <c r="N1534" s="480" t="s">
        <v>2428</v>
      </c>
      <c r="O1534" s="588"/>
      <c r="P1534" s="588"/>
      <c r="Q1534" s="480" t="s">
        <v>2429</v>
      </c>
      <c r="R1534" s="588"/>
    </row>
    <row r="1535" spans="1:18" ht="20.100000000000001" customHeight="1">
      <c r="A1535" s="589" t="s">
        <v>96</v>
      </c>
      <c r="B1535" s="589" t="s">
        <v>64</v>
      </c>
      <c r="C1535" s="589" t="s">
        <v>64</v>
      </c>
      <c r="D1535" s="589" t="s">
        <v>64</v>
      </c>
      <c r="E1535" s="589" t="s">
        <v>64</v>
      </c>
      <c r="F1535" s="589" t="s">
        <v>64</v>
      </c>
      <c r="G1535" s="589" t="s">
        <v>64</v>
      </c>
      <c r="H1535" s="589" t="s">
        <v>64</v>
      </c>
      <c r="I1535" s="589" t="s">
        <v>2430</v>
      </c>
      <c r="J1535" s="589" t="s">
        <v>2430</v>
      </c>
      <c r="K1535" s="589" t="s">
        <v>2430</v>
      </c>
      <c r="L1535" s="576" t="s">
        <v>156</v>
      </c>
      <c r="N1535" s="588"/>
      <c r="O1535" s="588"/>
      <c r="P1535" s="588"/>
      <c r="Q1535" s="588"/>
      <c r="R1535" s="588"/>
    </row>
    <row r="1536" spans="1:18" ht="20.100000000000001" customHeight="1">
      <c r="A1536" s="590" t="s">
        <v>2344</v>
      </c>
      <c r="B1536" s="67">
        <v>7.3259999999999996</v>
      </c>
      <c r="C1536" s="67">
        <v>13.4983</v>
      </c>
      <c r="D1536" s="67">
        <v>14.2828</v>
      </c>
      <c r="E1536" s="60">
        <f>C1536-B1536</f>
        <v>6.1723000000000008</v>
      </c>
      <c r="F1536" s="82">
        <f>E1536*G1504</f>
        <v>6.1723000000000008</v>
      </c>
      <c r="G1536" s="60">
        <f>E1536*H1504</f>
        <v>0</v>
      </c>
      <c r="H1536" s="60">
        <f t="shared" ref="H1536:H1543" si="118">D1536-B1536</f>
        <v>6.9568000000000003</v>
      </c>
      <c r="I1536" s="239">
        <f>RAW_DATA!G901</f>
        <v>0.27951300000000001</v>
      </c>
      <c r="J1536" s="60">
        <f>I1536*H1536/F1536</f>
        <v>0.31503913264099281</v>
      </c>
      <c r="K1536" s="60">
        <f>J1536/dLNSW</f>
        <v>0.30759252559413308</v>
      </c>
      <c r="L1536" s="60">
        <f>$AD$1488*G1536/H1536</f>
        <v>0</v>
      </c>
      <c r="N1536" s="627" cm="1">
        <f t="array" ref="N1536:O1540">LINEST(K1536:K1539,L1536:L1539,TRUE,TRUE)</f>
        <v>1.2879542394582582</v>
      </c>
      <c r="O1536" s="628">
        <v>0.30988044828189582</v>
      </c>
      <c r="P1536" s="588"/>
      <c r="Q1536" s="897" cm="1">
        <f t="array" ref="Q1536:R1540">LINEST(K1540:K1543,L1540:L1543,TRUE,TRUE)</f>
        <v>1.2908666529398107</v>
      </c>
      <c r="R1536" s="898">
        <v>0.30827355182787591</v>
      </c>
    </row>
    <row r="1537" spans="1:18" ht="20.100000000000001" customHeight="1">
      <c r="A1537" s="593" t="s">
        <v>2345</v>
      </c>
      <c r="B1537" s="69">
        <v>7.32</v>
      </c>
      <c r="C1537" s="69">
        <v>13.497999999999999</v>
      </c>
      <c r="D1537" s="69">
        <v>14.2845</v>
      </c>
      <c r="E1537" s="60">
        <f t="shared" ref="E1537:E1543" si="119">C1537-B1537</f>
        <v>6.177999999999999</v>
      </c>
      <c r="F1537" s="80">
        <f t="shared" ref="F1537:F1543" si="120">E1537*G1505</f>
        <v>6.1154248572626679</v>
      </c>
      <c r="G1537" s="60">
        <f t="shared" ref="G1537:G1543" si="121">E1537*H1505</f>
        <v>6.2575142737331058E-2</v>
      </c>
      <c r="H1537" s="60">
        <f t="shared" si="118"/>
        <v>6.9644999999999992</v>
      </c>
      <c r="I1537" s="588">
        <f>RAW_DATA!G902</f>
        <v>0.55881199999999998</v>
      </c>
      <c r="J1537" s="60">
        <f t="shared" ref="J1537:J1543" si="122">I1537*H1537/F1537</f>
        <v>0.63639833124235834</v>
      </c>
      <c r="K1537" s="60">
        <f>J1537/dLNSW</f>
        <v>0.62135572920650417</v>
      </c>
      <c r="L1537" s="60">
        <f t="shared" ref="L1537:L1543" si="123">$AD$1488*G1537/H1537</f>
        <v>0.24023464155879309</v>
      </c>
      <c r="N1537" s="613">
        <v>6.7357010005709358E-3</v>
      </c>
      <c r="O1537" s="618">
        <v>2.949907886621886E-3</v>
      </c>
      <c r="P1537" s="588"/>
      <c r="Q1537" s="615">
        <v>1.1473982013283921E-2</v>
      </c>
      <c r="R1537" s="658">
        <v>5.0494975684416497E-3</v>
      </c>
    </row>
    <row r="1538" spans="1:18" ht="20.100000000000001" customHeight="1">
      <c r="A1538" s="593" t="s">
        <v>2346</v>
      </c>
      <c r="B1538" s="69">
        <v>7.3673000000000002</v>
      </c>
      <c r="C1538" s="69">
        <v>13.540900000000001</v>
      </c>
      <c r="D1538" s="69">
        <v>14.327199999999999</v>
      </c>
      <c r="E1538" s="60">
        <f t="shared" si="119"/>
        <v>6.1736000000000004</v>
      </c>
      <c r="F1538" s="80">
        <f t="shared" si="120"/>
        <v>6.0511873854089533</v>
      </c>
      <c r="G1538" s="60">
        <f t="shared" si="121"/>
        <v>0.12241261459104756</v>
      </c>
      <c r="H1538" s="60">
        <f t="shared" si="118"/>
        <v>6.9598999999999993</v>
      </c>
      <c r="I1538" s="588">
        <f>RAW_DATA!G903</f>
        <v>0.81783899999999998</v>
      </c>
      <c r="J1538" s="60">
        <f t="shared" si="122"/>
        <v>0.94065466718567259</v>
      </c>
      <c r="K1538" s="60">
        <f>J1538/dLNSW</f>
        <v>0.91842033199497541</v>
      </c>
      <c r="L1538" s="60">
        <f t="shared" si="123"/>
        <v>0.47026959488270831</v>
      </c>
      <c r="N1538" s="900">
        <v>0.99994530205943299</v>
      </c>
      <c r="O1538" s="901">
        <v>3.5042578688165762E-3</v>
      </c>
      <c r="P1538" s="588"/>
      <c r="Q1538" s="900">
        <v>0.99984201096646397</v>
      </c>
      <c r="R1538" s="901">
        <v>6.0051890553893287E-3</v>
      </c>
    </row>
    <row r="1539" spans="1:18" ht="20.100000000000001" customHeight="1">
      <c r="A1539" s="589" t="s">
        <v>2347</v>
      </c>
      <c r="B1539" s="76">
        <v>7.3208000000000002</v>
      </c>
      <c r="C1539" s="76">
        <v>13.494899999999999</v>
      </c>
      <c r="D1539" s="76">
        <v>14.282299999999999</v>
      </c>
      <c r="E1539" s="81">
        <f t="shared" si="119"/>
        <v>6.1740999999999993</v>
      </c>
      <c r="F1539" s="81">
        <f t="shared" si="120"/>
        <v>5.992155207187384</v>
      </c>
      <c r="G1539" s="81">
        <f t="shared" si="121"/>
        <v>0.18194479281261491</v>
      </c>
      <c r="H1539" s="81">
        <f t="shared" si="118"/>
        <v>6.9614999999999991</v>
      </c>
      <c r="I1539" s="589">
        <f>RAW_DATA!G904</f>
        <v>1.0643389999999999</v>
      </c>
      <c r="J1539" s="81">
        <f t="shared" si="122"/>
        <v>1.2365160267565638</v>
      </c>
      <c r="K1539" s="81">
        <f>J1539/dLNSW</f>
        <v>1.2072883911888472</v>
      </c>
      <c r="L1539" s="81">
        <f t="shared" si="123"/>
        <v>0.69881228214875724</v>
      </c>
      <c r="N1539" s="781">
        <v>36562.447934786767</v>
      </c>
      <c r="O1539" s="606">
        <v>2</v>
      </c>
      <c r="P1539" s="588"/>
      <c r="Q1539" s="781">
        <v>12657.106491360541</v>
      </c>
      <c r="R1539" s="606">
        <v>2</v>
      </c>
    </row>
    <row r="1540" spans="1:18" ht="20.100000000000001" customHeight="1">
      <c r="A1540" s="593" t="s">
        <v>2348</v>
      </c>
      <c r="B1540" s="69">
        <v>7.3118999999999996</v>
      </c>
      <c r="C1540" s="69">
        <v>13.4725</v>
      </c>
      <c r="D1540" s="69">
        <v>14.2606</v>
      </c>
      <c r="E1540" s="60">
        <f t="shared" si="119"/>
        <v>6.1606000000000005</v>
      </c>
      <c r="F1540" s="80">
        <f t="shared" si="120"/>
        <v>6.1606000000000005</v>
      </c>
      <c r="G1540" s="60">
        <f t="shared" si="121"/>
        <v>0</v>
      </c>
      <c r="H1540" s="60">
        <f t="shared" si="118"/>
        <v>6.9487000000000005</v>
      </c>
      <c r="I1540" s="588">
        <f>RAW_DATA!G905</f>
        <v>0.27618700000000002</v>
      </c>
      <c r="J1540" s="60">
        <f t="shared" si="122"/>
        <v>0.31151845711456677</v>
      </c>
      <c r="K1540" s="60">
        <f>J1540/dMOOS4</f>
        <v>0.30511385878896435</v>
      </c>
      <c r="L1540" s="60">
        <f t="shared" si="123"/>
        <v>0</v>
      </c>
      <c r="N1540" s="616">
        <v>0.44898039680652924</v>
      </c>
      <c r="O1540" s="902">
        <v>2.4559646422325783E-5</v>
      </c>
      <c r="P1540" s="588"/>
      <c r="Q1540" s="616">
        <v>0.4564443156178008</v>
      </c>
      <c r="R1540" s="902">
        <v>7.2124591181935548E-5</v>
      </c>
    </row>
    <row r="1541" spans="1:18" ht="20.100000000000001" customHeight="1">
      <c r="A1541" s="593" t="s">
        <v>2349</v>
      </c>
      <c r="B1541" s="69">
        <v>7.3160999999999996</v>
      </c>
      <c r="C1541" s="69">
        <v>13.4695</v>
      </c>
      <c r="D1541" s="69">
        <v>14.256</v>
      </c>
      <c r="E1541" s="60">
        <f t="shared" si="119"/>
        <v>6.1534000000000004</v>
      </c>
      <c r="F1541" s="80">
        <f t="shared" si="120"/>
        <v>6.0910183101144542</v>
      </c>
      <c r="G1541" s="60">
        <f t="shared" si="121"/>
        <v>6.2381689885545974E-2</v>
      </c>
      <c r="H1541" s="60">
        <f t="shared" si="118"/>
        <v>6.9399000000000006</v>
      </c>
      <c r="I1541" s="588">
        <f>RAW_DATA!G906</f>
        <v>0.55584</v>
      </c>
      <c r="J1541" s="60">
        <f t="shared" si="122"/>
        <v>0.63330527337185361</v>
      </c>
      <c r="K1541" s="60">
        <f>J1541/dMOOS4</f>
        <v>0.62028496654637122</v>
      </c>
      <c r="L1541" s="60">
        <f t="shared" si="123"/>
        <v>0.24034088108364313</v>
      </c>
    </row>
    <row r="1542" spans="1:18" ht="20.100000000000001" customHeight="1">
      <c r="A1542" s="593" t="s">
        <v>2350</v>
      </c>
      <c r="B1542" s="69">
        <v>7.3381999999999996</v>
      </c>
      <c r="C1542" s="69">
        <v>13.5115</v>
      </c>
      <c r="D1542" s="69">
        <v>14.298</v>
      </c>
      <c r="E1542" s="60">
        <f t="shared" si="119"/>
        <v>6.1733000000000002</v>
      </c>
      <c r="F1542" s="80">
        <f t="shared" si="120"/>
        <v>6.0504327160217031</v>
      </c>
      <c r="G1542" s="60">
        <f t="shared" si="121"/>
        <v>0.12286728397829719</v>
      </c>
      <c r="H1542" s="60">
        <f t="shared" si="118"/>
        <v>6.9598000000000004</v>
      </c>
      <c r="I1542" s="588">
        <f>RAW_DATA!G907</f>
        <v>0.81984599999999996</v>
      </c>
      <c r="J1542" s="60">
        <f t="shared" si="122"/>
        <v>0.94306712570994455</v>
      </c>
      <c r="K1542" s="60">
        <f>J1542/dMOOS4</f>
        <v>0.92367833510601804</v>
      </c>
      <c r="L1542" s="60">
        <f t="shared" si="123"/>
        <v>0.47202306936146177</v>
      </c>
    </row>
    <row r="1543" spans="1:18" ht="20.100000000000001" customHeight="1">
      <c r="A1543" s="589" t="s">
        <v>2351</v>
      </c>
      <c r="B1543" s="76">
        <v>7.2855999999999996</v>
      </c>
      <c r="C1543" s="76">
        <v>13.4451</v>
      </c>
      <c r="D1543" s="76">
        <v>14.233499999999999</v>
      </c>
      <c r="E1543" s="81">
        <f t="shared" si="119"/>
        <v>6.1595000000000004</v>
      </c>
      <c r="F1543" s="81">
        <f t="shared" si="120"/>
        <v>5.9768388034937834</v>
      </c>
      <c r="G1543" s="81">
        <f t="shared" si="121"/>
        <v>0.18266119650621709</v>
      </c>
      <c r="H1543" s="81">
        <f t="shared" si="118"/>
        <v>6.9478999999999997</v>
      </c>
      <c r="I1543" s="589">
        <f>RAW_DATA!G908</f>
        <v>1.063598</v>
      </c>
      <c r="J1543" s="81">
        <f t="shared" si="122"/>
        <v>1.2364015137701692</v>
      </c>
      <c r="K1543" s="81">
        <f>J1543/dMOOS4</f>
        <v>1.2109819763911931</v>
      </c>
      <c r="L1543" s="81">
        <f t="shared" si="123"/>
        <v>0.70293709971396912</v>
      </c>
    </row>
    <row r="1545" spans="1:18" s="588" customFormat="1" ht="20.100000000000001" customHeight="1">
      <c r="A1545" s="589"/>
      <c r="B1545" s="587" t="s">
        <v>302</v>
      </c>
      <c r="C1545" s="587" t="s">
        <v>270</v>
      </c>
    </row>
    <row r="1546" spans="1:18" s="588" customFormat="1" ht="20.100000000000001" customHeight="1">
      <c r="A1546" s="903" t="s">
        <v>2478</v>
      </c>
      <c r="B1546" s="650">
        <f>Q1536/N1536</f>
        <v>1.0022612709305398</v>
      </c>
      <c r="C1546" s="650">
        <f>B1546*SQRT((N1537/N1536)^2+(Q1537/Q1536)^2)</f>
        <v>1.0336296011469296E-2</v>
      </c>
    </row>
    <row r="1547" spans="1:18" s="588" customFormat="1" ht="20.100000000000001" customHeight="1">
      <c r="A1547" s="904" t="s">
        <v>2480</v>
      </c>
      <c r="B1547" s="80"/>
      <c r="C1547" s="80"/>
    </row>
    <row r="1548" spans="1:18" s="588" customFormat="1" ht="20.100000000000001" customHeight="1"/>
    <row r="1549" spans="1:18" ht="20.100000000000001" customHeight="1">
      <c r="A1549" s="480" t="s">
        <v>2360</v>
      </c>
      <c r="B1549" s="588"/>
      <c r="C1549" s="588"/>
      <c r="D1549" s="588"/>
    </row>
    <row r="1550" spans="1:18" ht="20.100000000000001" customHeight="1">
      <c r="A1550" s="874" t="s">
        <v>109</v>
      </c>
      <c r="B1550" s="588"/>
      <c r="C1550" s="588"/>
      <c r="D1550" s="588"/>
    </row>
    <row r="1551" spans="1:18" ht="20.100000000000001" customHeight="1">
      <c r="A1551" s="592" t="s">
        <v>100</v>
      </c>
      <c r="B1551" s="592" t="s">
        <v>99</v>
      </c>
      <c r="C1551" s="592" t="s">
        <v>2404</v>
      </c>
      <c r="D1551" s="592" t="s">
        <v>275</v>
      </c>
      <c r="E1551" s="592" t="s">
        <v>2405</v>
      </c>
      <c r="F1551" s="592" t="s">
        <v>2329</v>
      </c>
      <c r="G1551" s="592" t="s">
        <v>2330</v>
      </c>
      <c r="H1551" s="592" t="s">
        <v>2406</v>
      </c>
      <c r="I1551" s="592" t="s">
        <v>2426</v>
      </c>
      <c r="J1551" s="592" t="s">
        <v>224</v>
      </c>
      <c r="K1551" s="592" t="s">
        <v>134</v>
      </c>
      <c r="L1551" s="480" t="s">
        <v>2465</v>
      </c>
      <c r="N1551" s="480" t="s">
        <v>2428</v>
      </c>
      <c r="O1551" s="588"/>
      <c r="P1551" s="588"/>
      <c r="Q1551" s="480" t="s">
        <v>2429</v>
      </c>
      <c r="R1551" s="588"/>
    </row>
    <row r="1552" spans="1:18" ht="20.100000000000001" customHeight="1">
      <c r="A1552" s="589" t="s">
        <v>96</v>
      </c>
      <c r="B1552" s="589" t="s">
        <v>64</v>
      </c>
      <c r="C1552" s="589" t="s">
        <v>64</v>
      </c>
      <c r="D1552" s="589" t="s">
        <v>64</v>
      </c>
      <c r="E1552" s="589" t="s">
        <v>64</v>
      </c>
      <c r="F1552" s="589" t="s">
        <v>64</v>
      </c>
      <c r="G1552" s="589" t="s">
        <v>64</v>
      </c>
      <c r="H1552" s="589" t="s">
        <v>64</v>
      </c>
      <c r="I1552" s="589" t="s">
        <v>2448</v>
      </c>
      <c r="J1552" s="589" t="s">
        <v>2448</v>
      </c>
      <c r="K1552" s="589" t="s">
        <v>2448</v>
      </c>
      <c r="L1552" s="576" t="s">
        <v>156</v>
      </c>
      <c r="N1552" s="588"/>
      <c r="O1552" s="588"/>
      <c r="P1552" s="588"/>
      <c r="Q1552" s="588"/>
      <c r="R1552" s="588"/>
    </row>
    <row r="1553" spans="1:18" ht="20.100000000000001" customHeight="1">
      <c r="A1553" s="590" t="s">
        <v>2352</v>
      </c>
      <c r="B1553" s="67">
        <v>7.3489000000000004</v>
      </c>
      <c r="C1553" s="67">
        <v>10.4231</v>
      </c>
      <c r="D1553" s="67">
        <v>10.7471</v>
      </c>
      <c r="E1553" s="60">
        <f>C1553-B1553</f>
        <v>3.0741999999999994</v>
      </c>
      <c r="F1553" s="82">
        <f t="shared" ref="F1553:F1560" si="124">E1553*G1504</f>
        <v>3.0741999999999994</v>
      </c>
      <c r="G1553" s="60">
        <f t="shared" ref="G1553:G1560" si="125">E1553*H1504</f>
        <v>0</v>
      </c>
      <c r="H1553" s="60">
        <f t="shared" ref="H1553:H1560" si="126">D1553-B1553</f>
        <v>3.3981999999999992</v>
      </c>
      <c r="I1553" s="60">
        <f>RAW_DATA!G913</f>
        <v>0.12778999999999999</v>
      </c>
      <c r="J1553" s="60">
        <f>I1553*H1553/F1553</f>
        <v>0.14125820636263092</v>
      </c>
      <c r="K1553" s="60">
        <f>J1553/dLNSW</f>
        <v>0.13791927400172505</v>
      </c>
      <c r="L1553" s="60">
        <f>$AF$1488*G1553/H1553</f>
        <v>0</v>
      </c>
      <c r="N1553" s="627" cm="1">
        <f t="array" ref="N1553:O1557">LINEST(K1553:K1556,L1553:L1556,TRUE,TRUE)</f>
        <v>0.36917591668320887</v>
      </c>
      <c r="O1553" s="628">
        <v>0.13679032009515918</v>
      </c>
      <c r="P1553" s="588"/>
      <c r="Q1553" s="627" cm="1">
        <f t="array" ref="Q1553:R1557">LINEST(K1557:K1560,L1557:L1560,TRUE,TRUE)</f>
        <v>0.36822345838841275</v>
      </c>
      <c r="R1553" s="628">
        <v>0.13603255277798143</v>
      </c>
    </row>
    <row r="1554" spans="1:18" ht="20.100000000000001" customHeight="1">
      <c r="A1554" s="593" t="s">
        <v>2353</v>
      </c>
      <c r="B1554" s="69">
        <v>7.3384</v>
      </c>
      <c r="C1554" s="69">
        <v>10.408799999999999</v>
      </c>
      <c r="D1554" s="69">
        <v>10.7317</v>
      </c>
      <c r="E1554" s="60">
        <f t="shared" ref="E1554:E1560" si="127">C1554-B1554</f>
        <v>3.0703999999999994</v>
      </c>
      <c r="F1554" s="80">
        <f t="shared" si="124"/>
        <v>3.0393008225541105</v>
      </c>
      <c r="G1554" s="60">
        <f t="shared" si="125"/>
        <v>3.1099177445888842E-2</v>
      </c>
      <c r="H1554" s="60">
        <f t="shared" si="126"/>
        <v>3.3933</v>
      </c>
      <c r="I1554" s="60">
        <f>RAW_DATA!G914</f>
        <v>0.242505</v>
      </c>
      <c r="J1554" s="60">
        <f t="shared" ref="J1554:J1560" si="128">I1554*H1554/F1554</f>
        <v>0.2707504997180481</v>
      </c>
      <c r="K1554" s="60">
        <f>J1554/dLNSW</f>
        <v>0.26435074689293236</v>
      </c>
      <c r="L1554" s="60">
        <f t="shared" ref="L1554:L1560" si="129">$AF$1488*G1554/H1554</f>
        <v>0.35023507663517428</v>
      </c>
      <c r="N1554" s="613">
        <v>2.0039094557975862E-3</v>
      </c>
      <c r="O1554" s="618">
        <v>1.2798729341235218E-3</v>
      </c>
      <c r="P1554" s="588"/>
      <c r="Q1554" s="613">
        <v>1.8822540907687689E-3</v>
      </c>
      <c r="R1554" s="618">
        <v>1.2077161578873993E-3</v>
      </c>
    </row>
    <row r="1555" spans="1:18" ht="20.100000000000001" customHeight="1">
      <c r="A1555" s="593" t="s">
        <v>2354</v>
      </c>
      <c r="B1555" s="69">
        <v>7.3052000000000001</v>
      </c>
      <c r="C1555" s="69">
        <v>10.383599999999999</v>
      </c>
      <c r="D1555" s="69">
        <v>10.707599999999999</v>
      </c>
      <c r="E1555" s="60">
        <f t="shared" si="127"/>
        <v>3.0783999999999994</v>
      </c>
      <c r="F1555" s="80">
        <f t="shared" si="124"/>
        <v>3.0173602512703956</v>
      </c>
      <c r="G1555" s="60">
        <f t="shared" si="125"/>
        <v>6.1039748729603584E-2</v>
      </c>
      <c r="H1555" s="60">
        <f t="shared" si="126"/>
        <v>3.4023999999999992</v>
      </c>
      <c r="I1555" s="60">
        <f>RAW_DATA!G915</f>
        <v>0.35417199999999999</v>
      </c>
      <c r="J1555" s="60">
        <f t="shared" si="128"/>
        <v>0.39936723243193956</v>
      </c>
      <c r="K1555" s="60">
        <f>J1555/dLNSW</f>
        <v>0.38992735484472713</v>
      </c>
      <c r="L1555" s="60">
        <f t="shared" si="129"/>
        <v>0.68558350731619089</v>
      </c>
      <c r="N1555" s="900">
        <v>0.99994107577628233</v>
      </c>
      <c r="O1555" s="901">
        <v>1.5205929160151438E-3</v>
      </c>
      <c r="P1555" s="588"/>
      <c r="Q1555" s="900">
        <v>0.99994774343069681</v>
      </c>
      <c r="R1555" s="901">
        <v>1.4361087002963836E-3</v>
      </c>
    </row>
    <row r="1556" spans="1:18" ht="20.100000000000001" customHeight="1">
      <c r="A1556" s="589" t="s">
        <v>2355</v>
      </c>
      <c r="B1556" s="76">
        <v>7.3301999999999996</v>
      </c>
      <c r="C1556" s="76">
        <v>10.4117</v>
      </c>
      <c r="D1556" s="76">
        <v>10.7347</v>
      </c>
      <c r="E1556" s="81">
        <f t="shared" si="127"/>
        <v>3.0815000000000001</v>
      </c>
      <c r="F1556" s="81">
        <f t="shared" si="124"/>
        <v>2.9906911567593539</v>
      </c>
      <c r="G1556" s="81">
        <f t="shared" si="125"/>
        <v>9.0808843240646073E-2</v>
      </c>
      <c r="H1556" s="81">
        <f t="shared" si="126"/>
        <v>3.4045000000000005</v>
      </c>
      <c r="I1556" s="81">
        <f>RAW_DATA!G916</f>
        <v>0.46215800000000001</v>
      </c>
      <c r="J1556" s="81">
        <f t="shared" si="128"/>
        <v>0.52610477930623889</v>
      </c>
      <c r="K1556" s="81">
        <f>J1556/dLNSW</f>
        <v>0.51366919543408263</v>
      </c>
      <c r="L1556" s="81">
        <f t="shared" si="129"/>
        <v>1.0193135536194562</v>
      </c>
      <c r="N1556" s="781">
        <v>33939.898150096968</v>
      </c>
      <c r="O1556" s="606">
        <v>2</v>
      </c>
      <c r="P1556" s="588"/>
      <c r="Q1556" s="781">
        <v>38270.700000621597</v>
      </c>
      <c r="R1556" s="606">
        <v>2</v>
      </c>
    </row>
    <row r="1557" spans="1:18" ht="20.100000000000001" customHeight="1">
      <c r="A1557" s="593" t="s">
        <v>2356</v>
      </c>
      <c r="B1557" s="69">
        <v>7.2859999999999996</v>
      </c>
      <c r="C1557" s="69">
        <v>10.3598</v>
      </c>
      <c r="D1557" s="69">
        <v>10.683400000000001</v>
      </c>
      <c r="E1557" s="60">
        <f t="shared" si="127"/>
        <v>3.0738000000000003</v>
      </c>
      <c r="F1557" s="80">
        <f t="shared" si="124"/>
        <v>3.0738000000000003</v>
      </c>
      <c r="G1557" s="60">
        <f t="shared" si="125"/>
        <v>0</v>
      </c>
      <c r="H1557" s="60">
        <f t="shared" si="126"/>
        <v>3.3974000000000011</v>
      </c>
      <c r="I1557" s="60">
        <f>RAW_DATA!G917</f>
        <v>0.12650800000000001</v>
      </c>
      <c r="J1557" s="60">
        <f t="shared" si="128"/>
        <v>0.13982636449996752</v>
      </c>
      <c r="K1557" s="60">
        <f>J1557/dMOOS4</f>
        <v>0.13695163371115196</v>
      </c>
      <c r="L1557" s="60">
        <f t="shared" si="129"/>
        <v>0</v>
      </c>
      <c r="N1557" s="616">
        <v>7.8475928085398161E-2</v>
      </c>
      <c r="O1557" s="902">
        <v>4.6244056324708769E-6</v>
      </c>
      <c r="P1557" s="588"/>
      <c r="Q1557" s="616">
        <v>7.8929805465314209E-2</v>
      </c>
      <c r="R1557" s="902">
        <v>4.1248163981339365E-6</v>
      </c>
    </row>
    <row r="1558" spans="1:18" ht="20.100000000000001" customHeight="1">
      <c r="A1558" s="593" t="s">
        <v>2357</v>
      </c>
      <c r="B1558" s="69">
        <v>7.3449999999999998</v>
      </c>
      <c r="C1558" s="69">
        <v>10.4359</v>
      </c>
      <c r="D1558" s="69">
        <v>10.7592</v>
      </c>
      <c r="E1558" s="60">
        <f t="shared" si="127"/>
        <v>3.0909000000000004</v>
      </c>
      <c r="F1558" s="80">
        <f t="shared" si="124"/>
        <v>3.0595651988709931</v>
      </c>
      <c r="G1558" s="60">
        <f t="shared" si="125"/>
        <v>3.1334801129007391E-2</v>
      </c>
      <c r="H1558" s="60">
        <f t="shared" si="126"/>
        <v>3.4142000000000001</v>
      </c>
      <c r="I1558" s="60">
        <f>RAW_DATA!G918</f>
        <v>0.2419</v>
      </c>
      <c r="J1558" s="60">
        <f t="shared" si="128"/>
        <v>0.26993867635334678</v>
      </c>
      <c r="K1558" s="60">
        <f>J1558/dMOOS4</f>
        <v>0.2643889288019452</v>
      </c>
      <c r="L1558" s="60">
        <f t="shared" si="129"/>
        <v>0.35072843610808613</v>
      </c>
    </row>
    <row r="1559" spans="1:18" ht="20.100000000000001" customHeight="1">
      <c r="A1559" s="593" t="s">
        <v>2358</v>
      </c>
      <c r="B1559" s="69">
        <v>7.3327</v>
      </c>
      <c r="C1559" s="69">
        <v>10.4003</v>
      </c>
      <c r="D1559" s="69">
        <v>10.7239</v>
      </c>
      <c r="E1559" s="60">
        <f t="shared" si="127"/>
        <v>3.0675999999999997</v>
      </c>
      <c r="F1559" s="80">
        <f t="shared" si="124"/>
        <v>3.0065455104511645</v>
      </c>
      <c r="G1559" s="60">
        <f t="shared" si="125"/>
        <v>6.105448954883521E-2</v>
      </c>
      <c r="H1559" s="60">
        <f t="shared" si="126"/>
        <v>3.3912000000000004</v>
      </c>
      <c r="I1559" s="60">
        <f>RAW_DATA!G919</f>
        <v>0.351356</v>
      </c>
      <c r="J1559" s="60">
        <f t="shared" si="128"/>
        <v>0.39630814270335124</v>
      </c>
      <c r="K1559" s="60">
        <f>J1559/dMOOS4</f>
        <v>0.38816032863579819</v>
      </c>
      <c r="L1559" s="60">
        <f t="shared" si="129"/>
        <v>0.68801387254398982</v>
      </c>
    </row>
    <row r="1560" spans="1:18" ht="20.100000000000001" customHeight="1">
      <c r="A1560" s="589" t="s">
        <v>2359</v>
      </c>
      <c r="B1560" s="76">
        <v>7.3352000000000004</v>
      </c>
      <c r="C1560" s="76">
        <v>10.394299999999999</v>
      </c>
      <c r="D1560" s="76">
        <v>10.7178</v>
      </c>
      <c r="E1560" s="81">
        <f t="shared" si="127"/>
        <v>3.059099999999999</v>
      </c>
      <c r="F1560" s="81">
        <f t="shared" si="124"/>
        <v>2.9683817816004265</v>
      </c>
      <c r="G1560" s="81">
        <f t="shared" si="125"/>
        <v>9.0718218399572781E-2</v>
      </c>
      <c r="H1560" s="81">
        <f t="shared" si="126"/>
        <v>3.3826000000000001</v>
      </c>
      <c r="I1560" s="81">
        <f>RAW_DATA!G920</f>
        <v>0.46098</v>
      </c>
      <c r="J1560" s="81">
        <f t="shared" si="128"/>
        <v>0.52530673704623165</v>
      </c>
      <c r="K1560" s="81">
        <f>J1560/dMOOS4</f>
        <v>0.51450680345745992</v>
      </c>
      <c r="L1560" s="81">
        <f t="shared" si="129"/>
        <v>1.0248890711088756</v>
      </c>
    </row>
    <row r="1561" spans="1:18" s="148" customFormat="1" ht="20.100000000000001" customHeight="1">
      <c r="A1561" s="228"/>
      <c r="B1561" s="132"/>
      <c r="C1561" s="132"/>
      <c r="D1561" s="132"/>
      <c r="E1561" s="543"/>
      <c r="F1561" s="543"/>
    </row>
    <row r="1562" spans="1:18" s="588" customFormat="1" ht="20.100000000000001" customHeight="1">
      <c r="A1562" s="589"/>
      <c r="B1562" s="587" t="s">
        <v>302</v>
      </c>
      <c r="C1562" s="587" t="s">
        <v>270</v>
      </c>
      <c r="D1562" s="132"/>
      <c r="E1562" s="80"/>
      <c r="F1562" s="80"/>
    </row>
    <row r="1563" spans="1:18" ht="20.100000000000001" customHeight="1">
      <c r="A1563" s="903" t="s">
        <v>2479</v>
      </c>
      <c r="B1563" s="222">
        <f>Q1553/N1553</f>
        <v>0.99742004217568336</v>
      </c>
      <c r="C1563" s="222">
        <f>B1563*SQRT((N1554/N1553)^2+(Q1554/Q1553)^2)</f>
        <v>7.4368683174006918E-3</v>
      </c>
    </row>
    <row r="1564" spans="1:18" s="588" customFormat="1" ht="20.100000000000001" customHeight="1">
      <c r="A1564" s="904" t="s">
        <v>2480</v>
      </c>
      <c r="B1564" s="80"/>
      <c r="C1564" s="80"/>
    </row>
    <row r="1565" spans="1:18" s="588" customFormat="1" ht="20.100000000000001" customHeight="1">
      <c r="A1565" s="904"/>
      <c r="B1565" s="80"/>
      <c r="C1565" s="80"/>
    </row>
    <row r="1566" spans="1:18" s="149" customFormat="1" ht="20.100000000000001" customHeight="1">
      <c r="A1566" s="150" t="s">
        <v>2361</v>
      </c>
    </row>
    <row r="1568" spans="1:18" ht="20.100000000000001" customHeight="1">
      <c r="A1568" s="480" t="s">
        <v>2</v>
      </c>
      <c r="B1568" s="235">
        <v>45419</v>
      </c>
    </row>
    <row r="1570" spans="1:35" s="588" customFormat="1" ht="20.100000000000001" customHeight="1">
      <c r="A1570" s="480" t="s">
        <v>2362</v>
      </c>
    </row>
    <row r="1571" spans="1:35" s="588" customFormat="1" ht="20.100000000000001" customHeight="1"/>
    <row r="1572" spans="1:35" s="148" customFormat="1" ht="20.100000000000001" customHeight="1">
      <c r="A1572" s="86"/>
      <c r="B1572" s="89" t="s">
        <v>158</v>
      </c>
      <c r="C1572" s="129"/>
      <c r="D1572" s="89" t="s">
        <v>158</v>
      </c>
      <c r="E1572" s="129"/>
      <c r="F1572" s="89" t="s">
        <v>158</v>
      </c>
      <c r="G1572" s="129"/>
      <c r="H1572" s="89" t="s">
        <v>2156</v>
      </c>
      <c r="I1572" s="129"/>
      <c r="J1572" s="89" t="s">
        <v>2167</v>
      </c>
      <c r="K1572" s="129"/>
      <c r="L1572" s="89" t="s">
        <v>2168</v>
      </c>
      <c r="M1572" s="129"/>
      <c r="N1572" s="132"/>
      <c r="O1572" s="132"/>
      <c r="P1572" s="87"/>
      <c r="Q1572" s="564"/>
      <c r="R1572" s="564"/>
      <c r="S1572" s="564"/>
      <c r="T1572" s="89" t="s">
        <v>176</v>
      </c>
      <c r="U1572" s="129"/>
      <c r="V1572" s="89" t="s">
        <v>176</v>
      </c>
      <c r="W1572" s="129"/>
      <c r="X1572" s="89" t="s">
        <v>176</v>
      </c>
      <c r="Y1572" s="129"/>
      <c r="Z1572" s="89" t="s">
        <v>179</v>
      </c>
      <c r="AA1572" s="89"/>
      <c r="AB1572" s="129"/>
      <c r="AC1572" s="554"/>
      <c r="AD1572" s="86"/>
      <c r="AE1572" s="554"/>
      <c r="AF1572" s="554"/>
      <c r="AG1572" s="86"/>
      <c r="AH1572" s="86"/>
    </row>
    <row r="1573" spans="1:35" s="148" customFormat="1" ht="20.100000000000001" customHeight="1">
      <c r="A1573" s="89" t="s">
        <v>157</v>
      </c>
      <c r="B1573" s="89" t="s">
        <v>1561</v>
      </c>
      <c r="C1573" s="89" t="s">
        <v>1562</v>
      </c>
      <c r="D1573" s="89" t="s">
        <v>168</v>
      </c>
      <c r="E1573" s="89" t="s">
        <v>173</v>
      </c>
      <c r="F1573" s="89" t="s">
        <v>1557</v>
      </c>
      <c r="G1573" s="89" t="s">
        <v>1558</v>
      </c>
      <c r="H1573" s="129" t="s">
        <v>169</v>
      </c>
      <c r="I1573" s="129" t="s">
        <v>170</v>
      </c>
      <c r="J1573" s="129" t="s">
        <v>169</v>
      </c>
      <c r="K1573" s="129" t="s">
        <v>170</v>
      </c>
      <c r="L1573" s="129" t="s">
        <v>169</v>
      </c>
      <c r="M1573" s="129" t="s">
        <v>170</v>
      </c>
      <c r="N1573" s="89" t="s">
        <v>140</v>
      </c>
      <c r="O1573" s="89" t="s">
        <v>2008</v>
      </c>
      <c r="P1573" s="89" t="s">
        <v>2009</v>
      </c>
      <c r="Q1573" s="714" t="s">
        <v>2150</v>
      </c>
      <c r="R1573" s="714" t="s">
        <v>2151</v>
      </c>
      <c r="S1573" s="714" t="s">
        <v>2152</v>
      </c>
      <c r="T1573" s="89" t="s">
        <v>1561</v>
      </c>
      <c r="U1573" s="89" t="s">
        <v>1562</v>
      </c>
      <c r="V1573" s="89" t="s">
        <v>168</v>
      </c>
      <c r="W1573" s="89" t="s">
        <v>173</v>
      </c>
      <c r="X1573" s="89" t="s">
        <v>1557</v>
      </c>
      <c r="Y1573" s="89" t="s">
        <v>1558</v>
      </c>
      <c r="Z1573" s="129" t="s">
        <v>1563</v>
      </c>
      <c r="AA1573" s="129" t="s">
        <v>258</v>
      </c>
      <c r="AB1573" s="129" t="s">
        <v>1559</v>
      </c>
      <c r="AC1573" s="89" t="s">
        <v>159</v>
      </c>
      <c r="AD1573" s="89" t="s">
        <v>160</v>
      </c>
      <c r="AE1573" s="89" t="s">
        <v>161</v>
      </c>
      <c r="AF1573" s="89" t="s">
        <v>79</v>
      </c>
      <c r="AG1573" s="89" t="s">
        <v>80</v>
      </c>
      <c r="AH1573" s="89" t="s">
        <v>3</v>
      </c>
      <c r="AI1573" s="89" t="s">
        <v>75</v>
      </c>
    </row>
    <row r="1574" spans="1:35" s="148" customFormat="1" ht="20.100000000000001" customHeight="1">
      <c r="A1574" s="576" t="s">
        <v>162</v>
      </c>
      <c r="B1574" s="576" t="s">
        <v>156</v>
      </c>
      <c r="C1574" s="576" t="s">
        <v>156</v>
      </c>
      <c r="D1574" s="576" t="s">
        <v>156</v>
      </c>
      <c r="E1574" s="576" t="s">
        <v>156</v>
      </c>
      <c r="F1574" s="576" t="s">
        <v>156</v>
      </c>
      <c r="G1574" s="576" t="s">
        <v>156</v>
      </c>
      <c r="H1574" s="576" t="s">
        <v>64</v>
      </c>
      <c r="I1574" s="576" t="s">
        <v>64</v>
      </c>
      <c r="J1574" s="576" t="s">
        <v>64</v>
      </c>
      <c r="K1574" s="576" t="s">
        <v>64</v>
      </c>
      <c r="L1574" s="576" t="s">
        <v>64</v>
      </c>
      <c r="M1574" s="576" t="s">
        <v>64</v>
      </c>
      <c r="N1574" s="576" t="s">
        <v>64</v>
      </c>
      <c r="O1574" s="576" t="s">
        <v>64</v>
      </c>
      <c r="P1574" s="576" t="s">
        <v>64</v>
      </c>
      <c r="Q1574" s="576" t="s">
        <v>64</v>
      </c>
      <c r="R1574" s="576" t="s">
        <v>64</v>
      </c>
      <c r="S1574" s="576" t="s">
        <v>64</v>
      </c>
      <c r="T1574" s="576" t="s">
        <v>156</v>
      </c>
      <c r="U1574" s="576" t="s">
        <v>156</v>
      </c>
      <c r="V1574" s="576" t="s">
        <v>156</v>
      </c>
      <c r="W1574" s="576" t="s">
        <v>156</v>
      </c>
      <c r="X1574" s="576" t="s">
        <v>156</v>
      </c>
      <c r="Y1574" s="576" t="s">
        <v>156</v>
      </c>
      <c r="Z1574" s="576" t="s">
        <v>74</v>
      </c>
      <c r="AA1574" s="576" t="s">
        <v>74</v>
      </c>
      <c r="AB1574" s="576" t="s">
        <v>74</v>
      </c>
      <c r="AC1574" s="576"/>
      <c r="AD1574" s="576" t="s">
        <v>163</v>
      </c>
      <c r="AE1574" s="576" t="s">
        <v>163</v>
      </c>
      <c r="AF1574" s="576" t="s">
        <v>92</v>
      </c>
      <c r="AG1574" s="576" t="s">
        <v>74</v>
      </c>
      <c r="AH1574" s="576" t="s">
        <v>90</v>
      </c>
      <c r="AI1574" s="576" t="s">
        <v>91</v>
      </c>
    </row>
    <row r="1575" spans="1:35" s="148" customFormat="1" ht="20.100000000000001" customHeight="1">
      <c r="A1575" s="513" t="s">
        <v>2317</v>
      </c>
      <c r="B1575" s="542">
        <f t="shared" ref="B1575:G1575" si="130">AB1488</f>
        <v>7.588201812312934</v>
      </c>
      <c r="C1575" s="542">
        <f t="shared" si="130"/>
        <v>5.6891494160944724E-3</v>
      </c>
      <c r="D1575" s="542">
        <f t="shared" si="130"/>
        <v>26.737680298379384</v>
      </c>
      <c r="E1575" s="542">
        <f t="shared" si="130"/>
        <v>5.7619879051600265E-3</v>
      </c>
      <c r="F1575" s="542">
        <f t="shared" si="130"/>
        <v>38.214923453007415</v>
      </c>
      <c r="G1575" s="542">
        <f t="shared" si="130"/>
        <v>1.1248277907504208E-2</v>
      </c>
      <c r="H1575" s="539">
        <v>21.746400000000001</v>
      </c>
      <c r="I1575" s="539">
        <v>-1E-4</v>
      </c>
      <c r="J1575" s="539">
        <v>22.7805</v>
      </c>
      <c r="K1575" s="539">
        <v>0</v>
      </c>
      <c r="L1575" s="539">
        <v>124.19410000000001</v>
      </c>
      <c r="M1575" s="539">
        <v>0</v>
      </c>
      <c r="N1575" s="112">
        <f t="shared" ref="N1575" si="131">H1575-I1575/2</f>
        <v>21.746450000000003</v>
      </c>
      <c r="O1575" s="112">
        <f t="shared" ref="O1575" si="132">J1575-K1575/2</f>
        <v>22.7805</v>
      </c>
      <c r="P1575" s="112">
        <f t="shared" ref="P1575" si="133">L1575-M1575/2</f>
        <v>124.19410000000001</v>
      </c>
      <c r="Q1575" s="513">
        <f t="shared" ref="Q1575:R1575" si="134">u_m1</f>
        <v>2.0000000000000001E-4</v>
      </c>
      <c r="R1575" s="513">
        <f t="shared" si="134"/>
        <v>2.0000000000000001E-4</v>
      </c>
      <c r="S1575" s="112">
        <f t="shared" ref="S1575" si="135">u_m2</f>
        <v>2E-3</v>
      </c>
      <c r="T1575" s="873" cm="1">
        <f t="array" ref="T1575:Y1575">WnA1S(B1575:G1575,N1575:P1575,Q1575:S1575)</f>
        <v>7.6591118332359653E-2</v>
      </c>
      <c r="U1575" s="873">
        <v>6.1143865595463654E-5</v>
      </c>
      <c r="V1575" s="873">
        <v>0.2698753784253628</v>
      </c>
      <c r="W1575" s="873">
        <v>9.4125631409282305E-5</v>
      </c>
      <c r="X1575" s="873">
        <v>0.38572033225342112</v>
      </c>
      <c r="Y1575" s="873">
        <v>1.5517304199193934E-4</v>
      </c>
      <c r="Z1575" s="872">
        <f>T1575/B1470</f>
        <v>1.0135830804611099</v>
      </c>
      <c r="AA1575" s="872">
        <f>V1575/B1471</f>
        <v>1.0239408840118684</v>
      </c>
      <c r="AB1575" s="872">
        <f>X1575/B1479</f>
        <v>1.0163037736954967</v>
      </c>
      <c r="AC1575" s="513" t="s">
        <v>196</v>
      </c>
      <c r="AD1575" s="541">
        <v>20240506</v>
      </c>
      <c r="AE1575" s="513">
        <f>AD1575+1</f>
        <v>20240507</v>
      </c>
      <c r="AF1575" s="541">
        <v>21.7</v>
      </c>
      <c r="AG1575" s="541">
        <v>49.5</v>
      </c>
      <c r="AH1575" s="513" t="s">
        <v>101</v>
      </c>
      <c r="AI1575" s="513" t="s">
        <v>94</v>
      </c>
    </row>
    <row r="1576" spans="1:35" s="588" customFormat="1" ht="20.100000000000001" customHeight="1">
      <c r="A1576" s="80" t="s">
        <v>1633</v>
      </c>
    </row>
    <row r="1578" spans="1:35" ht="20.100000000000001" customHeight="1">
      <c r="A1578" s="239" t="s">
        <v>2365</v>
      </c>
    </row>
    <row r="1579" spans="1:35" ht="20.100000000000001" customHeight="1">
      <c r="A1579" s="239" t="s">
        <v>2363</v>
      </c>
    </row>
    <row r="1580" spans="1:35" ht="20.100000000000001" customHeight="1">
      <c r="A1580" s="239" t="s">
        <v>2364</v>
      </c>
    </row>
    <row r="1581" spans="1:35" s="588" customFormat="1" ht="20.100000000000001" customHeight="1"/>
    <row r="1582" spans="1:35" s="588" customFormat="1" ht="20.100000000000001" customHeight="1">
      <c r="A1582" s="480" t="s">
        <v>2368</v>
      </c>
    </row>
    <row r="1583" spans="1:35" s="588" customFormat="1" ht="20.100000000000001" customHeight="1">
      <c r="A1583" s="874" t="s">
        <v>109</v>
      </c>
    </row>
    <row r="1584" spans="1:35" s="588" customFormat="1" ht="20.100000000000001" customHeight="1">
      <c r="A1584" s="592" t="s">
        <v>100</v>
      </c>
      <c r="B1584" s="592" t="s">
        <v>99</v>
      </c>
      <c r="C1584" s="592" t="s">
        <v>100</v>
      </c>
      <c r="D1584" s="592" t="s">
        <v>275</v>
      </c>
      <c r="E1584" s="592" t="s">
        <v>2329</v>
      </c>
      <c r="F1584" s="592" t="s">
        <v>2406</v>
      </c>
      <c r="G1584" s="592" t="s">
        <v>2626</v>
      </c>
      <c r="H1584" s="592" t="s">
        <v>2627</v>
      </c>
    </row>
    <row r="1585" spans="1:11" s="588" customFormat="1" ht="20.100000000000001" customHeight="1">
      <c r="A1585" s="589" t="s">
        <v>96</v>
      </c>
      <c r="B1585" s="589" t="s">
        <v>64</v>
      </c>
      <c r="C1585" s="589" t="s">
        <v>64</v>
      </c>
      <c r="D1585" s="589" t="s">
        <v>64</v>
      </c>
      <c r="E1585" s="589" t="s">
        <v>64</v>
      </c>
      <c r="F1585" s="589" t="s">
        <v>64</v>
      </c>
      <c r="G1585" s="589" t="s">
        <v>2631</v>
      </c>
      <c r="H1585" s="589" t="s">
        <v>2631</v>
      </c>
    </row>
    <row r="1586" spans="1:11" s="588" customFormat="1" ht="20.100000000000001" customHeight="1">
      <c r="A1586" s="590" t="s">
        <v>2369</v>
      </c>
      <c r="B1586" s="67">
        <v>7.2930000000000001</v>
      </c>
      <c r="C1586" s="67">
        <v>12.415900000000001</v>
      </c>
      <c r="D1586" s="67">
        <v>12.6153</v>
      </c>
      <c r="E1586" s="60">
        <f>C1586-B1586</f>
        <v>5.1229000000000005</v>
      </c>
      <c r="F1586" s="60">
        <f>D1586-B1586</f>
        <v>5.3222999999999994</v>
      </c>
      <c r="G1586" s="60">
        <f>RAW_DATA!G936</f>
        <v>8.5787000000000002E-2</v>
      </c>
      <c r="H1586" s="60">
        <f>G1586*F1586/E1586</f>
        <v>8.9126110230533476E-2</v>
      </c>
      <c r="J1586" s="592" t="s">
        <v>260</v>
      </c>
      <c r="K1586" s="157">
        <f>AVERAGE(H1586:H1588)</f>
        <v>8.8972733990780317E-2</v>
      </c>
    </row>
    <row r="1587" spans="1:11" s="588" customFormat="1" ht="20.100000000000001" customHeight="1">
      <c r="A1587" s="593" t="s">
        <v>2370</v>
      </c>
      <c r="B1587" s="69">
        <v>7.3151999999999999</v>
      </c>
      <c r="C1587" s="69">
        <v>12.436999999999999</v>
      </c>
      <c r="D1587" s="69">
        <v>12.6303</v>
      </c>
      <c r="E1587" s="60">
        <f t="shared" ref="E1587:E1591" si="136">C1587-B1587</f>
        <v>5.1217999999999995</v>
      </c>
      <c r="F1587" s="60">
        <f t="shared" ref="F1587:F1591" si="137">D1587-B1587</f>
        <v>5.3151000000000002</v>
      </c>
      <c r="G1587" s="60">
        <f>RAW_DATA!G937</f>
        <v>8.5791000000000006E-2</v>
      </c>
      <c r="H1587" s="60">
        <f t="shared" ref="H1587:H1591" si="138">G1587*F1587/E1587</f>
        <v>8.902880707954236E-2</v>
      </c>
      <c r="J1587" s="592" t="s">
        <v>429</v>
      </c>
      <c r="K1587" s="157">
        <f>STDEV(H1586:H1588)</f>
        <v>1.8779973831132348E-4</v>
      </c>
    </row>
    <row r="1588" spans="1:11" s="588" customFormat="1" ht="20.100000000000001" customHeight="1">
      <c r="A1588" s="589" t="s">
        <v>2371</v>
      </c>
      <c r="B1588" s="76">
        <v>7.3396999999999997</v>
      </c>
      <c r="C1588" s="76">
        <v>12.459099999999999</v>
      </c>
      <c r="D1588" s="76">
        <v>12.651199999999999</v>
      </c>
      <c r="E1588" s="81">
        <f t="shared" si="136"/>
        <v>5.1193999999999997</v>
      </c>
      <c r="F1588" s="81">
        <f t="shared" si="137"/>
        <v>5.3114999999999997</v>
      </c>
      <c r="G1588" s="81">
        <f>RAW_DATA!G938</f>
        <v>8.5553000000000004E-2</v>
      </c>
      <c r="H1588" s="81">
        <f t="shared" si="138"/>
        <v>8.8763284662265116E-2</v>
      </c>
      <c r="J1588" s="587" t="s">
        <v>262</v>
      </c>
      <c r="K1588" s="208">
        <f>K1587/K1586</f>
        <v>2.1107560697278785E-3</v>
      </c>
    </row>
    <row r="1589" spans="1:11" s="588" customFormat="1" ht="20.100000000000001" customHeight="1">
      <c r="A1589" s="593" t="s">
        <v>2372</v>
      </c>
      <c r="B1589" s="69">
        <v>7.3483999999999998</v>
      </c>
      <c r="C1589" s="69">
        <v>12.510999999999999</v>
      </c>
      <c r="D1589" s="69">
        <v>12.7027</v>
      </c>
      <c r="E1589" s="60">
        <f t="shared" si="136"/>
        <v>5.1625999999999994</v>
      </c>
      <c r="F1589" s="60">
        <f t="shared" si="137"/>
        <v>5.3543000000000003</v>
      </c>
      <c r="G1589" s="60">
        <f>RAW_DATA!G939</f>
        <v>8.5042999999999994E-2</v>
      </c>
      <c r="H1589" s="60">
        <f t="shared" si="138"/>
        <v>8.820085516987565E-2</v>
      </c>
      <c r="J1589" s="480" t="s">
        <v>260</v>
      </c>
      <c r="K1589" s="154">
        <f>AVERAGE(H1589:H1591)</f>
        <v>8.8409442909666194E-2</v>
      </c>
    </row>
    <row r="1590" spans="1:11" s="588" customFormat="1" ht="20.100000000000001" customHeight="1">
      <c r="A1590" s="593" t="s">
        <v>2373</v>
      </c>
      <c r="B1590" s="69">
        <v>7.2995000000000001</v>
      </c>
      <c r="C1590" s="69">
        <v>12.317</v>
      </c>
      <c r="D1590" s="69">
        <v>12.508800000000001</v>
      </c>
      <c r="E1590" s="60">
        <f t="shared" si="136"/>
        <v>5.0175000000000001</v>
      </c>
      <c r="F1590" s="60">
        <f t="shared" si="137"/>
        <v>5.2093000000000007</v>
      </c>
      <c r="G1590" s="60">
        <f>RAW_DATA!G940</f>
        <v>8.4656999999999996E-2</v>
      </c>
      <c r="H1590" s="60">
        <f t="shared" si="138"/>
        <v>8.7893116113602399E-2</v>
      </c>
      <c r="J1590" s="480" t="s">
        <v>429</v>
      </c>
      <c r="K1590" s="154">
        <f>STDEV(H1589:H1591)</f>
        <v>6.4637577685793034E-4</v>
      </c>
    </row>
    <row r="1591" spans="1:11" s="588" customFormat="1" ht="20.100000000000001" customHeight="1">
      <c r="A1591" s="589" t="s">
        <v>2374</v>
      </c>
      <c r="B1591" s="76">
        <v>7.3265000000000002</v>
      </c>
      <c r="C1591" s="76">
        <v>12.282500000000001</v>
      </c>
      <c r="D1591" s="76">
        <v>12.4742</v>
      </c>
      <c r="E1591" s="81">
        <f t="shared" si="136"/>
        <v>4.9560000000000004</v>
      </c>
      <c r="F1591" s="81">
        <f t="shared" si="137"/>
        <v>5.1476999999999995</v>
      </c>
      <c r="G1591" s="81">
        <f>RAW_DATA!G941</f>
        <v>8.5815000000000002E-2</v>
      </c>
      <c r="H1591" s="81">
        <f t="shared" si="138"/>
        <v>8.9134357445520562E-2</v>
      </c>
      <c r="J1591" s="480" t="s">
        <v>262</v>
      </c>
      <c r="K1591" s="161">
        <f>K1590/K1589</f>
        <v>7.3111621969881137E-3</v>
      </c>
    </row>
    <row r="1592" spans="1:11" s="148" customFormat="1" ht="20.100000000000001" customHeight="1">
      <c r="A1592" s="228"/>
      <c r="B1592" s="132"/>
      <c r="C1592" s="132"/>
      <c r="D1592" s="132"/>
      <c r="E1592" s="543"/>
      <c r="F1592" s="543"/>
      <c r="G1592" s="543"/>
      <c r="H1592" s="543"/>
      <c r="J1592" s="233"/>
      <c r="K1592" s="318"/>
    </row>
    <row r="1593" spans="1:11" s="148" customFormat="1" ht="20.100000000000001" customHeight="1">
      <c r="A1593" s="480" t="s">
        <v>244</v>
      </c>
      <c r="B1593"/>
      <c r="C1593"/>
      <c r="D1593" s="132"/>
      <c r="E1593" s="543"/>
      <c r="F1593" s="543"/>
      <c r="G1593" s="543"/>
      <c r="H1593" s="543"/>
      <c r="J1593" s="233"/>
      <c r="K1593" s="318"/>
    </row>
    <row r="1594" spans="1:11" s="148" customFormat="1" ht="20.100000000000001" customHeight="1">
      <c r="A1594"/>
      <c r="B1594"/>
      <c r="C1594"/>
      <c r="D1594" s="132"/>
      <c r="E1594" s="543"/>
      <c r="F1594" s="543"/>
      <c r="G1594" s="543"/>
      <c r="H1594" s="543"/>
      <c r="J1594" s="233"/>
      <c r="K1594" s="318"/>
    </row>
    <row r="1595" spans="1:11" s="148" customFormat="1" ht="20.100000000000001" customHeight="1">
      <c r="A1595" s="943"/>
      <c r="B1595" s="754"/>
      <c r="C1595" s="944" t="s">
        <v>245</v>
      </c>
      <c r="D1595" s="944" t="s">
        <v>246</v>
      </c>
      <c r="E1595" s="543"/>
      <c r="F1595" s="543"/>
      <c r="G1595" s="543"/>
      <c r="H1595" s="543"/>
      <c r="J1595" s="233"/>
      <c r="K1595" s="318"/>
    </row>
    <row r="1596" spans="1:11" s="148" customFormat="1" ht="20.100000000000001" customHeight="1">
      <c r="A1596" s="924" t="s">
        <v>71</v>
      </c>
      <c r="C1596" s="596">
        <v>8.8972733990780317E-2</v>
      </c>
      <c r="D1596" s="596">
        <v>8.8409442909666194E-2</v>
      </c>
      <c r="E1596" s="543"/>
      <c r="F1596" s="543"/>
      <c r="G1596" s="543"/>
      <c r="H1596" s="543"/>
      <c r="J1596" s="233"/>
      <c r="K1596" s="318"/>
    </row>
    <row r="1597" spans="1:11" s="148" customFormat="1" ht="20.100000000000001" customHeight="1">
      <c r="A1597" s="924" t="s">
        <v>233</v>
      </c>
      <c r="C1597" s="596">
        <v>3.5268741709801582E-8</v>
      </c>
      <c r="D1597" s="596">
        <v>4.1780164490869301E-7</v>
      </c>
      <c r="E1597" s="543"/>
      <c r="F1597" s="543"/>
      <c r="G1597" s="543"/>
      <c r="H1597" s="543"/>
      <c r="J1597" s="233"/>
      <c r="K1597" s="318"/>
    </row>
    <row r="1598" spans="1:11" s="148" customFormat="1" ht="20.100000000000001" customHeight="1">
      <c r="A1598" s="924" t="s">
        <v>247</v>
      </c>
      <c r="C1598" s="228">
        <v>3</v>
      </c>
      <c r="D1598" s="228">
        <v>3</v>
      </c>
      <c r="E1598" s="543"/>
      <c r="F1598" s="543"/>
      <c r="G1598" s="543"/>
      <c r="H1598" s="543"/>
      <c r="J1598" s="233"/>
      <c r="K1598" s="318"/>
    </row>
    <row r="1599" spans="1:11" s="148" customFormat="1" ht="20.100000000000001" customHeight="1">
      <c r="A1599" s="924" t="s">
        <v>248</v>
      </c>
      <c r="C1599" s="543">
        <v>-0.87642599655076392</v>
      </c>
      <c r="D1599" s="228"/>
      <c r="E1599" s="543"/>
      <c r="F1599" s="543"/>
      <c r="G1599" s="543"/>
      <c r="H1599" s="543"/>
      <c r="J1599" s="233"/>
      <c r="K1599" s="318"/>
    </row>
    <row r="1600" spans="1:11" s="148" customFormat="1" ht="20.100000000000001" customHeight="1">
      <c r="A1600" s="924" t="s">
        <v>249</v>
      </c>
      <c r="C1600" s="228">
        <v>0</v>
      </c>
      <c r="D1600" s="228"/>
      <c r="E1600" s="543"/>
      <c r="F1600" s="543"/>
      <c r="G1600" s="543"/>
      <c r="H1600" s="543"/>
      <c r="J1600" s="233"/>
      <c r="K1600" s="318"/>
    </row>
    <row r="1601" spans="1:11" s="148" customFormat="1" ht="20.100000000000001" customHeight="1">
      <c r="A1601" s="924" t="s">
        <v>234</v>
      </c>
      <c r="C1601" s="228">
        <v>2</v>
      </c>
      <c r="D1601" s="228"/>
      <c r="E1601" s="543"/>
      <c r="F1601" s="543"/>
      <c r="G1601" s="543"/>
      <c r="H1601" s="543"/>
      <c r="J1601" s="233"/>
      <c r="K1601" s="318"/>
    </row>
    <row r="1602" spans="1:11" s="148" customFormat="1" ht="20.100000000000001" customHeight="1">
      <c r="A1602" s="924" t="s">
        <v>250</v>
      </c>
      <c r="C1602" s="697">
        <v>1.1956554650949116</v>
      </c>
      <c r="D1602" s="228"/>
      <c r="E1602" s="543"/>
      <c r="F1602" s="543"/>
      <c r="G1602" s="543"/>
      <c r="H1602" s="543"/>
      <c r="J1602" s="233"/>
      <c r="K1602" s="318"/>
    </row>
    <row r="1603" spans="1:11" s="148" customFormat="1" ht="20.100000000000001" customHeight="1">
      <c r="A1603" s="924" t="s">
        <v>251</v>
      </c>
      <c r="C1603" s="695">
        <v>0.1771841653550657</v>
      </c>
      <c r="D1603" s="228"/>
      <c r="E1603" s="543"/>
      <c r="F1603" s="543"/>
      <c r="G1603" s="543"/>
      <c r="H1603" s="543"/>
      <c r="J1603" s="233"/>
      <c r="K1603" s="318"/>
    </row>
    <row r="1604" spans="1:11" s="148" customFormat="1" ht="20.100000000000001" customHeight="1">
      <c r="A1604" s="924" t="s">
        <v>252</v>
      </c>
      <c r="C1604" s="695">
        <v>2.9199855803537269</v>
      </c>
      <c r="D1604" s="228"/>
      <c r="E1604" s="543"/>
      <c r="F1604" s="543"/>
      <c r="G1604" s="543"/>
      <c r="H1604" s="543"/>
      <c r="J1604" s="233"/>
      <c r="K1604" s="318"/>
    </row>
    <row r="1605" spans="1:11" s="148" customFormat="1" ht="20.100000000000001" customHeight="1">
      <c r="A1605" s="924" t="s">
        <v>253</v>
      </c>
      <c r="C1605" s="695">
        <v>0.35436833071013141</v>
      </c>
      <c r="D1605" s="228"/>
      <c r="E1605" s="543"/>
      <c r="F1605" s="543"/>
      <c r="G1605" s="543"/>
      <c r="H1605" s="543"/>
      <c r="J1605" s="233"/>
      <c r="K1605" s="318"/>
    </row>
    <row r="1606" spans="1:11" s="148" customFormat="1" ht="20.100000000000001" customHeight="1">
      <c r="A1606" s="941" t="s">
        <v>254</v>
      </c>
      <c r="B1606" s="315"/>
      <c r="C1606" s="942">
        <v>4.3026527297494637</v>
      </c>
      <c r="D1606" s="315"/>
      <c r="E1606" s="543"/>
      <c r="F1606" s="543"/>
      <c r="G1606" s="543"/>
      <c r="H1606" s="543"/>
      <c r="J1606" s="233"/>
      <c r="K1606" s="318"/>
    </row>
    <row r="1607" spans="1:11" s="148" customFormat="1" ht="20.100000000000001" customHeight="1">
      <c r="A1607" s="228"/>
      <c r="B1607" s="132"/>
      <c r="C1607" s="132"/>
      <c r="D1607" s="132"/>
      <c r="E1607" s="543"/>
      <c r="F1607" s="543"/>
      <c r="G1607" s="543"/>
      <c r="H1607" s="543"/>
      <c r="J1607" s="233"/>
      <c r="K1607" s="318"/>
    </row>
    <row r="1608" spans="1:11" s="148" customFormat="1" ht="20.100000000000001" customHeight="1">
      <c r="A1608" s="641" t="s">
        <v>2645</v>
      </c>
      <c r="B1608" s="132"/>
      <c r="C1608" s="132"/>
      <c r="D1608" s="132"/>
      <c r="E1608" s="543"/>
      <c r="F1608" s="543"/>
      <c r="G1608" s="543"/>
      <c r="H1608" s="543"/>
      <c r="J1608" s="233"/>
      <c r="K1608" s="318"/>
    </row>
    <row r="1609" spans="1:11" s="148" customFormat="1" ht="20.100000000000001" customHeight="1">
      <c r="A1609" s="228"/>
      <c r="B1609" s="132"/>
      <c r="C1609" s="132"/>
      <c r="D1609" s="132"/>
      <c r="E1609" s="543"/>
      <c r="F1609" s="543"/>
      <c r="G1609" s="543"/>
      <c r="H1609" s="543"/>
      <c r="J1609" s="233"/>
      <c r="K1609" s="318"/>
    </row>
    <row r="1610" spans="1:11" s="588" customFormat="1" ht="20.100000000000001" customHeight="1">
      <c r="A1610" s="480" t="s">
        <v>2375</v>
      </c>
    </row>
    <row r="1611" spans="1:11" s="588" customFormat="1" ht="20.100000000000001" customHeight="1">
      <c r="A1611" s="874" t="s">
        <v>109</v>
      </c>
    </row>
    <row r="1612" spans="1:11" s="588" customFormat="1" ht="20.100000000000001" customHeight="1">
      <c r="A1612" s="592" t="s">
        <v>100</v>
      </c>
      <c r="B1612" s="592" t="s">
        <v>99</v>
      </c>
      <c r="C1612" s="592" t="s">
        <v>100</v>
      </c>
      <c r="D1612" s="592" t="s">
        <v>275</v>
      </c>
      <c r="E1612" s="592" t="s">
        <v>2329</v>
      </c>
      <c r="F1612" s="592" t="s">
        <v>2406</v>
      </c>
      <c r="G1612" s="592" t="s">
        <v>2626</v>
      </c>
      <c r="H1612" s="592" t="s">
        <v>2627</v>
      </c>
    </row>
    <row r="1613" spans="1:11" s="588" customFormat="1" ht="20.100000000000001" customHeight="1">
      <c r="A1613" s="589" t="s">
        <v>96</v>
      </c>
      <c r="B1613" s="589" t="s">
        <v>64</v>
      </c>
      <c r="C1613" s="589" t="s">
        <v>64</v>
      </c>
      <c r="D1613" s="589" t="s">
        <v>64</v>
      </c>
      <c r="E1613" s="589" t="s">
        <v>64</v>
      </c>
      <c r="F1613" s="589" t="s">
        <v>64</v>
      </c>
      <c r="G1613" s="589" t="s">
        <v>2625</v>
      </c>
      <c r="H1613" s="589" t="s">
        <v>2625</v>
      </c>
    </row>
    <row r="1614" spans="1:11" s="588" customFormat="1" ht="20.100000000000001" customHeight="1">
      <c r="A1614" s="590" t="s">
        <v>2376</v>
      </c>
      <c r="B1614" s="67">
        <v>7.3109999999999999</v>
      </c>
      <c r="C1614" s="67">
        <v>13.43</v>
      </c>
      <c r="D1614" s="67">
        <v>14.2172</v>
      </c>
      <c r="E1614" s="60">
        <f>C1614-B1614</f>
        <v>6.1189999999999998</v>
      </c>
      <c r="F1614" s="60">
        <f>D1614-B1614</f>
        <v>6.9062000000000001</v>
      </c>
      <c r="G1614" s="60">
        <f>RAW_DATA!G946</f>
        <v>0.28332400000000002</v>
      </c>
      <c r="H1614" s="60">
        <f>G1614*F1614/E1614</f>
        <v>0.31977319967314927</v>
      </c>
      <c r="J1614" s="592" t="s">
        <v>260</v>
      </c>
      <c r="K1614" s="157">
        <f>AVERAGE(H1614:H1616)</f>
        <v>0.32033016587771307</v>
      </c>
    </row>
    <row r="1615" spans="1:11" s="588" customFormat="1" ht="20.100000000000001" customHeight="1">
      <c r="A1615" s="593" t="s">
        <v>2377</v>
      </c>
      <c r="B1615" s="69">
        <v>7.3358999999999996</v>
      </c>
      <c r="C1615" s="69">
        <v>13.472099999999999</v>
      </c>
      <c r="D1615" s="69">
        <v>14.2646</v>
      </c>
      <c r="E1615" s="60">
        <f t="shared" ref="E1615:E1619" si="139">C1615-B1615</f>
        <v>6.1361999999999997</v>
      </c>
      <c r="F1615" s="60">
        <f t="shared" ref="F1615:F1619" si="140">D1615-B1615</f>
        <v>6.9287000000000001</v>
      </c>
      <c r="G1615" s="60">
        <f>RAW_DATA!G947</f>
        <v>0.28377400000000003</v>
      </c>
      <c r="H1615" s="60">
        <f t="shared" ref="H1615:H1619" si="141">G1615*F1615/E1615</f>
        <v>0.32042386392229727</v>
      </c>
      <c r="J1615" s="592" t="s">
        <v>429</v>
      </c>
      <c r="K1615" s="157">
        <f>STDEV(H1614:H1616)</f>
        <v>5.1653076609046056E-4</v>
      </c>
    </row>
    <row r="1616" spans="1:11" s="588" customFormat="1" ht="20.100000000000001" customHeight="1">
      <c r="A1616" s="589" t="s">
        <v>2378</v>
      </c>
      <c r="B1616" s="76">
        <v>7.3068</v>
      </c>
      <c r="C1616" s="76">
        <v>13.4353</v>
      </c>
      <c r="D1616" s="76">
        <v>14.2273</v>
      </c>
      <c r="E1616" s="81">
        <f t="shared" si="139"/>
        <v>6.1284999999999998</v>
      </c>
      <c r="F1616" s="81">
        <f t="shared" si="140"/>
        <v>6.9204999999999997</v>
      </c>
      <c r="G1616" s="81">
        <f>RAW_DATA!G948</f>
        <v>0.28408099999999997</v>
      </c>
      <c r="H1616" s="81">
        <f t="shared" si="141"/>
        <v>0.32079343403769267</v>
      </c>
      <c r="J1616" s="587" t="s">
        <v>262</v>
      </c>
      <c r="K1616" s="208">
        <f>K1615/K1614</f>
        <v>1.6124949227780427E-3</v>
      </c>
    </row>
    <row r="1617" spans="1:11" s="588" customFormat="1" ht="20.100000000000001" customHeight="1">
      <c r="A1617" s="593" t="s">
        <v>2379</v>
      </c>
      <c r="B1617" s="69">
        <v>7.3121</v>
      </c>
      <c r="C1617" s="69">
        <v>13.4863</v>
      </c>
      <c r="D1617" s="69">
        <v>14.279400000000001</v>
      </c>
      <c r="E1617" s="60">
        <f t="shared" si="139"/>
        <v>6.1741999999999999</v>
      </c>
      <c r="F1617" s="60">
        <f t="shared" si="140"/>
        <v>6.9673000000000007</v>
      </c>
      <c r="G1617" s="60">
        <f>RAW_DATA!G949</f>
        <v>0.28615699999999999</v>
      </c>
      <c r="H1617" s="60">
        <f t="shared" si="141"/>
        <v>0.32291497944672998</v>
      </c>
      <c r="J1617" s="480" t="s">
        <v>260</v>
      </c>
      <c r="K1617" s="154">
        <f>AVERAGE(H1617:H1619)</f>
        <v>0.32251923042016312</v>
      </c>
    </row>
    <row r="1618" spans="1:11" s="588" customFormat="1" ht="20.100000000000001" customHeight="1">
      <c r="A1618" s="593" t="s">
        <v>2380</v>
      </c>
      <c r="B1618" s="69">
        <v>7.3331</v>
      </c>
      <c r="C1618" s="69">
        <v>13.3102</v>
      </c>
      <c r="D1618" s="69">
        <v>14.1044</v>
      </c>
      <c r="E1618" s="60">
        <f t="shared" si="139"/>
        <v>5.9771000000000001</v>
      </c>
      <c r="F1618" s="60">
        <f t="shared" si="140"/>
        <v>6.7713000000000001</v>
      </c>
      <c r="G1618" s="60">
        <f>RAW_DATA!G950</f>
        <v>0.28465400000000002</v>
      </c>
      <c r="H1618" s="60">
        <f t="shared" si="141"/>
        <v>0.3224770591423935</v>
      </c>
      <c r="J1618" s="480" t="s">
        <v>429</v>
      </c>
      <c r="K1618" s="154">
        <f>STDEV(H1617:H1619)</f>
        <v>3.7643919372317211E-4</v>
      </c>
    </row>
    <row r="1619" spans="1:11" s="588" customFormat="1" ht="20.100000000000001" customHeight="1">
      <c r="A1619" s="589" t="s">
        <v>2381</v>
      </c>
      <c r="B1619" s="76">
        <v>7.3517000000000001</v>
      </c>
      <c r="C1619" s="76">
        <v>13.225099999999999</v>
      </c>
      <c r="D1619" s="76">
        <v>14.0183</v>
      </c>
      <c r="E1619" s="81">
        <f t="shared" si="139"/>
        <v>5.8733999999999993</v>
      </c>
      <c r="F1619" s="81">
        <f t="shared" si="140"/>
        <v>6.6665999999999999</v>
      </c>
      <c r="G1619" s="81">
        <f>RAW_DATA!G951</f>
        <v>0.28383399999999998</v>
      </c>
      <c r="H1619" s="81">
        <f t="shared" si="141"/>
        <v>0.32216565267136582</v>
      </c>
      <c r="J1619" s="480" t="s">
        <v>262</v>
      </c>
      <c r="K1619" s="161">
        <f>K1618/K1617</f>
        <v>1.1671837156276372E-3</v>
      </c>
    </row>
    <row r="1620" spans="1:11" s="588" customFormat="1" ht="20.100000000000001" customHeight="1"/>
    <row r="1621" spans="1:11" s="588" customFormat="1" ht="20.100000000000001" customHeight="1">
      <c r="A1621" s="480" t="s">
        <v>244</v>
      </c>
      <c r="B1621"/>
      <c r="C1621"/>
    </row>
    <row r="1622" spans="1:11" s="588" customFormat="1" ht="20.100000000000001" customHeight="1">
      <c r="A1622"/>
      <c r="B1622"/>
      <c r="C1622"/>
    </row>
    <row r="1623" spans="1:11" s="588" customFormat="1" ht="20.100000000000001" customHeight="1">
      <c r="A1623" s="943"/>
      <c r="B1623" s="184"/>
      <c r="C1623" s="944" t="s">
        <v>245</v>
      </c>
      <c r="D1623" s="944" t="s">
        <v>246</v>
      </c>
    </row>
    <row r="1624" spans="1:11" s="588" customFormat="1" ht="20.100000000000001" customHeight="1">
      <c r="A1624" s="924" t="s">
        <v>71</v>
      </c>
      <c r="B1624" s="940"/>
      <c r="C1624" s="596">
        <v>0.32033016587771307</v>
      </c>
      <c r="D1624" s="596">
        <v>0.32251923042016312</v>
      </c>
    </row>
    <row r="1625" spans="1:11" s="588" customFormat="1" ht="20.100000000000001" customHeight="1">
      <c r="A1625" s="924" t="s">
        <v>233</v>
      </c>
      <c r="B1625" s="940"/>
      <c r="C1625" s="596">
        <v>2.6680403231799813E-7</v>
      </c>
      <c r="D1625" s="596">
        <v>1.4170646657095191E-7</v>
      </c>
    </row>
    <row r="1626" spans="1:11" s="588" customFormat="1" ht="20.100000000000001" customHeight="1">
      <c r="A1626" s="924" t="s">
        <v>247</v>
      </c>
      <c r="B1626" s="940"/>
      <c r="C1626" s="228">
        <v>3</v>
      </c>
      <c r="D1626" s="228">
        <v>3</v>
      </c>
    </row>
    <row r="1627" spans="1:11" s="588" customFormat="1" ht="20.100000000000001" customHeight="1">
      <c r="A1627" s="924" t="s">
        <v>248</v>
      </c>
      <c r="B1627" s="940"/>
      <c r="C1627" s="543">
        <v>-0.99816568427975016</v>
      </c>
      <c r="D1627" s="228"/>
    </row>
    <row r="1628" spans="1:11" s="588" customFormat="1" ht="20.100000000000001" customHeight="1">
      <c r="A1628" s="924" t="s">
        <v>249</v>
      </c>
      <c r="B1628" s="940"/>
      <c r="C1628" s="228">
        <v>0</v>
      </c>
      <c r="D1628" s="228"/>
    </row>
    <row r="1629" spans="1:11" s="588" customFormat="1" ht="20.100000000000001" customHeight="1">
      <c r="A1629" s="924" t="s">
        <v>234</v>
      </c>
      <c r="B1629" s="940"/>
      <c r="C1629" s="228">
        <v>2</v>
      </c>
      <c r="D1629" s="228"/>
    </row>
    <row r="1630" spans="1:11" s="588" customFormat="1" ht="20.100000000000001" customHeight="1">
      <c r="A1630" s="924" t="s">
        <v>250</v>
      </c>
      <c r="B1630" s="940"/>
      <c r="C1630" s="697">
        <v>-4.2479235119933314</v>
      </c>
      <c r="D1630" s="228"/>
    </row>
    <row r="1631" spans="1:11" s="588" customFormat="1" ht="20.100000000000001" customHeight="1">
      <c r="A1631" s="924" t="s">
        <v>251</v>
      </c>
      <c r="B1631" s="940"/>
      <c r="C1631" s="695">
        <v>2.5599386338342939E-2</v>
      </c>
      <c r="D1631" s="228"/>
    </row>
    <row r="1632" spans="1:11" s="588" customFormat="1" ht="20.100000000000001" customHeight="1">
      <c r="A1632" s="924" t="s">
        <v>252</v>
      </c>
      <c r="B1632" s="940"/>
      <c r="C1632" s="695">
        <v>2.9199855803537269</v>
      </c>
      <c r="D1632" s="228"/>
    </row>
    <row r="1633" spans="1:11" s="588" customFormat="1" ht="20.100000000000001" customHeight="1">
      <c r="A1633" s="924" t="s">
        <v>253</v>
      </c>
      <c r="B1633" s="940"/>
      <c r="C1633" s="695">
        <v>5.1198772676685878E-2</v>
      </c>
      <c r="D1633" s="228"/>
    </row>
    <row r="1634" spans="1:11" s="588" customFormat="1" ht="20.100000000000001" customHeight="1">
      <c r="A1634" s="941" t="s">
        <v>254</v>
      </c>
      <c r="B1634" s="728"/>
      <c r="C1634" s="942">
        <v>4.3026527297494637</v>
      </c>
      <c r="D1634" s="315"/>
    </row>
    <row r="1635" spans="1:11" s="588" customFormat="1" ht="20.100000000000001" customHeight="1"/>
    <row r="1636" spans="1:11" s="588" customFormat="1" ht="20.100000000000001" customHeight="1">
      <c r="A1636" s="641" t="s">
        <v>2659</v>
      </c>
    </row>
    <row r="1637" spans="1:11" s="588" customFormat="1" ht="20.100000000000001" customHeight="1"/>
    <row r="1638" spans="1:11" s="588" customFormat="1" ht="20.100000000000001" customHeight="1">
      <c r="A1638" s="480" t="s">
        <v>2382</v>
      </c>
    </row>
    <row r="1639" spans="1:11" s="588" customFormat="1" ht="20.100000000000001" customHeight="1">
      <c r="A1639" s="874" t="s">
        <v>109</v>
      </c>
    </row>
    <row r="1640" spans="1:11" s="588" customFormat="1" ht="20.100000000000001" customHeight="1">
      <c r="A1640" s="592" t="s">
        <v>100</v>
      </c>
      <c r="B1640" s="592" t="s">
        <v>99</v>
      </c>
      <c r="C1640" s="592" t="s">
        <v>100</v>
      </c>
      <c r="D1640" s="592" t="s">
        <v>275</v>
      </c>
      <c r="E1640" s="592" t="s">
        <v>2329</v>
      </c>
      <c r="F1640" s="592" t="s">
        <v>2406</v>
      </c>
      <c r="G1640" s="592" t="s">
        <v>2626</v>
      </c>
      <c r="H1640" s="592" t="s">
        <v>2627</v>
      </c>
    </row>
    <row r="1641" spans="1:11" s="588" customFormat="1" ht="20.100000000000001" customHeight="1">
      <c r="A1641" s="589" t="s">
        <v>96</v>
      </c>
      <c r="B1641" s="589" t="s">
        <v>64</v>
      </c>
      <c r="C1641" s="589" t="s">
        <v>64</v>
      </c>
      <c r="D1641" s="589" t="s">
        <v>64</v>
      </c>
      <c r="E1641" s="589" t="s">
        <v>64</v>
      </c>
      <c r="F1641" s="589" t="s">
        <v>64</v>
      </c>
      <c r="G1641" s="589" t="s">
        <v>2660</v>
      </c>
      <c r="H1641" s="589" t="s">
        <v>2625</v>
      </c>
    </row>
    <row r="1642" spans="1:11" s="588" customFormat="1" ht="20.100000000000001" customHeight="1">
      <c r="A1642" s="590" t="s">
        <v>2383</v>
      </c>
      <c r="B1642" s="67">
        <v>7.327</v>
      </c>
      <c r="C1642" s="67">
        <v>10.388999999999999</v>
      </c>
      <c r="D1642" s="67">
        <v>10.7112</v>
      </c>
      <c r="E1642" s="60">
        <f>C1642-B1642</f>
        <v>3.0619999999999994</v>
      </c>
      <c r="F1642" s="60">
        <f>D1642-B1642</f>
        <v>3.3841999999999999</v>
      </c>
      <c r="G1642" s="60">
        <f>RAW_DATA!G956</f>
        <v>0.12906799999999999</v>
      </c>
      <c r="H1642" s="60">
        <f>G1642*F1642/E1642</f>
        <v>0.14264922455911172</v>
      </c>
      <c r="J1642" s="592" t="s">
        <v>260</v>
      </c>
      <c r="K1642" s="157">
        <f>AVERAGE(H1642:H1644)</f>
        <v>0.14187417396947408</v>
      </c>
    </row>
    <row r="1643" spans="1:11" s="588" customFormat="1" ht="20.100000000000001" customHeight="1">
      <c r="A1643" s="593" t="s">
        <v>2384</v>
      </c>
      <c r="B1643" s="69">
        <v>7.3070000000000004</v>
      </c>
      <c r="C1643" s="69">
        <v>10.3606</v>
      </c>
      <c r="D1643" s="69">
        <v>10.6845</v>
      </c>
      <c r="E1643" s="60">
        <f t="shared" ref="E1643:E1647" si="142">C1643-B1643</f>
        <v>3.0535999999999994</v>
      </c>
      <c r="F1643" s="60">
        <f t="shared" ref="F1643:F1647" si="143">D1643-B1643</f>
        <v>3.3774999999999995</v>
      </c>
      <c r="G1643" s="60">
        <f>RAW_DATA!G957</f>
        <v>0.12767000000000001</v>
      </c>
      <c r="H1643" s="60">
        <f t="shared" ref="H1643:H1647" si="144">G1643*F1643/E1643</f>
        <v>0.14121215123133352</v>
      </c>
      <c r="J1643" s="592" t="s">
        <v>429</v>
      </c>
      <c r="K1643" s="157">
        <f>STDEV(H1642:H1644)</f>
        <v>7.2517336462629527E-4</v>
      </c>
    </row>
    <row r="1644" spans="1:11" s="588" customFormat="1" ht="20.100000000000001" customHeight="1">
      <c r="A1644" s="589" t="s">
        <v>2385</v>
      </c>
      <c r="B1644" s="76">
        <v>7.3517000000000001</v>
      </c>
      <c r="C1644" s="76">
        <v>10.4184</v>
      </c>
      <c r="D1644" s="76">
        <v>10.741899999999999</v>
      </c>
      <c r="E1644" s="81">
        <f t="shared" si="142"/>
        <v>3.0667</v>
      </c>
      <c r="F1644" s="81">
        <f t="shared" si="143"/>
        <v>3.3901999999999992</v>
      </c>
      <c r="G1644" s="81">
        <f>RAW_DATA!G958</f>
        <v>0.12823399999999999</v>
      </c>
      <c r="H1644" s="81">
        <f t="shared" si="144"/>
        <v>0.14176114611797694</v>
      </c>
      <c r="J1644" s="587" t="s">
        <v>262</v>
      </c>
      <c r="K1644" s="208">
        <f>K1643/K1642</f>
        <v>5.1113838716151747E-3</v>
      </c>
    </row>
    <row r="1645" spans="1:11" s="588" customFormat="1" ht="20.100000000000001" customHeight="1">
      <c r="A1645" s="593" t="s">
        <v>2386</v>
      </c>
      <c r="B1645" s="69">
        <v>7.3272000000000004</v>
      </c>
      <c r="C1645" s="69">
        <v>10.412599999999999</v>
      </c>
      <c r="D1645" s="69">
        <v>10.7362</v>
      </c>
      <c r="E1645" s="60">
        <f t="shared" si="142"/>
        <v>3.085399999999999</v>
      </c>
      <c r="F1645" s="60">
        <f t="shared" si="143"/>
        <v>3.4089999999999998</v>
      </c>
      <c r="G1645" s="60">
        <f>RAW_DATA!G959</f>
        <v>0.103265</v>
      </c>
      <c r="H1645" s="60">
        <f t="shared" si="144"/>
        <v>0.1140955419070461</v>
      </c>
      <c r="J1645" s="480" t="s">
        <v>260</v>
      </c>
      <c r="K1645" s="154">
        <f>AVERAGE(H1645:H1647)</f>
        <v>0.10892040967309462</v>
      </c>
    </row>
    <row r="1646" spans="1:11" s="588" customFormat="1" ht="20.100000000000001" customHeight="1">
      <c r="A1646" s="593" t="s">
        <v>2387</v>
      </c>
      <c r="B1646" s="69">
        <v>7.3144</v>
      </c>
      <c r="C1646" s="69">
        <v>10.3148</v>
      </c>
      <c r="D1646" s="69">
        <v>10.6388</v>
      </c>
      <c r="E1646" s="60">
        <f t="shared" si="142"/>
        <v>3.0004</v>
      </c>
      <c r="F1646" s="60">
        <f t="shared" si="143"/>
        <v>3.3243999999999998</v>
      </c>
      <c r="G1646" s="60">
        <f>RAW_DATA!G960</f>
        <v>9.8003999999999994E-2</v>
      </c>
      <c r="H1646" s="60">
        <f t="shared" si="144"/>
        <v>0.10858702093054258</v>
      </c>
      <c r="J1646" s="480" t="s">
        <v>429</v>
      </c>
      <c r="K1646" s="154">
        <f>STDEV(H1645:H1647)</f>
        <v>5.0167530200844667E-3</v>
      </c>
    </row>
    <row r="1647" spans="1:11" s="588" customFormat="1" ht="20.100000000000001" customHeight="1">
      <c r="A1647" s="589" t="s">
        <v>2388</v>
      </c>
      <c r="B1647" s="76">
        <v>7.3517999999999999</v>
      </c>
      <c r="C1647" s="76">
        <v>10.3073</v>
      </c>
      <c r="D1647" s="76">
        <v>10.6319</v>
      </c>
      <c r="E1647" s="81">
        <f t="shared" si="142"/>
        <v>2.9554999999999998</v>
      </c>
      <c r="F1647" s="81">
        <f t="shared" si="143"/>
        <v>3.2801</v>
      </c>
      <c r="G1647" s="81">
        <f>RAW_DATA!G961</f>
        <v>9.3779000000000001E-2</v>
      </c>
      <c r="H1647" s="81">
        <f t="shared" si="144"/>
        <v>0.10407866618169515</v>
      </c>
      <c r="J1647" s="480" t="s">
        <v>262</v>
      </c>
      <c r="K1647" s="161">
        <f>K1646/K1645</f>
        <v>4.605888864301342E-2</v>
      </c>
    </row>
    <row r="1648" spans="1:11" s="148" customFormat="1" ht="20.100000000000001" customHeight="1">
      <c r="A1648" s="228"/>
      <c r="B1648" s="132"/>
      <c r="C1648" s="132"/>
      <c r="D1648" s="132"/>
    </row>
    <row r="1649" spans="1:25" s="148" customFormat="1" ht="20.100000000000001" customHeight="1">
      <c r="A1649" s="641" t="s">
        <v>2674</v>
      </c>
      <c r="B1649" s="132"/>
      <c r="C1649" s="132"/>
      <c r="D1649" s="132"/>
    </row>
    <row r="1650" spans="1:25" s="148" customFormat="1" ht="20.100000000000001" customHeight="1">
      <c r="A1650" s="945">
        <f>(K1645-K1642)/K1642</f>
        <v>-0.23227458087946193</v>
      </c>
      <c r="B1650" s="132"/>
      <c r="C1650" s="132"/>
      <c r="D1650" s="132"/>
    </row>
    <row r="1651" spans="1:25" s="148" customFormat="1" ht="20.100000000000001" customHeight="1">
      <c r="A1651" s="228"/>
      <c r="B1651" s="132"/>
      <c r="C1651" s="132"/>
      <c r="D1651" s="132"/>
    </row>
    <row r="1652" spans="1:25" s="148" customFormat="1" ht="20.100000000000001" customHeight="1">
      <c r="A1652" s="641" t="s">
        <v>2675</v>
      </c>
      <c r="B1652" s="132"/>
      <c r="C1652" s="132"/>
      <c r="D1652" s="132"/>
    </row>
    <row r="1653" spans="1:25" s="148" customFormat="1" ht="20.100000000000001" customHeight="1">
      <c r="A1653" s="228"/>
      <c r="B1653" s="132"/>
      <c r="C1653" s="132"/>
      <c r="D1653" s="132"/>
    </row>
    <row r="1654" spans="1:25" s="149" customFormat="1" ht="20.100000000000001" customHeight="1">
      <c r="A1654" s="150" t="s">
        <v>2366</v>
      </c>
    </row>
    <row r="1656" spans="1:25" ht="20.100000000000001" customHeight="1">
      <c r="A1656" s="480" t="s">
        <v>2</v>
      </c>
      <c r="B1656" s="235">
        <v>45418</v>
      </c>
    </row>
    <row r="1658" spans="1:25" s="129" customFormat="1" ht="20.100000000000001" customHeight="1">
      <c r="A1658" s="104"/>
      <c r="B1658" s="89" t="s">
        <v>158</v>
      </c>
      <c r="D1658" s="89" t="s">
        <v>2156</v>
      </c>
      <c r="F1658" s="89" t="s">
        <v>2167</v>
      </c>
      <c r="H1658" s="89" t="s">
        <v>2158</v>
      </c>
      <c r="P1658" s="89" t="s">
        <v>176</v>
      </c>
    </row>
    <row r="1659" spans="1:25" s="129" customFormat="1" ht="20.100000000000001" customHeight="1">
      <c r="A1659" s="89" t="s">
        <v>157</v>
      </c>
      <c r="B1659" s="89" t="s">
        <v>1557</v>
      </c>
      <c r="C1659" s="89" t="s">
        <v>1558</v>
      </c>
      <c r="D1659" s="129" t="s">
        <v>169</v>
      </c>
      <c r="E1659" s="129" t="s">
        <v>170</v>
      </c>
      <c r="F1659" s="129" t="s">
        <v>169</v>
      </c>
      <c r="G1659" s="129" t="s">
        <v>170</v>
      </c>
      <c r="H1659" s="129" t="s">
        <v>169</v>
      </c>
      <c r="I1659" s="129" t="s">
        <v>170</v>
      </c>
      <c r="J1659" s="89" t="s">
        <v>140</v>
      </c>
      <c r="K1659" s="89" t="s">
        <v>2008</v>
      </c>
      <c r="L1659" s="89" t="s">
        <v>2009</v>
      </c>
      <c r="M1659" s="105" t="s">
        <v>2171</v>
      </c>
      <c r="N1659" s="105" t="s">
        <v>2172</v>
      </c>
      <c r="O1659" s="105" t="s">
        <v>2173</v>
      </c>
      <c r="P1659" s="89" t="s">
        <v>1557</v>
      </c>
      <c r="Q1659" s="89" t="s">
        <v>1558</v>
      </c>
      <c r="R1659" s="89" t="s">
        <v>179</v>
      </c>
      <c r="S1659" s="89" t="s">
        <v>159</v>
      </c>
      <c r="T1659" s="89" t="s">
        <v>160</v>
      </c>
      <c r="U1659" s="89" t="s">
        <v>161</v>
      </c>
      <c r="V1659" s="89" t="s">
        <v>79</v>
      </c>
      <c r="W1659" s="89" t="s">
        <v>80</v>
      </c>
      <c r="X1659" s="89" t="s">
        <v>3</v>
      </c>
      <c r="Y1659" s="89" t="s">
        <v>75</v>
      </c>
    </row>
    <row r="1660" spans="1:25" s="129" customFormat="1" ht="20.100000000000001" customHeight="1">
      <c r="A1660" s="576" t="s">
        <v>162</v>
      </c>
      <c r="B1660" s="576" t="s">
        <v>156</v>
      </c>
      <c r="C1660" s="576" t="s">
        <v>156</v>
      </c>
      <c r="D1660" s="576" t="s">
        <v>64</v>
      </c>
      <c r="E1660" s="576" t="s">
        <v>64</v>
      </c>
      <c r="F1660" s="576" t="s">
        <v>64</v>
      </c>
      <c r="G1660" s="576" t="s">
        <v>64</v>
      </c>
      <c r="H1660" s="576" t="s">
        <v>64</v>
      </c>
      <c r="I1660" s="576" t="s">
        <v>64</v>
      </c>
      <c r="J1660" s="576" t="s">
        <v>64</v>
      </c>
      <c r="K1660" s="576" t="s">
        <v>64</v>
      </c>
      <c r="L1660" s="576" t="s">
        <v>64</v>
      </c>
      <c r="M1660" s="576" t="s">
        <v>64</v>
      </c>
      <c r="N1660" s="576" t="s">
        <v>64</v>
      </c>
      <c r="O1660" s="576" t="s">
        <v>64</v>
      </c>
      <c r="P1660" s="576" t="s">
        <v>156</v>
      </c>
      <c r="Q1660" s="576" t="s">
        <v>156</v>
      </c>
      <c r="R1660" s="576" t="s">
        <v>74</v>
      </c>
      <c r="S1660" s="576"/>
      <c r="T1660" s="576" t="s">
        <v>163</v>
      </c>
      <c r="U1660" s="576" t="s">
        <v>163</v>
      </c>
      <c r="V1660" s="576" t="s">
        <v>92</v>
      </c>
      <c r="W1660" s="576" t="s">
        <v>74</v>
      </c>
      <c r="X1660" s="576" t="s">
        <v>90</v>
      </c>
      <c r="Y1660" s="576" t="s">
        <v>91</v>
      </c>
    </row>
    <row r="1661" spans="1:25" s="129" customFormat="1" ht="20.100000000000001" customHeight="1">
      <c r="A1661" s="513" t="s">
        <v>2367</v>
      </c>
      <c r="B1661" s="544">
        <f>F1488</f>
        <v>744.46277781926381</v>
      </c>
      <c r="C1661" s="544">
        <f>G1488</f>
        <v>0.20096610640142498</v>
      </c>
      <c r="D1661" s="539">
        <v>8.1936999999999998</v>
      </c>
      <c r="E1661" s="539">
        <v>-2.0000000000000001E-4</v>
      </c>
      <c r="F1661" s="539">
        <v>9.2017000000000007</v>
      </c>
      <c r="G1661" s="539">
        <v>0</v>
      </c>
      <c r="H1661" s="539">
        <v>32.655799999999999</v>
      </c>
      <c r="I1661" s="539">
        <v>0</v>
      </c>
      <c r="J1661" s="112">
        <f>D1661-E1661/2</f>
        <v>8.1937999999999995</v>
      </c>
      <c r="K1661" s="112">
        <f>F1661-G1661/2</f>
        <v>9.2017000000000007</v>
      </c>
      <c r="L1661" s="112">
        <f>H1661-I1661/2</f>
        <v>32.655799999999999</v>
      </c>
      <c r="M1661" s="576">
        <f>u_m1</f>
        <v>2.0000000000000001E-4</v>
      </c>
      <c r="N1661" s="576">
        <f>u_m1</f>
        <v>2.0000000000000001E-4</v>
      </c>
      <c r="O1661" s="576">
        <f>u_m1</f>
        <v>2.0000000000000001E-4</v>
      </c>
      <c r="P1661" s="545" cm="1">
        <f t="array" ref="P1661:Q1661">WnA1S(B1661:C1661,J1661:L1661,M1661:O1661)</f>
        <v>30.673862879733335</v>
      </c>
      <c r="Q1661" s="545">
        <v>1.1949284357157232E-2</v>
      </c>
      <c r="R1661" s="513" t="s">
        <v>2155</v>
      </c>
      <c r="S1661" s="513" t="s">
        <v>196</v>
      </c>
      <c r="T1661" s="541">
        <v>20240506</v>
      </c>
      <c r="U1661" s="513">
        <f>T1661+1</f>
        <v>20240507</v>
      </c>
      <c r="V1661" s="541">
        <v>21.6</v>
      </c>
      <c r="W1661" s="541">
        <v>49.4</v>
      </c>
      <c r="X1661" s="513" t="s">
        <v>101</v>
      </c>
      <c r="Y1661" s="513" t="s">
        <v>94</v>
      </c>
    </row>
    <row r="1662" spans="1:25" s="129" customFormat="1" ht="20.100000000000001" customHeight="1">
      <c r="A1662" s="80" t="s">
        <v>1635</v>
      </c>
      <c r="F1662" s="129">
        <v>1</v>
      </c>
      <c r="H1662" s="129">
        <v>24</v>
      </c>
    </row>
    <row r="1663" spans="1:25" s="129" customFormat="1" ht="20.100000000000001" customHeight="1">
      <c r="A1663" s="80"/>
    </row>
    <row r="1664" spans="1:25" ht="20.100000000000001" customHeight="1">
      <c r="A1664" s="239" t="s">
        <v>2628</v>
      </c>
    </row>
    <row r="1666" spans="1:15" ht="20.100000000000001" customHeight="1">
      <c r="A1666" s="592" t="s">
        <v>100</v>
      </c>
      <c r="B1666" s="592" t="s">
        <v>99</v>
      </c>
      <c r="C1666" s="592" t="s">
        <v>2485</v>
      </c>
      <c r="D1666" s="592" t="str">
        <f>A1661</f>
        <v>SP-SiO2</v>
      </c>
      <c r="E1666" s="592" t="s">
        <v>2485</v>
      </c>
      <c r="F1666" s="592" t="str">
        <f>D1666</f>
        <v>SP-SiO2</v>
      </c>
      <c r="G1666" s="592" t="s">
        <v>275</v>
      </c>
      <c r="H1666" s="592" t="s">
        <v>2616</v>
      </c>
      <c r="I1666" s="592" t="s">
        <v>2330</v>
      </c>
      <c r="J1666" s="592" t="s">
        <v>2329</v>
      </c>
      <c r="K1666" s="592" t="s">
        <v>2146</v>
      </c>
      <c r="L1666" s="592" t="s">
        <v>2406</v>
      </c>
      <c r="M1666" s="592" t="s">
        <v>2626</v>
      </c>
      <c r="N1666" s="592" t="s">
        <v>2627</v>
      </c>
      <c r="O1666" s="592" t="s">
        <v>2627</v>
      </c>
    </row>
    <row r="1667" spans="1:15" ht="20.100000000000001" customHeight="1">
      <c r="A1667" s="589" t="s">
        <v>96</v>
      </c>
      <c r="B1667" s="589" t="s">
        <v>64</v>
      </c>
      <c r="C1667" s="589" t="s">
        <v>64</v>
      </c>
      <c r="D1667" s="589" t="s">
        <v>64</v>
      </c>
      <c r="E1667" s="589" t="s">
        <v>64</v>
      </c>
      <c r="F1667" s="589" t="s">
        <v>64</v>
      </c>
      <c r="G1667" s="589" t="s">
        <v>64</v>
      </c>
      <c r="H1667" s="589" t="s">
        <v>64</v>
      </c>
      <c r="I1667" s="589" t="s">
        <v>64</v>
      </c>
      <c r="J1667" s="589" t="s">
        <v>64</v>
      </c>
      <c r="K1667" s="576" t="s">
        <v>156</v>
      </c>
      <c r="L1667" s="589" t="s">
        <v>64</v>
      </c>
      <c r="M1667" s="589" t="s">
        <v>2625</v>
      </c>
      <c r="N1667" s="589" t="s">
        <v>2625</v>
      </c>
      <c r="O1667" s="589" t="s">
        <v>2625</v>
      </c>
    </row>
    <row r="1668" spans="1:15" ht="20.100000000000001" customHeight="1">
      <c r="A1668" s="144">
        <v>0</v>
      </c>
      <c r="B1668" s="67">
        <v>6.1271000000000004</v>
      </c>
      <c r="C1668" s="67">
        <v>9.093</v>
      </c>
      <c r="D1668" s="67">
        <f>C1668</f>
        <v>9.093</v>
      </c>
      <c r="E1668" s="67">
        <v>12.0726</v>
      </c>
      <c r="F1668" s="67">
        <f>E1668</f>
        <v>12.0726</v>
      </c>
      <c r="G1668" s="67">
        <v>12.861700000000001</v>
      </c>
      <c r="H1668" s="60">
        <f>(C1668-B1668)+(E1668-D1668)</f>
        <v>5.9454999999999991</v>
      </c>
      <c r="I1668" s="60">
        <f>(D1668-C1668)+(F1668-E1668)</f>
        <v>0</v>
      </c>
      <c r="J1668" s="60">
        <f>I1668+H1668</f>
        <v>5.9454999999999991</v>
      </c>
      <c r="K1668" s="142">
        <f>I1668*$P$1661/J1668</f>
        <v>0</v>
      </c>
      <c r="L1668" s="60">
        <f>G1668-B1668</f>
        <v>6.7346000000000004</v>
      </c>
      <c r="M1668" s="239">
        <f>RAW_DATA!C925</f>
        <v>-7.5600000000000005E-4</v>
      </c>
      <c r="N1668" s="154">
        <f>M1668*L1668/J1668</f>
        <v>-8.5633800353208326E-4</v>
      </c>
      <c r="O1668" s="154">
        <f>N1668-$N$1668</f>
        <v>0</v>
      </c>
    </row>
    <row r="1669" spans="1:15" ht="20.100000000000001" customHeight="1">
      <c r="A1669" s="144">
        <v>0.1</v>
      </c>
      <c r="B1669" s="69">
        <v>6.1249000000000002</v>
      </c>
      <c r="C1669" s="69">
        <v>9.0977999999999994</v>
      </c>
      <c r="D1669" s="69">
        <v>9.1079000000000008</v>
      </c>
      <c r="E1669" s="69">
        <v>12.074400000000001</v>
      </c>
      <c r="F1669" s="69">
        <v>12.084</v>
      </c>
      <c r="G1669" s="69">
        <v>12.878</v>
      </c>
      <c r="H1669" s="60">
        <f t="shared" ref="H1669:H1674" si="145">(C1669-B1669)+(E1669-D1669)</f>
        <v>5.9393999999999991</v>
      </c>
      <c r="I1669" s="60">
        <f t="shared" ref="I1669:I1674" si="146">(D1669-C1669)+(F1669-E1669)</f>
        <v>1.9700000000000273E-2</v>
      </c>
      <c r="J1669" s="60">
        <f t="shared" ref="J1669:J1674" si="147">I1669+H1669</f>
        <v>5.9590999999999994</v>
      </c>
      <c r="K1669" s="142">
        <f t="shared" ref="K1669:K1674" si="148">I1669*$P$1661/J1669</f>
        <v>0.10140375203147373</v>
      </c>
      <c r="L1669" s="60">
        <f t="shared" ref="L1669:L1674" si="149">G1669-B1669</f>
        <v>6.7530999999999999</v>
      </c>
      <c r="M1669" s="588">
        <f>RAW_DATA!C926</f>
        <v>-7.6099999999999996E-4</v>
      </c>
      <c r="N1669" s="154">
        <f t="shared" ref="N1669:N1674" si="150">M1669*L1669/J1669</f>
        <v>-8.6239685522981663E-4</v>
      </c>
      <c r="O1669" s="154">
        <f t="shared" ref="O1669:O1674" si="151">N1669-$N$1668</f>
        <v>-6.0588516977333647E-6</v>
      </c>
    </row>
    <row r="1670" spans="1:15" ht="20.100000000000001" customHeight="1">
      <c r="A1670" s="144">
        <v>0.4</v>
      </c>
      <c r="B1670" s="69">
        <v>6.1425000000000001</v>
      </c>
      <c r="C1670" s="69">
        <v>9.1173999999999999</v>
      </c>
      <c r="D1670" s="69">
        <v>9.1565999999999992</v>
      </c>
      <c r="E1670" s="69">
        <v>12.118499999999999</v>
      </c>
      <c r="F1670" s="69">
        <v>12.158099999999999</v>
      </c>
      <c r="G1670" s="69">
        <v>12.953799999999999</v>
      </c>
      <c r="H1670" s="60">
        <f t="shared" si="145"/>
        <v>5.9367999999999999</v>
      </c>
      <c r="I1670" s="60">
        <f t="shared" si="146"/>
        <v>7.8799999999999315E-2</v>
      </c>
      <c r="J1670" s="60">
        <f t="shared" si="147"/>
        <v>6.0155999999999992</v>
      </c>
      <c r="K1670" s="142">
        <f t="shared" si="148"/>
        <v>0.40180537185367482</v>
      </c>
      <c r="L1670" s="60">
        <f t="shared" si="149"/>
        <v>6.8112999999999992</v>
      </c>
      <c r="M1670" s="588">
        <f>RAW_DATA!C927</f>
        <v>-7.5799999999999999E-4</v>
      </c>
      <c r="N1670" s="154">
        <f t="shared" si="150"/>
        <v>-8.5826275018285793E-4</v>
      </c>
      <c r="O1670" s="154">
        <f t="shared" si="151"/>
        <v>-1.9247466507746726E-6</v>
      </c>
    </row>
    <row r="1671" spans="1:15" ht="20.100000000000001" customHeight="1">
      <c r="A1671" s="144">
        <f t="shared" ref="A1671:A1673" si="152">A1670+3/5</f>
        <v>1</v>
      </c>
      <c r="B1671" s="69">
        <v>6.1394000000000002</v>
      </c>
      <c r="C1671" s="69">
        <v>9.1038999999999994</v>
      </c>
      <c r="D1671" s="69">
        <v>9.2027999999999999</v>
      </c>
      <c r="E1671" s="69">
        <v>12.1622</v>
      </c>
      <c r="F1671" s="69">
        <v>12.2613</v>
      </c>
      <c r="G1671" s="69">
        <v>13.0578</v>
      </c>
      <c r="H1671" s="60">
        <f t="shared" si="145"/>
        <v>5.9238999999999997</v>
      </c>
      <c r="I1671" s="60">
        <f t="shared" si="146"/>
        <v>0.1980000000000004</v>
      </c>
      <c r="J1671" s="60">
        <f t="shared" si="147"/>
        <v>6.1219000000000001</v>
      </c>
      <c r="K1671" s="142">
        <f t="shared" si="148"/>
        <v>0.9920816821880809</v>
      </c>
      <c r="L1671" s="60">
        <f t="shared" si="149"/>
        <v>6.9184000000000001</v>
      </c>
      <c r="M1671" s="588">
        <f>RAW_DATA!C928</f>
        <v>-6.8000000000000005E-4</v>
      </c>
      <c r="N1671" s="154">
        <f t="shared" si="150"/>
        <v>-7.6847253303712895E-4</v>
      </c>
      <c r="O1671" s="154">
        <f t="shared" si="151"/>
        <v>8.7865470494954316E-5</v>
      </c>
    </row>
    <row r="1672" spans="1:15" ht="20.100000000000001" customHeight="1">
      <c r="A1672" s="144">
        <f t="shared" si="152"/>
        <v>1.6</v>
      </c>
      <c r="B1672" s="69">
        <v>6.1498999999999997</v>
      </c>
      <c r="C1672" s="69">
        <v>9.1090999999999998</v>
      </c>
      <c r="D1672" s="69">
        <v>9.2675000000000001</v>
      </c>
      <c r="E1672" s="69">
        <v>12.2174</v>
      </c>
      <c r="F1672" s="69">
        <v>12.375400000000001</v>
      </c>
      <c r="G1672" s="69">
        <v>13.173299999999999</v>
      </c>
      <c r="H1672" s="60">
        <f t="shared" si="145"/>
        <v>5.9090999999999996</v>
      </c>
      <c r="I1672" s="60">
        <f t="shared" si="146"/>
        <v>0.31640000000000157</v>
      </c>
      <c r="J1672" s="60">
        <f t="shared" si="147"/>
        <v>6.2255000000000011</v>
      </c>
      <c r="K1672" s="142">
        <f t="shared" si="148"/>
        <v>1.5589446976383701</v>
      </c>
      <c r="L1672" s="60">
        <f t="shared" si="149"/>
        <v>7.0233999999999996</v>
      </c>
      <c r="M1672" s="588">
        <f>RAW_DATA!C929</f>
        <v>-7.8899999999999999E-4</v>
      </c>
      <c r="N1672" s="154">
        <f t="shared" si="150"/>
        <v>-8.9012329933338668E-4</v>
      </c>
      <c r="O1672" s="154">
        <f t="shared" si="151"/>
        <v>-3.3785295801303417E-5</v>
      </c>
    </row>
    <row r="1673" spans="1:15" ht="20.100000000000001" customHeight="1">
      <c r="A1673" s="144">
        <f t="shared" si="152"/>
        <v>2.2000000000000002</v>
      </c>
      <c r="B1673" s="69">
        <v>6.1271000000000004</v>
      </c>
      <c r="C1673" s="69">
        <v>9.0785</v>
      </c>
      <c r="D1673" s="69">
        <v>9.2967999999999993</v>
      </c>
      <c r="E1673" s="69">
        <v>12.2385</v>
      </c>
      <c r="F1673" s="69">
        <v>12.456899999999999</v>
      </c>
      <c r="G1673" s="69">
        <v>13.2538</v>
      </c>
      <c r="H1673" s="60">
        <f t="shared" si="145"/>
        <v>5.8931000000000004</v>
      </c>
      <c r="I1673" s="60">
        <f t="shared" si="146"/>
        <v>0.43669999999999831</v>
      </c>
      <c r="J1673" s="60">
        <f t="shared" si="147"/>
        <v>6.3297999999999988</v>
      </c>
      <c r="K1673" s="142">
        <f t="shared" si="148"/>
        <v>2.1162241965906503</v>
      </c>
      <c r="L1673" s="60">
        <f t="shared" si="149"/>
        <v>7.1266999999999996</v>
      </c>
      <c r="M1673" s="588">
        <f>RAW_DATA!C930</f>
        <v>-5.8E-4</v>
      </c>
      <c r="N1673" s="154">
        <f t="shared" si="150"/>
        <v>-6.5302000063193161E-4</v>
      </c>
      <c r="O1673" s="154">
        <f t="shared" si="151"/>
        <v>2.0331800290015166E-4</v>
      </c>
    </row>
    <row r="1674" spans="1:15" ht="20.100000000000001" customHeight="1">
      <c r="A1674" s="146">
        <v>3</v>
      </c>
      <c r="B1674" s="76">
        <v>7.3029000000000002</v>
      </c>
      <c r="C1674" s="76">
        <v>10.243399999999999</v>
      </c>
      <c r="D1674" s="76">
        <v>10.542199999999999</v>
      </c>
      <c r="E1674" s="76">
        <v>13.4724</v>
      </c>
      <c r="F1674" s="76">
        <v>13.771100000000001</v>
      </c>
      <c r="G1674" s="76">
        <v>14.5678</v>
      </c>
      <c r="H1674" s="81">
        <f t="shared" si="145"/>
        <v>5.8707000000000003</v>
      </c>
      <c r="I1674" s="81">
        <f t="shared" si="146"/>
        <v>0.59750000000000014</v>
      </c>
      <c r="J1674" s="81">
        <f t="shared" si="147"/>
        <v>6.4682000000000004</v>
      </c>
      <c r="K1674" s="143">
        <f t="shared" si="148"/>
        <v>2.8334982020717776</v>
      </c>
      <c r="L1674" s="81">
        <f t="shared" si="149"/>
        <v>7.2648999999999999</v>
      </c>
      <c r="M1674" s="589">
        <f>RAW_DATA!C931</f>
        <v>-6.7900000000000002E-4</v>
      </c>
      <c r="N1674" s="155">
        <f t="shared" si="150"/>
        <v>-7.6263366933613673E-4</v>
      </c>
      <c r="O1674" s="155">
        <f t="shared" si="151"/>
        <v>9.3704334195946534E-5</v>
      </c>
    </row>
    <row r="1676" spans="1:15" s="588" customFormat="1" ht="20.100000000000001" customHeight="1">
      <c r="A1676" s="57" t="s">
        <v>2629</v>
      </c>
    </row>
    <row r="1677" spans="1:15" s="588" customFormat="1" ht="20.100000000000001" customHeight="1">
      <c r="A1677" s="57" t="s">
        <v>2630</v>
      </c>
    </row>
    <row r="1678" spans="1:15" s="588" customFormat="1" ht="20.100000000000001" customHeight="1"/>
    <row r="1679" spans="1:15" s="149" customFormat="1" ht="20.100000000000001" customHeight="1">
      <c r="A1679" s="150" t="s">
        <v>2725</v>
      </c>
    </row>
    <row r="1681" spans="1:11" ht="20.100000000000001" customHeight="1">
      <c r="A1681" s="480" t="s">
        <v>2</v>
      </c>
      <c r="B1681" s="239">
        <v>20240502</v>
      </c>
    </row>
    <row r="1683" spans="1:11" s="588" customFormat="1" ht="20.100000000000001" customHeight="1">
      <c r="G1683" s="588" t="s">
        <v>1653</v>
      </c>
      <c r="H1683" s="588" t="s">
        <v>1654</v>
      </c>
      <c r="I1683" s="588" t="s">
        <v>1654</v>
      </c>
    </row>
    <row r="1684" spans="1:11" ht="20.100000000000001" customHeight="1">
      <c r="A1684" s="592" t="s">
        <v>99</v>
      </c>
      <c r="B1684" s="592" t="s">
        <v>100</v>
      </c>
      <c r="C1684" s="592" t="s">
        <v>2710</v>
      </c>
      <c r="D1684" s="592" t="s">
        <v>116</v>
      </c>
      <c r="E1684" s="592" t="s">
        <v>117</v>
      </c>
      <c r="F1684" s="592" t="s">
        <v>1531</v>
      </c>
      <c r="G1684" s="592" t="s">
        <v>2716</v>
      </c>
      <c r="H1684" s="592" t="s">
        <v>2307</v>
      </c>
      <c r="I1684" s="592" t="s">
        <v>2307</v>
      </c>
    </row>
    <row r="1685" spans="1:11" ht="20.100000000000001" customHeight="1">
      <c r="A1685" s="589" t="s">
        <v>64</v>
      </c>
      <c r="B1685" s="589" t="s">
        <v>64</v>
      </c>
      <c r="C1685" s="589" t="s">
        <v>64</v>
      </c>
      <c r="D1685" s="589" t="s">
        <v>64</v>
      </c>
      <c r="E1685" s="589" t="s">
        <v>64</v>
      </c>
      <c r="F1685" s="589" t="s">
        <v>540</v>
      </c>
      <c r="G1685" s="589" t="s">
        <v>540</v>
      </c>
      <c r="H1685" s="589" t="s">
        <v>449</v>
      </c>
      <c r="I1685" s="589" t="s">
        <v>2711</v>
      </c>
    </row>
    <row r="1686" spans="1:11" ht="20.100000000000001" customHeight="1">
      <c r="A1686" s="239">
        <v>0.94230000000000003</v>
      </c>
      <c r="B1686" s="239">
        <v>1.4384999999999999</v>
      </c>
      <c r="C1686" s="239">
        <v>1.9354</v>
      </c>
      <c r="D1686" s="239">
        <f>B1686-A1686</f>
        <v>0.49619999999999986</v>
      </c>
      <c r="E1686" s="239">
        <f>C1686-B1686</f>
        <v>0.49690000000000012</v>
      </c>
      <c r="F1686" s="166">
        <v>0</v>
      </c>
      <c r="G1686" s="166">
        <f>F1686*D1686/E1686</f>
        <v>0</v>
      </c>
      <c r="H1686" s="142">
        <v>0</v>
      </c>
      <c r="I1686" s="142">
        <v>0</v>
      </c>
    </row>
    <row r="1687" spans="1:11" ht="20.100000000000001" customHeight="1">
      <c r="A1687" s="239">
        <v>0.93059999999999998</v>
      </c>
      <c r="B1687" s="239">
        <v>1.4281999999999999</v>
      </c>
      <c r="C1687" s="239">
        <v>1.9260999999999999</v>
      </c>
      <c r="D1687" s="588">
        <f t="shared" ref="D1687:D1690" si="153">B1687-A1687</f>
        <v>0.49759999999999993</v>
      </c>
      <c r="E1687" s="588">
        <f t="shared" ref="E1687:E1690" si="154">C1687-B1687</f>
        <v>0.49790000000000001</v>
      </c>
      <c r="F1687" s="166">
        <v>42.639677048759602</v>
      </c>
      <c r="G1687" s="166">
        <f t="shared" ref="G1687:G1690" si="155">F1687*D1687/E1687</f>
        <v>42.613985337342385</v>
      </c>
      <c r="H1687" s="142">
        <v>0.1214381677909188</v>
      </c>
      <c r="I1687" s="142">
        <v>3.3017068422441224E-2</v>
      </c>
      <c r="K1687" s="588"/>
    </row>
    <row r="1688" spans="1:11" ht="20.100000000000001" customHeight="1">
      <c r="A1688" s="239">
        <v>0.94220000000000004</v>
      </c>
      <c r="B1688" s="239">
        <v>1.4396</v>
      </c>
      <c r="C1688" s="239">
        <v>1.9379</v>
      </c>
      <c r="D1688" s="588">
        <f t="shared" si="153"/>
        <v>0.49739999999999995</v>
      </c>
      <c r="E1688" s="588">
        <f t="shared" si="154"/>
        <v>0.49829999999999997</v>
      </c>
      <c r="F1688" s="166">
        <v>206.55500720855798</v>
      </c>
      <c r="G1688" s="166">
        <f t="shared" si="155"/>
        <v>206.18193976627882</v>
      </c>
      <c r="H1688" s="142">
        <v>0.44778046525111509</v>
      </c>
      <c r="I1688" s="142">
        <v>3.9691858817525712E-3</v>
      </c>
      <c r="K1688" s="588"/>
    </row>
    <row r="1689" spans="1:11" ht="20.100000000000001" customHeight="1">
      <c r="A1689" s="239">
        <v>0.93089999999999995</v>
      </c>
      <c r="B1689" s="239">
        <v>1.4280999999999999</v>
      </c>
      <c r="C1689" s="239">
        <v>1.9262999999999999</v>
      </c>
      <c r="D1689" s="588">
        <f t="shared" si="153"/>
        <v>0.49719999999999998</v>
      </c>
      <c r="E1689" s="588">
        <f t="shared" si="154"/>
        <v>0.49819999999999998</v>
      </c>
      <c r="F1689" s="166">
        <v>413.20755101293184</v>
      </c>
      <c r="G1689" s="166">
        <f t="shared" si="155"/>
        <v>412.37815006750242</v>
      </c>
      <c r="H1689" s="142">
        <v>0.91565415118151761</v>
      </c>
      <c r="I1689" s="142">
        <v>5.0156812396460193E-2</v>
      </c>
      <c r="K1689" s="588"/>
    </row>
    <row r="1690" spans="1:11" ht="20.100000000000001" customHeight="1">
      <c r="A1690" s="589">
        <v>0.93140000000000001</v>
      </c>
      <c r="B1690" s="589">
        <v>1.4276</v>
      </c>
      <c r="C1690" s="589">
        <v>1.9267000000000001</v>
      </c>
      <c r="D1690" s="589">
        <f t="shared" si="153"/>
        <v>0.49619999999999997</v>
      </c>
      <c r="E1690" s="589">
        <f t="shared" si="154"/>
        <v>0.4991000000000001</v>
      </c>
      <c r="F1690" s="169">
        <v>853.10114097078531</v>
      </c>
      <c r="G1690" s="169">
        <f t="shared" si="155"/>
        <v>848.14423191685739</v>
      </c>
      <c r="H1690" s="143">
        <v>1.727007334876614</v>
      </c>
      <c r="I1690" s="143">
        <v>1.0273137040332374E-2</v>
      </c>
      <c r="K1690" s="588"/>
    </row>
    <row r="1701" spans="1:232" s="588" customFormat="1" ht="20.100000000000001" customHeight="1"/>
    <row r="1702" spans="1:232" ht="20.100000000000001" customHeight="1">
      <c r="A1702" s="587" t="s">
        <v>2712</v>
      </c>
      <c r="B1702" s="589"/>
      <c r="C1702" s="589"/>
      <c r="D1702" s="589"/>
      <c r="E1702" s="589"/>
    </row>
    <row r="1703" spans="1:232" ht="20.100000000000001" customHeight="1">
      <c r="A1703" s="239" t="str" cm="1">
        <f t="array" ref="A1703:E1707">FitIDMS(G1686:G1690,H1686:H1690)</f>
        <v>parameters</v>
      </c>
      <c r="B1703" s="239" t="str">
        <v>value</v>
      </c>
      <c r="C1703" s="239" t="str">
        <v>uncertainty</v>
      </c>
      <c r="D1703" s="239" t="str">
        <v/>
      </c>
      <c r="E1703" s="239" t="str">
        <v>covariance</v>
      </c>
    </row>
    <row r="1704" spans="1:232" ht="20.100000000000001" customHeight="1">
      <c r="A1704" s="239" t="str">
        <v>a0</v>
      </c>
      <c r="B1704" s="60">
        <v>6.3039595019898087E-3</v>
      </c>
      <c r="C1704" s="60">
        <v>1.7444271352877457E-2</v>
      </c>
      <c r="D1704" s="239" t="str">
        <v>a0a1</v>
      </c>
      <c r="E1704" s="239">
        <v>-1.6076031913331504E-6</v>
      </c>
    </row>
    <row r="1705" spans="1:232" ht="20.100000000000001" customHeight="1">
      <c r="A1705" s="239" t="str">
        <v>a1</v>
      </c>
      <c r="B1705" s="154">
        <v>2.3271460580763029E-3</v>
      </c>
      <c r="C1705" s="154">
        <v>1.3156396383814616E-4</v>
      </c>
      <c r="D1705" s="239" t="str">
        <v>a0a2</v>
      </c>
      <c r="E1705" s="239">
        <v>-7.350513241848391E-7</v>
      </c>
    </row>
    <row r="1706" spans="1:232" ht="20.100000000000001" customHeight="1">
      <c r="A1706" s="239" t="str">
        <v>a2</v>
      </c>
      <c r="B1706" s="154">
        <v>1.711701746245943E-4</v>
      </c>
      <c r="C1706" s="154">
        <v>7.3211553146448433E-5</v>
      </c>
      <c r="D1706" s="239" t="str">
        <v>a1a2</v>
      </c>
      <c r="E1706" s="239">
        <v>9.3238780604285535E-9</v>
      </c>
    </row>
    <row r="1707" spans="1:232" ht="20.100000000000001" customHeight="1">
      <c r="A1707" s="589" t="str">
        <v>R^2</v>
      </c>
      <c r="B1707" s="81">
        <v>0.99947185448417253</v>
      </c>
      <c r="C1707" s="589" t="str">
        <v/>
      </c>
      <c r="D1707" s="589" t="str">
        <v/>
      </c>
      <c r="E1707" s="589" t="str">
        <v/>
      </c>
    </row>
    <row r="1709" spans="1:232" ht="20.100000000000001" customHeight="1">
      <c r="A1709" s="239" t="s">
        <v>229</v>
      </c>
      <c r="B1709" s="239">
        <v>0</v>
      </c>
      <c r="C1709" s="239">
        <v>4</v>
      </c>
      <c r="D1709" s="588">
        <v>8</v>
      </c>
      <c r="E1709" s="588">
        <v>12</v>
      </c>
      <c r="F1709" s="588">
        <v>16</v>
      </c>
      <c r="G1709" s="588">
        <v>20</v>
      </c>
      <c r="H1709" s="588">
        <v>24</v>
      </c>
      <c r="I1709" s="588">
        <v>28</v>
      </c>
      <c r="J1709" s="588">
        <v>32</v>
      </c>
      <c r="K1709" s="588">
        <v>36</v>
      </c>
      <c r="L1709" s="588">
        <v>40</v>
      </c>
      <c r="M1709" s="588">
        <v>44</v>
      </c>
      <c r="N1709" s="588">
        <v>48</v>
      </c>
      <c r="O1709" s="588">
        <v>52</v>
      </c>
      <c r="P1709" s="588">
        <v>56</v>
      </c>
      <c r="Q1709" s="588">
        <v>60</v>
      </c>
      <c r="R1709" s="588">
        <v>64</v>
      </c>
      <c r="S1709" s="588">
        <v>68</v>
      </c>
      <c r="T1709" s="588">
        <v>72</v>
      </c>
      <c r="U1709" s="588">
        <v>76</v>
      </c>
      <c r="V1709" s="588">
        <v>80</v>
      </c>
      <c r="W1709" s="588">
        <v>84</v>
      </c>
      <c r="X1709" s="588">
        <v>88</v>
      </c>
      <c r="Y1709" s="588">
        <v>92</v>
      </c>
      <c r="Z1709" s="588">
        <v>96</v>
      </c>
      <c r="AA1709" s="588">
        <v>100</v>
      </c>
      <c r="AB1709" s="588">
        <v>104</v>
      </c>
      <c r="AC1709" s="588">
        <v>108</v>
      </c>
      <c r="AD1709" s="588">
        <v>112</v>
      </c>
      <c r="AE1709" s="588">
        <v>116</v>
      </c>
      <c r="AF1709" s="588">
        <v>120</v>
      </c>
      <c r="AG1709" s="588">
        <v>124</v>
      </c>
      <c r="AH1709" s="588">
        <v>128</v>
      </c>
      <c r="AI1709" s="588">
        <v>132</v>
      </c>
      <c r="AJ1709" s="588">
        <v>136</v>
      </c>
      <c r="AK1709" s="588">
        <v>140</v>
      </c>
      <c r="AL1709" s="588">
        <v>144</v>
      </c>
      <c r="AM1709" s="588">
        <v>148</v>
      </c>
      <c r="AN1709" s="588">
        <v>152</v>
      </c>
      <c r="AO1709" s="588">
        <v>156</v>
      </c>
      <c r="AP1709" s="588">
        <v>160</v>
      </c>
      <c r="AQ1709" s="588">
        <v>164</v>
      </c>
      <c r="AR1709" s="588">
        <v>168</v>
      </c>
      <c r="AS1709" s="588">
        <v>172</v>
      </c>
      <c r="AT1709" s="588">
        <v>176</v>
      </c>
      <c r="AU1709" s="588">
        <v>180</v>
      </c>
      <c r="AV1709" s="588">
        <v>184</v>
      </c>
      <c r="AW1709" s="588">
        <v>188</v>
      </c>
      <c r="AX1709" s="588">
        <v>192</v>
      </c>
      <c r="AY1709" s="588">
        <v>196</v>
      </c>
      <c r="AZ1709" s="588">
        <v>200</v>
      </c>
      <c r="BA1709" s="588">
        <v>204</v>
      </c>
      <c r="BB1709" s="588">
        <v>208</v>
      </c>
      <c r="BC1709" s="588">
        <v>212</v>
      </c>
      <c r="BD1709" s="588">
        <v>216</v>
      </c>
      <c r="BE1709" s="588">
        <v>220</v>
      </c>
      <c r="BF1709" s="588">
        <v>224</v>
      </c>
      <c r="BG1709" s="588">
        <v>228</v>
      </c>
      <c r="BH1709" s="588">
        <v>232</v>
      </c>
      <c r="BI1709" s="588">
        <v>236</v>
      </c>
      <c r="BJ1709" s="588">
        <v>240</v>
      </c>
      <c r="BK1709" s="588">
        <v>244</v>
      </c>
      <c r="BL1709" s="588">
        <v>248</v>
      </c>
      <c r="BM1709" s="588">
        <v>252</v>
      </c>
      <c r="BN1709" s="588">
        <v>256</v>
      </c>
      <c r="BO1709" s="588">
        <v>260</v>
      </c>
      <c r="BP1709" s="588">
        <v>264</v>
      </c>
      <c r="BQ1709" s="588">
        <v>268</v>
      </c>
      <c r="BR1709" s="588">
        <v>272</v>
      </c>
      <c r="BS1709" s="588">
        <v>276</v>
      </c>
      <c r="BT1709" s="588">
        <v>280</v>
      </c>
      <c r="BU1709" s="588">
        <v>284</v>
      </c>
      <c r="BV1709" s="588">
        <v>288</v>
      </c>
      <c r="BW1709" s="588">
        <v>292</v>
      </c>
      <c r="BX1709" s="588">
        <v>296</v>
      </c>
      <c r="BY1709" s="588">
        <v>300</v>
      </c>
      <c r="BZ1709" s="588">
        <v>304</v>
      </c>
      <c r="CA1709" s="588">
        <v>308</v>
      </c>
      <c r="CB1709" s="588">
        <v>312</v>
      </c>
      <c r="CC1709" s="588">
        <v>316</v>
      </c>
      <c r="CD1709" s="588">
        <v>320</v>
      </c>
      <c r="CE1709" s="588">
        <v>324</v>
      </c>
      <c r="CF1709" s="588">
        <v>328</v>
      </c>
      <c r="CG1709" s="588">
        <v>332</v>
      </c>
      <c r="CH1709" s="588">
        <v>336</v>
      </c>
      <c r="CI1709" s="588">
        <v>340</v>
      </c>
      <c r="CJ1709" s="588">
        <v>344</v>
      </c>
      <c r="CK1709" s="588">
        <v>348</v>
      </c>
      <c r="CL1709" s="588">
        <v>352</v>
      </c>
      <c r="CM1709" s="588">
        <v>356</v>
      </c>
      <c r="CN1709" s="588">
        <v>360</v>
      </c>
      <c r="CO1709" s="588">
        <v>364</v>
      </c>
      <c r="CP1709" s="588">
        <v>368</v>
      </c>
      <c r="CQ1709" s="588">
        <v>372</v>
      </c>
      <c r="CR1709" s="588">
        <v>376</v>
      </c>
      <c r="CS1709" s="588">
        <v>380</v>
      </c>
      <c r="CT1709" s="588">
        <v>384</v>
      </c>
      <c r="CU1709" s="588">
        <v>388</v>
      </c>
      <c r="CV1709" s="588">
        <v>392</v>
      </c>
      <c r="CW1709" s="588">
        <v>396</v>
      </c>
      <c r="CX1709" s="588">
        <v>400</v>
      </c>
      <c r="CY1709" s="588">
        <v>404</v>
      </c>
      <c r="CZ1709" s="588">
        <v>408</v>
      </c>
      <c r="DA1709" s="588">
        <v>412</v>
      </c>
      <c r="DB1709" s="588">
        <v>416</v>
      </c>
      <c r="DC1709" s="588">
        <v>420</v>
      </c>
      <c r="DD1709" s="588">
        <v>424</v>
      </c>
      <c r="DE1709" s="588">
        <v>428</v>
      </c>
      <c r="DF1709" s="588">
        <v>432</v>
      </c>
      <c r="DG1709" s="588">
        <v>436</v>
      </c>
      <c r="DH1709" s="588">
        <v>440</v>
      </c>
      <c r="DI1709" s="588">
        <v>444</v>
      </c>
      <c r="DJ1709" s="588">
        <v>448</v>
      </c>
      <c r="DK1709" s="588">
        <v>452</v>
      </c>
      <c r="DL1709" s="588">
        <v>456</v>
      </c>
      <c r="DM1709" s="588">
        <v>460</v>
      </c>
      <c r="DN1709" s="588">
        <v>464</v>
      </c>
      <c r="DO1709" s="588">
        <v>468</v>
      </c>
      <c r="DP1709" s="588">
        <v>472</v>
      </c>
      <c r="DQ1709" s="588">
        <v>476</v>
      </c>
      <c r="DR1709" s="588">
        <v>480</v>
      </c>
      <c r="DS1709" s="588">
        <v>484</v>
      </c>
      <c r="DT1709" s="588">
        <v>488</v>
      </c>
      <c r="DU1709" s="588">
        <v>492</v>
      </c>
      <c r="DV1709" s="588">
        <v>496</v>
      </c>
      <c r="DW1709" s="588">
        <v>500</v>
      </c>
      <c r="DX1709" s="588">
        <v>504</v>
      </c>
      <c r="DY1709" s="588">
        <v>508</v>
      </c>
      <c r="DZ1709" s="588">
        <v>512</v>
      </c>
      <c r="EA1709" s="588">
        <v>516</v>
      </c>
      <c r="EB1709" s="588">
        <v>520</v>
      </c>
      <c r="EC1709" s="588">
        <v>524</v>
      </c>
      <c r="ED1709" s="588">
        <v>528</v>
      </c>
      <c r="EE1709" s="588">
        <v>532</v>
      </c>
      <c r="EF1709" s="588">
        <v>536</v>
      </c>
      <c r="EG1709" s="588">
        <v>540</v>
      </c>
      <c r="EH1709" s="588">
        <v>544</v>
      </c>
      <c r="EI1709" s="588">
        <v>548</v>
      </c>
      <c r="EJ1709" s="588">
        <v>552</v>
      </c>
      <c r="EK1709" s="588">
        <v>556</v>
      </c>
      <c r="EL1709" s="588">
        <v>560</v>
      </c>
      <c r="EM1709" s="588">
        <v>564</v>
      </c>
      <c r="EN1709" s="588">
        <v>568</v>
      </c>
      <c r="EO1709" s="588">
        <v>572</v>
      </c>
      <c r="EP1709" s="588">
        <v>576</v>
      </c>
      <c r="EQ1709" s="588">
        <v>580</v>
      </c>
      <c r="ER1709" s="588">
        <v>584</v>
      </c>
      <c r="ES1709" s="588">
        <v>588</v>
      </c>
      <c r="ET1709" s="588">
        <v>592</v>
      </c>
      <c r="EU1709" s="588">
        <v>596</v>
      </c>
      <c r="EV1709" s="588">
        <v>600</v>
      </c>
      <c r="EW1709" s="588">
        <v>604</v>
      </c>
      <c r="EX1709" s="588">
        <v>608</v>
      </c>
      <c r="EY1709" s="588">
        <v>612</v>
      </c>
      <c r="EZ1709" s="588">
        <v>616</v>
      </c>
      <c r="FA1709" s="588">
        <v>620</v>
      </c>
      <c r="FB1709" s="588">
        <v>624</v>
      </c>
      <c r="FC1709" s="588">
        <v>628</v>
      </c>
      <c r="FD1709" s="588">
        <v>632</v>
      </c>
      <c r="FE1709" s="588">
        <v>636</v>
      </c>
      <c r="FF1709" s="588">
        <v>640</v>
      </c>
      <c r="FG1709" s="588">
        <v>644</v>
      </c>
      <c r="FH1709" s="588">
        <v>648</v>
      </c>
      <c r="FI1709" s="588">
        <v>652</v>
      </c>
      <c r="FJ1709" s="588">
        <v>656</v>
      </c>
      <c r="FK1709" s="588">
        <v>660</v>
      </c>
      <c r="FL1709" s="588">
        <v>664</v>
      </c>
      <c r="FM1709" s="588">
        <v>668</v>
      </c>
      <c r="FN1709" s="588">
        <v>672</v>
      </c>
      <c r="FO1709" s="588">
        <v>676</v>
      </c>
      <c r="FP1709" s="588">
        <v>680</v>
      </c>
      <c r="FQ1709" s="588">
        <v>684</v>
      </c>
      <c r="FR1709" s="588">
        <v>688</v>
      </c>
      <c r="FS1709" s="588">
        <v>692</v>
      </c>
      <c r="FT1709" s="588">
        <v>696</v>
      </c>
      <c r="FU1709" s="588">
        <v>700</v>
      </c>
      <c r="FV1709" s="588">
        <v>704</v>
      </c>
      <c r="FW1709" s="588">
        <v>708</v>
      </c>
      <c r="FX1709" s="588">
        <v>712</v>
      </c>
      <c r="FY1709" s="588">
        <v>716</v>
      </c>
      <c r="FZ1709" s="588">
        <v>720</v>
      </c>
      <c r="GA1709" s="588">
        <v>724</v>
      </c>
      <c r="GB1709" s="588">
        <v>728</v>
      </c>
      <c r="GC1709" s="588">
        <v>732</v>
      </c>
      <c r="GD1709" s="588">
        <v>736</v>
      </c>
      <c r="GE1709" s="588">
        <v>740</v>
      </c>
      <c r="GF1709" s="588">
        <v>744</v>
      </c>
      <c r="GG1709" s="588">
        <v>748</v>
      </c>
      <c r="GH1709" s="588">
        <v>752</v>
      </c>
      <c r="GI1709" s="588">
        <v>756</v>
      </c>
      <c r="GJ1709" s="588">
        <v>760</v>
      </c>
      <c r="GK1709" s="588">
        <v>764</v>
      </c>
      <c r="GL1709" s="588">
        <v>768</v>
      </c>
      <c r="GM1709" s="588">
        <v>772</v>
      </c>
      <c r="GN1709" s="588">
        <v>776</v>
      </c>
      <c r="GO1709" s="588">
        <v>780</v>
      </c>
      <c r="GP1709" s="588">
        <v>784</v>
      </c>
      <c r="GQ1709" s="588">
        <v>788</v>
      </c>
      <c r="GR1709" s="588">
        <v>792</v>
      </c>
      <c r="GS1709" s="588">
        <v>796</v>
      </c>
      <c r="GT1709" s="588">
        <v>800</v>
      </c>
      <c r="GU1709" s="588">
        <v>804</v>
      </c>
      <c r="GV1709" s="588">
        <v>808</v>
      </c>
      <c r="GW1709" s="588">
        <v>812</v>
      </c>
      <c r="GX1709" s="588">
        <v>816</v>
      </c>
      <c r="GY1709" s="588">
        <v>820</v>
      </c>
      <c r="GZ1709" s="588">
        <v>824</v>
      </c>
      <c r="HA1709" s="588">
        <v>828</v>
      </c>
      <c r="HB1709" s="588">
        <v>832</v>
      </c>
      <c r="HC1709" s="588">
        <v>836</v>
      </c>
      <c r="HD1709" s="588">
        <v>840</v>
      </c>
      <c r="HE1709" s="588">
        <v>844</v>
      </c>
      <c r="HF1709" s="588">
        <v>848</v>
      </c>
      <c r="HG1709" s="588">
        <v>852</v>
      </c>
      <c r="HH1709" s="588">
        <v>856</v>
      </c>
      <c r="HI1709" s="588">
        <v>860</v>
      </c>
      <c r="HJ1709" s="588">
        <v>864</v>
      </c>
      <c r="HK1709" s="588">
        <v>868</v>
      </c>
      <c r="HL1709" s="588">
        <v>872</v>
      </c>
      <c r="HM1709" s="588">
        <v>876</v>
      </c>
      <c r="HN1709" s="588">
        <v>880</v>
      </c>
      <c r="HO1709" s="588">
        <v>884</v>
      </c>
      <c r="HP1709" s="588">
        <v>888</v>
      </c>
      <c r="HQ1709" s="588">
        <v>892</v>
      </c>
      <c r="HR1709" s="588">
        <v>896</v>
      </c>
      <c r="HS1709" s="588">
        <v>900</v>
      </c>
      <c r="HT1709" s="588">
        <v>904</v>
      </c>
      <c r="HU1709" s="588">
        <v>908</v>
      </c>
      <c r="HV1709" s="588">
        <v>912</v>
      </c>
      <c r="HW1709" s="588">
        <v>916</v>
      </c>
      <c r="HX1709" s="588">
        <v>920</v>
      </c>
    </row>
    <row r="1710" spans="1:232" ht="20.100000000000001" customHeight="1">
      <c r="A1710" s="239" t="s">
        <v>230</v>
      </c>
      <c r="B1710" s="239">
        <f>$B$1704+$B$1705*B1709/(1+$B$1706*B1709)</f>
        <v>6.3039595019898087E-3</v>
      </c>
      <c r="C1710" s="588">
        <f t="shared" ref="C1710:BN1710" si="156">$B$1704+$B$1705*C1709/(1+$B$1706*C1709)</f>
        <v>1.5606174687104494E-2</v>
      </c>
      <c r="D1710" s="588">
        <f t="shared" si="156"/>
        <v>2.4895669197039661E-2</v>
      </c>
      <c r="E1710" s="588">
        <f t="shared" si="156"/>
        <v>3.4172469107037966E-2</v>
      </c>
      <c r="F1710" s="588">
        <f t="shared" si="156"/>
        <v>4.3436600421124245E-2</v>
      </c>
      <c r="G1710" s="588">
        <f t="shared" si="156"/>
        <v>5.268808907234851E-2</v>
      </c>
      <c r="H1710" s="588">
        <f t="shared" si="156"/>
        <v>6.1926960923027886E-2</v>
      </c>
      <c r="I1710" s="588">
        <f t="shared" si="156"/>
        <v>7.1153241764987663E-2</v>
      </c>
      <c r="J1710" s="588">
        <f t="shared" si="156"/>
        <v>8.0366957319801244E-2</v>
      </c>
      <c r="K1710" s="588">
        <f t="shared" si="156"/>
        <v>8.9568133239029207E-2</v>
      </c>
      <c r="L1710" s="588">
        <f t="shared" si="156"/>
        <v>9.8756795104457382E-2</v>
      </c>
      <c r="M1710" s="588">
        <f t="shared" si="156"/>
        <v>0.10793296842833387</v>
      </c>
      <c r="N1710" s="588">
        <f t="shared" si="156"/>
        <v>0.11709667865360519</v>
      </c>
      <c r="O1710" s="588">
        <f t="shared" si="156"/>
        <v>0.12624795115415144</v>
      </c>
      <c r="P1710" s="588">
        <f t="shared" si="156"/>
        <v>0.1353868112350205</v>
      </c>
      <c r="Q1710" s="588">
        <f t="shared" si="156"/>
        <v>0.14451328413266123</v>
      </c>
      <c r="R1710" s="588">
        <f t="shared" si="156"/>
        <v>0.15362739501515582</v>
      </c>
      <c r="S1710" s="588">
        <f t="shared" si="156"/>
        <v>0.16272916898245118</v>
      </c>
      <c r="T1710" s="588">
        <f t="shared" si="156"/>
        <v>0.17181863106658918</v>
      </c>
      <c r="U1710" s="588">
        <f t="shared" si="156"/>
        <v>0.18089580623193638</v>
      </c>
      <c r="V1710" s="588">
        <f t="shared" si="156"/>
        <v>0.18996071937541237</v>
      </c>
      <c r="W1710" s="588">
        <f t="shared" si="156"/>
        <v>0.1990133953267175</v>
      </c>
      <c r="X1710" s="588">
        <f t="shared" si="156"/>
        <v>0.20805385884855956</v>
      </c>
      <c r="Y1710" s="588">
        <f t="shared" si="156"/>
        <v>0.21708213463687959</v>
      </c>
      <c r="Z1710" s="588">
        <f t="shared" si="156"/>
        <v>0.22609824732107664</v>
      </c>
      <c r="AA1710" s="588">
        <f t="shared" si="156"/>
        <v>0.23510222146423201</v>
      </c>
      <c r="AB1710" s="588">
        <f t="shared" si="156"/>
        <v>0.24409408156333195</v>
      </c>
      <c r="AC1710" s="588">
        <f t="shared" si="156"/>
        <v>0.25307385204949018</v>
      </c>
      <c r="AD1710" s="588">
        <f t="shared" si="156"/>
        <v>0.26204155728816864</v>
      </c>
      <c r="AE1710" s="588">
        <f t="shared" si="156"/>
        <v>0.27099722157939865</v>
      </c>
      <c r="AF1710" s="588">
        <f t="shared" si="156"/>
        <v>0.27994086915799971</v>
      </c>
      <c r="AG1710" s="588">
        <f t="shared" si="156"/>
        <v>0.28887252419379839</v>
      </c>
      <c r="AH1710" s="588">
        <f t="shared" si="156"/>
        <v>0.29779221079184587</v>
      </c>
      <c r="AI1710" s="588">
        <f t="shared" si="156"/>
        <v>0.30669995299263525</v>
      </c>
      <c r="AJ1710" s="588">
        <f t="shared" si="156"/>
        <v>0.31559577477231698</v>
      </c>
      <c r="AK1710" s="588">
        <f t="shared" si="156"/>
        <v>0.32447970004291432</v>
      </c>
      <c r="AL1710" s="588">
        <f t="shared" si="156"/>
        <v>0.33335175265253736</v>
      </c>
      <c r="AM1710" s="588">
        <f t="shared" si="156"/>
        <v>0.34221195638559665</v>
      </c>
      <c r="AN1710" s="588">
        <f t="shared" si="156"/>
        <v>0.35106033496301575</v>
      </c>
      <c r="AO1710" s="588">
        <f t="shared" si="156"/>
        <v>0.35989691204244256</v>
      </c>
      <c r="AP1710" s="588">
        <f t="shared" si="156"/>
        <v>0.36872171121846053</v>
      </c>
      <c r="AQ1710" s="588">
        <f t="shared" si="156"/>
        <v>0.3775347560227984</v>
      </c>
      <c r="AR1710" s="588">
        <f t="shared" si="156"/>
        <v>0.38633606992453984</v>
      </c>
      <c r="AS1710" s="588">
        <f t="shared" si="156"/>
        <v>0.39512567633033113</v>
      </c>
      <c r="AT1710" s="588">
        <f t="shared" si="156"/>
        <v>0.40390359858458891</v>
      </c>
      <c r="AU1710" s="588">
        <f t="shared" si="156"/>
        <v>0.41266985996970712</v>
      </c>
      <c r="AV1710" s="588">
        <f t="shared" si="156"/>
        <v>0.42142448370626262</v>
      </c>
      <c r="AW1710" s="588">
        <f t="shared" si="156"/>
        <v>0.43016749295321999</v>
      </c>
      <c r="AX1710" s="588">
        <f t="shared" si="156"/>
        <v>0.43889891080813609</v>
      </c>
      <c r="AY1710" s="588">
        <f t="shared" si="156"/>
        <v>0.44761876030736347</v>
      </c>
      <c r="AZ1710" s="588">
        <f t="shared" si="156"/>
        <v>0.45632706442625276</v>
      </c>
      <c r="BA1710" s="588">
        <f t="shared" si="156"/>
        <v>0.46502384607935443</v>
      </c>
      <c r="BB1710" s="588">
        <f t="shared" si="156"/>
        <v>0.47370912812061994</v>
      </c>
      <c r="BC1710" s="588">
        <f t="shared" si="156"/>
        <v>0.48238293334360194</v>
      </c>
      <c r="BD1710" s="588">
        <f t="shared" si="156"/>
        <v>0.49104528448165363</v>
      </c>
      <c r="BE1710" s="588">
        <f t="shared" si="156"/>
        <v>0.4996962042081271</v>
      </c>
      <c r="BF1710" s="588">
        <f t="shared" si="156"/>
        <v>0.5083357151365715</v>
      </c>
      <c r="BG1710" s="588">
        <f t="shared" si="156"/>
        <v>0.51696383982093019</v>
      </c>
      <c r="BH1710" s="588">
        <f t="shared" si="156"/>
        <v>0.52558060075573665</v>
      </c>
      <c r="BI1710" s="588">
        <f t="shared" si="156"/>
        <v>0.53418602037630991</v>
      </c>
      <c r="BJ1710" s="588">
        <f t="shared" si="156"/>
        <v>0.54278012105894957</v>
      </c>
      <c r="BK1710" s="588">
        <f t="shared" si="156"/>
        <v>0.55136292512112983</v>
      </c>
      <c r="BL1710" s="588">
        <f t="shared" si="156"/>
        <v>0.55993445482169224</v>
      </c>
      <c r="BM1710" s="588">
        <f t="shared" si="156"/>
        <v>0.5684947323610382</v>
      </c>
      <c r="BN1710" s="588">
        <f t="shared" si="156"/>
        <v>0.57704377988132116</v>
      </c>
      <c r="BO1710" s="588">
        <f t="shared" ref="BO1710:DZ1710" si="157">$B$1704+$B$1705*BO1709/(1+$B$1706*BO1709)</f>
        <v>0.585581619466637</v>
      </c>
      <c r="BP1710" s="588">
        <f t="shared" si="157"/>
        <v>0.59410827314321435</v>
      </c>
      <c r="BQ1710" s="588">
        <f t="shared" si="157"/>
        <v>0.60262376287960406</v>
      </c>
      <c r="BR1710" s="588">
        <f t="shared" si="157"/>
        <v>0.61112811058686745</v>
      </c>
      <c r="BS1710" s="588">
        <f t="shared" si="157"/>
        <v>0.61962133811876507</v>
      </c>
      <c r="BT1710" s="588">
        <f t="shared" si="157"/>
        <v>0.62810346727194322</v>
      </c>
      <c r="BU1710" s="588">
        <f t="shared" si="157"/>
        <v>0.63657451978612045</v>
      </c>
      <c r="BV1710" s="588">
        <f t="shared" si="157"/>
        <v>0.64503451734427375</v>
      </c>
      <c r="BW1710" s="588">
        <f t="shared" si="157"/>
        <v>0.65348348157282299</v>
      </c>
      <c r="BX1710" s="588">
        <f t="shared" si="157"/>
        <v>0.6619214340418158</v>
      </c>
      <c r="BY1710" s="588">
        <f t="shared" si="157"/>
        <v>0.67034839626511056</v>
      </c>
      <c r="BZ1710" s="588">
        <f t="shared" si="157"/>
        <v>0.6787643897005593</v>
      </c>
      <c r="CA1710" s="588">
        <f t="shared" si="157"/>
        <v>0.68716943575019029</v>
      </c>
      <c r="CB1710" s="588">
        <f t="shared" si="157"/>
        <v>0.69556355576038931</v>
      </c>
      <c r="CC1710" s="588">
        <f t="shared" si="157"/>
        <v>0.7039467710220797</v>
      </c>
      <c r="CD1710" s="588">
        <f t="shared" si="157"/>
        <v>0.71231910277090338</v>
      </c>
      <c r="CE1710" s="588">
        <f t="shared" si="157"/>
        <v>0.72068057218739945</v>
      </c>
      <c r="CF1710" s="588">
        <f t="shared" si="157"/>
        <v>0.72903120039718317</v>
      </c>
      <c r="CG1710" s="588">
        <f t="shared" si="157"/>
        <v>0.73737100847112369</v>
      </c>
      <c r="CH1710" s="588">
        <f t="shared" si="157"/>
        <v>0.74570001742552106</v>
      </c>
      <c r="CI1710" s="588">
        <f t="shared" si="157"/>
        <v>0.75401824822228347</v>
      </c>
      <c r="CJ1710" s="588">
        <f t="shared" si="157"/>
        <v>0.76232572176910229</v>
      </c>
      <c r="CK1710" s="588">
        <f t="shared" si="157"/>
        <v>0.77062245891962777</v>
      </c>
      <c r="CL1710" s="588">
        <f t="shared" si="157"/>
        <v>0.77890848047364325</v>
      </c>
      <c r="CM1710" s="588">
        <f t="shared" si="157"/>
        <v>0.78718380717723946</v>
      </c>
      <c r="CN1710" s="588">
        <f t="shared" si="157"/>
        <v>0.79544845972298683</v>
      </c>
      <c r="CO1710" s="588">
        <f t="shared" si="157"/>
        <v>0.80370245875010893</v>
      </c>
      <c r="CP1710" s="588">
        <f t="shared" si="157"/>
        <v>0.81194582484465305</v>
      </c>
      <c r="CQ1710" s="588">
        <f t="shared" si="157"/>
        <v>0.82017857853966269</v>
      </c>
      <c r="CR1710" s="588">
        <f t="shared" si="157"/>
        <v>0.82840074031534738</v>
      </c>
      <c r="CS1710" s="588">
        <f t="shared" si="157"/>
        <v>0.83661233059925222</v>
      </c>
      <c r="CT1710" s="588">
        <f t="shared" si="157"/>
        <v>0.84481336976642762</v>
      </c>
      <c r="CU1710" s="588">
        <f t="shared" si="157"/>
        <v>0.85300387813959766</v>
      </c>
      <c r="CV1710" s="588">
        <f t="shared" si="157"/>
        <v>0.86118387598932755</v>
      </c>
      <c r="CW1710" s="588">
        <f t="shared" si="157"/>
        <v>0.86935338353419178</v>
      </c>
      <c r="CX1710" s="588">
        <f t="shared" si="157"/>
        <v>0.8775124209409394</v>
      </c>
      <c r="CY1710" s="588">
        <f t="shared" si="157"/>
        <v>0.88566100832466099</v>
      </c>
      <c r="CZ1710" s="588">
        <f t="shared" si="157"/>
        <v>0.89379916574895402</v>
      </c>
      <c r="DA1710" s="588">
        <f t="shared" si="157"/>
        <v>0.90192691322608631</v>
      </c>
      <c r="DB1710" s="588">
        <f t="shared" si="157"/>
        <v>0.91004427071716165</v>
      </c>
      <c r="DC1710" s="588">
        <f t="shared" si="157"/>
        <v>0.91815125813228193</v>
      </c>
      <c r="DD1710" s="588">
        <f t="shared" si="157"/>
        <v>0.92624789533071128</v>
      </c>
      <c r="DE1710" s="588">
        <f t="shared" si="157"/>
        <v>0.93433420212103646</v>
      </c>
      <c r="DF1710" s="588">
        <f t="shared" si="157"/>
        <v>0.94241019826132988</v>
      </c>
      <c r="DG1710" s="588">
        <f t="shared" si="157"/>
        <v>0.95047590345930955</v>
      </c>
      <c r="DH1710" s="588">
        <f t="shared" si="157"/>
        <v>0.95853133737250051</v>
      </c>
      <c r="DI1710" s="588">
        <f t="shared" si="157"/>
        <v>0.96657651960839319</v>
      </c>
      <c r="DJ1710" s="588">
        <f t="shared" si="157"/>
        <v>0.97461146972460377</v>
      </c>
      <c r="DK1710" s="588">
        <f t="shared" si="157"/>
        <v>0.98263620722903156</v>
      </c>
      <c r="DL1710" s="588">
        <f t="shared" si="157"/>
        <v>0.99065075158001714</v>
      </c>
      <c r="DM1710" s="588">
        <f t="shared" si="157"/>
        <v>0.99865512218650077</v>
      </c>
      <c r="DN1710" s="588">
        <f t="shared" si="157"/>
        <v>1.0066493384081772</v>
      </c>
      <c r="DO1710" s="588">
        <f t="shared" si="157"/>
        <v>1.0146334195556537</v>
      </c>
      <c r="DP1710" s="588">
        <f t="shared" si="157"/>
        <v>1.0226073848906034</v>
      </c>
      <c r="DQ1710" s="588">
        <f t="shared" si="157"/>
        <v>1.0305712536259217</v>
      </c>
      <c r="DR1710" s="588">
        <f t="shared" si="157"/>
        <v>1.0385250449258812</v>
      </c>
      <c r="DS1710" s="588">
        <f t="shared" si="157"/>
        <v>1.0464687779062831</v>
      </c>
      <c r="DT1710" s="588">
        <f t="shared" si="157"/>
        <v>1.0544024716346125</v>
      </c>
      <c r="DU1710" s="588">
        <f t="shared" si="157"/>
        <v>1.0623261451301897</v>
      </c>
      <c r="DV1710" s="588">
        <f t="shared" si="157"/>
        <v>1.0702398173643233</v>
      </c>
      <c r="DW1710" s="588">
        <f t="shared" si="157"/>
        <v>1.0781435072604595</v>
      </c>
      <c r="DX1710" s="588">
        <f t="shared" si="157"/>
        <v>1.086037233694336</v>
      </c>
      <c r="DY1710" s="588">
        <f t="shared" si="157"/>
        <v>1.0939210154941299</v>
      </c>
      <c r="DZ1710" s="588">
        <f t="shared" si="157"/>
        <v>1.1017948714406078</v>
      </c>
      <c r="EA1710" s="588">
        <f t="shared" ref="EA1710:GL1710" si="158">$B$1704+$B$1705*EA1709/(1+$B$1706*EA1709)</f>
        <v>1.1096588202672764</v>
      </c>
      <c r="EB1710" s="588">
        <f t="shared" si="158"/>
        <v>1.1175128806605279</v>
      </c>
      <c r="EC1710" s="588">
        <f t="shared" si="158"/>
        <v>1.1253570712597925</v>
      </c>
      <c r="ED1710" s="588">
        <f t="shared" si="158"/>
        <v>1.1331914106576815</v>
      </c>
      <c r="EE1710" s="588">
        <f t="shared" si="158"/>
        <v>1.1410159174001371</v>
      </c>
      <c r="EF1710" s="588">
        <f t="shared" si="158"/>
        <v>1.1488306099865773</v>
      </c>
      <c r="EG1710" s="588">
        <f t="shared" si="158"/>
        <v>1.156635506870042</v>
      </c>
      <c r="EH1710" s="588">
        <f t="shared" si="158"/>
        <v>1.164430626457339</v>
      </c>
      <c r="EI1710" s="588">
        <f t="shared" si="158"/>
        <v>1.1722159871091873</v>
      </c>
      <c r="EJ1710" s="588">
        <f t="shared" si="158"/>
        <v>1.1799916071403627</v>
      </c>
      <c r="EK1710" s="588">
        <f t="shared" si="158"/>
        <v>1.1877575048198403</v>
      </c>
      <c r="EL1710" s="588">
        <f t="shared" si="158"/>
        <v>1.1955136983709385</v>
      </c>
      <c r="EM1710" s="588">
        <f t="shared" si="158"/>
        <v>1.2032602059714601</v>
      </c>
      <c r="EN1710" s="588">
        <f t="shared" si="158"/>
        <v>1.2109970457538364</v>
      </c>
      <c r="EO1710" s="588">
        <f t="shared" si="158"/>
        <v>1.218724235805267</v>
      </c>
      <c r="EP1710" s="588">
        <f t="shared" si="158"/>
        <v>1.2264417941678614</v>
      </c>
      <c r="EQ1710" s="588">
        <f t="shared" si="158"/>
        <v>1.234149738838779</v>
      </c>
      <c r="ER1710" s="588">
        <f t="shared" si="158"/>
        <v>1.2418480877703697</v>
      </c>
      <c r="ES1710" s="588">
        <f t="shared" si="158"/>
        <v>1.2495368588703131</v>
      </c>
      <c r="ET1710" s="588">
        <f t="shared" si="158"/>
        <v>1.2572160700017563</v>
      </c>
      <c r="EU1710" s="588">
        <f t="shared" si="158"/>
        <v>1.2648857389834542</v>
      </c>
      <c r="EV1710" s="588">
        <f t="shared" si="158"/>
        <v>1.2725458835899053</v>
      </c>
      <c r="EW1710" s="588">
        <f t="shared" si="158"/>
        <v>1.2801965215514899</v>
      </c>
      <c r="EX1710" s="588">
        <f t="shared" si="158"/>
        <v>1.2878376705546077</v>
      </c>
      <c r="EY1710" s="588">
        <f t="shared" si="158"/>
        <v>1.2954693482418131</v>
      </c>
      <c r="EZ1710" s="588">
        <f t="shared" si="158"/>
        <v>1.3030915722119503</v>
      </c>
      <c r="FA1710" s="588">
        <f t="shared" si="158"/>
        <v>1.3107043600202903</v>
      </c>
      <c r="FB1710" s="588">
        <f t="shared" si="158"/>
        <v>1.3183077291786649</v>
      </c>
      <c r="FC1710" s="588">
        <f t="shared" si="158"/>
        <v>1.3259016971556001</v>
      </c>
      <c r="FD1710" s="588">
        <f t="shared" si="158"/>
        <v>1.3334862813764519</v>
      </c>
      <c r="FE1710" s="588">
        <f t="shared" si="158"/>
        <v>1.341061499223537</v>
      </c>
      <c r="FF1710" s="588">
        <f t="shared" si="158"/>
        <v>1.3486273680362681</v>
      </c>
      <c r="FG1710" s="588">
        <f t="shared" si="158"/>
        <v>1.3561839051112845</v>
      </c>
      <c r="FH1710" s="588">
        <f t="shared" si="158"/>
        <v>1.3637311277025843</v>
      </c>
      <c r="FI1710" s="588">
        <f t="shared" si="158"/>
        <v>1.3712690530216567</v>
      </c>
      <c r="FJ1710" s="588">
        <f t="shared" si="158"/>
        <v>1.3787976982376111</v>
      </c>
      <c r="FK1710" s="588">
        <f t="shared" si="158"/>
        <v>1.3863170804773091</v>
      </c>
      <c r="FL1710" s="588">
        <f t="shared" si="158"/>
        <v>1.393827216825493</v>
      </c>
      <c r="FM1710" s="588">
        <f t="shared" si="158"/>
        <v>1.4013281243249163</v>
      </c>
      <c r="FN1710" s="588">
        <f t="shared" si="158"/>
        <v>1.4088198199764723</v>
      </c>
      <c r="FO1710" s="588">
        <f t="shared" si="158"/>
        <v>1.4163023207393217</v>
      </c>
      <c r="FP1710" s="588">
        <f t="shared" si="158"/>
        <v>1.4237756435310218</v>
      </c>
      <c r="FQ1710" s="588">
        <f t="shared" si="158"/>
        <v>1.431239805227654</v>
      </c>
      <c r="FR1710" s="588">
        <f t="shared" si="158"/>
        <v>1.4386948226639493</v>
      </c>
      <c r="FS1710" s="588">
        <f t="shared" si="158"/>
        <v>1.446140712633416</v>
      </c>
      <c r="FT1710" s="588">
        <f t="shared" si="158"/>
        <v>1.4535774918884665</v>
      </c>
      <c r="FU1710" s="588">
        <f t="shared" si="158"/>
        <v>1.4610051771405412</v>
      </c>
      <c r="FV1710" s="588">
        <f t="shared" si="158"/>
        <v>1.4684237850602351</v>
      </c>
      <c r="FW1710" s="588">
        <f t="shared" si="158"/>
        <v>1.475833332277422</v>
      </c>
      <c r="FX1710" s="588">
        <f t="shared" si="158"/>
        <v>1.4832338353813781</v>
      </c>
      <c r="FY1710" s="588">
        <f t="shared" si="158"/>
        <v>1.4906253109209076</v>
      </c>
      <c r="FZ1710" s="588">
        <f t="shared" si="158"/>
        <v>1.4980077754044638</v>
      </c>
      <c r="GA1710" s="588">
        <f t="shared" si="158"/>
        <v>1.505381245300274</v>
      </c>
      <c r="GB1710" s="588">
        <f t="shared" si="158"/>
        <v>1.5127457370364608</v>
      </c>
      <c r="GC1710" s="588">
        <f t="shared" si="158"/>
        <v>1.5201012670011635</v>
      </c>
      <c r="GD1710" s="588">
        <f t="shared" si="158"/>
        <v>1.5274478515426622</v>
      </c>
      <c r="GE1710" s="588">
        <f t="shared" si="158"/>
        <v>1.5347855069694967</v>
      </c>
      <c r="GF1710" s="588">
        <f t="shared" si="158"/>
        <v>1.542114249550586</v>
      </c>
      <c r="GG1710" s="588">
        <f t="shared" si="158"/>
        <v>1.5494340955153529</v>
      </c>
      <c r="GH1710" s="588">
        <f t="shared" si="158"/>
        <v>1.55674506105384</v>
      </c>
      <c r="GI1710" s="588">
        <f t="shared" si="158"/>
        <v>1.5640471623168299</v>
      </c>
      <c r="GJ1710" s="588">
        <f t="shared" si="158"/>
        <v>1.5713404154159649</v>
      </c>
      <c r="GK1710" s="588">
        <f t="shared" si="158"/>
        <v>1.5786248364238651</v>
      </c>
      <c r="GL1710" s="588">
        <f t="shared" si="158"/>
        <v>1.5859004413742464</v>
      </c>
      <c r="GM1710" s="588">
        <f t="shared" ref="GM1710:HX1710" si="159">$B$1704+$B$1705*GM1709/(1+$B$1706*GM1709)</f>
        <v>1.5931672462620379</v>
      </c>
      <c r="GN1710" s="588">
        <f t="shared" si="159"/>
        <v>1.6004252670434993</v>
      </c>
      <c r="GO1710" s="588">
        <f t="shared" si="159"/>
        <v>1.6076745196363391</v>
      </c>
      <c r="GP1710" s="588">
        <f t="shared" si="159"/>
        <v>1.6149150199198277</v>
      </c>
      <c r="GQ1710" s="588">
        <f t="shared" si="159"/>
        <v>1.6221467837349166</v>
      </c>
      <c r="GR1710" s="588">
        <f t="shared" si="159"/>
        <v>1.6293698268843522</v>
      </c>
      <c r="GS1710" s="588">
        <f t="shared" si="159"/>
        <v>1.636584165132791</v>
      </c>
      <c r="GT1710" s="588">
        <f t="shared" si="159"/>
        <v>1.6437898142069161</v>
      </c>
      <c r="GU1710" s="588">
        <f t="shared" si="159"/>
        <v>1.6509867897955475</v>
      </c>
      <c r="GV1710" s="588">
        <f t="shared" si="159"/>
        <v>1.6581751075497602</v>
      </c>
      <c r="GW1710" s="588">
        <f t="shared" si="159"/>
        <v>1.6653547830829962</v>
      </c>
      <c r="GX1710" s="588">
        <f t="shared" si="159"/>
        <v>1.6725258319711758</v>
      </c>
      <c r="GY1710" s="588">
        <f t="shared" si="159"/>
        <v>1.6796882697528126</v>
      </c>
      <c r="GZ1710" s="588">
        <f t="shared" si="159"/>
        <v>1.6868421119291248</v>
      </c>
      <c r="HA1710" s="588">
        <f t="shared" si="159"/>
        <v>1.6939873739641467</v>
      </c>
      <c r="HB1710" s="588">
        <f t="shared" si="159"/>
        <v>1.701124071284841</v>
      </c>
      <c r="HC1710" s="588">
        <f t="shared" si="159"/>
        <v>1.7082522192812089</v>
      </c>
      <c r="HD1710" s="588">
        <f t="shared" si="159"/>
        <v>1.7153718333064008</v>
      </c>
      <c r="HE1710" s="588">
        <f t="shared" si="159"/>
        <v>1.7224829286768275</v>
      </c>
      <c r="HF1710" s="588">
        <f t="shared" si="159"/>
        <v>1.7295855206722692</v>
      </c>
      <c r="HG1710" s="588">
        <f t="shared" si="159"/>
        <v>1.736679624535985</v>
      </c>
      <c r="HH1710" s="588">
        <f t="shared" si="159"/>
        <v>1.7437652554748222</v>
      </c>
      <c r="HI1710" s="588">
        <f t="shared" si="159"/>
        <v>1.7508424286593247</v>
      </c>
      <c r="HJ1710" s="588">
        <f t="shared" si="159"/>
        <v>1.7579111592238412</v>
      </c>
      <c r="HK1710" s="588">
        <f t="shared" si="159"/>
        <v>1.7649714622666344</v>
      </c>
      <c r="HL1710" s="588">
        <f t="shared" si="159"/>
        <v>1.7720233528499849</v>
      </c>
      <c r="HM1710" s="588">
        <f t="shared" si="159"/>
        <v>1.7790668460003041</v>
      </c>
      <c r="HN1710" s="588">
        <f t="shared" si="159"/>
        <v>1.7861019567082357</v>
      </c>
      <c r="HO1710" s="588">
        <f t="shared" si="159"/>
        <v>1.7931286999287632</v>
      </c>
      <c r="HP1710" s="588">
        <f t="shared" si="159"/>
        <v>1.8001470905813184</v>
      </c>
      <c r="HQ1710" s="588">
        <f t="shared" si="159"/>
        <v>1.8071571435498845</v>
      </c>
      <c r="HR1710" s="588">
        <f t="shared" si="159"/>
        <v>1.8141588736831018</v>
      </c>
      <c r="HS1710" s="588">
        <f t="shared" si="159"/>
        <v>1.8211522957943729</v>
      </c>
      <c r="HT1710" s="588">
        <f t="shared" si="159"/>
        <v>1.8281374246619675</v>
      </c>
      <c r="HU1710" s="588">
        <f t="shared" si="159"/>
        <v>1.8351142750291254</v>
      </c>
      <c r="HV1710" s="588">
        <f t="shared" si="159"/>
        <v>1.8420828616041611</v>
      </c>
      <c r="HW1710" s="588">
        <f t="shared" si="159"/>
        <v>1.8490431990605678</v>
      </c>
      <c r="HX1710" s="588">
        <f t="shared" si="159"/>
        <v>1.8559953020371176</v>
      </c>
    </row>
    <row r="1712" spans="1:232" ht="20.100000000000001" customHeight="1">
      <c r="A1712" s="480" t="s">
        <v>2726</v>
      </c>
      <c r="B1712" s="588"/>
      <c r="C1712" s="588"/>
    </row>
    <row r="1713" spans="1:4" ht="20.100000000000001" customHeight="1">
      <c r="A1713" s="237" t="s">
        <v>1791</v>
      </c>
      <c r="B1713" s="144">
        <f>F1687</f>
        <v>42.639677048759602</v>
      </c>
      <c r="C1713" s="588" t="s">
        <v>540</v>
      </c>
    </row>
    <row r="1714" spans="1:4" ht="20.100000000000001" customHeight="1">
      <c r="A1714" s="588" t="s">
        <v>276</v>
      </c>
      <c r="B1714" s="170">
        <f>AVERAGE(9635.7,5841.05,6447.41)</f>
        <v>7308.0533333333333</v>
      </c>
      <c r="C1714" s="588" t="s">
        <v>2713</v>
      </c>
    </row>
    <row r="1715" spans="1:4" ht="20.100000000000001" customHeight="1">
      <c r="A1715" s="426" t="s">
        <v>1265</v>
      </c>
      <c r="B1715" s="966">
        <f>MEDIAN(37.2,21.5,13.4)</f>
        <v>21.5</v>
      </c>
      <c r="C1715" s="426" t="s">
        <v>2714</v>
      </c>
      <c r="D1715" s="397"/>
    </row>
    <row r="1716" spans="1:4" ht="20.100000000000001" customHeight="1">
      <c r="A1716" s="588" t="s">
        <v>1478</v>
      </c>
      <c r="B1716" s="144">
        <f>B1713/B1715*3</f>
        <v>5.9497223788966886</v>
      </c>
      <c r="C1716" s="588" t="s">
        <v>540</v>
      </c>
    </row>
    <row r="1717" spans="1:4" ht="20.100000000000001" customHeight="1">
      <c r="A1717" s="588" t="s">
        <v>1478</v>
      </c>
      <c r="B1717" s="170">
        <f>1000*B1716/MM_SiO2</f>
        <v>99.023736496304977</v>
      </c>
      <c r="C1717" s="588" t="s">
        <v>1513</v>
      </c>
    </row>
    <row r="1718" spans="1:4" s="588" customFormat="1" ht="20.100000000000001" customHeight="1">
      <c r="A1718" s="588" t="s">
        <v>2723</v>
      </c>
      <c r="B1718" s="170">
        <f>B1713/B1715*10</f>
        <v>19.832407929655631</v>
      </c>
      <c r="C1718" s="588" t="s">
        <v>540</v>
      </c>
    </row>
    <row r="1719" spans="1:4" s="588" customFormat="1" ht="20.100000000000001" customHeight="1">
      <c r="A1719" s="588" t="s">
        <v>2724</v>
      </c>
      <c r="B1719" s="170" t="str">
        <f>ROUND(B1718,0)&amp;"-"&amp;ROUND(F1690,-1)</f>
        <v>20-850</v>
      </c>
      <c r="C1719" s="588" t="s">
        <v>540</v>
      </c>
    </row>
    <row r="1721" spans="1:4" ht="20.100000000000001" customHeight="1">
      <c r="A1721" s="480" t="s">
        <v>2715</v>
      </c>
    </row>
    <row r="1743" spans="1:1" ht="20.100000000000001" customHeight="1">
      <c r="A1743" s="480" t="s">
        <v>2722</v>
      </c>
    </row>
    <row r="1745" spans="1:6" s="588" customFormat="1" ht="20.100000000000001" customHeight="1">
      <c r="B1745" s="480" t="s">
        <v>2719</v>
      </c>
      <c r="C1745" s="480" t="s">
        <v>2719</v>
      </c>
      <c r="E1745" s="480" t="s">
        <v>2721</v>
      </c>
      <c r="F1745" s="592"/>
    </row>
    <row r="1746" spans="1:6" s="588" customFormat="1" ht="20.100000000000001" customHeight="1">
      <c r="A1746" s="589"/>
      <c r="B1746" s="589" t="s">
        <v>2717</v>
      </c>
      <c r="C1746" s="589" t="s">
        <v>2718</v>
      </c>
      <c r="E1746" s="589" t="s">
        <v>2717</v>
      </c>
      <c r="F1746" s="593"/>
    </row>
    <row r="1747" spans="1:6" ht="20.100000000000001" customHeight="1">
      <c r="B1747" s="239">
        <v>1332744</v>
      </c>
      <c r="C1747" s="239">
        <v>1333334</v>
      </c>
      <c r="E1747" s="239">
        <v>1350612</v>
      </c>
    </row>
    <row r="1748" spans="1:6" ht="20.100000000000001" customHeight="1">
      <c r="B1748" s="239">
        <v>1336728</v>
      </c>
      <c r="C1748" s="239">
        <v>1361576</v>
      </c>
      <c r="E1748" s="239">
        <v>1343316</v>
      </c>
    </row>
    <row r="1749" spans="1:6" ht="20.100000000000001" customHeight="1">
      <c r="B1749" s="239">
        <v>1371992</v>
      </c>
      <c r="C1749" s="239">
        <v>1386333</v>
      </c>
      <c r="E1749" s="239">
        <v>1386241</v>
      </c>
    </row>
    <row r="1750" spans="1:6" ht="20.100000000000001" customHeight="1">
      <c r="B1750" s="239">
        <v>1329318</v>
      </c>
      <c r="C1750" s="239">
        <v>1347631</v>
      </c>
      <c r="E1750" s="239">
        <v>1288786</v>
      </c>
    </row>
    <row r="1751" spans="1:6" ht="20.100000000000001" customHeight="1">
      <c r="B1751" s="239">
        <v>1374279</v>
      </c>
      <c r="C1751" s="239">
        <v>1354108</v>
      </c>
      <c r="E1751" s="239">
        <v>1393242</v>
      </c>
    </row>
    <row r="1752" spans="1:6" ht="20.100000000000001" customHeight="1">
      <c r="B1752" s="239">
        <v>1362962</v>
      </c>
      <c r="C1752" s="239">
        <v>1362538</v>
      </c>
      <c r="E1752" s="239">
        <v>1289474</v>
      </c>
    </row>
    <row r="1753" spans="1:6" ht="20.100000000000001" customHeight="1">
      <c r="C1753" s="239">
        <v>1358967</v>
      </c>
    </row>
    <row r="1754" spans="1:6" ht="20.100000000000001" customHeight="1">
      <c r="C1754" s="239">
        <v>1321080</v>
      </c>
    </row>
    <row r="1755" spans="1:6" ht="20.100000000000001" customHeight="1">
      <c r="C1755" s="239">
        <v>1355947</v>
      </c>
    </row>
    <row r="1756" spans="1:6" ht="20.100000000000001" customHeight="1">
      <c r="C1756" s="239">
        <v>1376305</v>
      </c>
    </row>
    <row r="1757" spans="1:6" ht="20.100000000000001" customHeight="1">
      <c r="C1757" s="239">
        <v>1286542</v>
      </c>
    </row>
    <row r="1758" spans="1:6" ht="20.100000000000001" customHeight="1">
      <c r="C1758" s="239">
        <v>1324463</v>
      </c>
    </row>
    <row r="1759" spans="1:6" ht="20.100000000000001" customHeight="1">
      <c r="C1759" s="239">
        <v>1352025</v>
      </c>
    </row>
    <row r="1760" spans="1:6" ht="20.100000000000001" customHeight="1">
      <c r="C1760" s="239">
        <v>1325209</v>
      </c>
    </row>
    <row r="1761" spans="1:5" ht="20.100000000000001" customHeight="1">
      <c r="C1761" s="239">
        <v>1333384</v>
      </c>
    </row>
    <row r="1762" spans="1:5" ht="20.100000000000001" customHeight="1">
      <c r="C1762" s="239">
        <v>1312039</v>
      </c>
    </row>
    <row r="1763" spans="1:5" ht="20.100000000000001" customHeight="1">
      <c r="C1763" s="239">
        <v>1312904</v>
      </c>
    </row>
    <row r="1764" spans="1:5" ht="20.100000000000001" customHeight="1">
      <c r="C1764" s="239">
        <v>1283438</v>
      </c>
    </row>
    <row r="1765" spans="1:5" ht="20.100000000000001" customHeight="1">
      <c r="B1765" s="593"/>
      <c r="C1765" s="593">
        <v>1289958</v>
      </c>
    </row>
    <row r="1766" spans="1:5" ht="20.100000000000001" customHeight="1">
      <c r="A1766" s="589"/>
      <c r="B1766" s="589"/>
      <c r="C1766" s="589">
        <v>1338270</v>
      </c>
      <c r="E1766" s="589"/>
    </row>
    <row r="1767" spans="1:5" ht="20.100000000000001" customHeight="1">
      <c r="A1767" s="591" t="s">
        <v>260</v>
      </c>
      <c r="B1767" s="590">
        <f>AVERAGE(B1747:B1752)</f>
        <v>1351337.1666666667</v>
      </c>
      <c r="C1767" s="590">
        <f>AVERAGE(C1747:C1766)</f>
        <v>1335802.55</v>
      </c>
      <c r="E1767" s="590">
        <f>AVERAGE(E1747:E1752)</f>
        <v>1341945.1666666667</v>
      </c>
    </row>
    <row r="1768" spans="1:5" ht="20.100000000000001" customHeight="1">
      <c r="A1768" s="592" t="s">
        <v>429</v>
      </c>
      <c r="B1768" s="593">
        <f>STDEV(B1747:B1752)</f>
        <v>20649.76467097547</v>
      </c>
      <c r="C1768" s="593">
        <f>STDEV(C1747:C1766)</f>
        <v>29099.108525818596</v>
      </c>
      <c r="E1768" s="593">
        <f>STDEV(E1747:E1752)</f>
        <v>45276.041074354842</v>
      </c>
    </row>
    <row r="1769" spans="1:5" ht="20.100000000000001" customHeight="1">
      <c r="A1769" s="587" t="s">
        <v>262</v>
      </c>
      <c r="B1769" s="208">
        <f>B1768/B1767</f>
        <v>1.5280986255940914E-2</v>
      </c>
      <c r="C1769" s="208">
        <f>C1768/C1767</f>
        <v>2.1783989352182773E-2</v>
      </c>
      <c r="E1769" s="308">
        <f>E1768/E1767</f>
        <v>3.3739114085278576E-2</v>
      </c>
    </row>
    <row r="1771" spans="1:5" ht="20.100000000000001" customHeight="1">
      <c r="A1771" s="589"/>
      <c r="B1771" s="587" t="s">
        <v>302</v>
      </c>
      <c r="C1771" s="587" t="s">
        <v>270</v>
      </c>
    </row>
    <row r="1772" spans="1:5" ht="20.100000000000001" customHeight="1">
      <c r="A1772" s="965" t="s">
        <v>217</v>
      </c>
      <c r="B1772" s="650">
        <f>B1767/C1767</f>
        <v>1.0116294258209544</v>
      </c>
      <c r="C1772" s="650">
        <f>B1772*SQRT((C1768/C1767)^2+(B1768/B1767)^2)</f>
        <v>2.6918672688235445E-2</v>
      </c>
    </row>
    <row r="1774" spans="1:5" ht="20.100000000000001" customHeight="1">
      <c r="A1774" s="397" t="s">
        <v>2720</v>
      </c>
    </row>
    <row r="1776" spans="1:5" s="149" customFormat="1" ht="20.100000000000001" customHeight="1"/>
  </sheetData>
  <sheetProtection sheet="1" objects="1" scenarios="1"/>
  <protectedRanges>
    <protectedRange sqref="A34:G57" name="Range1"/>
    <protectedRange sqref="B1226:B1230 B1232 A1227:A1231 B1242 A1240:A1241 B1251 B1260 B1269 A1249:A1250 A1258:A1259 A1267:A1268 B1278 A1276:A1277 B1287 A1285:A1286 A1363 A1374 B1384 B1404 A1713" name="Range1_1"/>
    <protectedRange sqref="A1234:B1239" name="Range1_2"/>
    <protectedRange sqref="A1244:B1248 A1253:B1254 A1255:A1257 A1262:B1263 A1264:A1266 A1271:B1272 A1273:A1275 A1280:B1281 A1282:A1284" name="Range1_3"/>
    <protectedRange sqref="B1255:B1257 B1264:B1266" name="Range1_4"/>
    <protectedRange sqref="B1273:B1275" name="Range1_5"/>
    <protectedRange sqref="B1282:B1284" name="Range1_6"/>
    <protectedRange sqref="A1298 A1294" name="Range1_7"/>
    <protectedRange sqref="A1300:F1307" name="Range1_8"/>
  </protectedRanges>
  <phoneticPr fontId="55" type="noConversion"/>
  <conditionalFormatting sqref="A1">
    <cfRule type="duplicateValues" dxfId="42" priority="8"/>
  </conditionalFormatting>
  <conditionalFormatting sqref="A724:A725">
    <cfRule type="duplicateValues" dxfId="41" priority="7"/>
  </conditionalFormatting>
  <conditionalFormatting sqref="A726">
    <cfRule type="duplicateValues" dxfId="40" priority="6"/>
  </conditionalFormatting>
  <conditionalFormatting sqref="A760:A764">
    <cfRule type="duplicateValues" dxfId="39" priority="168"/>
  </conditionalFormatting>
  <conditionalFormatting sqref="A1486:A1488">
    <cfRule type="duplicateValues" dxfId="38" priority="4"/>
  </conditionalFormatting>
  <conditionalFormatting sqref="A1494:A1497">
    <cfRule type="duplicateValues" dxfId="37" priority="3"/>
  </conditionalFormatting>
  <conditionalFormatting sqref="A1572:A1575">
    <cfRule type="duplicateValues" dxfId="36" priority="2"/>
  </conditionalFormatting>
  <conditionalFormatting sqref="A1659:A1661">
    <cfRule type="duplicateValues" dxfId="35" priority="1"/>
  </conditionalFormatting>
  <pageMargins left="0.7" right="0.7" top="0.75" bottom="0.75" header="0.3" footer="0.3"/>
  <pageSetup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R814"/>
  <sheetViews>
    <sheetView zoomScaleNormal="100" workbookViewId="0">
      <selection activeCell="A3" sqref="A3"/>
    </sheetView>
  </sheetViews>
  <sheetFormatPr defaultColWidth="12.77734375" defaultRowHeight="20.100000000000001" customHeight="1"/>
  <cols>
    <col min="1" max="16384" width="12.77734375" style="174"/>
  </cols>
  <sheetData>
    <row r="1" spans="1:18" s="148" customFormat="1" ht="19.95" customHeight="1">
      <c r="A1" s="1010"/>
      <c r="O1" s="1011"/>
      <c r="R1" s="1012"/>
    </row>
    <row r="3" spans="1:18" s="274" customFormat="1" ht="20.100000000000001" customHeight="1">
      <c r="A3" s="273" t="s">
        <v>314</v>
      </c>
    </row>
    <row r="4" spans="1:18" s="274" customFormat="1" ht="20.100000000000001" customHeight="1">
      <c r="A4" s="588"/>
    </row>
    <row r="5" spans="1:18" s="274" customFormat="1" ht="20.100000000000001" customHeight="1">
      <c r="A5" s="480" t="s">
        <v>315</v>
      </c>
      <c r="B5" s="273" t="s">
        <v>185</v>
      </c>
    </row>
    <row r="6" spans="1:18" s="274" customFormat="1" ht="20.100000000000001" customHeight="1">
      <c r="A6" s="148">
        <f>ROW(A13)</f>
        <v>13</v>
      </c>
      <c r="B6" s="274" t="str">
        <f>A13</f>
        <v>Red series: characterization</v>
      </c>
    </row>
    <row r="7" spans="1:18" s="274" customFormat="1" ht="20.100000000000001" customHeight="1">
      <c r="A7" s="588">
        <f>ROW(A33)</f>
        <v>33</v>
      </c>
      <c r="B7" s="274" t="str">
        <f>A33</f>
        <v>Green series: short-term stability and homogeneiety</v>
      </c>
    </row>
    <row r="8" spans="1:18" s="274" customFormat="1" ht="20.100000000000001" customHeight="1">
      <c r="A8" s="588">
        <f>ROW(A52)</f>
        <v>52</v>
      </c>
      <c r="B8" s="274" t="str">
        <f>A52</f>
        <v>Blue series: internal use and archive</v>
      </c>
    </row>
    <row r="9" spans="1:18" s="277" customFormat="1" ht="20.100000000000001" customHeight="1">
      <c r="A9" s="588">
        <f>ROW(A67)</f>
        <v>67</v>
      </c>
      <c r="B9" s="277" t="str">
        <f>A67</f>
        <v>Weighing the units of starting material after irradiation</v>
      </c>
    </row>
    <row r="10" spans="1:18" s="350" customFormat="1" ht="20.100000000000001" customHeight="1">
      <c r="A10" s="588">
        <f>ROW(A416)</f>
        <v>416</v>
      </c>
      <c r="B10" s="350" t="str">
        <f>A416</f>
        <v>Cleaning of the bottles</v>
      </c>
    </row>
    <row r="11" spans="1:18" s="277" customFormat="1" ht="20.100000000000001" customHeight="1">
      <c r="A11" s="148">
        <f>ROW(A425)</f>
        <v>425</v>
      </c>
      <c r="B11" s="277" t="str">
        <f>A425</f>
        <v>Weighing the units after reblending and rebottling</v>
      </c>
    </row>
    <row r="12" spans="1:18" s="274" customFormat="1" ht="20.100000000000001" customHeight="1"/>
    <row r="13" spans="1:18" s="259" customFormat="1" ht="20.100000000000001" customHeight="1">
      <c r="A13" s="283" t="s">
        <v>1392</v>
      </c>
    </row>
    <row r="14" spans="1:18" s="274" customFormat="1" ht="20.100000000000001" customHeight="1"/>
    <row r="15" spans="1:18" ht="20.100000000000001" customHeight="1">
      <c r="A15" s="592" t="s">
        <v>4</v>
      </c>
      <c r="B15" s="592" t="s">
        <v>4</v>
      </c>
      <c r="C15" s="592" t="s">
        <v>486</v>
      </c>
      <c r="D15" s="592" t="s">
        <v>485</v>
      </c>
      <c r="E15" s="593"/>
      <c r="F15" s="593"/>
      <c r="G15" s="593"/>
    </row>
    <row r="16" spans="1:18" ht="20.100000000000001" customHeight="1">
      <c r="A16" s="589" t="s">
        <v>88</v>
      </c>
      <c r="B16" s="589" t="s">
        <v>96</v>
      </c>
      <c r="C16" s="589" t="s">
        <v>487</v>
      </c>
      <c r="D16" s="589"/>
      <c r="E16" s="589"/>
      <c r="F16" s="589"/>
      <c r="G16" s="589"/>
    </row>
    <row r="17" spans="1:13" ht="20.100000000000001" customHeight="1">
      <c r="A17" s="174">
        <v>1</v>
      </c>
      <c r="B17" s="57" t="str">
        <f>"MOOS"&amp;TEXT(A17,"000")&amp;"a"</f>
        <v>MOOS001a</v>
      </c>
      <c r="C17" s="235">
        <v>45342</v>
      </c>
      <c r="D17" s="174" t="s">
        <v>2111</v>
      </c>
    </row>
    <row r="18" spans="1:13" ht="20.100000000000001" customHeight="1">
      <c r="A18" s="170">
        <v>26.714285714285715</v>
      </c>
      <c r="B18" s="57" t="str">
        <f t="shared" ref="B18:B31" si="0">"MOOS"&amp;TEXT(A18,"000")&amp;"a"</f>
        <v>MOOS027a</v>
      </c>
      <c r="C18" s="235">
        <v>45371</v>
      </c>
      <c r="D18" s="588" t="s">
        <v>2113</v>
      </c>
      <c r="L18" s="274"/>
    </row>
    <row r="19" spans="1:13" ht="20.100000000000001" customHeight="1">
      <c r="A19" s="170">
        <v>52.428571428571431</v>
      </c>
      <c r="B19" s="57" t="str">
        <f t="shared" si="0"/>
        <v>MOOS052a</v>
      </c>
      <c r="C19" s="235">
        <v>45356</v>
      </c>
      <c r="D19" s="588" t="s">
        <v>2112</v>
      </c>
      <c r="I19" s="274"/>
      <c r="L19" s="274"/>
    </row>
    <row r="20" spans="1:13" ht="20.100000000000001" customHeight="1">
      <c r="A20" s="170">
        <v>78.142857142857139</v>
      </c>
      <c r="B20" s="57" t="str">
        <f t="shared" si="0"/>
        <v>MOOS078a</v>
      </c>
      <c r="C20" s="235">
        <v>45342</v>
      </c>
      <c r="D20" s="588" t="s">
        <v>2111</v>
      </c>
      <c r="I20" s="274"/>
      <c r="L20" s="274"/>
      <c r="M20" s="274"/>
    </row>
    <row r="21" spans="1:13" ht="20.100000000000001" customHeight="1">
      <c r="A21" s="170">
        <v>103.85714285714286</v>
      </c>
      <c r="B21" s="57" t="str">
        <f t="shared" si="0"/>
        <v>MOOS104a</v>
      </c>
      <c r="C21" s="235">
        <v>45414</v>
      </c>
      <c r="D21" s="174" t="s">
        <v>2401</v>
      </c>
      <c r="I21" s="274"/>
      <c r="K21" s="274"/>
      <c r="L21" s="274"/>
      <c r="M21" s="274"/>
    </row>
    <row r="22" spans="1:13" ht="20.100000000000001" customHeight="1">
      <c r="A22" s="170">
        <v>129.57142857142858</v>
      </c>
      <c r="B22" s="57" t="str">
        <f t="shared" si="0"/>
        <v>MOOS130a</v>
      </c>
      <c r="C22" s="235">
        <v>45356</v>
      </c>
      <c r="D22" s="588" t="s">
        <v>2112</v>
      </c>
      <c r="I22" s="274"/>
      <c r="K22" s="274"/>
      <c r="L22" s="274"/>
      <c r="M22" s="274"/>
    </row>
    <row r="23" spans="1:13" ht="20.100000000000001" customHeight="1">
      <c r="A23" s="170">
        <v>155.28571428571431</v>
      </c>
      <c r="B23" s="57" t="str">
        <f t="shared" si="0"/>
        <v>MOOS155a</v>
      </c>
      <c r="C23" s="235">
        <v>45342</v>
      </c>
      <c r="D23" s="588" t="s">
        <v>2111</v>
      </c>
      <c r="I23" s="274"/>
      <c r="K23" s="274"/>
      <c r="L23" s="274"/>
      <c r="M23" s="274"/>
    </row>
    <row r="24" spans="1:13" ht="20.100000000000001" customHeight="1">
      <c r="A24" s="170">
        <v>181.00000000000003</v>
      </c>
      <c r="B24" s="57" t="str">
        <f t="shared" si="0"/>
        <v>MOOS181a</v>
      </c>
      <c r="C24" s="235">
        <v>45371</v>
      </c>
      <c r="D24" s="588" t="s">
        <v>2113</v>
      </c>
      <c r="I24" s="274"/>
      <c r="K24" s="274"/>
      <c r="L24" s="274"/>
      <c r="M24" s="274"/>
    </row>
    <row r="25" spans="1:13" ht="20.100000000000001" customHeight="1">
      <c r="A25" s="170">
        <v>206.71428571428575</v>
      </c>
      <c r="B25" s="57" t="str">
        <f t="shared" si="0"/>
        <v>MOOS207a</v>
      </c>
      <c r="C25" s="235">
        <v>45356</v>
      </c>
      <c r="D25" s="588" t="s">
        <v>2112</v>
      </c>
      <c r="I25" s="274"/>
      <c r="K25" s="274"/>
      <c r="L25" s="274"/>
      <c r="M25" s="274"/>
    </row>
    <row r="26" spans="1:13" ht="20.100000000000001" customHeight="1">
      <c r="A26" s="170">
        <v>232.42857142857147</v>
      </c>
      <c r="B26" s="57" t="str">
        <f t="shared" si="0"/>
        <v>MOOS232a</v>
      </c>
      <c r="C26" s="235">
        <v>45342</v>
      </c>
      <c r="D26" s="588" t="s">
        <v>2111</v>
      </c>
      <c r="I26" s="274"/>
      <c r="K26" s="274"/>
      <c r="L26" s="274"/>
      <c r="M26" s="274"/>
    </row>
    <row r="27" spans="1:13" ht="20.100000000000001" customHeight="1">
      <c r="A27" s="170">
        <v>258.14285714285717</v>
      </c>
      <c r="B27" s="57" t="str">
        <f t="shared" si="0"/>
        <v>MOOS258a</v>
      </c>
      <c r="C27" s="235">
        <v>45414</v>
      </c>
      <c r="D27" s="588" t="s">
        <v>2401</v>
      </c>
      <c r="G27" s="274"/>
      <c r="K27" s="274"/>
      <c r="L27" s="274"/>
      <c r="M27" s="274"/>
    </row>
    <row r="28" spans="1:13" ht="20.100000000000001" customHeight="1">
      <c r="A28" s="170">
        <v>283.85714285714289</v>
      </c>
      <c r="B28" s="57" t="str">
        <f t="shared" si="0"/>
        <v>MOOS284a</v>
      </c>
      <c r="C28" s="235">
        <v>45356</v>
      </c>
      <c r="D28" s="588" t="s">
        <v>2112</v>
      </c>
      <c r="G28" s="274"/>
      <c r="L28" s="274"/>
      <c r="M28" s="274"/>
    </row>
    <row r="29" spans="1:13" ht="20.100000000000001" customHeight="1">
      <c r="A29" s="170">
        <v>309.57142857142861</v>
      </c>
      <c r="B29" s="57" t="str">
        <f t="shared" si="0"/>
        <v>MOOS310a</v>
      </c>
      <c r="C29" s="235">
        <v>45342</v>
      </c>
      <c r="D29" s="588" t="s">
        <v>2111</v>
      </c>
    </row>
    <row r="30" spans="1:13" ht="20.100000000000001" customHeight="1">
      <c r="A30" s="170">
        <v>335.28571428571433</v>
      </c>
      <c r="B30" s="57" t="str">
        <f t="shared" si="0"/>
        <v>MOOS335a</v>
      </c>
      <c r="C30" s="235">
        <v>45371</v>
      </c>
      <c r="D30" s="588" t="s">
        <v>2113</v>
      </c>
      <c r="E30" s="593"/>
      <c r="F30" s="593"/>
      <c r="G30" s="593"/>
    </row>
    <row r="31" spans="1:13" ht="20.100000000000001" customHeight="1">
      <c r="A31" s="589">
        <v>360</v>
      </c>
      <c r="B31" s="284" t="str">
        <f t="shared" si="0"/>
        <v>MOOS360a</v>
      </c>
      <c r="C31" s="236">
        <v>45356</v>
      </c>
      <c r="D31" s="589" t="s">
        <v>2112</v>
      </c>
      <c r="E31" s="589"/>
      <c r="F31" s="589"/>
      <c r="G31" s="589"/>
    </row>
    <row r="33" spans="1:9" s="259" customFormat="1" ht="20.100000000000001" customHeight="1">
      <c r="A33" s="283" t="s">
        <v>1391</v>
      </c>
    </row>
    <row r="35" spans="1:9" ht="20.100000000000001" customHeight="1">
      <c r="A35" s="276" t="s">
        <v>4</v>
      </c>
      <c r="B35" s="276" t="s">
        <v>4</v>
      </c>
      <c r="C35" s="362" t="s">
        <v>925</v>
      </c>
      <c r="D35" s="361" t="s">
        <v>926</v>
      </c>
      <c r="E35" s="361" t="s">
        <v>927</v>
      </c>
      <c r="F35" s="362" t="s">
        <v>930</v>
      </c>
      <c r="G35" s="276" t="s">
        <v>486</v>
      </c>
      <c r="H35" s="390" t="s">
        <v>485</v>
      </c>
      <c r="I35" s="385"/>
    </row>
    <row r="36" spans="1:9" ht="20.100000000000001" customHeight="1">
      <c r="A36" s="275" t="s">
        <v>88</v>
      </c>
      <c r="B36" s="275" t="s">
        <v>96</v>
      </c>
      <c r="C36" s="359" t="s">
        <v>92</v>
      </c>
      <c r="D36" s="359" t="s">
        <v>487</v>
      </c>
      <c r="E36" s="359" t="s">
        <v>487</v>
      </c>
      <c r="F36" s="359" t="s">
        <v>931</v>
      </c>
      <c r="G36" s="275" t="s">
        <v>487</v>
      </c>
      <c r="H36" s="383"/>
      <c r="I36" s="383"/>
    </row>
    <row r="37" spans="1:9" ht="20.100000000000001" customHeight="1">
      <c r="A37" s="274">
        <v>9</v>
      </c>
      <c r="B37" s="285" t="str">
        <f>"MOOS"&amp;TEXT(A37,"000")&amp;"a"</f>
        <v>MOOS009a</v>
      </c>
      <c r="C37" s="174">
        <v>21</v>
      </c>
      <c r="D37" s="235">
        <v>45049</v>
      </c>
      <c r="E37" s="235">
        <v>45061</v>
      </c>
      <c r="F37" s="144">
        <f>_xlfn.DAYS(E37,D37)</f>
        <v>12</v>
      </c>
      <c r="G37" s="235">
        <v>45306</v>
      </c>
      <c r="H37" s="174" t="s">
        <v>1166</v>
      </c>
    </row>
    <row r="38" spans="1:9" ht="20.100000000000001" customHeight="1">
      <c r="A38" s="170">
        <v>47</v>
      </c>
      <c r="B38" s="285" t="str">
        <f t="shared" ref="B38:B46" si="1">"MOOS"&amp;TEXT(A38,"000")&amp;"a"</f>
        <v>MOOS047a</v>
      </c>
      <c r="C38" s="174">
        <v>21</v>
      </c>
      <c r="D38" s="235">
        <v>45049</v>
      </c>
      <c r="E38" s="235">
        <v>45076</v>
      </c>
      <c r="F38" s="144">
        <f t="shared" ref="F38:F46" si="2">_xlfn.DAYS(E38,D38)</f>
        <v>27</v>
      </c>
      <c r="G38" s="235">
        <v>45306</v>
      </c>
      <c r="H38" s="174" t="s">
        <v>1166</v>
      </c>
    </row>
    <row r="39" spans="1:9" ht="20.100000000000001" customHeight="1">
      <c r="A39" s="170">
        <v>85</v>
      </c>
      <c r="B39" s="285" t="str">
        <f t="shared" si="1"/>
        <v>MOOS085a</v>
      </c>
      <c r="C39" s="174">
        <v>4</v>
      </c>
      <c r="D39" s="174" t="s">
        <v>932</v>
      </c>
      <c r="E39" s="174" t="str">
        <f>D39</f>
        <v># ref</v>
      </c>
      <c r="F39" s="358" t="str">
        <f>E39</f>
        <v># ref</v>
      </c>
      <c r="G39" s="235">
        <v>45306</v>
      </c>
      <c r="H39" s="174" t="s">
        <v>1166</v>
      </c>
    </row>
    <row r="40" spans="1:9" ht="20.100000000000001" customHeight="1">
      <c r="A40" s="170">
        <v>123</v>
      </c>
      <c r="B40" s="285" t="str">
        <f t="shared" si="1"/>
        <v>MOOS123a</v>
      </c>
      <c r="C40" s="174">
        <v>40</v>
      </c>
      <c r="D40" s="235">
        <v>45049</v>
      </c>
      <c r="E40" s="235">
        <v>45061</v>
      </c>
      <c r="F40" s="144">
        <f t="shared" si="2"/>
        <v>12</v>
      </c>
      <c r="G40" s="235">
        <v>45306</v>
      </c>
      <c r="H40" s="174" t="s">
        <v>1166</v>
      </c>
    </row>
    <row r="41" spans="1:9" ht="20.100000000000001" customHeight="1">
      <c r="A41" s="170">
        <v>161</v>
      </c>
      <c r="B41" s="285" t="str">
        <f t="shared" si="1"/>
        <v>MOOS161a</v>
      </c>
      <c r="C41" s="174">
        <v>40</v>
      </c>
      <c r="D41" s="235">
        <v>45049</v>
      </c>
      <c r="E41" s="235">
        <v>45076</v>
      </c>
      <c r="F41" s="144">
        <f t="shared" si="2"/>
        <v>27</v>
      </c>
      <c r="G41" s="235">
        <v>45306</v>
      </c>
      <c r="H41" s="174" t="s">
        <v>1166</v>
      </c>
    </row>
    <row r="42" spans="1:9" ht="20.100000000000001" customHeight="1">
      <c r="A42" s="170">
        <v>199</v>
      </c>
      <c r="B42" s="285" t="str">
        <f t="shared" si="1"/>
        <v>MOOS199a</v>
      </c>
      <c r="C42" s="174">
        <v>21</v>
      </c>
      <c r="D42" s="235">
        <v>45049</v>
      </c>
      <c r="E42" s="235">
        <v>45084</v>
      </c>
      <c r="F42" s="144">
        <f t="shared" si="2"/>
        <v>35</v>
      </c>
      <c r="G42" s="235">
        <v>45306</v>
      </c>
      <c r="H42" s="174" t="s">
        <v>1166</v>
      </c>
    </row>
    <row r="43" spans="1:9" ht="20.100000000000001" customHeight="1">
      <c r="A43" s="170">
        <v>237</v>
      </c>
      <c r="B43" s="285" t="str">
        <f t="shared" si="1"/>
        <v>MOOS237a</v>
      </c>
      <c r="C43" s="174">
        <v>4</v>
      </c>
      <c r="D43" s="358" t="s">
        <v>932</v>
      </c>
      <c r="E43" s="358" t="str">
        <f>D43</f>
        <v># ref</v>
      </c>
      <c r="F43" s="358" t="str">
        <f>E43</f>
        <v># ref</v>
      </c>
      <c r="G43" s="235">
        <v>45306</v>
      </c>
      <c r="H43" s="174" t="s">
        <v>1166</v>
      </c>
    </row>
    <row r="44" spans="1:9" ht="20.100000000000001" customHeight="1">
      <c r="A44" s="170">
        <v>275</v>
      </c>
      <c r="B44" s="285" t="str">
        <f t="shared" si="1"/>
        <v>MOOS275a</v>
      </c>
      <c r="C44" s="174">
        <v>21</v>
      </c>
      <c r="D44" s="235">
        <v>45049</v>
      </c>
      <c r="E44" s="235">
        <v>45092</v>
      </c>
      <c r="F44" s="144">
        <f t="shared" si="2"/>
        <v>43</v>
      </c>
      <c r="G44" s="235">
        <v>45306</v>
      </c>
      <c r="H44" s="174" t="s">
        <v>1166</v>
      </c>
    </row>
    <row r="45" spans="1:9" ht="20.100000000000001" customHeight="1">
      <c r="A45" s="170">
        <v>313</v>
      </c>
      <c r="B45" s="285" t="str">
        <f t="shared" si="1"/>
        <v>MOOS313a</v>
      </c>
      <c r="C45" s="174">
        <v>40</v>
      </c>
      <c r="D45" s="235">
        <v>45049</v>
      </c>
      <c r="E45" s="235">
        <v>45084</v>
      </c>
      <c r="F45" s="144">
        <f t="shared" si="2"/>
        <v>35</v>
      </c>
      <c r="G45" s="235">
        <v>45306</v>
      </c>
      <c r="H45" s="174" t="s">
        <v>1166</v>
      </c>
    </row>
    <row r="46" spans="1:9" ht="20.100000000000001" customHeight="1">
      <c r="A46" s="172">
        <v>351</v>
      </c>
      <c r="B46" s="286" t="str">
        <f t="shared" si="1"/>
        <v>MOOS351a</v>
      </c>
      <c r="C46" s="359">
        <v>40</v>
      </c>
      <c r="D46" s="236">
        <v>45049</v>
      </c>
      <c r="E46" s="236">
        <v>45092</v>
      </c>
      <c r="F46" s="146">
        <f t="shared" si="2"/>
        <v>43</v>
      </c>
      <c r="G46" s="236">
        <v>45306</v>
      </c>
      <c r="H46" s="383" t="s">
        <v>1166</v>
      </c>
      <c r="I46" s="383"/>
    </row>
    <row r="47" spans="1:9" s="358" customFormat="1" ht="20.100000000000001" customHeight="1">
      <c r="A47" s="171"/>
      <c r="B47" s="363"/>
      <c r="C47" s="360"/>
      <c r="D47" s="360"/>
      <c r="E47" s="360"/>
      <c r="F47" s="360"/>
    </row>
    <row r="48" spans="1:9" s="358" customFormat="1" ht="20.100000000000001" customHeight="1">
      <c r="A48" s="171" t="s">
        <v>968</v>
      </c>
      <c r="B48" s="363"/>
      <c r="C48" s="360"/>
      <c r="D48" s="360"/>
      <c r="E48" s="360"/>
      <c r="F48" s="360"/>
    </row>
    <row r="49" spans="1:6" s="358" customFormat="1" ht="20.100000000000001" customHeight="1">
      <c r="A49" s="171" t="s">
        <v>928</v>
      </c>
      <c r="B49" s="363"/>
      <c r="C49" s="360"/>
      <c r="D49" s="360"/>
      <c r="E49" s="360"/>
      <c r="F49" s="360"/>
    </row>
    <row r="50" spans="1:6" s="358" customFormat="1" ht="20.100000000000001" customHeight="1">
      <c r="A50" s="171" t="s">
        <v>929</v>
      </c>
      <c r="B50" s="363"/>
      <c r="C50" s="360"/>
      <c r="D50" s="360"/>
      <c r="E50" s="360"/>
      <c r="F50" s="360"/>
    </row>
    <row r="52" spans="1:6" s="259" customFormat="1" ht="20.100000000000001" customHeight="1">
      <c r="A52" s="283" t="s">
        <v>488</v>
      </c>
    </row>
    <row r="54" spans="1:6" ht="20.100000000000001" customHeight="1">
      <c r="A54" s="276" t="s">
        <v>4</v>
      </c>
      <c r="B54" s="276" t="s">
        <v>4</v>
      </c>
      <c r="C54" s="276" t="s">
        <v>486</v>
      </c>
      <c r="D54" s="276" t="s">
        <v>485</v>
      </c>
    </row>
    <row r="55" spans="1:6" ht="20.100000000000001" customHeight="1">
      <c r="A55" s="275" t="s">
        <v>88</v>
      </c>
      <c r="B55" s="275" t="s">
        <v>96</v>
      </c>
      <c r="C55" s="275" t="s">
        <v>487</v>
      </c>
      <c r="D55" s="275"/>
    </row>
    <row r="56" spans="1:6" ht="20.100000000000001" customHeight="1">
      <c r="A56" s="274">
        <v>18</v>
      </c>
      <c r="B56" s="287" t="str">
        <f>"MOOS"&amp;TEXT(A56,"000")&amp;"a"</f>
        <v>MOOS018a</v>
      </c>
      <c r="C56" s="274"/>
      <c r="D56" s="274"/>
    </row>
    <row r="57" spans="1:6" ht="20.100000000000001" customHeight="1">
      <c r="A57" s="170">
        <v>53</v>
      </c>
      <c r="B57" s="287" t="str">
        <f t="shared" ref="B57:B65" si="3">"MOOS"&amp;TEXT(A57,"000")&amp;"a"</f>
        <v>MOOS053a</v>
      </c>
      <c r="C57" s="274"/>
      <c r="D57" s="274"/>
    </row>
    <row r="58" spans="1:6" ht="20.100000000000001" customHeight="1">
      <c r="A58" s="170">
        <v>88</v>
      </c>
      <c r="B58" s="287" t="str">
        <f t="shared" si="3"/>
        <v>MOOS088a</v>
      </c>
      <c r="C58" s="274"/>
      <c r="D58" s="274"/>
    </row>
    <row r="59" spans="1:6" ht="20.100000000000001" customHeight="1">
      <c r="A59" s="170">
        <v>124</v>
      </c>
      <c r="B59" s="287" t="str">
        <f t="shared" si="3"/>
        <v>MOOS124a</v>
      </c>
      <c r="C59" s="274"/>
      <c r="D59" s="274"/>
    </row>
    <row r="60" spans="1:6" ht="20.100000000000001" customHeight="1">
      <c r="A60" s="170">
        <v>159</v>
      </c>
      <c r="B60" s="287" t="str">
        <f t="shared" si="3"/>
        <v>MOOS159a</v>
      </c>
      <c r="C60" s="274"/>
      <c r="D60" s="274"/>
    </row>
    <row r="61" spans="1:6" ht="20.100000000000001" customHeight="1">
      <c r="A61" s="170">
        <v>194</v>
      </c>
      <c r="B61" s="287" t="str">
        <f t="shared" si="3"/>
        <v>MOOS194a</v>
      </c>
      <c r="C61" s="274"/>
      <c r="D61" s="274"/>
    </row>
    <row r="62" spans="1:6" ht="20.100000000000001" customHeight="1">
      <c r="A62" s="170">
        <v>229</v>
      </c>
      <c r="B62" s="287" t="str">
        <f t="shared" si="3"/>
        <v>MOOS229a</v>
      </c>
      <c r="C62" s="274"/>
      <c r="D62" s="274"/>
    </row>
    <row r="63" spans="1:6" ht="20.100000000000001" customHeight="1">
      <c r="A63" s="170">
        <v>264</v>
      </c>
      <c r="B63" s="287" t="str">
        <f t="shared" si="3"/>
        <v>MOOS264a</v>
      </c>
      <c r="C63" s="274"/>
      <c r="D63" s="274"/>
    </row>
    <row r="64" spans="1:6" ht="20.100000000000001" customHeight="1">
      <c r="A64" s="170">
        <v>299</v>
      </c>
      <c r="B64" s="287" t="str">
        <f t="shared" si="3"/>
        <v>MOOS299a</v>
      </c>
      <c r="C64" s="274"/>
      <c r="D64" s="274"/>
    </row>
    <row r="65" spans="1:9" ht="20.100000000000001" customHeight="1">
      <c r="A65" s="172">
        <v>333</v>
      </c>
      <c r="B65" s="288" t="str">
        <f t="shared" si="3"/>
        <v>MOOS333a</v>
      </c>
      <c r="C65" s="275"/>
      <c r="D65" s="275"/>
    </row>
    <row r="67" spans="1:9" s="259" customFormat="1" ht="20.100000000000001" customHeight="1">
      <c r="A67" s="283" t="s">
        <v>489</v>
      </c>
    </row>
    <row r="69" spans="1:9" s="323" customFormat="1" ht="20.100000000000001" customHeight="1">
      <c r="A69" s="327" t="s">
        <v>2</v>
      </c>
      <c r="B69" s="235">
        <v>45027</v>
      </c>
    </row>
    <row r="70" spans="1:9" s="323" customFormat="1" ht="20.100000000000001" customHeight="1"/>
    <row r="71" spans="1:9" s="277" customFormat="1" ht="20.100000000000001" customHeight="1">
      <c r="A71" s="280" t="s">
        <v>490</v>
      </c>
    </row>
    <row r="72" spans="1:9" s="277" customFormat="1" ht="20.100000000000001" customHeight="1">
      <c r="A72" s="277">
        <v>7</v>
      </c>
      <c r="B72" s="277">
        <v>54</v>
      </c>
      <c r="C72" s="277">
        <v>2</v>
      </c>
      <c r="D72" s="277">
        <v>24</v>
      </c>
      <c r="E72" s="277">
        <v>28</v>
      </c>
      <c r="F72" s="277">
        <v>29</v>
      </c>
      <c r="G72" s="277">
        <v>38</v>
      </c>
    </row>
    <row r="73" spans="1:9" s="277" customFormat="1" ht="20.100000000000001" customHeight="1"/>
    <row r="74" spans="1:9" s="277" customFormat="1" ht="20.100000000000001" customHeight="1">
      <c r="A74" s="277" t="s">
        <v>491</v>
      </c>
    </row>
    <row r="75" spans="1:9" s="277" customFormat="1" ht="20.100000000000001" customHeight="1"/>
    <row r="76" spans="1:9" ht="20.100000000000001" customHeight="1">
      <c r="A76" s="312" t="s">
        <v>549</v>
      </c>
      <c r="B76" s="282" t="s">
        <v>4</v>
      </c>
      <c r="C76" s="282" t="s">
        <v>326</v>
      </c>
      <c r="D76" s="282" t="s">
        <v>326</v>
      </c>
      <c r="E76" s="282" t="s">
        <v>328</v>
      </c>
      <c r="F76" s="327" t="s">
        <v>100</v>
      </c>
    </row>
    <row r="77" spans="1:9" ht="20.100000000000001" customHeight="1">
      <c r="A77" s="311" t="s">
        <v>550</v>
      </c>
      <c r="B77" s="278" t="s">
        <v>96</v>
      </c>
      <c r="C77" s="236">
        <v>45027</v>
      </c>
      <c r="D77" s="236">
        <v>42803</v>
      </c>
      <c r="E77" s="278" t="s">
        <v>64</v>
      </c>
      <c r="F77" s="324" t="s">
        <v>64</v>
      </c>
    </row>
    <row r="78" spans="1:9" ht="20.100000000000001" customHeight="1">
      <c r="A78" s="174">
        <v>7</v>
      </c>
      <c r="B78" s="174" t="s">
        <v>551</v>
      </c>
      <c r="C78" s="182">
        <v>71.286100000000005</v>
      </c>
      <c r="D78" s="182">
        <v>71.328900000000004</v>
      </c>
      <c r="E78" s="60">
        <f>C78-D78</f>
        <v>-4.2799999999999727E-2</v>
      </c>
      <c r="F78" s="80">
        <f t="shared" ref="F78:F141" si="4">C78-$I$84</f>
        <v>59.462353611111112</v>
      </c>
      <c r="H78" s="281" t="s">
        <v>267</v>
      </c>
      <c r="I78" s="82">
        <f>MAX(E78:E414)</f>
        <v>-4.0100000000009572E-2</v>
      </c>
    </row>
    <row r="79" spans="1:9" ht="20.100000000000001" customHeight="1">
      <c r="A79" s="174">
        <v>7</v>
      </c>
      <c r="B79" s="174" t="s">
        <v>552</v>
      </c>
      <c r="C79" s="182">
        <v>72.358599999999996</v>
      </c>
      <c r="D79" s="182">
        <v>72.399799999999999</v>
      </c>
      <c r="E79" s="60">
        <f t="shared" ref="E79:E142" si="5">C79-D79</f>
        <v>-4.1200000000003456E-2</v>
      </c>
      <c r="F79" s="80">
        <f t="shared" si="4"/>
        <v>60.534853611111103</v>
      </c>
      <c r="H79" s="282" t="s">
        <v>268</v>
      </c>
      <c r="I79" s="80">
        <f>MIN(E78:E414)</f>
        <v>-7.8500000000005343E-2</v>
      </c>
    </row>
    <row r="80" spans="1:9" ht="20.100000000000001" customHeight="1">
      <c r="A80" s="174">
        <v>7</v>
      </c>
      <c r="B80" s="277" t="s">
        <v>553</v>
      </c>
      <c r="C80" s="182">
        <v>75.027000000000001</v>
      </c>
      <c r="D80" s="182">
        <v>75.067999999999998</v>
      </c>
      <c r="E80" s="60">
        <f t="shared" si="5"/>
        <v>-4.0999999999996817E-2</v>
      </c>
      <c r="F80" s="80">
        <f t="shared" si="4"/>
        <v>63.203253611111109</v>
      </c>
      <c r="H80" s="282" t="s">
        <v>260</v>
      </c>
      <c r="I80" s="197">
        <f>AVERAGE(E78:E414)</f>
        <v>-4.5011275964392125E-2</v>
      </c>
    </row>
    <row r="81" spans="1:9" ht="20.100000000000001" customHeight="1">
      <c r="A81" s="174">
        <v>7</v>
      </c>
      <c r="B81" s="277" t="s">
        <v>554</v>
      </c>
      <c r="C81" s="182">
        <v>74.782600000000002</v>
      </c>
      <c r="D81" s="182">
        <v>74.8249</v>
      </c>
      <c r="E81" s="60">
        <f t="shared" si="5"/>
        <v>-4.229999999999734E-2</v>
      </c>
      <c r="F81" s="80">
        <f t="shared" si="4"/>
        <v>62.95885361111111</v>
      </c>
      <c r="H81" s="282" t="s">
        <v>429</v>
      </c>
      <c r="I81" s="80">
        <f>STDEV(E78:E414)</f>
        <v>4.2986491342015239E-3</v>
      </c>
    </row>
    <row r="82" spans="1:9" ht="20.100000000000001" customHeight="1">
      <c r="A82" s="174">
        <v>7</v>
      </c>
      <c r="B82" s="277" t="s">
        <v>555</v>
      </c>
      <c r="C82" s="182">
        <v>74.282200000000003</v>
      </c>
      <c r="D82" s="182">
        <v>74.324799999999996</v>
      </c>
      <c r="E82" s="60">
        <f t="shared" si="5"/>
        <v>-4.2599999999993088E-2</v>
      </c>
      <c r="F82" s="80">
        <f t="shared" si="4"/>
        <v>62.458453611111111</v>
      </c>
      <c r="H82" s="279" t="s">
        <v>262</v>
      </c>
      <c r="I82" s="208">
        <f>I81/I80</f>
        <v>-9.5501605811000187E-2</v>
      </c>
    </row>
    <row r="83" spans="1:9" ht="20.100000000000001" customHeight="1">
      <c r="A83" s="174">
        <v>7</v>
      </c>
      <c r="B83" s="277" t="s">
        <v>556</v>
      </c>
      <c r="C83" s="182">
        <v>75.371799999999993</v>
      </c>
      <c r="D83" s="182">
        <v>75.4148</v>
      </c>
      <c r="E83" s="60">
        <f t="shared" si="5"/>
        <v>-4.3000000000006366E-2</v>
      </c>
      <c r="F83" s="80">
        <f t="shared" si="4"/>
        <v>63.548053611111101</v>
      </c>
    </row>
    <row r="84" spans="1:9" ht="20.100000000000001" customHeight="1">
      <c r="A84" s="174">
        <v>7</v>
      </c>
      <c r="B84" s="277" t="s">
        <v>557</v>
      </c>
      <c r="C84" s="182">
        <v>73.066800000000001</v>
      </c>
      <c r="D84" s="182">
        <v>73.109800000000007</v>
      </c>
      <c r="E84" s="60">
        <f t="shared" si="5"/>
        <v>-4.3000000000006366E-2</v>
      </c>
      <c r="F84" s="80">
        <f t="shared" si="4"/>
        <v>61.243053611111108</v>
      </c>
      <c r="H84" s="328" t="s">
        <v>890</v>
      </c>
      <c r="I84" s="82">
        <f>C794</f>
        <v>11.823746388888894</v>
      </c>
    </row>
    <row r="85" spans="1:9" ht="20.100000000000001" customHeight="1">
      <c r="A85" s="174">
        <v>7</v>
      </c>
      <c r="B85" s="277" t="s">
        <v>558</v>
      </c>
      <c r="C85" s="182">
        <v>73.702600000000004</v>
      </c>
      <c r="D85" s="182">
        <v>73.745099999999994</v>
      </c>
      <c r="E85" s="60">
        <f t="shared" si="5"/>
        <v>-4.2499999999989768E-2</v>
      </c>
      <c r="F85" s="80">
        <f t="shared" si="4"/>
        <v>61.878853611111111</v>
      </c>
      <c r="H85" s="329" t="s">
        <v>888</v>
      </c>
      <c r="I85" s="171">
        <f>SUM(F78:F414)-5*AVERAGE(F78:F414)</f>
        <v>20491.104988206396</v>
      </c>
    </row>
    <row r="86" spans="1:9" ht="20.100000000000001" customHeight="1">
      <c r="A86" s="174">
        <v>7</v>
      </c>
      <c r="B86" s="277" t="s">
        <v>559</v>
      </c>
      <c r="C86" s="182">
        <v>77.016099999999994</v>
      </c>
      <c r="D86" s="182">
        <v>77.058499999999995</v>
      </c>
      <c r="E86" s="60">
        <f t="shared" si="5"/>
        <v>-4.2400000000000659E-2</v>
      </c>
      <c r="F86" s="80">
        <f t="shared" si="4"/>
        <v>65.192353611111102</v>
      </c>
      <c r="H86" s="325" t="s">
        <v>889</v>
      </c>
      <c r="I86" s="172">
        <f>I85/1.03</f>
        <v>19894.276687579026</v>
      </c>
    </row>
    <row r="87" spans="1:9" ht="20.100000000000001" customHeight="1">
      <c r="A87" s="174">
        <v>7</v>
      </c>
      <c r="B87" s="277" t="s">
        <v>560</v>
      </c>
      <c r="C87" s="182">
        <v>74.502600000000001</v>
      </c>
      <c r="D87" s="182">
        <v>74.545299999999997</v>
      </c>
      <c r="E87" s="60">
        <f t="shared" si="5"/>
        <v>-4.2699999999996407E-2</v>
      </c>
      <c r="F87" s="80">
        <f t="shared" si="4"/>
        <v>62.678853611111109</v>
      </c>
    </row>
    <row r="88" spans="1:9" ht="20.100000000000001" customHeight="1">
      <c r="A88" s="174">
        <v>7</v>
      </c>
      <c r="B88" s="277" t="s">
        <v>561</v>
      </c>
      <c r="C88" s="182">
        <v>73.486599999999996</v>
      </c>
      <c r="D88" s="182">
        <v>73.528400000000005</v>
      </c>
      <c r="E88" s="60">
        <f t="shared" si="5"/>
        <v>-4.1800000000009163E-2</v>
      </c>
      <c r="F88" s="80">
        <f t="shared" si="4"/>
        <v>61.662853611111103</v>
      </c>
      <c r="H88" s="330" t="s">
        <v>891</v>
      </c>
      <c r="I88" s="331">
        <f>I79/AVERAGE(F78:F414)</f>
        <v>-1.2718689409381139E-3</v>
      </c>
    </row>
    <row r="89" spans="1:9" ht="20.100000000000001" customHeight="1">
      <c r="A89" s="174">
        <v>7</v>
      </c>
      <c r="B89" s="277" t="s">
        <v>562</v>
      </c>
      <c r="C89" s="182">
        <v>75.022300000000001</v>
      </c>
      <c r="D89" s="182">
        <v>75.063900000000004</v>
      </c>
      <c r="E89" s="60">
        <f t="shared" si="5"/>
        <v>-4.1600000000002524E-2</v>
      </c>
      <c r="F89" s="80">
        <f t="shared" si="4"/>
        <v>63.198553611111109</v>
      </c>
    </row>
    <row r="90" spans="1:9" ht="20.100000000000001" customHeight="1">
      <c r="A90" s="174">
        <v>7</v>
      </c>
      <c r="B90" s="277" t="s">
        <v>563</v>
      </c>
      <c r="C90" s="182">
        <v>72.695099999999996</v>
      </c>
      <c r="D90" s="182">
        <v>72.735799999999998</v>
      </c>
      <c r="E90" s="60">
        <f t="shared" si="5"/>
        <v>-4.0700000000001069E-2</v>
      </c>
      <c r="F90" s="80">
        <f t="shared" si="4"/>
        <v>60.871353611111104</v>
      </c>
      <c r="H90" s="328" t="s">
        <v>892</v>
      </c>
      <c r="I90" s="205">
        <f>I86/50</f>
        <v>397.88553375158051</v>
      </c>
    </row>
    <row r="91" spans="1:9" ht="20.100000000000001" customHeight="1">
      <c r="A91" s="174">
        <v>7</v>
      </c>
      <c r="B91" s="277" t="s">
        <v>564</v>
      </c>
      <c r="C91" s="182">
        <v>72.7547</v>
      </c>
      <c r="D91" s="182">
        <v>72.796000000000006</v>
      </c>
      <c r="E91" s="60">
        <f t="shared" si="5"/>
        <v>-4.1300000000006776E-2</v>
      </c>
      <c r="F91" s="80">
        <f t="shared" si="4"/>
        <v>60.930953611111107</v>
      </c>
      <c r="H91" s="324" t="s">
        <v>893</v>
      </c>
      <c r="I91" s="324"/>
    </row>
    <row r="92" spans="1:9" ht="20.100000000000001" customHeight="1">
      <c r="A92" s="174">
        <v>7</v>
      </c>
      <c r="B92" s="277" t="s">
        <v>565</v>
      </c>
      <c r="C92" s="182">
        <v>72.896799999999999</v>
      </c>
      <c r="D92" s="182">
        <v>72.938900000000004</v>
      </c>
      <c r="E92" s="60">
        <f t="shared" si="5"/>
        <v>-4.2100000000004911E-2</v>
      </c>
      <c r="F92" s="80">
        <f t="shared" si="4"/>
        <v>61.073053611111106</v>
      </c>
    </row>
    <row r="93" spans="1:9" ht="20.100000000000001" customHeight="1">
      <c r="A93" s="174">
        <v>7</v>
      </c>
      <c r="B93" s="277" t="s">
        <v>566</v>
      </c>
      <c r="C93" s="182">
        <v>75.349599999999995</v>
      </c>
      <c r="D93" s="182">
        <v>75.391400000000004</v>
      </c>
      <c r="E93" s="60">
        <f t="shared" si="5"/>
        <v>-4.1800000000009163E-2</v>
      </c>
      <c r="F93" s="80">
        <f t="shared" si="4"/>
        <v>63.525853611111103</v>
      </c>
    </row>
    <row r="94" spans="1:9" ht="20.100000000000001" customHeight="1">
      <c r="A94" s="174">
        <v>7</v>
      </c>
      <c r="B94" s="277" t="s">
        <v>567</v>
      </c>
      <c r="C94" s="182">
        <v>76.265299999999996</v>
      </c>
      <c r="D94" s="182">
        <v>76.308099999999996</v>
      </c>
      <c r="E94" s="60">
        <f t="shared" si="5"/>
        <v>-4.2799999999999727E-2</v>
      </c>
      <c r="F94" s="80">
        <f t="shared" si="4"/>
        <v>64.441553611111104</v>
      </c>
    </row>
    <row r="95" spans="1:9" ht="20.100000000000001" customHeight="1">
      <c r="A95" s="174">
        <v>7</v>
      </c>
      <c r="B95" s="277" t="s">
        <v>568</v>
      </c>
      <c r="C95" s="182">
        <v>74.202699999999993</v>
      </c>
      <c r="D95" s="182">
        <v>74.245800000000003</v>
      </c>
      <c r="E95" s="60">
        <f t="shared" si="5"/>
        <v>-4.3100000000009686E-2</v>
      </c>
      <c r="F95" s="80">
        <f t="shared" si="4"/>
        <v>62.3789536111111</v>
      </c>
    </row>
    <row r="96" spans="1:9" ht="20.100000000000001" customHeight="1">
      <c r="A96" s="174">
        <v>7</v>
      </c>
      <c r="B96" s="277" t="s">
        <v>569</v>
      </c>
      <c r="C96" s="182">
        <v>75.501300000000001</v>
      </c>
      <c r="D96" s="182">
        <v>75.544499999999999</v>
      </c>
      <c r="E96" s="60">
        <f t="shared" si="5"/>
        <v>-4.3199999999998795E-2</v>
      </c>
      <c r="F96" s="80">
        <f t="shared" si="4"/>
        <v>63.677553611111108</v>
      </c>
    </row>
    <row r="97" spans="1:6" ht="20.100000000000001" customHeight="1">
      <c r="A97" s="174">
        <v>7</v>
      </c>
      <c r="B97" s="277" t="s">
        <v>570</v>
      </c>
      <c r="C97" s="182">
        <v>74.971500000000006</v>
      </c>
      <c r="D97" s="182">
        <v>75.013900000000007</v>
      </c>
      <c r="E97" s="60">
        <f t="shared" si="5"/>
        <v>-4.2400000000000659E-2</v>
      </c>
      <c r="F97" s="80">
        <f t="shared" si="4"/>
        <v>63.147753611111114</v>
      </c>
    </row>
    <row r="98" spans="1:6" ht="20.100000000000001" customHeight="1">
      <c r="A98" s="174">
        <v>7</v>
      </c>
      <c r="B98" s="277" t="s">
        <v>571</v>
      </c>
      <c r="C98" s="182">
        <v>74.656800000000004</v>
      </c>
      <c r="D98" s="182">
        <v>74.698899999999995</v>
      </c>
      <c r="E98" s="60">
        <f t="shared" si="5"/>
        <v>-4.20999999999907E-2</v>
      </c>
      <c r="F98" s="80">
        <f t="shared" si="4"/>
        <v>62.833053611111112</v>
      </c>
    </row>
    <row r="99" spans="1:6" ht="20.100000000000001" customHeight="1">
      <c r="A99" s="174">
        <v>7</v>
      </c>
      <c r="B99" s="277" t="s">
        <v>572</v>
      </c>
      <c r="C99" s="182">
        <v>75.600800000000007</v>
      </c>
      <c r="D99" s="182">
        <v>75.641199999999998</v>
      </c>
      <c r="E99" s="60">
        <f t="shared" si="5"/>
        <v>-4.039999999999111E-2</v>
      </c>
      <c r="F99" s="80">
        <f t="shared" si="4"/>
        <v>63.777053611111114</v>
      </c>
    </row>
    <row r="100" spans="1:6" ht="20.100000000000001" customHeight="1">
      <c r="A100" s="174">
        <v>7</v>
      </c>
      <c r="B100" s="277" t="s">
        <v>573</v>
      </c>
      <c r="C100" s="182">
        <v>75.060699999999997</v>
      </c>
      <c r="D100" s="182">
        <v>75.102800000000002</v>
      </c>
      <c r="E100" s="60">
        <f t="shared" si="5"/>
        <v>-4.2100000000004911E-2</v>
      </c>
      <c r="F100" s="80">
        <f t="shared" si="4"/>
        <v>63.236953611111105</v>
      </c>
    </row>
    <row r="101" spans="1:6" ht="20.100000000000001" customHeight="1">
      <c r="A101" s="174">
        <v>7</v>
      </c>
      <c r="B101" s="277" t="s">
        <v>574</v>
      </c>
      <c r="C101" s="182">
        <v>75.084599999999995</v>
      </c>
      <c r="D101" s="182">
        <v>75.126499999999993</v>
      </c>
      <c r="E101" s="60">
        <f t="shared" si="5"/>
        <v>-4.1899999999998272E-2</v>
      </c>
      <c r="F101" s="80">
        <f t="shared" si="4"/>
        <v>63.260853611111102</v>
      </c>
    </row>
    <row r="102" spans="1:6" ht="20.100000000000001" customHeight="1">
      <c r="A102" s="174">
        <v>7</v>
      </c>
      <c r="B102" s="277" t="s">
        <v>575</v>
      </c>
      <c r="C102" s="182">
        <v>73.787999999999997</v>
      </c>
      <c r="D102" s="182">
        <v>73.833100000000002</v>
      </c>
      <c r="E102" s="60">
        <f t="shared" si="5"/>
        <v>-4.5100000000005025E-2</v>
      </c>
      <c r="F102" s="80">
        <f t="shared" si="4"/>
        <v>61.964253611111104</v>
      </c>
    </row>
    <row r="103" spans="1:6" ht="20.100000000000001" customHeight="1">
      <c r="A103" s="174">
        <v>7</v>
      </c>
      <c r="B103" s="277" t="s">
        <v>576</v>
      </c>
      <c r="C103" s="182">
        <v>74.978099999999998</v>
      </c>
      <c r="D103" s="182">
        <v>75.020300000000006</v>
      </c>
      <c r="E103" s="60">
        <f t="shared" si="5"/>
        <v>-4.2200000000008231E-2</v>
      </c>
      <c r="F103" s="80">
        <f t="shared" si="4"/>
        <v>63.154353611111105</v>
      </c>
    </row>
    <row r="104" spans="1:6" ht="20.100000000000001" customHeight="1">
      <c r="A104" s="174">
        <v>7</v>
      </c>
      <c r="B104" s="277" t="s">
        <v>577</v>
      </c>
      <c r="C104" s="182">
        <v>72.400499999999994</v>
      </c>
      <c r="D104" s="182">
        <v>72.441900000000004</v>
      </c>
      <c r="E104" s="60">
        <f t="shared" si="5"/>
        <v>-4.1400000000010095E-2</v>
      </c>
      <c r="F104" s="80">
        <f t="shared" si="4"/>
        <v>60.576753611111101</v>
      </c>
    </row>
    <row r="105" spans="1:6" ht="20.100000000000001" customHeight="1">
      <c r="A105" s="174">
        <v>7</v>
      </c>
      <c r="B105" s="277" t="s">
        <v>578</v>
      </c>
      <c r="C105" s="182">
        <v>75.508099999999999</v>
      </c>
      <c r="D105" s="182">
        <v>75.551100000000005</v>
      </c>
      <c r="E105" s="60">
        <f t="shared" si="5"/>
        <v>-4.3000000000006366E-2</v>
      </c>
      <c r="F105" s="80">
        <f t="shared" si="4"/>
        <v>63.684353611111106</v>
      </c>
    </row>
    <row r="106" spans="1:6" ht="20.100000000000001" customHeight="1">
      <c r="A106" s="174">
        <v>7</v>
      </c>
      <c r="B106" s="277" t="s">
        <v>579</v>
      </c>
      <c r="C106" s="182">
        <v>75.192999999999998</v>
      </c>
      <c r="D106" s="182">
        <v>75.234899999999996</v>
      </c>
      <c r="E106" s="60">
        <f t="shared" si="5"/>
        <v>-4.1899999999998272E-2</v>
      </c>
      <c r="F106" s="80">
        <f t="shared" si="4"/>
        <v>63.369253611111105</v>
      </c>
    </row>
    <row r="107" spans="1:6" ht="20.100000000000001" customHeight="1">
      <c r="A107" s="174">
        <v>7</v>
      </c>
      <c r="B107" s="277" t="s">
        <v>580</v>
      </c>
      <c r="C107" s="182">
        <v>74.215900000000005</v>
      </c>
      <c r="D107" s="182">
        <v>74.258399999999995</v>
      </c>
      <c r="E107" s="60">
        <f t="shared" si="5"/>
        <v>-4.2499999999989768E-2</v>
      </c>
      <c r="F107" s="80">
        <f t="shared" si="4"/>
        <v>62.392153611111112</v>
      </c>
    </row>
    <row r="108" spans="1:6" ht="20.100000000000001" customHeight="1">
      <c r="A108" s="174">
        <v>7</v>
      </c>
      <c r="B108" s="277" t="s">
        <v>581</v>
      </c>
      <c r="C108" s="182">
        <v>75.781899999999993</v>
      </c>
      <c r="D108" s="182">
        <v>75.8232</v>
      </c>
      <c r="E108" s="60">
        <f t="shared" si="5"/>
        <v>-4.1300000000006776E-2</v>
      </c>
      <c r="F108" s="80">
        <f t="shared" si="4"/>
        <v>63.958153611111101</v>
      </c>
    </row>
    <row r="109" spans="1:6" ht="20.100000000000001" customHeight="1">
      <c r="A109" s="174">
        <v>7</v>
      </c>
      <c r="B109" s="277" t="s">
        <v>582</v>
      </c>
      <c r="C109" s="182">
        <v>75.569900000000004</v>
      </c>
      <c r="D109" s="182">
        <v>75.613399999999999</v>
      </c>
      <c r="E109" s="60">
        <f t="shared" si="5"/>
        <v>-4.3499999999994543E-2</v>
      </c>
      <c r="F109" s="80">
        <f t="shared" si="4"/>
        <v>63.746153611111112</v>
      </c>
    </row>
    <row r="110" spans="1:6" ht="20.100000000000001" customHeight="1">
      <c r="A110" s="174">
        <v>7</v>
      </c>
      <c r="B110" s="277" t="s">
        <v>583</v>
      </c>
      <c r="C110" s="182">
        <v>74.302899999999994</v>
      </c>
      <c r="D110" s="182">
        <v>74.346100000000007</v>
      </c>
      <c r="E110" s="60">
        <f t="shared" si="5"/>
        <v>-4.3200000000013006E-2</v>
      </c>
      <c r="F110" s="80">
        <f t="shared" si="4"/>
        <v>62.479153611111101</v>
      </c>
    </row>
    <row r="111" spans="1:6" ht="20.100000000000001" customHeight="1">
      <c r="A111" s="174">
        <v>7</v>
      </c>
      <c r="B111" s="277" t="s">
        <v>584</v>
      </c>
      <c r="C111" s="182">
        <v>75.607100000000003</v>
      </c>
      <c r="D111" s="182">
        <v>75.647999999999996</v>
      </c>
      <c r="E111" s="60">
        <f t="shared" si="5"/>
        <v>-4.0899999999993497E-2</v>
      </c>
      <c r="F111" s="80">
        <f t="shared" si="4"/>
        <v>63.78335361111111</v>
      </c>
    </row>
    <row r="112" spans="1:6" ht="20.100000000000001" customHeight="1">
      <c r="A112" s="174">
        <v>7</v>
      </c>
      <c r="B112" s="277" t="s">
        <v>585</v>
      </c>
      <c r="C112" s="182">
        <v>72.941999999999993</v>
      </c>
      <c r="D112" s="182">
        <v>72.983099999999993</v>
      </c>
      <c r="E112" s="60">
        <f t="shared" si="5"/>
        <v>-4.1100000000000136E-2</v>
      </c>
      <c r="F112" s="80">
        <f t="shared" si="4"/>
        <v>61.118253611111101</v>
      </c>
    </row>
    <row r="113" spans="1:6" ht="20.100000000000001" customHeight="1">
      <c r="A113" s="174">
        <v>7</v>
      </c>
      <c r="B113" s="277" t="s">
        <v>586</v>
      </c>
      <c r="C113" s="182">
        <v>75.967399999999998</v>
      </c>
      <c r="D113" s="182">
        <v>76.010000000000005</v>
      </c>
      <c r="E113" s="60">
        <f t="shared" si="5"/>
        <v>-4.2600000000007299E-2</v>
      </c>
      <c r="F113" s="80">
        <f t="shared" si="4"/>
        <v>64.143653611111105</v>
      </c>
    </row>
    <row r="114" spans="1:6" ht="20.100000000000001" customHeight="1">
      <c r="A114" s="174">
        <v>7</v>
      </c>
      <c r="B114" s="277" t="s">
        <v>587</v>
      </c>
      <c r="C114" s="182">
        <v>75.218699999999998</v>
      </c>
      <c r="D114" s="182">
        <v>75.261099999999999</v>
      </c>
      <c r="E114" s="60">
        <f t="shared" si="5"/>
        <v>-4.2400000000000659E-2</v>
      </c>
      <c r="F114" s="80">
        <f t="shared" si="4"/>
        <v>63.394953611111106</v>
      </c>
    </row>
    <row r="115" spans="1:6" ht="20.100000000000001" customHeight="1">
      <c r="A115" s="174">
        <v>7</v>
      </c>
      <c r="B115" s="277" t="s">
        <v>588</v>
      </c>
      <c r="C115" s="182">
        <v>74.134299999999996</v>
      </c>
      <c r="D115" s="182">
        <v>74.176599999999993</v>
      </c>
      <c r="E115" s="60">
        <f t="shared" si="5"/>
        <v>-4.229999999999734E-2</v>
      </c>
      <c r="F115" s="80">
        <f t="shared" si="4"/>
        <v>62.310553611111104</v>
      </c>
    </row>
    <row r="116" spans="1:6" ht="20.100000000000001" customHeight="1">
      <c r="A116" s="174">
        <v>7</v>
      </c>
      <c r="B116" s="277" t="s">
        <v>589</v>
      </c>
      <c r="C116" s="182">
        <v>74.081800000000001</v>
      </c>
      <c r="D116" s="182">
        <v>74.124799999999993</v>
      </c>
      <c r="E116" s="60">
        <f t="shared" si="5"/>
        <v>-4.2999999999992156E-2</v>
      </c>
      <c r="F116" s="80">
        <f t="shared" si="4"/>
        <v>62.258053611111109</v>
      </c>
    </row>
    <row r="117" spans="1:6" ht="20.100000000000001" customHeight="1">
      <c r="A117" s="174">
        <v>7</v>
      </c>
      <c r="B117" s="277" t="s">
        <v>590</v>
      </c>
      <c r="C117" s="182">
        <v>75.963899999999995</v>
      </c>
      <c r="D117" s="182">
        <v>76.007099999999994</v>
      </c>
      <c r="E117" s="60">
        <f t="shared" si="5"/>
        <v>-4.3199999999998795E-2</v>
      </c>
      <c r="F117" s="80">
        <f t="shared" si="4"/>
        <v>64.140153611111103</v>
      </c>
    </row>
    <row r="118" spans="1:6" ht="20.100000000000001" customHeight="1">
      <c r="A118" s="174">
        <v>7</v>
      </c>
      <c r="B118" s="277" t="s">
        <v>591</v>
      </c>
      <c r="C118" s="182">
        <v>75.750100000000003</v>
      </c>
      <c r="D118" s="182">
        <v>75.791499999999999</v>
      </c>
      <c r="E118" s="60">
        <f t="shared" si="5"/>
        <v>-4.1399999999995885E-2</v>
      </c>
      <c r="F118" s="80">
        <f t="shared" si="4"/>
        <v>63.926353611111111</v>
      </c>
    </row>
    <row r="119" spans="1:6" ht="20.100000000000001" customHeight="1">
      <c r="A119" s="174">
        <v>7</v>
      </c>
      <c r="B119" s="277" t="s">
        <v>592</v>
      </c>
      <c r="C119" s="182">
        <v>77.024900000000002</v>
      </c>
      <c r="D119" s="182">
        <v>77.066000000000003</v>
      </c>
      <c r="E119" s="60">
        <f t="shared" si="5"/>
        <v>-4.1100000000000136E-2</v>
      </c>
      <c r="F119" s="80">
        <f t="shared" si="4"/>
        <v>65.20115361111111</v>
      </c>
    </row>
    <row r="120" spans="1:6" ht="20.100000000000001" customHeight="1">
      <c r="A120" s="174">
        <v>7</v>
      </c>
      <c r="B120" s="277" t="s">
        <v>593</v>
      </c>
      <c r="C120" s="182">
        <v>75.095200000000006</v>
      </c>
      <c r="D120" s="182">
        <v>75.138900000000007</v>
      </c>
      <c r="E120" s="60">
        <f t="shared" si="5"/>
        <v>-4.3700000000001182E-2</v>
      </c>
      <c r="F120" s="80">
        <f t="shared" si="4"/>
        <v>63.271453611111113</v>
      </c>
    </row>
    <row r="121" spans="1:6" ht="20.100000000000001" customHeight="1">
      <c r="A121" s="174">
        <v>7</v>
      </c>
      <c r="B121" s="277" t="s">
        <v>594</v>
      </c>
      <c r="C121" s="182">
        <v>74.3018</v>
      </c>
      <c r="D121" s="182">
        <v>74.344999999999999</v>
      </c>
      <c r="E121" s="60">
        <f t="shared" si="5"/>
        <v>-4.3199999999998795E-2</v>
      </c>
      <c r="F121" s="80">
        <f t="shared" si="4"/>
        <v>62.478053611111108</v>
      </c>
    </row>
    <row r="122" spans="1:6" ht="20.100000000000001" customHeight="1">
      <c r="A122" s="174">
        <v>7</v>
      </c>
      <c r="B122" s="277" t="s">
        <v>595</v>
      </c>
      <c r="C122" s="182">
        <v>73.270700000000005</v>
      </c>
      <c r="D122" s="182">
        <v>73.312100000000001</v>
      </c>
      <c r="E122" s="60">
        <f t="shared" si="5"/>
        <v>-4.1399999999995885E-2</v>
      </c>
      <c r="F122" s="80">
        <f t="shared" si="4"/>
        <v>61.446953611111113</v>
      </c>
    </row>
    <row r="123" spans="1:6" ht="20.100000000000001" customHeight="1">
      <c r="A123" s="174">
        <v>7</v>
      </c>
      <c r="B123" s="277" t="s">
        <v>596</v>
      </c>
      <c r="C123" s="182">
        <v>73.193899999999999</v>
      </c>
      <c r="D123" s="182">
        <v>73.234899999999996</v>
      </c>
      <c r="E123" s="60">
        <f t="shared" si="5"/>
        <v>-4.0999999999996817E-2</v>
      </c>
      <c r="F123" s="80">
        <f t="shared" si="4"/>
        <v>61.370153611111107</v>
      </c>
    </row>
    <row r="124" spans="1:6" ht="20.100000000000001" customHeight="1">
      <c r="A124" s="174">
        <v>7</v>
      </c>
      <c r="B124" s="277" t="s">
        <v>597</v>
      </c>
      <c r="C124" s="182">
        <v>74.798400000000001</v>
      </c>
      <c r="D124" s="182">
        <v>74.840299999999999</v>
      </c>
      <c r="E124" s="60">
        <f t="shared" si="5"/>
        <v>-4.1899999999998272E-2</v>
      </c>
      <c r="F124" s="80">
        <f t="shared" si="4"/>
        <v>62.974653611111108</v>
      </c>
    </row>
    <row r="125" spans="1:6" ht="20.100000000000001" customHeight="1">
      <c r="A125" s="174">
        <v>7</v>
      </c>
      <c r="B125" s="277" t="s">
        <v>598</v>
      </c>
      <c r="C125" s="182">
        <v>76.401600000000002</v>
      </c>
      <c r="D125" s="182">
        <v>76.445400000000006</v>
      </c>
      <c r="E125" s="60">
        <f t="shared" si="5"/>
        <v>-4.3800000000004502E-2</v>
      </c>
      <c r="F125" s="80">
        <f t="shared" si="4"/>
        <v>64.577853611111109</v>
      </c>
    </row>
    <row r="126" spans="1:6" ht="20.100000000000001" customHeight="1">
      <c r="A126" s="326">
        <v>7</v>
      </c>
      <c r="B126" s="326" t="s">
        <v>599</v>
      </c>
      <c r="C126" s="139">
        <v>73.418400000000005</v>
      </c>
      <c r="D126" s="139">
        <v>73.460899999999995</v>
      </c>
      <c r="E126" s="80">
        <f t="shared" si="5"/>
        <v>-4.2499999999989768E-2</v>
      </c>
      <c r="F126" s="80">
        <f t="shared" si="4"/>
        <v>61.594653611111113</v>
      </c>
    </row>
    <row r="127" spans="1:6" ht="20.100000000000001" customHeight="1">
      <c r="A127" s="324">
        <v>7</v>
      </c>
      <c r="B127" s="324" t="s">
        <v>600</v>
      </c>
      <c r="C127" s="141">
        <v>74.384699999999995</v>
      </c>
      <c r="D127" s="141">
        <v>74.427800000000005</v>
      </c>
      <c r="E127" s="81">
        <f t="shared" si="5"/>
        <v>-4.3100000000009686E-2</v>
      </c>
      <c r="F127" s="81">
        <f t="shared" si="4"/>
        <v>62.560953611111103</v>
      </c>
    </row>
    <row r="128" spans="1:6" ht="20.100000000000001" customHeight="1">
      <c r="A128" s="174">
        <v>54</v>
      </c>
      <c r="B128" s="277" t="s">
        <v>601</v>
      </c>
      <c r="C128" s="182">
        <v>75.198599999999999</v>
      </c>
      <c r="D128" s="182">
        <v>75.243099999999998</v>
      </c>
      <c r="E128" s="60">
        <f t="shared" si="5"/>
        <v>-4.4499999999999318E-2</v>
      </c>
      <c r="F128" s="80">
        <f t="shared" si="4"/>
        <v>63.374853611111106</v>
      </c>
    </row>
    <row r="129" spans="1:6" ht="20.100000000000001" customHeight="1">
      <c r="A129" s="174">
        <v>54</v>
      </c>
      <c r="B129" s="277" t="s">
        <v>602</v>
      </c>
      <c r="C129" s="182">
        <v>73.930700000000002</v>
      </c>
      <c r="D129" s="182">
        <v>73.976600000000005</v>
      </c>
      <c r="E129" s="60">
        <f t="shared" si="5"/>
        <v>-4.590000000000316E-2</v>
      </c>
      <c r="F129" s="80">
        <f t="shared" si="4"/>
        <v>62.106953611111109</v>
      </c>
    </row>
    <row r="130" spans="1:6" ht="20.100000000000001" customHeight="1">
      <c r="A130" s="174">
        <v>54</v>
      </c>
      <c r="B130" s="277" t="s">
        <v>603</v>
      </c>
      <c r="C130" s="182">
        <v>72.308800000000005</v>
      </c>
      <c r="D130" s="182">
        <v>72.356200000000001</v>
      </c>
      <c r="E130" s="60">
        <f t="shared" si="5"/>
        <v>-4.7399999999996112E-2</v>
      </c>
      <c r="F130" s="80">
        <f t="shared" si="4"/>
        <v>60.485053611111113</v>
      </c>
    </row>
    <row r="131" spans="1:6" ht="20.100000000000001" customHeight="1">
      <c r="A131" s="174">
        <v>54</v>
      </c>
      <c r="B131" s="277" t="s">
        <v>604</v>
      </c>
      <c r="C131" s="182">
        <v>70.281999999999996</v>
      </c>
      <c r="D131" s="182">
        <v>70.327699999999993</v>
      </c>
      <c r="E131" s="60">
        <f t="shared" si="5"/>
        <v>-4.5699999999996521E-2</v>
      </c>
      <c r="F131" s="80">
        <f t="shared" si="4"/>
        <v>58.458253611111104</v>
      </c>
    </row>
    <row r="132" spans="1:6" ht="20.100000000000001" customHeight="1">
      <c r="A132" s="174">
        <v>54</v>
      </c>
      <c r="B132" s="277" t="s">
        <v>605</v>
      </c>
      <c r="C132" s="182">
        <v>72.584299999999999</v>
      </c>
      <c r="D132" s="182">
        <v>72.627799999999993</v>
      </c>
      <c r="E132" s="60">
        <f t="shared" si="5"/>
        <v>-4.3499999999994543E-2</v>
      </c>
      <c r="F132" s="80">
        <f t="shared" si="4"/>
        <v>60.760553611111106</v>
      </c>
    </row>
    <row r="133" spans="1:6" ht="20.100000000000001" customHeight="1">
      <c r="A133" s="174">
        <v>54</v>
      </c>
      <c r="B133" s="277" t="s">
        <v>606</v>
      </c>
      <c r="C133" s="182">
        <v>72.910799999999995</v>
      </c>
      <c r="D133" s="182">
        <v>72.955699999999993</v>
      </c>
      <c r="E133" s="60">
        <f t="shared" si="5"/>
        <v>-4.4899999999998386E-2</v>
      </c>
      <c r="F133" s="80">
        <f t="shared" si="4"/>
        <v>61.087053611111102</v>
      </c>
    </row>
    <row r="134" spans="1:6" ht="20.100000000000001" customHeight="1">
      <c r="A134" s="174">
        <v>54</v>
      </c>
      <c r="B134" s="277" t="s">
        <v>607</v>
      </c>
      <c r="C134" s="182">
        <v>71.806899999999999</v>
      </c>
      <c r="D134" s="182">
        <v>71.847300000000004</v>
      </c>
      <c r="E134" s="60">
        <f t="shared" si="5"/>
        <v>-4.0400000000005321E-2</v>
      </c>
      <c r="F134" s="80">
        <f t="shared" si="4"/>
        <v>59.983153611111106</v>
      </c>
    </row>
    <row r="135" spans="1:6" ht="20.100000000000001" customHeight="1">
      <c r="A135" s="174">
        <v>54</v>
      </c>
      <c r="B135" s="277" t="s">
        <v>608</v>
      </c>
      <c r="C135" s="182">
        <v>73.8369</v>
      </c>
      <c r="D135" s="182">
        <v>73.882300000000001</v>
      </c>
      <c r="E135" s="60">
        <f t="shared" si="5"/>
        <v>-4.5400000000000773E-2</v>
      </c>
      <c r="F135" s="80">
        <f t="shared" si="4"/>
        <v>62.013153611111107</v>
      </c>
    </row>
    <row r="136" spans="1:6" ht="20.100000000000001" customHeight="1">
      <c r="A136" s="174">
        <v>54</v>
      </c>
      <c r="B136" s="277" t="s">
        <v>609</v>
      </c>
      <c r="C136" s="182">
        <v>74.288300000000007</v>
      </c>
      <c r="D136" s="182">
        <v>74.330200000000005</v>
      </c>
      <c r="E136" s="60">
        <f t="shared" si="5"/>
        <v>-4.1899999999998272E-2</v>
      </c>
      <c r="F136" s="80">
        <f t="shared" si="4"/>
        <v>62.464553611111114</v>
      </c>
    </row>
    <row r="137" spans="1:6" ht="20.100000000000001" customHeight="1">
      <c r="A137" s="174">
        <v>54</v>
      </c>
      <c r="B137" s="277" t="s">
        <v>610</v>
      </c>
      <c r="C137" s="182">
        <v>73.430599999999998</v>
      </c>
      <c r="D137" s="182">
        <v>73.475200000000001</v>
      </c>
      <c r="E137" s="60">
        <f t="shared" si="5"/>
        <v>-4.4600000000002638E-2</v>
      </c>
      <c r="F137" s="80">
        <f t="shared" si="4"/>
        <v>61.606853611111106</v>
      </c>
    </row>
    <row r="138" spans="1:6" ht="20.100000000000001" customHeight="1">
      <c r="A138" s="174">
        <v>54</v>
      </c>
      <c r="B138" s="277" t="s">
        <v>611</v>
      </c>
      <c r="C138" s="182">
        <v>72.856700000000004</v>
      </c>
      <c r="D138" s="182">
        <v>72.898399999999995</v>
      </c>
      <c r="E138" s="60">
        <f t="shared" si="5"/>
        <v>-4.1699999999991633E-2</v>
      </c>
      <c r="F138" s="80">
        <f t="shared" si="4"/>
        <v>61.032953611111111</v>
      </c>
    </row>
    <row r="139" spans="1:6" ht="20.100000000000001" customHeight="1">
      <c r="A139" s="174">
        <v>54</v>
      </c>
      <c r="B139" s="277" t="s">
        <v>612</v>
      </c>
      <c r="C139" s="182">
        <v>71.474699999999999</v>
      </c>
      <c r="D139" s="182">
        <v>71.519400000000005</v>
      </c>
      <c r="E139" s="60">
        <f t="shared" si="5"/>
        <v>-4.4700000000005957E-2</v>
      </c>
      <c r="F139" s="80">
        <f t="shared" si="4"/>
        <v>59.650953611111106</v>
      </c>
    </row>
    <row r="140" spans="1:6" ht="20.100000000000001" customHeight="1">
      <c r="A140" s="174">
        <v>54</v>
      </c>
      <c r="B140" s="277" t="s">
        <v>613</v>
      </c>
      <c r="C140" s="182">
        <v>73.336399999999998</v>
      </c>
      <c r="D140" s="182">
        <v>73.379400000000004</v>
      </c>
      <c r="E140" s="60">
        <f t="shared" si="5"/>
        <v>-4.3000000000006366E-2</v>
      </c>
      <c r="F140" s="80">
        <f t="shared" si="4"/>
        <v>61.512653611111105</v>
      </c>
    </row>
    <row r="141" spans="1:6" ht="20.100000000000001" customHeight="1">
      <c r="A141" s="174">
        <v>54</v>
      </c>
      <c r="B141" s="277" t="s">
        <v>614</v>
      </c>
      <c r="C141" s="182">
        <v>71.521199999999993</v>
      </c>
      <c r="D141" s="182">
        <v>71.564599999999999</v>
      </c>
      <c r="E141" s="60">
        <f t="shared" si="5"/>
        <v>-4.3400000000005434E-2</v>
      </c>
      <c r="F141" s="80">
        <f t="shared" si="4"/>
        <v>59.697453611111101</v>
      </c>
    </row>
    <row r="142" spans="1:6" ht="20.100000000000001" customHeight="1">
      <c r="A142" s="174">
        <v>54</v>
      </c>
      <c r="B142" s="277" t="s">
        <v>615</v>
      </c>
      <c r="C142" s="182">
        <v>71.461799999999997</v>
      </c>
      <c r="D142" s="182">
        <v>71.506799999999998</v>
      </c>
      <c r="E142" s="60">
        <f t="shared" si="5"/>
        <v>-4.5000000000001705E-2</v>
      </c>
      <c r="F142" s="80">
        <f t="shared" ref="F142:F205" si="6">C142-$I$84</f>
        <v>59.638053611111104</v>
      </c>
    </row>
    <row r="143" spans="1:6" ht="20.100000000000001" customHeight="1">
      <c r="A143" s="174">
        <v>54</v>
      </c>
      <c r="B143" s="277" t="s">
        <v>616</v>
      </c>
      <c r="C143" s="182">
        <v>72.809200000000004</v>
      </c>
      <c r="D143" s="182">
        <v>72.851699999999994</v>
      </c>
      <c r="E143" s="60">
        <f t="shared" ref="E143:E206" si="7">C143-D143</f>
        <v>-4.2499999999989768E-2</v>
      </c>
      <c r="F143" s="80">
        <f t="shared" si="6"/>
        <v>60.985453611111112</v>
      </c>
    </row>
    <row r="144" spans="1:6" ht="20.100000000000001" customHeight="1">
      <c r="A144" s="174">
        <v>54</v>
      </c>
      <c r="B144" s="277" t="s">
        <v>617</v>
      </c>
      <c r="C144" s="182">
        <v>71.800299999999993</v>
      </c>
      <c r="D144" s="182">
        <v>71.843699999999998</v>
      </c>
      <c r="E144" s="60">
        <f t="shared" si="7"/>
        <v>-4.3400000000005434E-2</v>
      </c>
      <c r="F144" s="80">
        <f t="shared" si="6"/>
        <v>59.9765536111111</v>
      </c>
    </row>
    <row r="145" spans="1:6" ht="20.100000000000001" customHeight="1">
      <c r="A145" s="174">
        <v>54</v>
      </c>
      <c r="B145" s="277" t="s">
        <v>618</v>
      </c>
      <c r="C145" s="182">
        <v>72.571799999999996</v>
      </c>
      <c r="D145" s="182">
        <v>72.617400000000004</v>
      </c>
      <c r="E145" s="60">
        <f t="shared" si="7"/>
        <v>-4.5600000000007412E-2</v>
      </c>
      <c r="F145" s="80">
        <f t="shared" si="6"/>
        <v>60.748053611111104</v>
      </c>
    </row>
    <row r="146" spans="1:6" ht="20.100000000000001" customHeight="1">
      <c r="A146" s="174">
        <v>54</v>
      </c>
      <c r="B146" s="277" t="s">
        <v>619</v>
      </c>
      <c r="C146" s="182">
        <v>72.727800000000002</v>
      </c>
      <c r="D146" s="182">
        <v>72.769199999999998</v>
      </c>
      <c r="E146" s="60">
        <f t="shared" si="7"/>
        <v>-4.1399999999995885E-2</v>
      </c>
      <c r="F146" s="80">
        <f t="shared" si="6"/>
        <v>60.904053611111109</v>
      </c>
    </row>
    <row r="147" spans="1:6" ht="20.100000000000001" customHeight="1">
      <c r="A147" s="174">
        <v>54</v>
      </c>
      <c r="B147" s="277" t="s">
        <v>620</v>
      </c>
      <c r="C147" s="182">
        <v>73.099500000000006</v>
      </c>
      <c r="D147" s="182">
        <v>73.140799999999999</v>
      </c>
      <c r="E147" s="60">
        <f t="shared" si="7"/>
        <v>-4.1299999999992565E-2</v>
      </c>
      <c r="F147" s="80">
        <f t="shared" si="6"/>
        <v>61.275753611111114</v>
      </c>
    </row>
    <row r="148" spans="1:6" ht="20.100000000000001" customHeight="1">
      <c r="A148" s="174">
        <v>54</v>
      </c>
      <c r="B148" s="277" t="s">
        <v>621</v>
      </c>
      <c r="C148" s="182">
        <v>72.400599999999997</v>
      </c>
      <c r="D148" s="182">
        <v>72.442099999999996</v>
      </c>
      <c r="E148" s="60">
        <f t="shared" si="7"/>
        <v>-4.1499999999999204E-2</v>
      </c>
      <c r="F148" s="80">
        <f t="shared" si="6"/>
        <v>60.576853611111105</v>
      </c>
    </row>
    <row r="149" spans="1:6" ht="20.100000000000001" customHeight="1">
      <c r="A149" s="174">
        <v>54</v>
      </c>
      <c r="B149" s="277" t="s">
        <v>622</v>
      </c>
      <c r="C149" s="182">
        <v>72.8626</v>
      </c>
      <c r="D149" s="182">
        <v>72.908500000000004</v>
      </c>
      <c r="E149" s="60">
        <f t="shared" si="7"/>
        <v>-4.590000000000316E-2</v>
      </c>
      <c r="F149" s="80">
        <f t="shared" si="6"/>
        <v>61.038853611111108</v>
      </c>
    </row>
    <row r="150" spans="1:6" ht="20.100000000000001" customHeight="1">
      <c r="A150" s="174">
        <v>54</v>
      </c>
      <c r="B150" s="277" t="s">
        <v>623</v>
      </c>
      <c r="C150" s="182">
        <v>72.418599999999998</v>
      </c>
      <c r="D150" s="182">
        <v>72.462500000000006</v>
      </c>
      <c r="E150" s="60">
        <f t="shared" si="7"/>
        <v>-4.3900000000007822E-2</v>
      </c>
      <c r="F150" s="80">
        <f t="shared" si="6"/>
        <v>60.594853611111105</v>
      </c>
    </row>
    <row r="151" spans="1:6" ht="20.100000000000001" customHeight="1">
      <c r="A151" s="174">
        <v>54</v>
      </c>
      <c r="B151" s="277" t="s">
        <v>624</v>
      </c>
      <c r="C151" s="182">
        <v>71.191400000000002</v>
      </c>
      <c r="D151" s="182">
        <v>71.236400000000003</v>
      </c>
      <c r="E151" s="60">
        <f t="shared" si="7"/>
        <v>-4.5000000000001705E-2</v>
      </c>
      <c r="F151" s="80">
        <f t="shared" si="6"/>
        <v>59.367653611111109</v>
      </c>
    </row>
    <row r="152" spans="1:6" ht="20.100000000000001" customHeight="1">
      <c r="A152" s="174">
        <v>54</v>
      </c>
      <c r="B152" s="277" t="s">
        <v>625</v>
      </c>
      <c r="C152" s="182">
        <v>74.144000000000005</v>
      </c>
      <c r="D152" s="182">
        <v>74.191000000000003</v>
      </c>
      <c r="E152" s="60">
        <f t="shared" si="7"/>
        <v>-4.6999999999997044E-2</v>
      </c>
      <c r="F152" s="80">
        <f t="shared" si="6"/>
        <v>62.320253611111113</v>
      </c>
    </row>
    <row r="153" spans="1:6" ht="20.100000000000001" customHeight="1">
      <c r="A153" s="174">
        <v>54</v>
      </c>
      <c r="B153" s="277" t="s">
        <v>626</v>
      </c>
      <c r="C153" s="182">
        <v>72.393199999999993</v>
      </c>
      <c r="D153" s="182">
        <v>72.438900000000004</v>
      </c>
      <c r="E153" s="60">
        <f t="shared" si="7"/>
        <v>-4.5700000000010732E-2</v>
      </c>
      <c r="F153" s="80">
        <f t="shared" si="6"/>
        <v>60.569453611111101</v>
      </c>
    </row>
    <row r="154" spans="1:6" ht="20.100000000000001" customHeight="1">
      <c r="A154" s="174">
        <v>54</v>
      </c>
      <c r="B154" s="277" t="s">
        <v>627</v>
      </c>
      <c r="C154" s="182">
        <v>71.363</v>
      </c>
      <c r="D154" s="182">
        <v>71.409400000000005</v>
      </c>
      <c r="E154" s="60">
        <f t="shared" si="7"/>
        <v>-4.6400000000005548E-2</v>
      </c>
      <c r="F154" s="80">
        <f t="shared" si="6"/>
        <v>59.539253611111107</v>
      </c>
    </row>
    <row r="155" spans="1:6" ht="20.100000000000001" customHeight="1">
      <c r="A155" s="174">
        <v>54</v>
      </c>
      <c r="B155" s="277" t="s">
        <v>628</v>
      </c>
      <c r="C155" s="182">
        <v>72.509100000000004</v>
      </c>
      <c r="D155" s="182">
        <v>72.553799999999995</v>
      </c>
      <c r="E155" s="60">
        <f t="shared" si="7"/>
        <v>-4.4699999999991746E-2</v>
      </c>
      <c r="F155" s="80">
        <f t="shared" si="6"/>
        <v>60.685353611111111</v>
      </c>
    </row>
    <row r="156" spans="1:6" ht="20.100000000000001" customHeight="1">
      <c r="A156" s="174">
        <v>54</v>
      </c>
      <c r="B156" s="277" t="s">
        <v>629</v>
      </c>
      <c r="C156" s="182">
        <v>71.901899999999998</v>
      </c>
      <c r="D156" s="182">
        <v>71.948300000000003</v>
      </c>
      <c r="E156" s="60">
        <f t="shared" si="7"/>
        <v>-4.6400000000005548E-2</v>
      </c>
      <c r="F156" s="80">
        <f t="shared" si="6"/>
        <v>60.078153611111105</v>
      </c>
    </row>
    <row r="157" spans="1:6" ht="20.100000000000001" customHeight="1">
      <c r="A157" s="174">
        <v>54</v>
      </c>
      <c r="B157" s="277" t="s">
        <v>630</v>
      </c>
      <c r="C157" s="182">
        <v>71.526799999999994</v>
      </c>
      <c r="D157" s="182">
        <v>71.569800000000001</v>
      </c>
      <c r="E157" s="60">
        <f t="shared" si="7"/>
        <v>-4.3000000000006366E-2</v>
      </c>
      <c r="F157" s="80">
        <f t="shared" si="6"/>
        <v>59.703053611111102</v>
      </c>
    </row>
    <row r="158" spans="1:6" ht="20.100000000000001" customHeight="1">
      <c r="A158" s="174">
        <v>54</v>
      </c>
      <c r="B158" s="277" t="s">
        <v>631</v>
      </c>
      <c r="C158" s="182">
        <v>71.538600000000002</v>
      </c>
      <c r="D158" s="182">
        <v>71.580600000000004</v>
      </c>
      <c r="E158" s="60">
        <f t="shared" si="7"/>
        <v>-4.2000000000001592E-2</v>
      </c>
      <c r="F158" s="80">
        <f t="shared" si="6"/>
        <v>59.71485361111111</v>
      </c>
    </row>
    <row r="159" spans="1:6" ht="20.100000000000001" customHeight="1">
      <c r="A159" s="174">
        <v>54</v>
      </c>
      <c r="B159" s="277" t="s">
        <v>632</v>
      </c>
      <c r="C159" s="182">
        <v>73.198300000000003</v>
      </c>
      <c r="D159" s="182">
        <v>73.244399999999999</v>
      </c>
      <c r="E159" s="60">
        <f t="shared" si="7"/>
        <v>-4.6099999999995589E-2</v>
      </c>
      <c r="F159" s="80">
        <f t="shared" si="6"/>
        <v>61.374553611111111</v>
      </c>
    </row>
    <row r="160" spans="1:6" ht="20.100000000000001" customHeight="1">
      <c r="A160" s="174">
        <v>54</v>
      </c>
      <c r="B160" s="277" t="s">
        <v>633</v>
      </c>
      <c r="C160" s="182">
        <v>73.327200000000005</v>
      </c>
      <c r="D160" s="182">
        <v>73.372399999999999</v>
      </c>
      <c r="E160" s="60">
        <f t="shared" si="7"/>
        <v>-4.5199999999994134E-2</v>
      </c>
      <c r="F160" s="80">
        <f t="shared" si="6"/>
        <v>61.503453611111112</v>
      </c>
    </row>
    <row r="161" spans="1:6" ht="20.100000000000001" customHeight="1">
      <c r="A161" s="174">
        <v>54</v>
      </c>
      <c r="B161" s="277" t="s">
        <v>634</v>
      </c>
      <c r="C161" s="182">
        <v>72.0227</v>
      </c>
      <c r="D161" s="182">
        <v>72.064300000000003</v>
      </c>
      <c r="E161" s="60">
        <f t="shared" si="7"/>
        <v>-4.1600000000002524E-2</v>
      </c>
      <c r="F161" s="80">
        <f t="shared" si="6"/>
        <v>60.198953611111108</v>
      </c>
    </row>
    <row r="162" spans="1:6" ht="20.100000000000001" customHeight="1">
      <c r="A162" s="174">
        <v>54</v>
      </c>
      <c r="B162" s="277" t="s">
        <v>635</v>
      </c>
      <c r="C162" s="182">
        <v>73.714699999999993</v>
      </c>
      <c r="D162" s="182">
        <v>73.760099999999994</v>
      </c>
      <c r="E162" s="60">
        <f t="shared" si="7"/>
        <v>-4.5400000000000773E-2</v>
      </c>
      <c r="F162" s="80">
        <f t="shared" si="6"/>
        <v>61.890953611111101</v>
      </c>
    </row>
    <row r="163" spans="1:6" ht="20.100000000000001" customHeight="1">
      <c r="A163" s="174">
        <v>54</v>
      </c>
      <c r="B163" s="277" t="s">
        <v>636</v>
      </c>
      <c r="C163" s="182">
        <v>73.988399999999999</v>
      </c>
      <c r="D163" s="182">
        <v>74.032399999999996</v>
      </c>
      <c r="E163" s="60">
        <f t="shared" si="7"/>
        <v>-4.399999999999693E-2</v>
      </c>
      <c r="F163" s="80">
        <f t="shared" si="6"/>
        <v>62.164653611111106</v>
      </c>
    </row>
    <row r="164" spans="1:6" ht="20.100000000000001" customHeight="1">
      <c r="A164" s="174">
        <v>54</v>
      </c>
      <c r="B164" s="277" t="s">
        <v>637</v>
      </c>
      <c r="C164" s="182">
        <v>73.147199999999998</v>
      </c>
      <c r="D164" s="182">
        <v>73.19</v>
      </c>
      <c r="E164" s="60">
        <f t="shared" si="7"/>
        <v>-4.2799999999999727E-2</v>
      </c>
      <c r="F164" s="80">
        <f t="shared" si="6"/>
        <v>61.323453611111105</v>
      </c>
    </row>
    <row r="165" spans="1:6" ht="20.100000000000001" customHeight="1">
      <c r="A165" s="324">
        <v>54</v>
      </c>
      <c r="B165" s="324" t="s">
        <v>638</v>
      </c>
      <c r="C165" s="141">
        <v>73.875399999999999</v>
      </c>
      <c r="D165" s="141">
        <v>73.9191</v>
      </c>
      <c r="E165" s="81">
        <f t="shared" si="7"/>
        <v>-4.3700000000001182E-2</v>
      </c>
      <c r="F165" s="81">
        <f t="shared" si="6"/>
        <v>62.051653611111107</v>
      </c>
    </row>
    <row r="166" spans="1:6" ht="20.100000000000001" customHeight="1">
      <c r="A166" s="174">
        <v>2</v>
      </c>
      <c r="B166" s="277" t="s">
        <v>639</v>
      </c>
      <c r="C166" s="182">
        <v>71.853399999999993</v>
      </c>
      <c r="D166" s="182">
        <v>71.898499999999999</v>
      </c>
      <c r="E166" s="60">
        <f t="shared" si="7"/>
        <v>-4.5100000000005025E-2</v>
      </c>
      <c r="F166" s="80">
        <f t="shared" si="6"/>
        <v>60.029653611111101</v>
      </c>
    </row>
    <row r="167" spans="1:6" ht="20.100000000000001" customHeight="1">
      <c r="A167" s="174">
        <v>2</v>
      </c>
      <c r="B167" s="277" t="s">
        <v>640</v>
      </c>
      <c r="C167" s="182">
        <v>72.367999999999995</v>
      </c>
      <c r="D167" s="182">
        <v>72.409199999999998</v>
      </c>
      <c r="E167" s="60">
        <f t="shared" si="7"/>
        <v>-4.1200000000003456E-2</v>
      </c>
      <c r="F167" s="80">
        <f t="shared" si="6"/>
        <v>60.544253611111102</v>
      </c>
    </row>
    <row r="168" spans="1:6" ht="20.100000000000001" customHeight="1">
      <c r="A168" s="174">
        <v>2</v>
      </c>
      <c r="B168" s="277" t="s">
        <v>641</v>
      </c>
      <c r="C168" s="182">
        <v>73.018199999999993</v>
      </c>
      <c r="D168" s="182">
        <v>73.060500000000005</v>
      </c>
      <c r="E168" s="60">
        <f t="shared" si="7"/>
        <v>-4.2300000000011551E-2</v>
      </c>
      <c r="F168" s="80">
        <f t="shared" si="6"/>
        <v>61.194453611111101</v>
      </c>
    </row>
    <row r="169" spans="1:6" ht="20.100000000000001" customHeight="1">
      <c r="A169" s="174">
        <v>2</v>
      </c>
      <c r="B169" s="277" t="s">
        <v>642</v>
      </c>
      <c r="C169" s="182">
        <v>72.611900000000006</v>
      </c>
      <c r="D169" s="182">
        <v>72.656499999999994</v>
      </c>
      <c r="E169" s="60">
        <f t="shared" si="7"/>
        <v>-4.4599999999988427E-2</v>
      </c>
      <c r="F169" s="80">
        <f t="shared" si="6"/>
        <v>60.788153611111113</v>
      </c>
    </row>
    <row r="170" spans="1:6" ht="20.100000000000001" customHeight="1">
      <c r="A170" s="174">
        <v>2</v>
      </c>
      <c r="B170" s="277" t="s">
        <v>643</v>
      </c>
      <c r="C170" s="182">
        <v>71.277699999999996</v>
      </c>
      <c r="D170" s="182">
        <v>71.320899999999995</v>
      </c>
      <c r="E170" s="60">
        <f t="shared" si="7"/>
        <v>-4.3199999999998795E-2</v>
      </c>
      <c r="F170" s="80">
        <f t="shared" si="6"/>
        <v>59.453953611111103</v>
      </c>
    </row>
    <row r="171" spans="1:6" ht="20.100000000000001" customHeight="1">
      <c r="A171" s="174">
        <v>2</v>
      </c>
      <c r="B171" s="277" t="s">
        <v>644</v>
      </c>
      <c r="C171" s="182">
        <v>73.673000000000002</v>
      </c>
      <c r="D171" s="182">
        <v>73.714600000000004</v>
      </c>
      <c r="E171" s="60">
        <f t="shared" si="7"/>
        <v>-4.1600000000002524E-2</v>
      </c>
      <c r="F171" s="80">
        <f t="shared" si="6"/>
        <v>61.849253611111109</v>
      </c>
    </row>
    <row r="172" spans="1:6" ht="20.100000000000001" customHeight="1">
      <c r="A172" s="174">
        <v>2</v>
      </c>
      <c r="B172" s="277" t="s">
        <v>645</v>
      </c>
      <c r="C172" s="182">
        <v>74.296999999999997</v>
      </c>
      <c r="D172" s="182">
        <v>74.339699999999993</v>
      </c>
      <c r="E172" s="60">
        <f t="shared" si="7"/>
        <v>-4.2699999999996407E-2</v>
      </c>
      <c r="F172" s="80">
        <f t="shared" si="6"/>
        <v>62.473253611111105</v>
      </c>
    </row>
    <row r="173" spans="1:6" ht="20.100000000000001" customHeight="1">
      <c r="A173" s="174">
        <v>2</v>
      </c>
      <c r="B173" s="277" t="s">
        <v>646</v>
      </c>
      <c r="C173" s="182">
        <v>74.850499999999997</v>
      </c>
      <c r="D173" s="182">
        <v>74.8947</v>
      </c>
      <c r="E173" s="60">
        <f t="shared" si="7"/>
        <v>-4.420000000000357E-2</v>
      </c>
      <c r="F173" s="80">
        <f t="shared" si="6"/>
        <v>63.026753611111104</v>
      </c>
    </row>
    <row r="174" spans="1:6" ht="20.100000000000001" customHeight="1">
      <c r="A174" s="174">
        <v>2</v>
      </c>
      <c r="B174" s="277" t="s">
        <v>647</v>
      </c>
      <c r="C174" s="182">
        <v>70.887600000000006</v>
      </c>
      <c r="D174" s="182">
        <v>70.931700000000006</v>
      </c>
      <c r="E174" s="60">
        <f t="shared" si="7"/>
        <v>-4.410000000000025E-2</v>
      </c>
      <c r="F174" s="80">
        <f t="shared" si="6"/>
        <v>59.063853611111114</v>
      </c>
    </row>
    <row r="175" spans="1:6" ht="20.100000000000001" customHeight="1">
      <c r="A175" s="174">
        <v>2</v>
      </c>
      <c r="B175" s="277" t="s">
        <v>648</v>
      </c>
      <c r="C175" s="182">
        <v>73.507800000000003</v>
      </c>
      <c r="D175" s="182">
        <v>73.551000000000002</v>
      </c>
      <c r="E175" s="60">
        <f t="shared" si="7"/>
        <v>-4.3199999999998795E-2</v>
      </c>
      <c r="F175" s="80">
        <f t="shared" si="6"/>
        <v>61.684053611111111</v>
      </c>
    </row>
    <row r="176" spans="1:6" ht="20.100000000000001" customHeight="1">
      <c r="A176" s="174">
        <v>2</v>
      </c>
      <c r="B176" s="277" t="s">
        <v>649</v>
      </c>
      <c r="C176" s="182">
        <v>74.852400000000003</v>
      </c>
      <c r="D176" s="182">
        <v>74.896500000000003</v>
      </c>
      <c r="E176" s="60">
        <f t="shared" si="7"/>
        <v>-4.410000000000025E-2</v>
      </c>
      <c r="F176" s="80">
        <f t="shared" si="6"/>
        <v>63.02865361111111</v>
      </c>
    </row>
    <row r="177" spans="1:6" ht="20.100000000000001" customHeight="1">
      <c r="A177" s="174">
        <v>2</v>
      </c>
      <c r="B177" s="277" t="s">
        <v>650</v>
      </c>
      <c r="C177" s="182">
        <v>72.819800000000001</v>
      </c>
      <c r="D177" s="182">
        <v>72.862799999999993</v>
      </c>
      <c r="E177" s="60">
        <f t="shared" si="7"/>
        <v>-4.2999999999992156E-2</v>
      </c>
      <c r="F177" s="80">
        <f t="shared" si="6"/>
        <v>60.996053611111108</v>
      </c>
    </row>
    <row r="178" spans="1:6" ht="20.100000000000001" customHeight="1">
      <c r="A178" s="174">
        <v>2</v>
      </c>
      <c r="B178" s="277" t="s">
        <v>651</v>
      </c>
      <c r="C178" s="182">
        <v>72.987899999999996</v>
      </c>
      <c r="D178" s="182">
        <v>73.029700000000005</v>
      </c>
      <c r="E178" s="60">
        <f t="shared" si="7"/>
        <v>-4.1800000000009163E-2</v>
      </c>
      <c r="F178" s="80">
        <f t="shared" si="6"/>
        <v>61.164153611111104</v>
      </c>
    </row>
    <row r="179" spans="1:6" ht="20.100000000000001" customHeight="1">
      <c r="A179" s="174">
        <v>2</v>
      </c>
      <c r="B179" s="277" t="s">
        <v>652</v>
      </c>
      <c r="C179" s="182">
        <v>72.527299999999997</v>
      </c>
      <c r="D179" s="182">
        <v>72.570700000000002</v>
      </c>
      <c r="E179" s="60">
        <f t="shared" si="7"/>
        <v>-4.3400000000005434E-2</v>
      </c>
      <c r="F179" s="80">
        <f t="shared" si="6"/>
        <v>60.703553611111104</v>
      </c>
    </row>
    <row r="180" spans="1:6" ht="20.100000000000001" customHeight="1">
      <c r="A180" s="174">
        <v>2</v>
      </c>
      <c r="B180" s="277" t="s">
        <v>653</v>
      </c>
      <c r="C180" s="182">
        <v>73.043099999999995</v>
      </c>
      <c r="D180" s="182">
        <v>73.086299999999994</v>
      </c>
      <c r="E180" s="60">
        <f t="shared" si="7"/>
        <v>-4.3199999999998795E-2</v>
      </c>
      <c r="F180" s="80">
        <f t="shared" si="6"/>
        <v>61.219353611111103</v>
      </c>
    </row>
    <row r="181" spans="1:6" ht="20.100000000000001" customHeight="1">
      <c r="A181" s="174">
        <v>2</v>
      </c>
      <c r="B181" s="277" t="s">
        <v>654</v>
      </c>
      <c r="C181" s="182">
        <v>70.347099999999998</v>
      </c>
      <c r="D181" s="182">
        <v>70.389499999999998</v>
      </c>
      <c r="E181" s="60">
        <f t="shared" si="7"/>
        <v>-4.2400000000000659E-2</v>
      </c>
      <c r="F181" s="80">
        <f t="shared" si="6"/>
        <v>58.523353611111105</v>
      </c>
    </row>
    <row r="182" spans="1:6" ht="20.100000000000001" customHeight="1">
      <c r="A182" s="174">
        <v>2</v>
      </c>
      <c r="B182" s="277" t="s">
        <v>655</v>
      </c>
      <c r="C182" s="182">
        <v>74.464100000000002</v>
      </c>
      <c r="D182" s="182">
        <v>74.509900000000002</v>
      </c>
      <c r="E182" s="60">
        <f t="shared" si="7"/>
        <v>-4.5799999999999841E-2</v>
      </c>
      <c r="F182" s="80">
        <f t="shared" si="6"/>
        <v>62.640353611111109</v>
      </c>
    </row>
    <row r="183" spans="1:6" ht="20.100000000000001" customHeight="1">
      <c r="A183" s="174">
        <v>2</v>
      </c>
      <c r="B183" s="277" t="s">
        <v>656</v>
      </c>
      <c r="C183" s="182">
        <v>72.267499999999998</v>
      </c>
      <c r="D183" s="182">
        <v>72.309299999999993</v>
      </c>
      <c r="E183" s="60">
        <f t="shared" si="7"/>
        <v>-4.1799999999994952E-2</v>
      </c>
      <c r="F183" s="80">
        <f t="shared" si="6"/>
        <v>60.443753611111106</v>
      </c>
    </row>
    <row r="184" spans="1:6" ht="20.100000000000001" customHeight="1">
      <c r="A184" s="174">
        <v>2</v>
      </c>
      <c r="B184" s="277" t="s">
        <v>657</v>
      </c>
      <c r="C184" s="182">
        <v>71.2256</v>
      </c>
      <c r="D184" s="182">
        <v>71.267799999999994</v>
      </c>
      <c r="E184" s="60">
        <f t="shared" si="7"/>
        <v>-4.219999999999402E-2</v>
      </c>
      <c r="F184" s="80">
        <f t="shared" si="6"/>
        <v>59.401853611111108</v>
      </c>
    </row>
    <row r="185" spans="1:6" ht="20.100000000000001" customHeight="1">
      <c r="A185" s="174">
        <v>2</v>
      </c>
      <c r="B185" s="277" t="s">
        <v>658</v>
      </c>
      <c r="C185" s="182">
        <v>73.075100000000006</v>
      </c>
      <c r="D185" s="182">
        <v>73.118700000000004</v>
      </c>
      <c r="E185" s="60">
        <f t="shared" si="7"/>
        <v>-4.3599999999997863E-2</v>
      </c>
      <c r="F185" s="80">
        <f t="shared" si="6"/>
        <v>61.251353611111114</v>
      </c>
    </row>
    <row r="186" spans="1:6" ht="20.100000000000001" customHeight="1">
      <c r="A186" s="174">
        <v>2</v>
      </c>
      <c r="B186" s="277" t="s">
        <v>659</v>
      </c>
      <c r="C186" s="182">
        <v>75.099100000000007</v>
      </c>
      <c r="D186" s="182">
        <v>75.143600000000006</v>
      </c>
      <c r="E186" s="60">
        <f t="shared" si="7"/>
        <v>-4.4499999999999318E-2</v>
      </c>
      <c r="F186" s="80">
        <f t="shared" si="6"/>
        <v>63.275353611111115</v>
      </c>
    </row>
    <row r="187" spans="1:6" ht="20.100000000000001" customHeight="1">
      <c r="A187" s="174">
        <v>2</v>
      </c>
      <c r="B187" s="277" t="s">
        <v>660</v>
      </c>
      <c r="C187" s="182">
        <v>74.605999999999995</v>
      </c>
      <c r="D187" s="182">
        <v>74.649199999999993</v>
      </c>
      <c r="E187" s="60">
        <f t="shared" si="7"/>
        <v>-4.3199999999998795E-2</v>
      </c>
      <c r="F187" s="80">
        <f t="shared" si="6"/>
        <v>62.782253611111102</v>
      </c>
    </row>
    <row r="188" spans="1:6" ht="20.100000000000001" customHeight="1">
      <c r="A188" s="174">
        <v>2</v>
      </c>
      <c r="B188" s="277" t="s">
        <v>661</v>
      </c>
      <c r="C188" s="182">
        <v>74.057199999999995</v>
      </c>
      <c r="D188" s="182">
        <v>74.099900000000005</v>
      </c>
      <c r="E188" s="60">
        <f t="shared" si="7"/>
        <v>-4.2700000000010618E-2</v>
      </c>
      <c r="F188" s="80">
        <f t="shared" si="6"/>
        <v>62.233453611111102</v>
      </c>
    </row>
    <row r="189" spans="1:6" ht="20.100000000000001" customHeight="1">
      <c r="A189" s="174">
        <v>2</v>
      </c>
      <c r="B189" s="277" t="s">
        <v>662</v>
      </c>
      <c r="C189" s="182">
        <v>73.587699999999998</v>
      </c>
      <c r="D189" s="182">
        <v>73.631299999999996</v>
      </c>
      <c r="E189" s="60">
        <f t="shared" si="7"/>
        <v>-4.3599999999997863E-2</v>
      </c>
      <c r="F189" s="80">
        <f t="shared" si="6"/>
        <v>61.763953611111106</v>
      </c>
    </row>
    <row r="190" spans="1:6" ht="20.100000000000001" customHeight="1">
      <c r="A190" s="174">
        <v>2</v>
      </c>
      <c r="B190" s="277" t="s">
        <v>663</v>
      </c>
      <c r="C190" s="182">
        <v>71.942499999999995</v>
      </c>
      <c r="D190" s="182">
        <v>71.986199999999997</v>
      </c>
      <c r="E190" s="60">
        <f t="shared" si="7"/>
        <v>-4.3700000000001182E-2</v>
      </c>
      <c r="F190" s="80">
        <f t="shared" si="6"/>
        <v>60.118753611111103</v>
      </c>
    </row>
    <row r="191" spans="1:6" ht="20.100000000000001" customHeight="1">
      <c r="A191" s="174">
        <v>2</v>
      </c>
      <c r="B191" s="277" t="s">
        <v>664</v>
      </c>
      <c r="C191" s="182">
        <v>76.249899999999997</v>
      </c>
      <c r="D191" s="182">
        <v>76.294600000000003</v>
      </c>
      <c r="E191" s="60">
        <f t="shared" si="7"/>
        <v>-4.4700000000005957E-2</v>
      </c>
      <c r="F191" s="80">
        <f t="shared" si="6"/>
        <v>64.426153611111104</v>
      </c>
    </row>
    <row r="192" spans="1:6" ht="20.100000000000001" customHeight="1">
      <c r="A192" s="174">
        <v>2</v>
      </c>
      <c r="B192" s="277" t="s">
        <v>665</v>
      </c>
      <c r="C192" s="182">
        <v>76.204899999999995</v>
      </c>
      <c r="D192" s="182">
        <v>76.250200000000007</v>
      </c>
      <c r="E192" s="60">
        <f t="shared" si="7"/>
        <v>-4.5300000000011664E-2</v>
      </c>
      <c r="F192" s="80">
        <f t="shared" si="6"/>
        <v>64.381153611111102</v>
      </c>
    </row>
    <row r="193" spans="1:6" ht="20.100000000000001" customHeight="1">
      <c r="A193" s="174">
        <v>2</v>
      </c>
      <c r="B193" s="277" t="s">
        <v>666</v>
      </c>
      <c r="C193" s="182">
        <v>75.265199999999993</v>
      </c>
      <c r="D193" s="182">
        <v>75.308999999999997</v>
      </c>
      <c r="E193" s="60">
        <f t="shared" si="7"/>
        <v>-4.3800000000004502E-2</v>
      </c>
      <c r="F193" s="80">
        <f t="shared" si="6"/>
        <v>63.4414536111111</v>
      </c>
    </row>
    <row r="194" spans="1:6" ht="20.100000000000001" customHeight="1">
      <c r="A194" s="174">
        <v>2</v>
      </c>
      <c r="B194" s="277" t="s">
        <v>667</v>
      </c>
      <c r="C194" s="182">
        <v>71.524500000000003</v>
      </c>
      <c r="D194" s="182">
        <v>71.566299999999998</v>
      </c>
      <c r="E194" s="60">
        <f t="shared" si="7"/>
        <v>-4.1799999999994952E-2</v>
      </c>
      <c r="F194" s="80">
        <f t="shared" si="6"/>
        <v>59.700753611111111</v>
      </c>
    </row>
    <row r="195" spans="1:6" ht="20.100000000000001" customHeight="1">
      <c r="A195" s="174">
        <v>2</v>
      </c>
      <c r="B195" s="277" t="s">
        <v>668</v>
      </c>
      <c r="C195" s="182">
        <v>73.1297</v>
      </c>
      <c r="D195" s="182">
        <v>73.174700000000001</v>
      </c>
      <c r="E195" s="60">
        <f t="shared" si="7"/>
        <v>-4.5000000000001705E-2</v>
      </c>
      <c r="F195" s="80">
        <f t="shared" si="6"/>
        <v>61.305953611111107</v>
      </c>
    </row>
    <row r="196" spans="1:6" ht="20.100000000000001" customHeight="1">
      <c r="A196" s="174">
        <v>2</v>
      </c>
      <c r="B196" s="277" t="s">
        <v>669</v>
      </c>
      <c r="C196" s="182">
        <v>72.424199999999999</v>
      </c>
      <c r="D196" s="182">
        <v>72.466899999999995</v>
      </c>
      <c r="E196" s="60">
        <f t="shared" si="7"/>
        <v>-4.2699999999996407E-2</v>
      </c>
      <c r="F196" s="80">
        <f t="shared" si="6"/>
        <v>60.600453611111107</v>
      </c>
    </row>
    <row r="197" spans="1:6" ht="20.100000000000001" customHeight="1">
      <c r="A197" s="174">
        <v>2</v>
      </c>
      <c r="B197" s="277" t="s">
        <v>670</v>
      </c>
      <c r="C197" s="182">
        <v>69.625100000000003</v>
      </c>
      <c r="D197" s="182">
        <v>69.667500000000004</v>
      </c>
      <c r="E197" s="60">
        <f t="shared" si="7"/>
        <v>-4.2400000000000659E-2</v>
      </c>
      <c r="F197" s="80">
        <f t="shared" si="6"/>
        <v>57.801353611111111</v>
      </c>
    </row>
    <row r="198" spans="1:6" ht="20.100000000000001" customHeight="1">
      <c r="A198" s="174">
        <v>2</v>
      </c>
      <c r="B198" s="277" t="s">
        <v>671</v>
      </c>
      <c r="C198" s="182">
        <v>71.001199999999997</v>
      </c>
      <c r="D198" s="182">
        <v>71.045000000000002</v>
      </c>
      <c r="E198" s="60">
        <f t="shared" si="7"/>
        <v>-4.3800000000004502E-2</v>
      </c>
      <c r="F198" s="80">
        <f t="shared" si="6"/>
        <v>59.177453611111105</v>
      </c>
    </row>
    <row r="199" spans="1:6" ht="20.100000000000001" customHeight="1">
      <c r="A199" s="174">
        <v>2</v>
      </c>
      <c r="B199" s="277" t="s">
        <v>672</v>
      </c>
      <c r="C199" s="182">
        <v>70.884699999999995</v>
      </c>
      <c r="D199" s="182">
        <v>70.929500000000004</v>
      </c>
      <c r="E199" s="60">
        <f t="shared" si="7"/>
        <v>-4.4800000000009277E-2</v>
      </c>
      <c r="F199" s="80">
        <f t="shared" si="6"/>
        <v>59.060953611111103</v>
      </c>
    </row>
    <row r="200" spans="1:6" ht="20.100000000000001" customHeight="1">
      <c r="A200" s="174">
        <v>2</v>
      </c>
      <c r="B200" s="277" t="s">
        <v>673</v>
      </c>
      <c r="C200" s="182">
        <v>73.649000000000001</v>
      </c>
      <c r="D200" s="182">
        <v>73.692800000000005</v>
      </c>
      <c r="E200" s="60">
        <f t="shared" si="7"/>
        <v>-4.3800000000004502E-2</v>
      </c>
      <c r="F200" s="80">
        <f t="shared" si="6"/>
        <v>61.825253611111108</v>
      </c>
    </row>
    <row r="201" spans="1:6" ht="20.100000000000001" customHeight="1">
      <c r="A201" s="174">
        <v>2</v>
      </c>
      <c r="B201" s="277" t="s">
        <v>674</v>
      </c>
      <c r="C201" s="182">
        <v>71.187600000000003</v>
      </c>
      <c r="D201" s="182">
        <v>71.232500000000002</v>
      </c>
      <c r="E201" s="60">
        <f t="shared" si="7"/>
        <v>-4.4899999999998386E-2</v>
      </c>
      <c r="F201" s="80">
        <f t="shared" si="6"/>
        <v>59.363853611111111</v>
      </c>
    </row>
    <row r="202" spans="1:6" ht="20.100000000000001" customHeight="1">
      <c r="A202" s="174">
        <v>2</v>
      </c>
      <c r="B202" s="277" t="s">
        <v>675</v>
      </c>
      <c r="C202" s="182">
        <v>74.100399999999993</v>
      </c>
      <c r="D202" s="182">
        <v>74.145600000000002</v>
      </c>
      <c r="E202" s="60">
        <f t="shared" si="7"/>
        <v>-4.5200000000008345E-2</v>
      </c>
      <c r="F202" s="80">
        <f t="shared" si="6"/>
        <v>62.276653611111101</v>
      </c>
    </row>
    <row r="203" spans="1:6" ht="20.100000000000001" customHeight="1">
      <c r="A203" s="174">
        <v>2</v>
      </c>
      <c r="B203" s="277" t="s">
        <v>676</v>
      </c>
      <c r="C203" s="182">
        <v>72.634299999999996</v>
      </c>
      <c r="D203" s="182">
        <v>72.678399999999996</v>
      </c>
      <c r="E203" s="60">
        <f t="shared" si="7"/>
        <v>-4.410000000000025E-2</v>
      </c>
      <c r="F203" s="80">
        <f t="shared" si="6"/>
        <v>60.810553611111104</v>
      </c>
    </row>
    <row r="204" spans="1:6" ht="20.100000000000001" customHeight="1">
      <c r="A204" s="174">
        <v>2</v>
      </c>
      <c r="B204" s="277" t="s">
        <v>677</v>
      </c>
      <c r="C204" s="182">
        <v>72.787199999999999</v>
      </c>
      <c r="D204" s="182">
        <v>72.829899999999995</v>
      </c>
      <c r="E204" s="60">
        <f t="shared" si="7"/>
        <v>-4.2699999999996407E-2</v>
      </c>
      <c r="F204" s="80">
        <f t="shared" si="6"/>
        <v>60.963453611111106</v>
      </c>
    </row>
    <row r="205" spans="1:6" ht="20.100000000000001" customHeight="1">
      <c r="A205" s="174">
        <v>2</v>
      </c>
      <c r="B205" s="277" t="s">
        <v>678</v>
      </c>
      <c r="C205" s="182">
        <v>75.127899999999997</v>
      </c>
      <c r="D205" s="182">
        <v>75.172399999999996</v>
      </c>
      <c r="E205" s="60">
        <f t="shared" si="7"/>
        <v>-4.4499999999999318E-2</v>
      </c>
      <c r="F205" s="80">
        <f t="shared" si="6"/>
        <v>63.304153611111104</v>
      </c>
    </row>
    <row r="206" spans="1:6" ht="20.100000000000001" customHeight="1">
      <c r="A206" s="174">
        <v>2</v>
      </c>
      <c r="B206" s="277" t="s">
        <v>679</v>
      </c>
      <c r="C206" s="182">
        <v>74.378799999999998</v>
      </c>
      <c r="D206" s="182">
        <v>74.423900000000003</v>
      </c>
      <c r="E206" s="60">
        <f t="shared" si="7"/>
        <v>-4.5100000000005025E-2</v>
      </c>
      <c r="F206" s="80">
        <f t="shared" ref="F206:F269" si="8">C206-$I$84</f>
        <v>62.555053611111106</v>
      </c>
    </row>
    <row r="207" spans="1:6" ht="20.100000000000001" customHeight="1">
      <c r="A207" s="174">
        <v>2</v>
      </c>
      <c r="B207" s="277" t="s">
        <v>680</v>
      </c>
      <c r="C207" s="182">
        <v>70.367199999999997</v>
      </c>
      <c r="D207" s="182">
        <v>70.409000000000006</v>
      </c>
      <c r="E207" s="60">
        <f t="shared" ref="E207:E270" si="9">C207-D207</f>
        <v>-4.1800000000009163E-2</v>
      </c>
      <c r="F207" s="80">
        <f t="shared" si="8"/>
        <v>58.543453611111104</v>
      </c>
    </row>
    <row r="208" spans="1:6" ht="20.100000000000001" customHeight="1">
      <c r="A208" s="174">
        <v>2</v>
      </c>
      <c r="B208" s="277" t="s">
        <v>681</v>
      </c>
      <c r="C208" s="182">
        <v>73.550799999999995</v>
      </c>
      <c r="D208" s="182">
        <v>73.592600000000004</v>
      </c>
      <c r="E208" s="60">
        <f t="shared" si="9"/>
        <v>-4.1800000000009163E-2</v>
      </c>
      <c r="F208" s="80">
        <f t="shared" si="8"/>
        <v>61.727053611111103</v>
      </c>
    </row>
    <row r="209" spans="1:6" ht="20.100000000000001" customHeight="1">
      <c r="A209" s="174">
        <v>2</v>
      </c>
      <c r="B209" s="277" t="s">
        <v>682</v>
      </c>
      <c r="C209" s="182">
        <v>74.964699999999993</v>
      </c>
      <c r="D209" s="182">
        <v>75.008899999999997</v>
      </c>
      <c r="E209" s="60">
        <f t="shared" si="9"/>
        <v>-4.420000000000357E-2</v>
      </c>
      <c r="F209" s="80">
        <f t="shared" si="8"/>
        <v>63.140953611111101</v>
      </c>
    </row>
    <row r="210" spans="1:6" ht="20.100000000000001" customHeight="1">
      <c r="A210" s="174">
        <v>2</v>
      </c>
      <c r="B210" s="277" t="s">
        <v>683</v>
      </c>
      <c r="C210" s="182">
        <v>71.448099999999997</v>
      </c>
      <c r="D210" s="182">
        <v>71.490499999999997</v>
      </c>
      <c r="E210" s="60">
        <f t="shared" si="9"/>
        <v>-4.2400000000000659E-2</v>
      </c>
      <c r="F210" s="80">
        <f t="shared" si="8"/>
        <v>59.624353611111104</v>
      </c>
    </row>
    <row r="211" spans="1:6" ht="20.100000000000001" customHeight="1">
      <c r="A211" s="174">
        <v>2</v>
      </c>
      <c r="B211" s="277" t="s">
        <v>684</v>
      </c>
      <c r="C211" s="182">
        <v>73.081199999999995</v>
      </c>
      <c r="D211" s="182">
        <v>73.124899999999997</v>
      </c>
      <c r="E211" s="60">
        <f t="shared" si="9"/>
        <v>-4.3700000000001182E-2</v>
      </c>
      <c r="F211" s="80">
        <f t="shared" si="8"/>
        <v>61.257453611111103</v>
      </c>
    </row>
    <row r="212" spans="1:6" ht="20.100000000000001" customHeight="1">
      <c r="A212" s="174">
        <v>2</v>
      </c>
      <c r="B212" s="277" t="s">
        <v>685</v>
      </c>
      <c r="C212" s="182">
        <v>72.047399999999996</v>
      </c>
      <c r="D212" s="182">
        <v>72.088800000000006</v>
      </c>
      <c r="E212" s="60">
        <f t="shared" si="9"/>
        <v>-4.1400000000010095E-2</v>
      </c>
      <c r="F212" s="80">
        <f t="shared" si="8"/>
        <v>60.223653611111104</v>
      </c>
    </row>
    <row r="213" spans="1:6" ht="20.100000000000001" customHeight="1">
      <c r="A213" s="174">
        <v>2</v>
      </c>
      <c r="B213" s="277" t="s">
        <v>686</v>
      </c>
      <c r="C213" s="182">
        <v>71.167900000000003</v>
      </c>
      <c r="D213" s="182">
        <v>71.211200000000005</v>
      </c>
      <c r="E213" s="60">
        <f t="shared" si="9"/>
        <v>-4.3300000000002115E-2</v>
      </c>
      <c r="F213" s="80">
        <f t="shared" si="8"/>
        <v>59.344153611111111</v>
      </c>
    </row>
    <row r="214" spans="1:6" ht="20.100000000000001" customHeight="1">
      <c r="A214" s="174">
        <v>2</v>
      </c>
      <c r="B214" s="277" t="s">
        <v>687</v>
      </c>
      <c r="C214" s="182">
        <v>75.799199999999999</v>
      </c>
      <c r="D214" s="182">
        <v>75.844700000000003</v>
      </c>
      <c r="E214" s="60">
        <f t="shared" si="9"/>
        <v>-4.5500000000004093E-2</v>
      </c>
      <c r="F214" s="80">
        <f t="shared" si="8"/>
        <v>63.975453611111107</v>
      </c>
    </row>
    <row r="215" spans="1:6" ht="20.100000000000001" customHeight="1">
      <c r="A215" s="324">
        <v>2</v>
      </c>
      <c r="B215" s="324" t="s">
        <v>688</v>
      </c>
      <c r="C215" s="141">
        <v>71.146199999999993</v>
      </c>
      <c r="D215" s="141">
        <v>71.189700000000002</v>
      </c>
      <c r="E215" s="81">
        <f t="shared" si="9"/>
        <v>-4.3500000000008754E-2</v>
      </c>
      <c r="F215" s="81">
        <f t="shared" si="8"/>
        <v>59.322453611111101</v>
      </c>
    </row>
    <row r="216" spans="1:6" ht="20.100000000000001" customHeight="1">
      <c r="A216" s="174">
        <v>24</v>
      </c>
      <c r="B216" s="277" t="s">
        <v>689</v>
      </c>
      <c r="C216" s="182">
        <v>72.436400000000006</v>
      </c>
      <c r="D216" s="182">
        <v>72.492000000000004</v>
      </c>
      <c r="E216" s="60">
        <f t="shared" si="9"/>
        <v>-5.5599999999998317E-2</v>
      </c>
      <c r="F216" s="80">
        <f t="shared" si="8"/>
        <v>60.612653611111114</v>
      </c>
    </row>
    <row r="217" spans="1:6" ht="20.100000000000001" customHeight="1">
      <c r="A217" s="174">
        <v>24</v>
      </c>
      <c r="B217" s="277" t="s">
        <v>690</v>
      </c>
      <c r="C217" s="182">
        <v>75.358000000000004</v>
      </c>
      <c r="D217" s="182">
        <v>75.400999999999996</v>
      </c>
      <c r="E217" s="60">
        <f t="shared" si="9"/>
        <v>-4.2999999999992156E-2</v>
      </c>
      <c r="F217" s="80">
        <f t="shared" si="8"/>
        <v>63.534253611111112</v>
      </c>
    </row>
    <row r="218" spans="1:6" ht="20.100000000000001" customHeight="1">
      <c r="A218" s="174">
        <v>24</v>
      </c>
      <c r="B218" s="277" t="s">
        <v>691</v>
      </c>
      <c r="C218" s="182">
        <v>73.095200000000006</v>
      </c>
      <c r="D218" s="182">
        <v>73.137900000000002</v>
      </c>
      <c r="E218" s="60">
        <f t="shared" si="9"/>
        <v>-4.2699999999996407E-2</v>
      </c>
      <c r="F218" s="80">
        <f t="shared" si="8"/>
        <v>61.271453611111113</v>
      </c>
    </row>
    <row r="219" spans="1:6" ht="20.100000000000001" customHeight="1">
      <c r="A219" s="174">
        <v>24</v>
      </c>
      <c r="B219" s="277" t="s">
        <v>692</v>
      </c>
      <c r="C219" s="182">
        <v>71.662599999999998</v>
      </c>
      <c r="D219" s="182">
        <v>71.705500000000001</v>
      </c>
      <c r="E219" s="60">
        <f t="shared" si="9"/>
        <v>-4.2900000000003047E-2</v>
      </c>
      <c r="F219" s="80">
        <f t="shared" si="8"/>
        <v>59.838853611111105</v>
      </c>
    </row>
    <row r="220" spans="1:6" ht="20.100000000000001" customHeight="1">
      <c r="A220" s="174">
        <v>24</v>
      </c>
      <c r="B220" s="277" t="s">
        <v>693</v>
      </c>
      <c r="C220" s="182">
        <v>72.723100000000002</v>
      </c>
      <c r="D220" s="182">
        <v>72.765500000000003</v>
      </c>
      <c r="E220" s="60">
        <f t="shared" si="9"/>
        <v>-4.2400000000000659E-2</v>
      </c>
      <c r="F220" s="80">
        <f t="shared" si="8"/>
        <v>60.89935361111111</v>
      </c>
    </row>
    <row r="221" spans="1:6" ht="20.100000000000001" customHeight="1">
      <c r="A221" s="174">
        <v>24</v>
      </c>
      <c r="B221" s="277" t="s">
        <v>694</v>
      </c>
      <c r="C221" s="182">
        <v>70.619900000000001</v>
      </c>
      <c r="D221" s="182">
        <v>70.660600000000002</v>
      </c>
      <c r="E221" s="60">
        <f t="shared" si="9"/>
        <v>-4.0700000000001069E-2</v>
      </c>
      <c r="F221" s="80">
        <f t="shared" si="8"/>
        <v>58.796153611111109</v>
      </c>
    </row>
    <row r="222" spans="1:6" ht="20.100000000000001" customHeight="1">
      <c r="A222" s="174">
        <v>24</v>
      </c>
      <c r="B222" s="277" t="s">
        <v>695</v>
      </c>
      <c r="C222" s="182">
        <v>72.639499999999998</v>
      </c>
      <c r="D222" s="182">
        <v>72.682599999999994</v>
      </c>
      <c r="E222" s="60">
        <f t="shared" si="9"/>
        <v>-4.3099999999995475E-2</v>
      </c>
      <c r="F222" s="80">
        <f t="shared" si="8"/>
        <v>60.815753611111106</v>
      </c>
    </row>
    <row r="223" spans="1:6" ht="20.100000000000001" customHeight="1">
      <c r="A223" s="174">
        <v>24</v>
      </c>
      <c r="B223" s="277" t="s">
        <v>696</v>
      </c>
      <c r="C223" s="182">
        <v>71.498599999999996</v>
      </c>
      <c r="D223" s="182">
        <v>71.541399999999996</v>
      </c>
      <c r="E223" s="60">
        <f t="shared" si="9"/>
        <v>-4.2799999999999727E-2</v>
      </c>
      <c r="F223" s="80">
        <f t="shared" si="8"/>
        <v>59.674853611111104</v>
      </c>
    </row>
    <row r="224" spans="1:6" ht="20.100000000000001" customHeight="1">
      <c r="A224" s="174">
        <v>24</v>
      </c>
      <c r="B224" s="277" t="s">
        <v>697</v>
      </c>
      <c r="C224" s="182">
        <v>74.800200000000004</v>
      </c>
      <c r="D224" s="182">
        <v>74.842399999999998</v>
      </c>
      <c r="E224" s="60">
        <f t="shared" si="9"/>
        <v>-4.219999999999402E-2</v>
      </c>
      <c r="F224" s="80">
        <f t="shared" si="8"/>
        <v>62.976453611111111</v>
      </c>
    </row>
    <row r="225" spans="1:6" ht="20.100000000000001" customHeight="1">
      <c r="A225" s="174">
        <v>24</v>
      </c>
      <c r="B225" s="277" t="s">
        <v>698</v>
      </c>
      <c r="C225" s="182">
        <v>72.846800000000002</v>
      </c>
      <c r="D225" s="182">
        <v>72.890199999999993</v>
      </c>
      <c r="E225" s="60">
        <f t="shared" si="9"/>
        <v>-4.3399999999991223E-2</v>
      </c>
      <c r="F225" s="80">
        <f t="shared" si="8"/>
        <v>61.023053611111109</v>
      </c>
    </row>
    <row r="226" spans="1:6" ht="20.100000000000001" customHeight="1">
      <c r="A226" s="174">
        <v>24</v>
      </c>
      <c r="B226" s="277" t="s">
        <v>699</v>
      </c>
      <c r="C226" s="182">
        <v>72.742400000000004</v>
      </c>
      <c r="D226" s="182">
        <v>72.786199999999994</v>
      </c>
      <c r="E226" s="60">
        <f t="shared" si="9"/>
        <v>-4.3799999999990291E-2</v>
      </c>
      <c r="F226" s="80">
        <f t="shared" si="8"/>
        <v>60.918653611111111</v>
      </c>
    </row>
    <row r="227" spans="1:6" ht="20.100000000000001" customHeight="1">
      <c r="A227" s="174">
        <v>24</v>
      </c>
      <c r="B227" s="277" t="s">
        <v>700</v>
      </c>
      <c r="C227" s="182">
        <v>74.221100000000007</v>
      </c>
      <c r="D227" s="182">
        <v>74.268500000000003</v>
      </c>
      <c r="E227" s="60">
        <f t="shared" si="9"/>
        <v>-4.7399999999996112E-2</v>
      </c>
      <c r="F227" s="80">
        <f t="shared" si="8"/>
        <v>62.397353611111114</v>
      </c>
    </row>
    <row r="228" spans="1:6" ht="20.100000000000001" customHeight="1">
      <c r="A228" s="174">
        <v>24</v>
      </c>
      <c r="B228" s="277" t="s">
        <v>701</v>
      </c>
      <c r="C228" s="182">
        <v>72.627300000000005</v>
      </c>
      <c r="D228" s="182">
        <v>72.67</v>
      </c>
      <c r="E228" s="60">
        <f t="shared" si="9"/>
        <v>-4.2699999999996407E-2</v>
      </c>
      <c r="F228" s="80">
        <f t="shared" si="8"/>
        <v>60.803553611111113</v>
      </c>
    </row>
    <row r="229" spans="1:6" ht="20.100000000000001" customHeight="1">
      <c r="A229" s="174">
        <v>24</v>
      </c>
      <c r="B229" s="277" t="s">
        <v>702</v>
      </c>
      <c r="C229" s="182">
        <v>72.805199999999999</v>
      </c>
      <c r="D229" s="182">
        <v>72.847999999999999</v>
      </c>
      <c r="E229" s="60">
        <f t="shared" si="9"/>
        <v>-4.2799999999999727E-2</v>
      </c>
      <c r="F229" s="80">
        <f t="shared" si="8"/>
        <v>60.981453611111107</v>
      </c>
    </row>
    <row r="230" spans="1:6" ht="20.100000000000001" customHeight="1">
      <c r="A230" s="174">
        <v>24</v>
      </c>
      <c r="B230" s="277" t="s">
        <v>703</v>
      </c>
      <c r="C230" s="182">
        <v>73.349999999999994</v>
      </c>
      <c r="D230" s="182">
        <v>73.393000000000001</v>
      </c>
      <c r="E230" s="60">
        <f t="shared" si="9"/>
        <v>-4.3000000000006366E-2</v>
      </c>
      <c r="F230" s="80">
        <f t="shared" si="8"/>
        <v>61.526253611111102</v>
      </c>
    </row>
    <row r="231" spans="1:6" ht="20.100000000000001" customHeight="1">
      <c r="A231" s="174">
        <v>24</v>
      </c>
      <c r="B231" s="277" t="s">
        <v>704</v>
      </c>
      <c r="C231" s="182">
        <v>73.038399999999996</v>
      </c>
      <c r="D231" s="182">
        <v>73.080100000000002</v>
      </c>
      <c r="E231" s="60">
        <f t="shared" si="9"/>
        <v>-4.1700000000005844E-2</v>
      </c>
      <c r="F231" s="80">
        <f t="shared" si="8"/>
        <v>61.214653611111103</v>
      </c>
    </row>
    <row r="232" spans="1:6" ht="20.100000000000001" customHeight="1">
      <c r="A232" s="174">
        <v>24</v>
      </c>
      <c r="B232" s="277" t="s">
        <v>705</v>
      </c>
      <c r="C232" s="182">
        <v>74.051100000000005</v>
      </c>
      <c r="D232" s="182">
        <v>74.093999999999994</v>
      </c>
      <c r="E232" s="60">
        <f t="shared" si="9"/>
        <v>-4.2899999999988836E-2</v>
      </c>
      <c r="F232" s="80">
        <f t="shared" si="8"/>
        <v>62.227353611111113</v>
      </c>
    </row>
    <row r="233" spans="1:6" ht="20.100000000000001" customHeight="1">
      <c r="A233" s="174">
        <v>24</v>
      </c>
      <c r="B233" s="277" t="s">
        <v>706</v>
      </c>
      <c r="C233" s="182">
        <v>73.656899999999993</v>
      </c>
      <c r="D233" s="182">
        <v>73.698400000000007</v>
      </c>
      <c r="E233" s="60">
        <f t="shared" si="9"/>
        <v>-4.1500000000013415E-2</v>
      </c>
      <c r="F233" s="80">
        <f t="shared" si="8"/>
        <v>61.833153611111101</v>
      </c>
    </row>
    <row r="234" spans="1:6" ht="20.100000000000001" customHeight="1">
      <c r="A234" s="174">
        <v>24</v>
      </c>
      <c r="B234" s="277" t="s">
        <v>707</v>
      </c>
      <c r="C234" s="182">
        <v>72.496899999999997</v>
      </c>
      <c r="D234" s="182">
        <v>72.540700000000001</v>
      </c>
      <c r="E234" s="60">
        <f t="shared" si="9"/>
        <v>-4.3800000000004502E-2</v>
      </c>
      <c r="F234" s="80">
        <f t="shared" si="8"/>
        <v>60.673153611111104</v>
      </c>
    </row>
    <row r="235" spans="1:6" ht="20.100000000000001" customHeight="1">
      <c r="A235" s="174">
        <v>24</v>
      </c>
      <c r="B235" s="277" t="s">
        <v>708</v>
      </c>
      <c r="C235" s="182">
        <v>73.540400000000005</v>
      </c>
      <c r="D235" s="182">
        <v>73.582400000000007</v>
      </c>
      <c r="E235" s="60">
        <f t="shared" si="9"/>
        <v>-4.2000000000001592E-2</v>
      </c>
      <c r="F235" s="80">
        <f t="shared" si="8"/>
        <v>61.716653611111113</v>
      </c>
    </row>
    <row r="236" spans="1:6" ht="20.100000000000001" customHeight="1">
      <c r="A236" s="174">
        <v>24</v>
      </c>
      <c r="B236" s="277" t="s">
        <v>709</v>
      </c>
      <c r="C236" s="182">
        <v>74.366600000000005</v>
      </c>
      <c r="D236" s="182">
        <v>74.412000000000006</v>
      </c>
      <c r="E236" s="60">
        <f t="shared" si="9"/>
        <v>-4.5400000000000773E-2</v>
      </c>
      <c r="F236" s="80">
        <f t="shared" si="8"/>
        <v>62.542853611111113</v>
      </c>
    </row>
    <row r="237" spans="1:6" ht="20.100000000000001" customHeight="1">
      <c r="A237" s="174">
        <v>24</v>
      </c>
      <c r="B237" s="277" t="s">
        <v>710</v>
      </c>
      <c r="C237" s="182">
        <v>74.844999999999999</v>
      </c>
      <c r="D237" s="182">
        <v>74.887799999999999</v>
      </c>
      <c r="E237" s="60">
        <f t="shared" si="9"/>
        <v>-4.2799999999999727E-2</v>
      </c>
      <c r="F237" s="80">
        <f t="shared" si="8"/>
        <v>63.021253611111106</v>
      </c>
    </row>
    <row r="238" spans="1:6" ht="20.100000000000001" customHeight="1">
      <c r="A238" s="174">
        <v>24</v>
      </c>
      <c r="B238" s="277" t="s">
        <v>711</v>
      </c>
      <c r="C238" s="182">
        <v>73.9816</v>
      </c>
      <c r="D238" s="182">
        <v>74.0304</v>
      </c>
      <c r="E238" s="60">
        <f t="shared" si="9"/>
        <v>-4.8799999999999955E-2</v>
      </c>
      <c r="F238" s="80">
        <f t="shared" si="8"/>
        <v>62.157853611111108</v>
      </c>
    </row>
    <row r="239" spans="1:6" ht="20.100000000000001" customHeight="1">
      <c r="A239" s="174">
        <v>24</v>
      </c>
      <c r="B239" s="277" t="s">
        <v>712</v>
      </c>
      <c r="C239" s="182">
        <v>75.087599999999995</v>
      </c>
      <c r="D239" s="182">
        <v>75.130700000000004</v>
      </c>
      <c r="E239" s="60">
        <f t="shared" si="9"/>
        <v>-4.3100000000009686E-2</v>
      </c>
      <c r="F239" s="80">
        <f t="shared" si="8"/>
        <v>63.263853611111102</v>
      </c>
    </row>
    <row r="240" spans="1:6" ht="20.100000000000001" customHeight="1">
      <c r="A240" s="174">
        <v>24</v>
      </c>
      <c r="B240" s="277" t="s">
        <v>713</v>
      </c>
      <c r="C240" s="182">
        <v>72.634299999999996</v>
      </c>
      <c r="D240" s="182">
        <v>72.677099999999996</v>
      </c>
      <c r="E240" s="60">
        <f t="shared" si="9"/>
        <v>-4.2799999999999727E-2</v>
      </c>
      <c r="F240" s="80">
        <f t="shared" si="8"/>
        <v>60.810553611111104</v>
      </c>
    </row>
    <row r="241" spans="1:6" ht="20.100000000000001" customHeight="1">
      <c r="A241" s="174">
        <v>24</v>
      </c>
      <c r="B241" s="277" t="s">
        <v>714</v>
      </c>
      <c r="C241" s="182">
        <v>73.406300000000002</v>
      </c>
      <c r="D241" s="182">
        <v>73.449200000000005</v>
      </c>
      <c r="E241" s="60">
        <f t="shared" si="9"/>
        <v>-4.2900000000003047E-2</v>
      </c>
      <c r="F241" s="80">
        <f t="shared" si="8"/>
        <v>61.582553611111109</v>
      </c>
    </row>
    <row r="242" spans="1:6" ht="20.100000000000001" customHeight="1">
      <c r="A242" s="174">
        <v>24</v>
      </c>
      <c r="B242" s="277" t="s">
        <v>715</v>
      </c>
      <c r="C242" s="182">
        <v>73.6601</v>
      </c>
      <c r="D242" s="182">
        <v>73.704700000000003</v>
      </c>
      <c r="E242" s="60">
        <f t="shared" si="9"/>
        <v>-4.4600000000002638E-2</v>
      </c>
      <c r="F242" s="80">
        <f t="shared" si="8"/>
        <v>61.836353611111107</v>
      </c>
    </row>
    <row r="243" spans="1:6" ht="20.100000000000001" customHeight="1">
      <c r="A243" s="174">
        <v>24</v>
      </c>
      <c r="B243" s="277" t="s">
        <v>716</v>
      </c>
      <c r="C243" s="182">
        <v>73.454800000000006</v>
      </c>
      <c r="D243" s="182">
        <v>73.497399999999999</v>
      </c>
      <c r="E243" s="60">
        <f t="shared" si="9"/>
        <v>-4.2599999999993088E-2</v>
      </c>
      <c r="F243" s="80">
        <f t="shared" si="8"/>
        <v>61.631053611111113</v>
      </c>
    </row>
    <row r="244" spans="1:6" ht="20.100000000000001" customHeight="1">
      <c r="A244" s="174">
        <v>24</v>
      </c>
      <c r="B244" s="277" t="s">
        <v>717</v>
      </c>
      <c r="C244" s="182">
        <v>75.157399999999996</v>
      </c>
      <c r="D244" s="182">
        <v>75.199299999999994</v>
      </c>
      <c r="E244" s="60">
        <f t="shared" si="9"/>
        <v>-4.1899999999998272E-2</v>
      </c>
      <c r="F244" s="80">
        <f t="shared" si="8"/>
        <v>63.333653611111103</v>
      </c>
    </row>
    <row r="245" spans="1:6" ht="20.100000000000001" customHeight="1">
      <c r="A245" s="174">
        <v>24</v>
      </c>
      <c r="B245" s="277" t="s">
        <v>718</v>
      </c>
      <c r="C245" s="182">
        <v>72.491200000000006</v>
      </c>
      <c r="D245" s="182">
        <v>72.5351</v>
      </c>
      <c r="E245" s="60">
        <f t="shared" si="9"/>
        <v>-4.3899999999993611E-2</v>
      </c>
      <c r="F245" s="80">
        <f t="shared" si="8"/>
        <v>60.667453611111114</v>
      </c>
    </row>
    <row r="246" spans="1:6" ht="20.100000000000001" customHeight="1">
      <c r="A246" s="174">
        <v>24</v>
      </c>
      <c r="B246" s="277" t="s">
        <v>719</v>
      </c>
      <c r="C246" s="182">
        <v>72.236199999999997</v>
      </c>
      <c r="D246" s="182">
        <v>72.278499999999994</v>
      </c>
      <c r="E246" s="60">
        <f t="shared" si="9"/>
        <v>-4.229999999999734E-2</v>
      </c>
      <c r="F246" s="80">
        <f t="shared" si="8"/>
        <v>60.412453611111104</v>
      </c>
    </row>
    <row r="247" spans="1:6" ht="20.100000000000001" customHeight="1">
      <c r="A247" s="174">
        <v>24</v>
      </c>
      <c r="B247" s="277" t="s">
        <v>720</v>
      </c>
      <c r="C247" s="182">
        <v>73.853399999999993</v>
      </c>
      <c r="D247" s="182">
        <v>73.895600000000002</v>
      </c>
      <c r="E247" s="60">
        <f t="shared" si="9"/>
        <v>-4.2200000000008231E-2</v>
      </c>
      <c r="F247" s="80">
        <f t="shared" si="8"/>
        <v>62.029653611111101</v>
      </c>
    </row>
    <row r="248" spans="1:6" ht="20.100000000000001" customHeight="1">
      <c r="A248" s="174">
        <v>24</v>
      </c>
      <c r="B248" s="277" t="s">
        <v>721</v>
      </c>
      <c r="C248" s="182">
        <v>72.496600000000001</v>
      </c>
      <c r="D248" s="182">
        <v>72.540300000000002</v>
      </c>
      <c r="E248" s="60">
        <f t="shared" si="9"/>
        <v>-4.3700000000001182E-2</v>
      </c>
      <c r="F248" s="80">
        <f t="shared" si="8"/>
        <v>60.672853611111108</v>
      </c>
    </row>
    <row r="249" spans="1:6" ht="20.100000000000001" customHeight="1">
      <c r="A249" s="174">
        <v>24</v>
      </c>
      <c r="B249" s="277" t="s">
        <v>722</v>
      </c>
      <c r="C249" s="182">
        <v>72.520700000000005</v>
      </c>
      <c r="D249" s="182">
        <v>72.564599999999999</v>
      </c>
      <c r="E249" s="60">
        <f t="shared" si="9"/>
        <v>-4.3899999999993611E-2</v>
      </c>
      <c r="F249" s="80">
        <f t="shared" si="8"/>
        <v>60.696953611111113</v>
      </c>
    </row>
    <row r="250" spans="1:6" ht="20.100000000000001" customHeight="1">
      <c r="A250" s="174">
        <v>24</v>
      </c>
      <c r="B250" s="277" t="s">
        <v>723</v>
      </c>
      <c r="C250" s="182">
        <v>73.591499999999996</v>
      </c>
      <c r="D250" s="182">
        <v>73.635599999999997</v>
      </c>
      <c r="E250" s="60">
        <f t="shared" si="9"/>
        <v>-4.410000000000025E-2</v>
      </c>
      <c r="F250" s="80">
        <f t="shared" si="8"/>
        <v>61.767753611111104</v>
      </c>
    </row>
    <row r="251" spans="1:6" ht="20.100000000000001" customHeight="1">
      <c r="A251" s="174">
        <v>24</v>
      </c>
      <c r="B251" s="277" t="s">
        <v>724</v>
      </c>
      <c r="C251" s="182">
        <v>73.297600000000003</v>
      </c>
      <c r="D251" s="182">
        <v>73.342100000000002</v>
      </c>
      <c r="E251" s="60">
        <f t="shared" si="9"/>
        <v>-4.4499999999999318E-2</v>
      </c>
      <c r="F251" s="80">
        <f t="shared" si="8"/>
        <v>61.47385361111111</v>
      </c>
    </row>
    <row r="252" spans="1:6" ht="20.100000000000001" customHeight="1">
      <c r="A252" s="174">
        <v>24</v>
      </c>
      <c r="B252" s="277" t="s">
        <v>725</v>
      </c>
      <c r="C252" s="182">
        <v>73.320700000000002</v>
      </c>
      <c r="D252" s="182">
        <v>73.363100000000003</v>
      </c>
      <c r="E252" s="60">
        <f t="shared" si="9"/>
        <v>-4.2400000000000659E-2</v>
      </c>
      <c r="F252" s="80">
        <f t="shared" si="8"/>
        <v>61.49695361111111</v>
      </c>
    </row>
    <row r="253" spans="1:6" ht="20.100000000000001" customHeight="1">
      <c r="A253" s="174">
        <v>24</v>
      </c>
      <c r="B253" s="277" t="s">
        <v>726</v>
      </c>
      <c r="C253" s="182">
        <v>72.979799999999997</v>
      </c>
      <c r="D253" s="182">
        <v>73.021100000000004</v>
      </c>
      <c r="E253" s="60">
        <f t="shared" si="9"/>
        <v>-4.1300000000006776E-2</v>
      </c>
      <c r="F253" s="80">
        <f t="shared" si="8"/>
        <v>61.156053611111105</v>
      </c>
    </row>
    <row r="254" spans="1:6" ht="20.100000000000001" customHeight="1">
      <c r="A254" s="174">
        <v>24</v>
      </c>
      <c r="B254" s="277" t="s">
        <v>727</v>
      </c>
      <c r="C254" s="182">
        <v>71.862899999999996</v>
      </c>
      <c r="D254" s="182">
        <v>71.904700000000005</v>
      </c>
      <c r="E254" s="60">
        <f t="shared" si="9"/>
        <v>-4.1800000000009163E-2</v>
      </c>
      <c r="F254" s="80">
        <f t="shared" si="8"/>
        <v>60.039153611111104</v>
      </c>
    </row>
    <row r="255" spans="1:6" ht="20.100000000000001" customHeight="1">
      <c r="A255" s="174">
        <v>24</v>
      </c>
      <c r="B255" s="277" t="s">
        <v>728</v>
      </c>
      <c r="C255" s="182">
        <v>72.319900000000004</v>
      </c>
      <c r="D255" s="182">
        <v>72.363200000000006</v>
      </c>
      <c r="E255" s="60">
        <f t="shared" si="9"/>
        <v>-4.3300000000002115E-2</v>
      </c>
      <c r="F255" s="80">
        <f t="shared" si="8"/>
        <v>60.496153611111112</v>
      </c>
    </row>
    <row r="256" spans="1:6" ht="20.100000000000001" customHeight="1">
      <c r="A256" s="174">
        <v>24</v>
      </c>
      <c r="B256" s="277" t="s">
        <v>729</v>
      </c>
      <c r="C256" s="182">
        <v>71.635800000000003</v>
      </c>
      <c r="D256" s="182">
        <v>71.678200000000004</v>
      </c>
      <c r="E256" s="60">
        <f t="shared" si="9"/>
        <v>-4.2400000000000659E-2</v>
      </c>
      <c r="F256" s="80">
        <f t="shared" si="8"/>
        <v>59.812053611111111</v>
      </c>
    </row>
    <row r="257" spans="1:6" ht="20.100000000000001" customHeight="1">
      <c r="A257" s="174">
        <v>24</v>
      </c>
      <c r="B257" s="277" t="s">
        <v>730</v>
      </c>
      <c r="C257" s="182">
        <v>72.612099999999998</v>
      </c>
      <c r="D257" s="182">
        <v>72.655699999999996</v>
      </c>
      <c r="E257" s="60">
        <f t="shared" si="9"/>
        <v>-4.3599999999997863E-2</v>
      </c>
      <c r="F257" s="80">
        <f t="shared" si="8"/>
        <v>60.788353611111106</v>
      </c>
    </row>
    <row r="258" spans="1:6" ht="20.100000000000001" customHeight="1">
      <c r="A258" s="174">
        <v>24</v>
      </c>
      <c r="B258" s="277" t="s">
        <v>731</v>
      </c>
      <c r="C258" s="182">
        <v>72.599900000000005</v>
      </c>
      <c r="D258" s="182">
        <v>72.641999999999996</v>
      </c>
      <c r="E258" s="60">
        <f t="shared" si="9"/>
        <v>-4.20999999999907E-2</v>
      </c>
      <c r="F258" s="80">
        <f t="shared" si="8"/>
        <v>60.776153611111113</v>
      </c>
    </row>
    <row r="259" spans="1:6" ht="20.100000000000001" customHeight="1">
      <c r="A259" s="174">
        <v>24</v>
      </c>
      <c r="B259" s="277" t="s">
        <v>732</v>
      </c>
      <c r="C259" s="182">
        <v>74.3934</v>
      </c>
      <c r="D259" s="182">
        <v>74.437299999999993</v>
      </c>
      <c r="E259" s="60">
        <f t="shared" si="9"/>
        <v>-4.3899999999993611E-2</v>
      </c>
      <c r="F259" s="80">
        <f t="shared" si="8"/>
        <v>62.569653611111107</v>
      </c>
    </row>
    <row r="260" spans="1:6" ht="20.100000000000001" customHeight="1">
      <c r="A260" s="174">
        <v>24</v>
      </c>
      <c r="B260" s="277" t="s">
        <v>733</v>
      </c>
      <c r="C260" s="182">
        <v>71.308899999999994</v>
      </c>
      <c r="D260" s="182">
        <v>71.351699999999994</v>
      </c>
      <c r="E260" s="60">
        <f t="shared" si="9"/>
        <v>-4.2799999999999727E-2</v>
      </c>
      <c r="F260" s="80">
        <f t="shared" si="8"/>
        <v>59.485153611111102</v>
      </c>
    </row>
    <row r="261" spans="1:6" ht="20.100000000000001" customHeight="1">
      <c r="A261" s="174">
        <v>24</v>
      </c>
      <c r="B261" s="277" t="s">
        <v>734</v>
      </c>
      <c r="C261" s="182">
        <v>72.560199999999995</v>
      </c>
      <c r="D261" s="182">
        <v>72.603999999999999</v>
      </c>
      <c r="E261" s="60">
        <f t="shared" si="9"/>
        <v>-4.3800000000004502E-2</v>
      </c>
      <c r="F261" s="80">
        <f t="shared" si="8"/>
        <v>60.736453611111102</v>
      </c>
    </row>
    <row r="262" spans="1:6" ht="20.100000000000001" customHeight="1">
      <c r="A262" s="174">
        <v>24</v>
      </c>
      <c r="B262" s="277" t="s">
        <v>735</v>
      </c>
      <c r="C262" s="182">
        <v>73.587400000000002</v>
      </c>
      <c r="D262" s="182">
        <v>73.630799999999994</v>
      </c>
      <c r="E262" s="60">
        <f t="shared" si="9"/>
        <v>-4.3399999999991223E-2</v>
      </c>
      <c r="F262" s="80">
        <f t="shared" si="8"/>
        <v>61.76365361111111</v>
      </c>
    </row>
    <row r="263" spans="1:6" ht="20.100000000000001" customHeight="1">
      <c r="A263" s="174">
        <v>24</v>
      </c>
      <c r="B263" s="277" t="s">
        <v>736</v>
      </c>
      <c r="C263" s="182">
        <v>71.471100000000007</v>
      </c>
      <c r="D263" s="182">
        <v>71.514300000000006</v>
      </c>
      <c r="E263" s="60">
        <f t="shared" si="9"/>
        <v>-4.3199999999998795E-2</v>
      </c>
      <c r="F263" s="80">
        <f t="shared" si="8"/>
        <v>59.647353611111114</v>
      </c>
    </row>
    <row r="264" spans="1:6" ht="20.100000000000001" customHeight="1">
      <c r="A264" s="174">
        <v>24</v>
      </c>
      <c r="B264" s="277" t="s">
        <v>737</v>
      </c>
      <c r="C264" s="182">
        <v>73.954800000000006</v>
      </c>
      <c r="D264" s="182">
        <v>73.997500000000002</v>
      </c>
      <c r="E264" s="60">
        <f t="shared" si="9"/>
        <v>-4.2699999999996407E-2</v>
      </c>
      <c r="F264" s="80">
        <f t="shared" si="8"/>
        <v>62.131053611111113</v>
      </c>
    </row>
    <row r="265" spans="1:6" ht="20.100000000000001" customHeight="1">
      <c r="A265" s="324">
        <v>24</v>
      </c>
      <c r="B265" s="324" t="s">
        <v>738</v>
      </c>
      <c r="C265" s="141">
        <v>72.091099999999997</v>
      </c>
      <c r="D265" s="141">
        <v>72.132999999999996</v>
      </c>
      <c r="E265" s="81">
        <f t="shared" si="9"/>
        <v>-4.1899999999998272E-2</v>
      </c>
      <c r="F265" s="81">
        <f t="shared" si="8"/>
        <v>60.267353611111105</v>
      </c>
    </row>
    <row r="266" spans="1:6" ht="20.100000000000001" customHeight="1">
      <c r="A266" s="174">
        <v>28</v>
      </c>
      <c r="B266" s="277" t="s">
        <v>739</v>
      </c>
      <c r="C266" s="182">
        <v>72.266099999999994</v>
      </c>
      <c r="D266" s="182">
        <v>72.309399999999997</v>
      </c>
      <c r="E266" s="60">
        <f t="shared" si="9"/>
        <v>-4.3300000000002115E-2</v>
      </c>
      <c r="F266" s="80">
        <f t="shared" si="8"/>
        <v>60.442353611111102</v>
      </c>
    </row>
    <row r="267" spans="1:6" ht="20.100000000000001" customHeight="1">
      <c r="A267" s="174">
        <v>28</v>
      </c>
      <c r="B267" s="277" t="s">
        <v>740</v>
      </c>
      <c r="C267" s="182">
        <v>74.380700000000004</v>
      </c>
      <c r="D267" s="182">
        <v>74.426299999999998</v>
      </c>
      <c r="E267" s="60">
        <f t="shared" si="9"/>
        <v>-4.5599999999993202E-2</v>
      </c>
      <c r="F267" s="80">
        <f t="shared" si="8"/>
        <v>62.556953611111112</v>
      </c>
    </row>
    <row r="268" spans="1:6" ht="20.100000000000001" customHeight="1">
      <c r="A268" s="174">
        <v>28</v>
      </c>
      <c r="B268" s="277" t="s">
        <v>741</v>
      </c>
      <c r="C268" s="182">
        <v>72.641300000000001</v>
      </c>
      <c r="D268" s="182">
        <v>72.685400000000001</v>
      </c>
      <c r="E268" s="60">
        <f t="shared" si="9"/>
        <v>-4.410000000000025E-2</v>
      </c>
      <c r="F268" s="80">
        <f t="shared" si="8"/>
        <v>60.817553611111109</v>
      </c>
    </row>
    <row r="269" spans="1:6" ht="20.100000000000001" customHeight="1">
      <c r="A269" s="174">
        <v>28</v>
      </c>
      <c r="B269" s="277" t="s">
        <v>742</v>
      </c>
      <c r="C269" s="182">
        <v>76.266900000000007</v>
      </c>
      <c r="D269" s="182">
        <v>76.311800000000005</v>
      </c>
      <c r="E269" s="60">
        <f t="shared" si="9"/>
        <v>-4.4899999999998386E-2</v>
      </c>
      <c r="F269" s="80">
        <f t="shared" si="8"/>
        <v>64.443153611111114</v>
      </c>
    </row>
    <row r="270" spans="1:6" ht="20.100000000000001" customHeight="1">
      <c r="A270" s="174">
        <v>28</v>
      </c>
      <c r="B270" s="277" t="s">
        <v>743</v>
      </c>
      <c r="C270" s="182">
        <v>76.066999999999993</v>
      </c>
      <c r="D270" s="182">
        <v>76.1126</v>
      </c>
      <c r="E270" s="60">
        <f t="shared" si="9"/>
        <v>-4.5600000000007412E-2</v>
      </c>
      <c r="F270" s="80">
        <f t="shared" ref="F270:F333" si="10">C270-$I$84</f>
        <v>64.243253611111101</v>
      </c>
    </row>
    <row r="271" spans="1:6" ht="20.100000000000001" customHeight="1">
      <c r="A271" s="174">
        <v>28</v>
      </c>
      <c r="B271" s="277" t="s">
        <v>744</v>
      </c>
      <c r="C271" s="182">
        <v>73.038700000000006</v>
      </c>
      <c r="D271" s="182">
        <v>73.085899999999995</v>
      </c>
      <c r="E271" s="60">
        <f t="shared" ref="E271:E334" si="11">C271-D271</f>
        <v>-4.7199999999989473E-2</v>
      </c>
      <c r="F271" s="80">
        <f t="shared" si="10"/>
        <v>61.214953611111113</v>
      </c>
    </row>
    <row r="272" spans="1:6" ht="20.100000000000001" customHeight="1">
      <c r="A272" s="174">
        <v>28</v>
      </c>
      <c r="B272" s="277" t="s">
        <v>745</v>
      </c>
      <c r="C272" s="182">
        <v>72.531300000000002</v>
      </c>
      <c r="D272" s="182">
        <v>72.576300000000003</v>
      </c>
      <c r="E272" s="60">
        <f t="shared" si="11"/>
        <v>-4.5000000000001705E-2</v>
      </c>
      <c r="F272" s="80">
        <f t="shared" si="10"/>
        <v>60.707553611111109</v>
      </c>
    </row>
    <row r="273" spans="1:6" ht="20.100000000000001" customHeight="1">
      <c r="A273" s="174">
        <v>28</v>
      </c>
      <c r="B273" s="277" t="s">
        <v>746</v>
      </c>
      <c r="C273" s="182">
        <v>73.390900000000002</v>
      </c>
      <c r="D273" s="182">
        <v>73.433899999999994</v>
      </c>
      <c r="E273" s="60">
        <f t="shared" si="11"/>
        <v>-4.2999999999992156E-2</v>
      </c>
      <c r="F273" s="80">
        <f t="shared" si="10"/>
        <v>61.56715361111111</v>
      </c>
    </row>
    <row r="274" spans="1:6" ht="20.100000000000001" customHeight="1">
      <c r="A274" s="174">
        <v>28</v>
      </c>
      <c r="B274" s="277" t="s">
        <v>747</v>
      </c>
      <c r="C274" s="182">
        <v>73.302000000000007</v>
      </c>
      <c r="D274" s="182">
        <v>73.344999999999999</v>
      </c>
      <c r="E274" s="60">
        <f t="shared" si="11"/>
        <v>-4.2999999999992156E-2</v>
      </c>
      <c r="F274" s="80">
        <f t="shared" si="10"/>
        <v>61.478253611111114</v>
      </c>
    </row>
    <row r="275" spans="1:6" ht="20.100000000000001" customHeight="1">
      <c r="A275" s="174">
        <v>28</v>
      </c>
      <c r="B275" s="277" t="s">
        <v>748</v>
      </c>
      <c r="C275" s="182">
        <v>73.371799999999993</v>
      </c>
      <c r="D275" s="182">
        <v>73.427899999999994</v>
      </c>
      <c r="E275" s="60">
        <f t="shared" si="11"/>
        <v>-5.6100000000000705E-2</v>
      </c>
      <c r="F275" s="80">
        <f t="shared" si="10"/>
        <v>61.548053611111101</v>
      </c>
    </row>
    <row r="276" spans="1:6" ht="20.100000000000001" customHeight="1">
      <c r="A276" s="174">
        <v>28</v>
      </c>
      <c r="B276" s="277" t="s">
        <v>749</v>
      </c>
      <c r="C276" s="182">
        <v>73.640500000000003</v>
      </c>
      <c r="D276" s="182">
        <v>73.686800000000005</v>
      </c>
      <c r="E276" s="60">
        <f t="shared" si="11"/>
        <v>-4.6300000000002228E-2</v>
      </c>
      <c r="F276" s="80">
        <f t="shared" si="10"/>
        <v>61.81675361111111</v>
      </c>
    </row>
    <row r="277" spans="1:6" ht="20.100000000000001" customHeight="1">
      <c r="A277" s="174">
        <v>28</v>
      </c>
      <c r="B277" s="277" t="s">
        <v>750</v>
      </c>
      <c r="C277" s="182">
        <v>73.193100000000001</v>
      </c>
      <c r="D277" s="182">
        <v>73.245599999999996</v>
      </c>
      <c r="E277" s="60">
        <f t="shared" si="11"/>
        <v>-5.2499999999994884E-2</v>
      </c>
      <c r="F277" s="80">
        <f t="shared" si="10"/>
        <v>61.369353611111109</v>
      </c>
    </row>
    <row r="278" spans="1:6" ht="20.100000000000001" customHeight="1">
      <c r="A278" s="174">
        <v>28</v>
      </c>
      <c r="B278" s="277" t="s">
        <v>751</v>
      </c>
      <c r="C278" s="182">
        <v>75.570999999999998</v>
      </c>
      <c r="D278" s="182">
        <v>75.617099999999994</v>
      </c>
      <c r="E278" s="60">
        <f t="shared" si="11"/>
        <v>-4.6099999999995589E-2</v>
      </c>
      <c r="F278" s="80">
        <f t="shared" si="10"/>
        <v>63.747253611111105</v>
      </c>
    </row>
    <row r="279" spans="1:6" ht="20.100000000000001" customHeight="1">
      <c r="A279" s="174">
        <v>28</v>
      </c>
      <c r="B279" s="277" t="s">
        <v>752</v>
      </c>
      <c r="C279" s="182">
        <v>73.150099999999995</v>
      </c>
      <c r="D279" s="182">
        <v>73.212800000000001</v>
      </c>
      <c r="E279" s="60">
        <f t="shared" si="11"/>
        <v>-6.2700000000006639E-2</v>
      </c>
      <c r="F279" s="80">
        <f t="shared" si="10"/>
        <v>61.326353611111102</v>
      </c>
    </row>
    <row r="280" spans="1:6" ht="20.100000000000001" customHeight="1">
      <c r="A280" s="174">
        <v>28</v>
      </c>
      <c r="B280" s="277" t="s">
        <v>753</v>
      </c>
      <c r="C280" s="182">
        <v>75.952799999999996</v>
      </c>
      <c r="D280" s="182">
        <v>75.998000000000005</v>
      </c>
      <c r="E280" s="60">
        <f t="shared" si="11"/>
        <v>-4.5200000000008345E-2</v>
      </c>
      <c r="F280" s="80">
        <f t="shared" si="10"/>
        <v>64.129053611111104</v>
      </c>
    </row>
    <row r="281" spans="1:6" ht="20.100000000000001" customHeight="1">
      <c r="A281" s="174">
        <v>28</v>
      </c>
      <c r="B281" s="277" t="s">
        <v>754</v>
      </c>
      <c r="C281" s="182">
        <v>74.311899999999994</v>
      </c>
      <c r="D281" s="182">
        <v>74.356499999999997</v>
      </c>
      <c r="E281" s="60">
        <f t="shared" si="11"/>
        <v>-4.4600000000002638E-2</v>
      </c>
      <c r="F281" s="80">
        <f t="shared" si="10"/>
        <v>62.488153611111102</v>
      </c>
    </row>
    <row r="282" spans="1:6" ht="20.100000000000001" customHeight="1">
      <c r="A282" s="174">
        <v>28</v>
      </c>
      <c r="B282" s="277" t="s">
        <v>755</v>
      </c>
      <c r="C282" s="182">
        <v>73.834500000000006</v>
      </c>
      <c r="D282" s="182">
        <v>73.876300000000001</v>
      </c>
      <c r="E282" s="60">
        <f t="shared" si="11"/>
        <v>-4.1799999999994952E-2</v>
      </c>
      <c r="F282" s="80">
        <f t="shared" si="10"/>
        <v>62.010753611111113</v>
      </c>
    </row>
    <row r="283" spans="1:6" ht="20.100000000000001" customHeight="1">
      <c r="A283" s="174">
        <v>28</v>
      </c>
      <c r="B283" s="277" t="s">
        <v>756</v>
      </c>
      <c r="C283" s="182">
        <v>73.228099999999998</v>
      </c>
      <c r="D283" s="182">
        <v>73.274699999999996</v>
      </c>
      <c r="E283" s="60">
        <f t="shared" si="11"/>
        <v>-4.6599999999997976E-2</v>
      </c>
      <c r="F283" s="80">
        <f t="shared" si="10"/>
        <v>61.404353611111105</v>
      </c>
    </row>
    <row r="284" spans="1:6" ht="20.100000000000001" customHeight="1">
      <c r="A284" s="174">
        <v>28</v>
      </c>
      <c r="B284" s="277" t="s">
        <v>757</v>
      </c>
      <c r="C284" s="182">
        <v>72.709199999999996</v>
      </c>
      <c r="D284" s="182">
        <v>72.752600000000001</v>
      </c>
      <c r="E284" s="60">
        <f t="shared" si="11"/>
        <v>-4.3400000000005434E-2</v>
      </c>
      <c r="F284" s="80">
        <f t="shared" si="10"/>
        <v>60.885453611111103</v>
      </c>
    </row>
    <row r="285" spans="1:6" ht="20.100000000000001" customHeight="1">
      <c r="A285" s="174">
        <v>28</v>
      </c>
      <c r="B285" s="277" t="s">
        <v>758</v>
      </c>
      <c r="C285" s="182">
        <v>73.234700000000004</v>
      </c>
      <c r="D285" s="182">
        <v>73.281099999999995</v>
      </c>
      <c r="E285" s="60">
        <f t="shared" si="11"/>
        <v>-4.6399999999991337E-2</v>
      </c>
      <c r="F285" s="80">
        <f t="shared" si="10"/>
        <v>61.410953611111111</v>
      </c>
    </row>
    <row r="286" spans="1:6" ht="20.100000000000001" customHeight="1">
      <c r="A286" s="174">
        <v>28</v>
      </c>
      <c r="B286" s="277" t="s">
        <v>759</v>
      </c>
      <c r="C286" s="182">
        <v>71.544700000000006</v>
      </c>
      <c r="D286" s="182">
        <v>71.590100000000007</v>
      </c>
      <c r="E286" s="60">
        <f t="shared" si="11"/>
        <v>-4.5400000000000773E-2</v>
      </c>
      <c r="F286" s="80">
        <f t="shared" si="10"/>
        <v>59.720953611111113</v>
      </c>
    </row>
    <row r="287" spans="1:6" ht="20.100000000000001" customHeight="1">
      <c r="A287" s="174">
        <v>28</v>
      </c>
      <c r="B287" s="277" t="s">
        <v>760</v>
      </c>
      <c r="C287" s="182">
        <v>73.599199999999996</v>
      </c>
      <c r="D287" s="182">
        <v>73.677700000000002</v>
      </c>
      <c r="E287" s="60">
        <f t="shared" si="11"/>
        <v>-7.8500000000005343E-2</v>
      </c>
      <c r="F287" s="80">
        <f t="shared" si="10"/>
        <v>61.775453611111104</v>
      </c>
    </row>
    <row r="288" spans="1:6" ht="20.100000000000001" customHeight="1">
      <c r="A288" s="174">
        <v>28</v>
      </c>
      <c r="B288" s="277" t="s">
        <v>761</v>
      </c>
      <c r="C288" s="182">
        <v>74.066500000000005</v>
      </c>
      <c r="D288" s="182">
        <v>74.109099999999998</v>
      </c>
      <c r="E288" s="60">
        <f t="shared" si="11"/>
        <v>-4.2599999999993088E-2</v>
      </c>
      <c r="F288" s="80">
        <f t="shared" si="10"/>
        <v>62.242753611111112</v>
      </c>
    </row>
    <row r="289" spans="1:6" ht="20.100000000000001" customHeight="1">
      <c r="A289" s="174">
        <v>28</v>
      </c>
      <c r="B289" s="277" t="s">
        <v>762</v>
      </c>
      <c r="C289" s="182">
        <v>75.063500000000005</v>
      </c>
      <c r="D289" s="182">
        <v>75.105199999999996</v>
      </c>
      <c r="E289" s="60">
        <f t="shared" si="11"/>
        <v>-4.1699999999991633E-2</v>
      </c>
      <c r="F289" s="80">
        <f t="shared" si="10"/>
        <v>63.239753611111112</v>
      </c>
    </row>
    <row r="290" spans="1:6" ht="20.100000000000001" customHeight="1">
      <c r="A290" s="174">
        <v>28</v>
      </c>
      <c r="B290" s="277" t="s">
        <v>763</v>
      </c>
      <c r="C290" s="182">
        <v>73.052199999999999</v>
      </c>
      <c r="D290" s="182">
        <v>73.098699999999994</v>
      </c>
      <c r="E290" s="60">
        <f t="shared" si="11"/>
        <v>-4.6499999999994657E-2</v>
      </c>
      <c r="F290" s="80">
        <f t="shared" si="10"/>
        <v>61.228453611111107</v>
      </c>
    </row>
    <row r="291" spans="1:6" ht="20.100000000000001" customHeight="1">
      <c r="A291" s="174">
        <v>28</v>
      </c>
      <c r="B291" s="277" t="s">
        <v>764</v>
      </c>
      <c r="C291" s="182">
        <v>74.897000000000006</v>
      </c>
      <c r="D291" s="182">
        <v>74.941900000000004</v>
      </c>
      <c r="E291" s="60">
        <f t="shared" si="11"/>
        <v>-4.4899999999998386E-2</v>
      </c>
      <c r="F291" s="80">
        <f t="shared" si="10"/>
        <v>63.073253611111113</v>
      </c>
    </row>
    <row r="292" spans="1:6" ht="20.100000000000001" customHeight="1">
      <c r="A292" s="174">
        <v>28</v>
      </c>
      <c r="B292" s="277" t="s">
        <v>765</v>
      </c>
      <c r="C292" s="182">
        <v>75.339600000000004</v>
      </c>
      <c r="D292" s="182">
        <v>75.386200000000002</v>
      </c>
      <c r="E292" s="60">
        <f t="shared" si="11"/>
        <v>-4.6599999999997976E-2</v>
      </c>
      <c r="F292" s="80">
        <f t="shared" si="10"/>
        <v>63.515853611111112</v>
      </c>
    </row>
    <row r="293" spans="1:6" ht="20.100000000000001" customHeight="1">
      <c r="A293" s="174">
        <v>28</v>
      </c>
      <c r="B293" s="277" t="s">
        <v>766</v>
      </c>
      <c r="C293" s="182">
        <v>75.236400000000003</v>
      </c>
      <c r="D293" s="182">
        <v>75.283500000000004</v>
      </c>
      <c r="E293" s="60">
        <f t="shared" si="11"/>
        <v>-4.7100000000000364E-2</v>
      </c>
      <c r="F293" s="80">
        <f t="shared" si="10"/>
        <v>63.412653611111111</v>
      </c>
    </row>
    <row r="294" spans="1:6" ht="20.100000000000001" customHeight="1">
      <c r="A294" s="174">
        <v>28</v>
      </c>
      <c r="B294" s="277" t="s">
        <v>767</v>
      </c>
      <c r="C294" s="182">
        <v>71.721299999999999</v>
      </c>
      <c r="D294" s="182">
        <v>71.765500000000003</v>
      </c>
      <c r="E294" s="60">
        <f t="shared" si="11"/>
        <v>-4.420000000000357E-2</v>
      </c>
      <c r="F294" s="80">
        <f t="shared" si="10"/>
        <v>59.897553611111107</v>
      </c>
    </row>
    <row r="295" spans="1:6" ht="20.100000000000001" customHeight="1">
      <c r="A295" s="174">
        <v>28</v>
      </c>
      <c r="B295" s="277" t="s">
        <v>768</v>
      </c>
      <c r="C295" s="182">
        <v>72.316800000000001</v>
      </c>
      <c r="D295" s="182">
        <v>72.362099999999998</v>
      </c>
      <c r="E295" s="60">
        <f t="shared" si="11"/>
        <v>-4.5299999999997453E-2</v>
      </c>
      <c r="F295" s="80">
        <f t="shared" si="10"/>
        <v>60.493053611111108</v>
      </c>
    </row>
    <row r="296" spans="1:6" ht="20.100000000000001" customHeight="1">
      <c r="A296" s="174">
        <v>28</v>
      </c>
      <c r="B296" s="277" t="s">
        <v>769</v>
      </c>
      <c r="C296" s="182">
        <v>76.374300000000005</v>
      </c>
      <c r="D296" s="182">
        <v>76.422700000000006</v>
      </c>
      <c r="E296" s="60">
        <f t="shared" si="11"/>
        <v>-4.8400000000000887E-2</v>
      </c>
      <c r="F296" s="80">
        <f t="shared" si="10"/>
        <v>64.550553611111113</v>
      </c>
    </row>
    <row r="297" spans="1:6" ht="20.100000000000001" customHeight="1">
      <c r="A297" s="174">
        <v>28</v>
      </c>
      <c r="B297" s="277" t="s">
        <v>770</v>
      </c>
      <c r="C297" s="182">
        <v>72.145799999999994</v>
      </c>
      <c r="D297" s="182">
        <v>72.192800000000005</v>
      </c>
      <c r="E297" s="60">
        <f t="shared" si="11"/>
        <v>-4.7000000000011255E-2</v>
      </c>
      <c r="F297" s="80">
        <f t="shared" si="10"/>
        <v>60.322053611111102</v>
      </c>
    </row>
    <row r="298" spans="1:6" ht="20.100000000000001" customHeight="1">
      <c r="A298" s="174">
        <v>28</v>
      </c>
      <c r="B298" s="277" t="s">
        <v>771</v>
      </c>
      <c r="C298" s="182">
        <v>72.871399999999994</v>
      </c>
      <c r="D298" s="182">
        <v>72.915099999999995</v>
      </c>
      <c r="E298" s="60">
        <f t="shared" si="11"/>
        <v>-4.3700000000001182E-2</v>
      </c>
      <c r="F298" s="80">
        <f t="shared" si="10"/>
        <v>61.047653611111102</v>
      </c>
    </row>
    <row r="299" spans="1:6" ht="20.100000000000001" customHeight="1">
      <c r="A299" s="174">
        <v>28</v>
      </c>
      <c r="B299" s="277" t="s">
        <v>772</v>
      </c>
      <c r="C299" s="182">
        <v>74.305199999999999</v>
      </c>
      <c r="D299" s="182">
        <v>74.352900000000005</v>
      </c>
      <c r="E299" s="60">
        <f t="shared" si="11"/>
        <v>-4.7700000000006071E-2</v>
      </c>
      <c r="F299" s="80">
        <f t="shared" si="10"/>
        <v>62.481453611111107</v>
      </c>
    </row>
    <row r="300" spans="1:6" ht="20.100000000000001" customHeight="1">
      <c r="A300" s="174">
        <v>28</v>
      </c>
      <c r="B300" s="277" t="s">
        <v>773</v>
      </c>
      <c r="C300" s="182">
        <v>75.843999999999994</v>
      </c>
      <c r="D300" s="182">
        <v>75.891300000000001</v>
      </c>
      <c r="E300" s="60">
        <f t="shared" si="11"/>
        <v>-4.7300000000007003E-2</v>
      </c>
      <c r="F300" s="80">
        <f t="shared" si="10"/>
        <v>64.020253611111102</v>
      </c>
    </row>
    <row r="301" spans="1:6" ht="20.100000000000001" customHeight="1">
      <c r="A301" s="174">
        <v>28</v>
      </c>
      <c r="B301" s="277" t="s">
        <v>774</v>
      </c>
      <c r="C301" s="182">
        <v>72.219800000000006</v>
      </c>
      <c r="D301" s="182">
        <v>72.266999999999996</v>
      </c>
      <c r="E301" s="60">
        <f t="shared" si="11"/>
        <v>-4.7199999999989473E-2</v>
      </c>
      <c r="F301" s="80">
        <f t="shared" si="10"/>
        <v>60.396053611111114</v>
      </c>
    </row>
    <row r="302" spans="1:6" ht="20.100000000000001" customHeight="1">
      <c r="A302" s="174">
        <v>28</v>
      </c>
      <c r="B302" s="277" t="s">
        <v>775</v>
      </c>
      <c r="C302" s="182">
        <v>75.712999999999994</v>
      </c>
      <c r="D302" s="182">
        <v>75.758899999999997</v>
      </c>
      <c r="E302" s="60">
        <f t="shared" si="11"/>
        <v>-4.590000000000316E-2</v>
      </c>
      <c r="F302" s="80">
        <f t="shared" si="10"/>
        <v>63.889253611111101</v>
      </c>
    </row>
    <row r="303" spans="1:6" ht="20.100000000000001" customHeight="1">
      <c r="A303" s="174">
        <v>28</v>
      </c>
      <c r="B303" s="277" t="s">
        <v>776</v>
      </c>
      <c r="C303" s="182">
        <v>73.229299999999995</v>
      </c>
      <c r="D303" s="182">
        <v>73.276300000000006</v>
      </c>
      <c r="E303" s="60">
        <f t="shared" si="11"/>
        <v>-4.7000000000011255E-2</v>
      </c>
      <c r="F303" s="80">
        <f t="shared" si="10"/>
        <v>61.405553611111102</v>
      </c>
    </row>
    <row r="304" spans="1:6" ht="20.100000000000001" customHeight="1">
      <c r="A304" s="174">
        <v>28</v>
      </c>
      <c r="B304" s="277" t="s">
        <v>777</v>
      </c>
      <c r="C304" s="182">
        <v>72.782799999999995</v>
      </c>
      <c r="D304" s="182">
        <v>72.826499999999996</v>
      </c>
      <c r="E304" s="60">
        <f t="shared" si="11"/>
        <v>-4.3700000000001182E-2</v>
      </c>
      <c r="F304" s="80">
        <f t="shared" si="10"/>
        <v>60.959053611111102</v>
      </c>
    </row>
    <row r="305" spans="1:6" ht="20.100000000000001" customHeight="1">
      <c r="A305" s="174">
        <v>28</v>
      </c>
      <c r="B305" s="277" t="s">
        <v>778</v>
      </c>
      <c r="C305" s="182">
        <v>72.377600000000001</v>
      </c>
      <c r="D305" s="182">
        <v>72.4208</v>
      </c>
      <c r="E305" s="60">
        <f t="shared" si="11"/>
        <v>-4.3199999999998795E-2</v>
      </c>
      <c r="F305" s="80">
        <f t="shared" si="10"/>
        <v>60.553853611111109</v>
      </c>
    </row>
    <row r="306" spans="1:6" ht="20.100000000000001" customHeight="1">
      <c r="A306" s="174">
        <v>28</v>
      </c>
      <c r="B306" s="277" t="s">
        <v>779</v>
      </c>
      <c r="C306" s="182">
        <v>74.969700000000003</v>
      </c>
      <c r="D306" s="182">
        <v>75.0137</v>
      </c>
      <c r="E306" s="60">
        <f t="shared" si="11"/>
        <v>-4.399999999999693E-2</v>
      </c>
      <c r="F306" s="80">
        <f t="shared" si="10"/>
        <v>63.145953611111111</v>
      </c>
    </row>
    <row r="307" spans="1:6" ht="20.100000000000001" customHeight="1">
      <c r="A307" s="174">
        <v>28</v>
      </c>
      <c r="B307" s="277" t="s">
        <v>780</v>
      </c>
      <c r="C307" s="182">
        <v>73.966899999999995</v>
      </c>
      <c r="D307" s="182">
        <v>74.012100000000004</v>
      </c>
      <c r="E307" s="60">
        <f t="shared" si="11"/>
        <v>-4.5200000000008345E-2</v>
      </c>
      <c r="F307" s="80">
        <f t="shared" si="10"/>
        <v>62.143153611111103</v>
      </c>
    </row>
    <row r="308" spans="1:6" ht="20.100000000000001" customHeight="1">
      <c r="A308" s="174">
        <v>28</v>
      </c>
      <c r="B308" s="277" t="s">
        <v>781</v>
      </c>
      <c r="C308" s="182">
        <v>73.625799999999998</v>
      </c>
      <c r="D308" s="182">
        <v>73.669799999999995</v>
      </c>
      <c r="E308" s="60">
        <f t="shared" si="11"/>
        <v>-4.399999999999693E-2</v>
      </c>
      <c r="F308" s="80">
        <f t="shared" si="10"/>
        <v>61.802053611111106</v>
      </c>
    </row>
    <row r="309" spans="1:6" ht="20.100000000000001" customHeight="1">
      <c r="A309" s="174">
        <v>28</v>
      </c>
      <c r="B309" s="277" t="s">
        <v>782</v>
      </c>
      <c r="C309" s="182">
        <v>72.165199999999999</v>
      </c>
      <c r="D309" s="182">
        <v>72.206199999999995</v>
      </c>
      <c r="E309" s="60">
        <f t="shared" si="11"/>
        <v>-4.0999999999996817E-2</v>
      </c>
      <c r="F309" s="80">
        <f t="shared" si="10"/>
        <v>60.341453611111106</v>
      </c>
    </row>
    <row r="310" spans="1:6" ht="20.100000000000001" customHeight="1">
      <c r="A310" s="174">
        <v>28</v>
      </c>
      <c r="B310" s="277" t="s">
        <v>783</v>
      </c>
      <c r="C310" s="182">
        <v>74.610299999999995</v>
      </c>
      <c r="D310" s="182">
        <v>74.652900000000002</v>
      </c>
      <c r="E310" s="60">
        <f t="shared" si="11"/>
        <v>-4.2600000000007299E-2</v>
      </c>
      <c r="F310" s="80">
        <f t="shared" si="10"/>
        <v>62.786553611111103</v>
      </c>
    </row>
    <row r="311" spans="1:6" ht="20.100000000000001" customHeight="1">
      <c r="A311" s="174">
        <v>28</v>
      </c>
      <c r="B311" s="277" t="s">
        <v>784</v>
      </c>
      <c r="C311" s="182">
        <v>72.745999999999995</v>
      </c>
      <c r="D311" s="182">
        <v>72.792199999999994</v>
      </c>
      <c r="E311" s="60">
        <f t="shared" si="11"/>
        <v>-4.6199999999998909E-2</v>
      </c>
      <c r="F311" s="80">
        <f t="shared" si="10"/>
        <v>60.922253611111103</v>
      </c>
    </row>
    <row r="312" spans="1:6" ht="20.100000000000001" customHeight="1">
      <c r="A312" s="174">
        <v>28</v>
      </c>
      <c r="B312" s="277" t="s">
        <v>785</v>
      </c>
      <c r="C312" s="182">
        <v>77.2119</v>
      </c>
      <c r="D312" s="182">
        <v>77.258200000000002</v>
      </c>
      <c r="E312" s="60">
        <f t="shared" si="11"/>
        <v>-4.6300000000002228E-2</v>
      </c>
      <c r="F312" s="80">
        <f t="shared" si="10"/>
        <v>65.388153611111107</v>
      </c>
    </row>
    <row r="313" spans="1:6" ht="20.100000000000001" customHeight="1">
      <c r="A313" s="174">
        <v>28</v>
      </c>
      <c r="B313" s="277" t="s">
        <v>786</v>
      </c>
      <c r="C313" s="182">
        <v>74.293199999999999</v>
      </c>
      <c r="D313" s="182">
        <v>74.340599999999995</v>
      </c>
      <c r="E313" s="60">
        <f t="shared" si="11"/>
        <v>-4.7399999999996112E-2</v>
      </c>
      <c r="F313" s="80">
        <f t="shared" si="10"/>
        <v>62.469453611111106</v>
      </c>
    </row>
    <row r="314" spans="1:6" ht="20.100000000000001" customHeight="1">
      <c r="A314" s="324">
        <v>28</v>
      </c>
      <c r="B314" s="324" t="s">
        <v>787</v>
      </c>
      <c r="C314" s="141">
        <v>72.472399999999993</v>
      </c>
      <c r="D314" s="141">
        <v>72.515699999999995</v>
      </c>
      <c r="E314" s="81">
        <f t="shared" si="11"/>
        <v>-4.3300000000002115E-2</v>
      </c>
      <c r="F314" s="81">
        <f t="shared" si="10"/>
        <v>60.648653611111101</v>
      </c>
    </row>
    <row r="315" spans="1:6" ht="20.100000000000001" customHeight="1">
      <c r="A315" s="174">
        <v>29</v>
      </c>
      <c r="B315" s="277" t="s">
        <v>788</v>
      </c>
      <c r="C315" s="182">
        <v>74.512900000000002</v>
      </c>
      <c r="D315" s="182">
        <v>74.562200000000004</v>
      </c>
      <c r="E315" s="60">
        <f t="shared" si="11"/>
        <v>-4.9300000000002342E-2</v>
      </c>
      <c r="F315" s="80">
        <f t="shared" si="10"/>
        <v>62.689153611111109</v>
      </c>
    </row>
    <row r="316" spans="1:6" ht="20.100000000000001" customHeight="1">
      <c r="A316" s="174">
        <v>29</v>
      </c>
      <c r="B316" s="277" t="s">
        <v>789</v>
      </c>
      <c r="C316" s="182">
        <v>74.352000000000004</v>
      </c>
      <c r="D316" s="182">
        <v>74.396799999999999</v>
      </c>
      <c r="E316" s="60">
        <f t="shared" si="11"/>
        <v>-4.4799999999995066E-2</v>
      </c>
      <c r="F316" s="80">
        <f t="shared" si="10"/>
        <v>62.528253611111111</v>
      </c>
    </row>
    <row r="317" spans="1:6" ht="20.100000000000001" customHeight="1">
      <c r="A317" s="174">
        <v>29</v>
      </c>
      <c r="B317" s="277" t="s">
        <v>790</v>
      </c>
      <c r="C317" s="182">
        <v>75.457800000000006</v>
      </c>
      <c r="D317" s="182">
        <v>75.505399999999995</v>
      </c>
      <c r="E317" s="60">
        <f t="shared" si="11"/>
        <v>-4.759999999998854E-2</v>
      </c>
      <c r="F317" s="80">
        <f t="shared" si="10"/>
        <v>63.634053611111113</v>
      </c>
    </row>
    <row r="318" spans="1:6" ht="20.100000000000001" customHeight="1">
      <c r="A318" s="174">
        <v>29</v>
      </c>
      <c r="B318" s="277" t="s">
        <v>791</v>
      </c>
      <c r="C318" s="182">
        <v>71.930099999999996</v>
      </c>
      <c r="D318" s="182">
        <v>71.981999999999999</v>
      </c>
      <c r="E318" s="60">
        <f t="shared" si="11"/>
        <v>-5.1900000000003388E-2</v>
      </c>
      <c r="F318" s="80">
        <f t="shared" si="10"/>
        <v>60.106353611111103</v>
      </c>
    </row>
    <row r="319" spans="1:6" ht="20.100000000000001" customHeight="1">
      <c r="A319" s="174">
        <v>29</v>
      </c>
      <c r="B319" s="277" t="s">
        <v>792</v>
      </c>
      <c r="C319" s="182">
        <v>73.585599999999999</v>
      </c>
      <c r="D319" s="182">
        <v>73.635599999999997</v>
      </c>
      <c r="E319" s="60">
        <f t="shared" si="11"/>
        <v>-4.9999999999997158E-2</v>
      </c>
      <c r="F319" s="80">
        <f t="shared" si="10"/>
        <v>61.761853611111107</v>
      </c>
    </row>
    <row r="320" spans="1:6" ht="20.100000000000001" customHeight="1">
      <c r="A320" s="174">
        <v>29</v>
      </c>
      <c r="B320" s="277" t="s">
        <v>793</v>
      </c>
      <c r="C320" s="182">
        <v>74.609899999999996</v>
      </c>
      <c r="D320" s="182">
        <v>74.660700000000006</v>
      </c>
      <c r="E320" s="60">
        <f t="shared" si="11"/>
        <v>-5.0800000000009504E-2</v>
      </c>
      <c r="F320" s="80">
        <f t="shared" si="10"/>
        <v>62.786153611111104</v>
      </c>
    </row>
    <row r="321" spans="1:6" ht="20.100000000000001" customHeight="1">
      <c r="A321" s="174">
        <v>29</v>
      </c>
      <c r="B321" s="277" t="s">
        <v>794</v>
      </c>
      <c r="C321" s="182">
        <v>72.737700000000004</v>
      </c>
      <c r="D321" s="182">
        <v>72.7864</v>
      </c>
      <c r="E321" s="60">
        <f t="shared" si="11"/>
        <v>-4.8699999999996635E-2</v>
      </c>
      <c r="F321" s="80">
        <f t="shared" si="10"/>
        <v>60.913953611111111</v>
      </c>
    </row>
    <row r="322" spans="1:6" ht="20.100000000000001" customHeight="1">
      <c r="A322" s="174">
        <v>29</v>
      </c>
      <c r="B322" s="277" t="s">
        <v>795</v>
      </c>
      <c r="C322" s="182">
        <v>75.753600000000006</v>
      </c>
      <c r="D322" s="182">
        <v>75.802000000000007</v>
      </c>
      <c r="E322" s="60">
        <f t="shared" si="11"/>
        <v>-4.8400000000000887E-2</v>
      </c>
      <c r="F322" s="80">
        <f t="shared" si="10"/>
        <v>63.929853611111113</v>
      </c>
    </row>
    <row r="323" spans="1:6" ht="20.100000000000001" customHeight="1">
      <c r="A323" s="174">
        <v>29</v>
      </c>
      <c r="B323" s="277" t="s">
        <v>796</v>
      </c>
      <c r="C323" s="182">
        <v>75.744500000000002</v>
      </c>
      <c r="D323" s="182">
        <v>75.794200000000004</v>
      </c>
      <c r="E323" s="60">
        <f t="shared" si="11"/>
        <v>-4.970000000000141E-2</v>
      </c>
      <c r="F323" s="80">
        <f t="shared" si="10"/>
        <v>63.92075361111111</v>
      </c>
    </row>
    <row r="324" spans="1:6" ht="20.100000000000001" customHeight="1">
      <c r="A324" s="174">
        <v>29</v>
      </c>
      <c r="B324" s="277" t="s">
        <v>797</v>
      </c>
      <c r="C324" s="182">
        <v>73.445999999999998</v>
      </c>
      <c r="D324" s="182">
        <v>73.498500000000007</v>
      </c>
      <c r="E324" s="60">
        <f t="shared" si="11"/>
        <v>-5.2500000000009095E-2</v>
      </c>
      <c r="F324" s="80">
        <f t="shared" si="10"/>
        <v>61.622253611111105</v>
      </c>
    </row>
    <row r="325" spans="1:6" ht="20.100000000000001" customHeight="1">
      <c r="A325" s="174">
        <v>29</v>
      </c>
      <c r="B325" s="277" t="s">
        <v>798</v>
      </c>
      <c r="C325" s="182">
        <v>72.891400000000004</v>
      </c>
      <c r="D325" s="182">
        <v>72.942400000000006</v>
      </c>
      <c r="E325" s="60">
        <f t="shared" si="11"/>
        <v>-5.1000000000001933E-2</v>
      </c>
      <c r="F325" s="80">
        <f t="shared" si="10"/>
        <v>61.067653611111112</v>
      </c>
    </row>
    <row r="326" spans="1:6" ht="20.100000000000001" customHeight="1">
      <c r="A326" s="174">
        <v>29</v>
      </c>
      <c r="B326" s="277" t="s">
        <v>799</v>
      </c>
      <c r="C326" s="182">
        <v>75.182000000000002</v>
      </c>
      <c r="D326" s="182">
        <v>75.2316</v>
      </c>
      <c r="E326" s="60">
        <f t="shared" si="11"/>
        <v>-4.959999999999809E-2</v>
      </c>
      <c r="F326" s="80">
        <f t="shared" si="10"/>
        <v>63.35825361111111</v>
      </c>
    </row>
    <row r="327" spans="1:6" ht="20.100000000000001" customHeight="1">
      <c r="A327" s="174">
        <v>29</v>
      </c>
      <c r="B327" s="277" t="s">
        <v>800</v>
      </c>
      <c r="C327" s="182">
        <v>72.209400000000002</v>
      </c>
      <c r="D327" s="182">
        <v>72.258300000000006</v>
      </c>
      <c r="E327" s="60">
        <f t="shared" si="11"/>
        <v>-4.8900000000003274E-2</v>
      </c>
      <c r="F327" s="80">
        <f t="shared" si="10"/>
        <v>60.38565361111111</v>
      </c>
    </row>
    <row r="328" spans="1:6" ht="20.100000000000001" customHeight="1">
      <c r="A328" s="174">
        <v>29</v>
      </c>
      <c r="B328" s="277" t="s">
        <v>801</v>
      </c>
      <c r="C328" s="182">
        <v>71.828299999999999</v>
      </c>
      <c r="D328" s="182">
        <v>71.871499999999997</v>
      </c>
      <c r="E328" s="60">
        <f t="shared" si="11"/>
        <v>-4.3199999999998795E-2</v>
      </c>
      <c r="F328" s="80">
        <f t="shared" si="10"/>
        <v>60.004553611111106</v>
      </c>
    </row>
    <row r="329" spans="1:6" ht="20.100000000000001" customHeight="1">
      <c r="A329" s="174">
        <v>29</v>
      </c>
      <c r="B329" s="277" t="s">
        <v>802</v>
      </c>
      <c r="C329" s="182">
        <v>71.028199999999998</v>
      </c>
      <c r="D329" s="182">
        <v>71.076700000000002</v>
      </c>
      <c r="E329" s="60">
        <f t="shared" si="11"/>
        <v>-4.8500000000004206E-2</v>
      </c>
      <c r="F329" s="80">
        <f t="shared" si="10"/>
        <v>59.204453611111106</v>
      </c>
    </row>
    <row r="330" spans="1:6" ht="20.100000000000001" customHeight="1">
      <c r="A330" s="174">
        <v>29</v>
      </c>
      <c r="B330" s="277" t="s">
        <v>803</v>
      </c>
      <c r="C330" s="182">
        <v>75.325000000000003</v>
      </c>
      <c r="D330" s="182">
        <v>75.375500000000002</v>
      </c>
      <c r="E330" s="60">
        <f t="shared" si="11"/>
        <v>-5.0499999999999545E-2</v>
      </c>
      <c r="F330" s="80">
        <f t="shared" si="10"/>
        <v>63.50125361111111</v>
      </c>
    </row>
    <row r="331" spans="1:6" ht="20.100000000000001" customHeight="1">
      <c r="A331" s="174">
        <v>29</v>
      </c>
      <c r="B331" s="277" t="s">
        <v>804</v>
      </c>
      <c r="C331" s="182">
        <v>71.227900000000005</v>
      </c>
      <c r="D331" s="182">
        <v>71.276499999999999</v>
      </c>
      <c r="E331" s="60">
        <f t="shared" si="11"/>
        <v>-4.8599999999993315E-2</v>
      </c>
      <c r="F331" s="80">
        <f t="shared" si="10"/>
        <v>59.404153611111113</v>
      </c>
    </row>
    <row r="332" spans="1:6" ht="20.100000000000001" customHeight="1">
      <c r="A332" s="174">
        <v>29</v>
      </c>
      <c r="B332" s="277" t="s">
        <v>805</v>
      </c>
      <c r="C332" s="182">
        <v>75.127099999999999</v>
      </c>
      <c r="D332" s="182">
        <v>75.1785</v>
      </c>
      <c r="E332" s="60">
        <f t="shared" si="11"/>
        <v>-5.1400000000001E-2</v>
      </c>
      <c r="F332" s="80">
        <f t="shared" si="10"/>
        <v>63.303353611111106</v>
      </c>
    </row>
    <row r="333" spans="1:6" ht="20.100000000000001" customHeight="1">
      <c r="A333" s="174">
        <v>29</v>
      </c>
      <c r="B333" s="277" t="s">
        <v>806</v>
      </c>
      <c r="C333" s="182">
        <v>73.813599999999994</v>
      </c>
      <c r="D333" s="182">
        <v>73.863100000000003</v>
      </c>
      <c r="E333" s="60">
        <f t="shared" si="11"/>
        <v>-4.9500000000008981E-2</v>
      </c>
      <c r="F333" s="80">
        <f t="shared" si="10"/>
        <v>61.989853611111101</v>
      </c>
    </row>
    <row r="334" spans="1:6" ht="20.100000000000001" customHeight="1">
      <c r="A334" s="174">
        <v>29</v>
      </c>
      <c r="B334" s="277" t="s">
        <v>807</v>
      </c>
      <c r="C334" s="182">
        <v>72.317800000000005</v>
      </c>
      <c r="D334" s="182">
        <v>72.369</v>
      </c>
      <c r="E334" s="60">
        <f t="shared" si="11"/>
        <v>-5.1199999999994361E-2</v>
      </c>
      <c r="F334" s="80">
        <f t="shared" ref="F334:F397" si="12">C334-$I$84</f>
        <v>60.494053611111113</v>
      </c>
    </row>
    <row r="335" spans="1:6" ht="20.100000000000001" customHeight="1">
      <c r="A335" s="174">
        <v>29</v>
      </c>
      <c r="B335" s="277" t="s">
        <v>808</v>
      </c>
      <c r="C335" s="182">
        <v>75.631399999999999</v>
      </c>
      <c r="D335" s="182">
        <v>75.679900000000004</v>
      </c>
      <c r="E335" s="60">
        <f t="shared" ref="E335:E398" si="13">C335-D335</f>
        <v>-4.8500000000004206E-2</v>
      </c>
      <c r="F335" s="80">
        <f t="shared" si="12"/>
        <v>63.807653611111107</v>
      </c>
    </row>
    <row r="336" spans="1:6" ht="20.100000000000001" customHeight="1">
      <c r="A336" s="174">
        <v>29</v>
      </c>
      <c r="B336" s="277" t="s">
        <v>809</v>
      </c>
      <c r="C336" s="182">
        <v>71.789199999999994</v>
      </c>
      <c r="D336" s="182">
        <v>71.840999999999994</v>
      </c>
      <c r="E336" s="60">
        <f t="shared" si="13"/>
        <v>-5.1800000000000068E-2</v>
      </c>
      <c r="F336" s="80">
        <f t="shared" si="12"/>
        <v>59.965453611111101</v>
      </c>
    </row>
    <row r="337" spans="1:6" ht="20.100000000000001" customHeight="1">
      <c r="A337" s="174">
        <v>29</v>
      </c>
      <c r="B337" s="277" t="s">
        <v>810</v>
      </c>
      <c r="C337" s="182">
        <v>73.775400000000005</v>
      </c>
      <c r="D337" s="182">
        <v>73.822400000000002</v>
      </c>
      <c r="E337" s="60">
        <f t="shared" si="13"/>
        <v>-4.6999999999997044E-2</v>
      </c>
      <c r="F337" s="80">
        <f t="shared" si="12"/>
        <v>61.951653611111112</v>
      </c>
    </row>
    <row r="338" spans="1:6" ht="20.100000000000001" customHeight="1">
      <c r="A338" s="174">
        <v>29</v>
      </c>
      <c r="B338" s="277" t="s">
        <v>811</v>
      </c>
      <c r="C338" s="182">
        <v>71.827200000000005</v>
      </c>
      <c r="D338" s="182">
        <v>71.876900000000006</v>
      </c>
      <c r="E338" s="60">
        <f t="shared" si="13"/>
        <v>-4.970000000000141E-2</v>
      </c>
      <c r="F338" s="80">
        <f t="shared" si="12"/>
        <v>60.003453611111112</v>
      </c>
    </row>
    <row r="339" spans="1:6" ht="20.100000000000001" customHeight="1">
      <c r="A339" s="174">
        <v>29</v>
      </c>
      <c r="B339" s="277" t="s">
        <v>812</v>
      </c>
      <c r="C339" s="182">
        <v>75.571399999999997</v>
      </c>
      <c r="D339" s="182">
        <v>75.620500000000007</v>
      </c>
      <c r="E339" s="60">
        <f t="shared" si="13"/>
        <v>-4.9100000000009913E-2</v>
      </c>
      <c r="F339" s="80">
        <f t="shared" si="12"/>
        <v>63.747653611111105</v>
      </c>
    </row>
    <row r="340" spans="1:6" ht="20.100000000000001" customHeight="1">
      <c r="A340" s="174">
        <v>29</v>
      </c>
      <c r="B340" s="277" t="s">
        <v>813</v>
      </c>
      <c r="C340" s="182">
        <v>72.048500000000004</v>
      </c>
      <c r="D340" s="182">
        <v>72.099599999999995</v>
      </c>
      <c r="E340" s="60">
        <f t="shared" si="13"/>
        <v>-5.1099999999991041E-2</v>
      </c>
      <c r="F340" s="80">
        <f t="shared" si="12"/>
        <v>60.224753611111112</v>
      </c>
    </row>
    <row r="341" spans="1:6" ht="20.100000000000001" customHeight="1">
      <c r="A341" s="174">
        <v>29</v>
      </c>
      <c r="B341" s="277" t="s">
        <v>814</v>
      </c>
      <c r="C341" s="182">
        <v>72.582999999999998</v>
      </c>
      <c r="D341" s="182">
        <v>72.633200000000002</v>
      </c>
      <c r="E341" s="60">
        <f t="shared" si="13"/>
        <v>-5.0200000000003797E-2</v>
      </c>
      <c r="F341" s="80">
        <f t="shared" si="12"/>
        <v>60.759253611111106</v>
      </c>
    </row>
    <row r="342" spans="1:6" ht="20.100000000000001" customHeight="1">
      <c r="A342" s="174">
        <v>29</v>
      </c>
      <c r="B342" s="277" t="s">
        <v>815</v>
      </c>
      <c r="C342" s="182">
        <v>70.463800000000006</v>
      </c>
      <c r="D342" s="182">
        <v>70.514200000000002</v>
      </c>
      <c r="E342" s="60">
        <f t="shared" si="13"/>
        <v>-5.0399999999996226E-2</v>
      </c>
      <c r="F342" s="80">
        <f t="shared" si="12"/>
        <v>58.640053611111114</v>
      </c>
    </row>
    <row r="343" spans="1:6" ht="20.100000000000001" customHeight="1">
      <c r="A343" s="174">
        <v>29</v>
      </c>
      <c r="B343" s="277" t="s">
        <v>816</v>
      </c>
      <c r="C343" s="182">
        <v>72.1755</v>
      </c>
      <c r="D343" s="182">
        <v>72.223799999999997</v>
      </c>
      <c r="E343" s="60">
        <f t="shared" si="13"/>
        <v>-4.8299999999997567E-2</v>
      </c>
      <c r="F343" s="80">
        <f t="shared" si="12"/>
        <v>60.351753611111107</v>
      </c>
    </row>
    <row r="344" spans="1:6" ht="20.100000000000001" customHeight="1">
      <c r="A344" s="174">
        <v>29</v>
      </c>
      <c r="B344" s="277" t="s">
        <v>817</v>
      </c>
      <c r="C344" s="182">
        <v>75.534999999999997</v>
      </c>
      <c r="D344" s="182">
        <v>75.586200000000005</v>
      </c>
      <c r="E344" s="60">
        <f t="shared" si="13"/>
        <v>-5.1200000000008572E-2</v>
      </c>
      <c r="F344" s="80">
        <f t="shared" si="12"/>
        <v>63.711253611111104</v>
      </c>
    </row>
    <row r="345" spans="1:6" ht="20.100000000000001" customHeight="1">
      <c r="A345" s="174">
        <v>29</v>
      </c>
      <c r="B345" s="277" t="s">
        <v>818</v>
      </c>
      <c r="C345" s="182">
        <v>71.325800000000001</v>
      </c>
      <c r="D345" s="182">
        <v>71.378399999999999</v>
      </c>
      <c r="E345" s="60">
        <f t="shared" si="13"/>
        <v>-5.2599999999998204E-2</v>
      </c>
      <c r="F345" s="80">
        <f t="shared" si="12"/>
        <v>59.502053611111108</v>
      </c>
    </row>
    <row r="346" spans="1:6" ht="20.100000000000001" customHeight="1">
      <c r="A346" s="174">
        <v>29</v>
      </c>
      <c r="B346" s="277" t="s">
        <v>819</v>
      </c>
      <c r="C346" s="182">
        <v>73.553100000000001</v>
      </c>
      <c r="D346" s="182">
        <v>73.604699999999994</v>
      </c>
      <c r="E346" s="60">
        <f t="shared" si="13"/>
        <v>-5.1599999999993429E-2</v>
      </c>
      <c r="F346" s="80">
        <f t="shared" si="12"/>
        <v>61.729353611111108</v>
      </c>
    </row>
    <row r="347" spans="1:6" ht="20.100000000000001" customHeight="1">
      <c r="A347" s="174">
        <v>29</v>
      </c>
      <c r="B347" s="277" t="s">
        <v>820</v>
      </c>
      <c r="C347" s="182">
        <v>72.452600000000004</v>
      </c>
      <c r="D347" s="182">
        <v>72.502799999999993</v>
      </c>
      <c r="E347" s="60">
        <f t="shared" si="13"/>
        <v>-5.0199999999989586E-2</v>
      </c>
      <c r="F347" s="80">
        <f t="shared" si="12"/>
        <v>60.628853611111111</v>
      </c>
    </row>
    <row r="348" spans="1:6" ht="20.100000000000001" customHeight="1">
      <c r="A348" s="174">
        <v>29</v>
      </c>
      <c r="B348" s="277" t="s">
        <v>821</v>
      </c>
      <c r="C348" s="182">
        <v>72.071700000000007</v>
      </c>
      <c r="D348" s="182">
        <v>72.122799999999998</v>
      </c>
      <c r="E348" s="60">
        <f t="shared" si="13"/>
        <v>-5.1099999999991041E-2</v>
      </c>
      <c r="F348" s="80">
        <f t="shared" si="12"/>
        <v>60.247953611111114</v>
      </c>
    </row>
    <row r="349" spans="1:6" ht="20.100000000000001" customHeight="1">
      <c r="A349" s="174">
        <v>29</v>
      </c>
      <c r="B349" s="277" t="s">
        <v>822</v>
      </c>
      <c r="C349" s="182">
        <v>75.299499999999995</v>
      </c>
      <c r="D349" s="182">
        <v>75.349599999999995</v>
      </c>
      <c r="E349" s="60">
        <f t="shared" si="13"/>
        <v>-5.0100000000000477E-2</v>
      </c>
      <c r="F349" s="80">
        <f t="shared" si="12"/>
        <v>63.475753611111102</v>
      </c>
    </row>
    <row r="350" spans="1:6" ht="20.100000000000001" customHeight="1">
      <c r="A350" s="174">
        <v>29</v>
      </c>
      <c r="B350" s="277" t="s">
        <v>823</v>
      </c>
      <c r="C350" s="182">
        <v>72.974199999999996</v>
      </c>
      <c r="D350" s="182">
        <v>73.0244</v>
      </c>
      <c r="E350" s="60">
        <f t="shared" si="13"/>
        <v>-5.0200000000003797E-2</v>
      </c>
      <c r="F350" s="80">
        <f t="shared" si="12"/>
        <v>61.150453611111104</v>
      </c>
    </row>
    <row r="351" spans="1:6" ht="20.100000000000001" customHeight="1">
      <c r="A351" s="174">
        <v>29</v>
      </c>
      <c r="B351" s="277" t="s">
        <v>824</v>
      </c>
      <c r="C351" s="182">
        <v>73.765199999999993</v>
      </c>
      <c r="D351" s="182">
        <v>73.815700000000007</v>
      </c>
      <c r="E351" s="60">
        <f t="shared" si="13"/>
        <v>-5.0500000000013756E-2</v>
      </c>
      <c r="F351" s="80">
        <f t="shared" si="12"/>
        <v>61.9414536111111</v>
      </c>
    </row>
    <row r="352" spans="1:6" ht="20.100000000000001" customHeight="1">
      <c r="A352" s="174">
        <v>29</v>
      </c>
      <c r="B352" s="277" t="s">
        <v>825</v>
      </c>
      <c r="C352" s="182">
        <v>71.904300000000006</v>
      </c>
      <c r="D352" s="182">
        <v>71.9572</v>
      </c>
      <c r="E352" s="60">
        <f t="shared" si="13"/>
        <v>-5.2899999999993952E-2</v>
      </c>
      <c r="F352" s="80">
        <f t="shared" si="12"/>
        <v>60.080553611111114</v>
      </c>
    </row>
    <row r="353" spans="1:6" ht="20.100000000000001" customHeight="1">
      <c r="A353" s="174">
        <v>29</v>
      </c>
      <c r="B353" s="277" t="s">
        <v>826</v>
      </c>
      <c r="C353" s="182">
        <v>74.8142</v>
      </c>
      <c r="D353" s="182">
        <v>74.863100000000003</v>
      </c>
      <c r="E353" s="60">
        <f t="shared" si="13"/>
        <v>-4.8900000000003274E-2</v>
      </c>
      <c r="F353" s="80">
        <f t="shared" si="12"/>
        <v>62.990453611111107</v>
      </c>
    </row>
    <row r="354" spans="1:6" ht="20.100000000000001" customHeight="1">
      <c r="A354" s="174">
        <v>29</v>
      </c>
      <c r="B354" s="277" t="s">
        <v>827</v>
      </c>
      <c r="C354" s="182">
        <v>72.287800000000004</v>
      </c>
      <c r="D354" s="182">
        <v>72.340199999999996</v>
      </c>
      <c r="E354" s="60">
        <f t="shared" si="13"/>
        <v>-5.2399999999991564E-2</v>
      </c>
      <c r="F354" s="80">
        <f t="shared" si="12"/>
        <v>60.464053611111112</v>
      </c>
    </row>
    <row r="355" spans="1:6" ht="20.100000000000001" customHeight="1">
      <c r="A355" s="174">
        <v>29</v>
      </c>
      <c r="B355" s="277" t="s">
        <v>828</v>
      </c>
      <c r="C355" s="182">
        <v>74.338200000000001</v>
      </c>
      <c r="D355" s="182">
        <v>74.388800000000003</v>
      </c>
      <c r="E355" s="60">
        <f t="shared" si="13"/>
        <v>-5.0600000000002865E-2</v>
      </c>
      <c r="F355" s="80">
        <f t="shared" si="12"/>
        <v>62.514453611111108</v>
      </c>
    </row>
    <row r="356" spans="1:6" ht="20.100000000000001" customHeight="1">
      <c r="A356" s="174">
        <v>29</v>
      </c>
      <c r="B356" s="277" t="s">
        <v>829</v>
      </c>
      <c r="C356" s="182">
        <v>72.357200000000006</v>
      </c>
      <c r="D356" s="182">
        <v>72.409099999999995</v>
      </c>
      <c r="E356" s="60">
        <f t="shared" si="13"/>
        <v>-5.1899999999989177E-2</v>
      </c>
      <c r="F356" s="80">
        <f t="shared" si="12"/>
        <v>60.533453611111113</v>
      </c>
    </row>
    <row r="357" spans="1:6" ht="20.100000000000001" customHeight="1">
      <c r="A357" s="174">
        <v>29</v>
      </c>
      <c r="B357" s="277" t="s">
        <v>830</v>
      </c>
      <c r="C357" s="182">
        <v>75.189099999999996</v>
      </c>
      <c r="D357" s="182">
        <v>75.238100000000003</v>
      </c>
      <c r="E357" s="60">
        <f t="shared" si="13"/>
        <v>-4.9000000000006594E-2</v>
      </c>
      <c r="F357" s="80">
        <f t="shared" si="12"/>
        <v>63.365353611111104</v>
      </c>
    </row>
    <row r="358" spans="1:6" ht="20.100000000000001" customHeight="1">
      <c r="A358" s="174">
        <v>29</v>
      </c>
      <c r="B358" s="277" t="s">
        <v>831</v>
      </c>
      <c r="C358" s="182">
        <v>71.576300000000003</v>
      </c>
      <c r="D358" s="182">
        <v>71.653499999999994</v>
      </c>
      <c r="E358" s="60">
        <f t="shared" si="13"/>
        <v>-7.7199999999990609E-2</v>
      </c>
      <c r="F358" s="80">
        <f t="shared" si="12"/>
        <v>59.752553611111111</v>
      </c>
    </row>
    <row r="359" spans="1:6" ht="20.100000000000001" customHeight="1">
      <c r="A359" s="174">
        <v>29</v>
      </c>
      <c r="B359" s="277" t="s">
        <v>832</v>
      </c>
      <c r="C359" s="182">
        <v>73.323400000000007</v>
      </c>
      <c r="D359" s="182">
        <v>73.370599999999996</v>
      </c>
      <c r="E359" s="60">
        <f t="shared" si="13"/>
        <v>-4.7199999999989473E-2</v>
      </c>
      <c r="F359" s="80">
        <f t="shared" si="12"/>
        <v>61.499653611111114</v>
      </c>
    </row>
    <row r="360" spans="1:6" ht="20.100000000000001" customHeight="1">
      <c r="A360" s="174">
        <v>29</v>
      </c>
      <c r="B360" s="277" t="s">
        <v>833</v>
      </c>
      <c r="C360" s="182">
        <v>74.668800000000005</v>
      </c>
      <c r="D360" s="182">
        <v>74.717600000000004</v>
      </c>
      <c r="E360" s="60">
        <f t="shared" si="13"/>
        <v>-4.8799999999999955E-2</v>
      </c>
      <c r="F360" s="80">
        <f t="shared" si="12"/>
        <v>62.845053611111112</v>
      </c>
    </row>
    <row r="361" spans="1:6" ht="20.100000000000001" customHeight="1">
      <c r="A361" s="174">
        <v>29</v>
      </c>
      <c r="B361" s="277" t="s">
        <v>834</v>
      </c>
      <c r="C361" s="182">
        <v>71.644900000000007</v>
      </c>
      <c r="D361" s="182">
        <v>71.696399999999997</v>
      </c>
      <c r="E361" s="60">
        <f t="shared" si="13"/>
        <v>-5.1499999999990109E-2</v>
      </c>
      <c r="F361" s="80">
        <f t="shared" si="12"/>
        <v>59.821153611111114</v>
      </c>
    </row>
    <row r="362" spans="1:6" ht="20.100000000000001" customHeight="1">
      <c r="A362" s="174">
        <v>29</v>
      </c>
      <c r="B362" s="277" t="s">
        <v>835</v>
      </c>
      <c r="C362" s="182">
        <v>71.241900000000001</v>
      </c>
      <c r="D362" s="182">
        <v>71.291200000000003</v>
      </c>
      <c r="E362" s="60">
        <f t="shared" si="13"/>
        <v>-4.9300000000002342E-2</v>
      </c>
      <c r="F362" s="80">
        <f t="shared" si="12"/>
        <v>59.418153611111109</v>
      </c>
    </row>
    <row r="363" spans="1:6" ht="20.100000000000001" customHeight="1">
      <c r="A363" s="174">
        <v>29</v>
      </c>
      <c r="B363" s="277" t="s">
        <v>836</v>
      </c>
      <c r="C363" s="182">
        <v>75.280699999999996</v>
      </c>
      <c r="D363" s="182">
        <v>75.328500000000005</v>
      </c>
      <c r="E363" s="60">
        <f t="shared" si="13"/>
        <v>-4.7800000000009391E-2</v>
      </c>
      <c r="F363" s="80">
        <f t="shared" si="12"/>
        <v>63.456953611111103</v>
      </c>
    </row>
    <row r="364" spans="1:6" ht="20.100000000000001" customHeight="1">
      <c r="A364" s="324">
        <v>29</v>
      </c>
      <c r="B364" s="324" t="s">
        <v>837</v>
      </c>
      <c r="C364" s="141">
        <v>71.442400000000006</v>
      </c>
      <c r="D364" s="141">
        <v>71.493499999999997</v>
      </c>
      <c r="E364" s="81">
        <f t="shared" si="13"/>
        <v>-5.1099999999991041E-2</v>
      </c>
      <c r="F364" s="81">
        <f t="shared" si="12"/>
        <v>59.618653611111114</v>
      </c>
    </row>
    <row r="365" spans="1:6" ht="20.100000000000001" customHeight="1">
      <c r="A365" s="174">
        <v>38</v>
      </c>
      <c r="B365" s="277" t="s">
        <v>838</v>
      </c>
      <c r="C365" s="182">
        <v>75.484300000000005</v>
      </c>
      <c r="D365" s="182">
        <v>75.535700000000006</v>
      </c>
      <c r="E365" s="60">
        <f t="shared" si="13"/>
        <v>-5.1400000000001E-2</v>
      </c>
      <c r="F365" s="80">
        <f t="shared" si="12"/>
        <v>63.660553611111112</v>
      </c>
    </row>
    <row r="366" spans="1:6" ht="20.100000000000001" customHeight="1">
      <c r="A366" s="174">
        <v>38</v>
      </c>
      <c r="B366" s="277" t="s">
        <v>839</v>
      </c>
      <c r="C366" s="182">
        <v>75.475399999999993</v>
      </c>
      <c r="D366" s="182">
        <v>75.516499999999994</v>
      </c>
      <c r="E366" s="60">
        <f t="shared" si="13"/>
        <v>-4.1100000000000136E-2</v>
      </c>
      <c r="F366" s="80">
        <f t="shared" si="12"/>
        <v>63.651653611111101</v>
      </c>
    </row>
    <row r="367" spans="1:6" ht="20.100000000000001" customHeight="1">
      <c r="A367" s="174">
        <v>38</v>
      </c>
      <c r="B367" s="277" t="s">
        <v>840</v>
      </c>
      <c r="C367" s="182">
        <v>72.655199999999994</v>
      </c>
      <c r="D367" s="182">
        <v>72.695700000000002</v>
      </c>
      <c r="E367" s="60">
        <f t="shared" si="13"/>
        <v>-4.050000000000864E-2</v>
      </c>
      <c r="F367" s="80">
        <f t="shared" si="12"/>
        <v>60.831453611111101</v>
      </c>
    </row>
    <row r="368" spans="1:6" ht="20.100000000000001" customHeight="1">
      <c r="A368" s="174">
        <v>38</v>
      </c>
      <c r="B368" s="277" t="s">
        <v>841</v>
      </c>
      <c r="C368" s="182">
        <v>73.572199999999995</v>
      </c>
      <c r="D368" s="182">
        <v>73.613600000000005</v>
      </c>
      <c r="E368" s="60">
        <f t="shared" si="13"/>
        <v>-4.1400000000010095E-2</v>
      </c>
      <c r="F368" s="80">
        <f t="shared" si="12"/>
        <v>61.748453611111103</v>
      </c>
    </row>
    <row r="369" spans="1:6" ht="20.100000000000001" customHeight="1">
      <c r="A369" s="174">
        <v>38</v>
      </c>
      <c r="B369" s="277" t="s">
        <v>842</v>
      </c>
      <c r="C369" s="182">
        <v>76.742900000000006</v>
      </c>
      <c r="D369" s="182">
        <v>76.791700000000006</v>
      </c>
      <c r="E369" s="60">
        <f t="shared" si="13"/>
        <v>-4.8799999999999955E-2</v>
      </c>
      <c r="F369" s="80">
        <f t="shared" si="12"/>
        <v>64.919153611111113</v>
      </c>
    </row>
    <row r="370" spans="1:6" ht="20.100000000000001" customHeight="1">
      <c r="A370" s="174">
        <v>38</v>
      </c>
      <c r="B370" s="277" t="s">
        <v>843</v>
      </c>
      <c r="C370" s="182">
        <v>74.954099999999997</v>
      </c>
      <c r="D370" s="182">
        <v>74.999399999999994</v>
      </c>
      <c r="E370" s="60">
        <f t="shared" si="13"/>
        <v>-4.5299999999997453E-2</v>
      </c>
      <c r="F370" s="80">
        <f t="shared" si="12"/>
        <v>63.130353611111104</v>
      </c>
    </row>
    <row r="371" spans="1:6" ht="20.100000000000001" customHeight="1">
      <c r="A371" s="174">
        <v>38</v>
      </c>
      <c r="B371" s="277" t="s">
        <v>844</v>
      </c>
      <c r="C371" s="182">
        <v>71.173699999999997</v>
      </c>
      <c r="D371" s="182">
        <v>71.221800000000002</v>
      </c>
      <c r="E371" s="60">
        <f t="shared" si="13"/>
        <v>-4.8100000000005139E-2</v>
      </c>
      <c r="F371" s="80">
        <f t="shared" si="12"/>
        <v>59.349953611111104</v>
      </c>
    </row>
    <row r="372" spans="1:6" ht="20.100000000000001" customHeight="1">
      <c r="A372" s="174">
        <v>38</v>
      </c>
      <c r="B372" s="277" t="s">
        <v>845</v>
      </c>
      <c r="C372" s="182">
        <v>75.546499999999995</v>
      </c>
      <c r="D372" s="182">
        <v>75.588300000000004</v>
      </c>
      <c r="E372" s="60">
        <f t="shared" si="13"/>
        <v>-4.1800000000009163E-2</v>
      </c>
      <c r="F372" s="80">
        <f t="shared" si="12"/>
        <v>63.722753611111102</v>
      </c>
    </row>
    <row r="373" spans="1:6" ht="20.100000000000001" customHeight="1">
      <c r="A373" s="174">
        <v>38</v>
      </c>
      <c r="B373" s="277" t="s">
        <v>846</v>
      </c>
      <c r="C373" s="182">
        <v>75.069999999999993</v>
      </c>
      <c r="D373" s="182">
        <v>75.112200000000001</v>
      </c>
      <c r="E373" s="60">
        <f t="shared" si="13"/>
        <v>-4.2200000000008231E-2</v>
      </c>
      <c r="F373" s="80">
        <f t="shared" si="12"/>
        <v>63.246253611111101</v>
      </c>
    </row>
    <row r="374" spans="1:6" ht="20.100000000000001" customHeight="1">
      <c r="A374" s="174">
        <v>38</v>
      </c>
      <c r="B374" s="277" t="s">
        <v>847</v>
      </c>
      <c r="C374" s="182">
        <v>74.105400000000003</v>
      </c>
      <c r="D374" s="182">
        <v>74.152799999999999</v>
      </c>
      <c r="E374" s="60">
        <f t="shared" si="13"/>
        <v>-4.7399999999996112E-2</v>
      </c>
      <c r="F374" s="80">
        <f t="shared" si="12"/>
        <v>62.281653611111111</v>
      </c>
    </row>
    <row r="375" spans="1:6" ht="20.100000000000001" customHeight="1">
      <c r="A375" s="174">
        <v>38</v>
      </c>
      <c r="B375" s="277" t="s">
        <v>848</v>
      </c>
      <c r="C375" s="182">
        <v>73.244</v>
      </c>
      <c r="D375" s="182">
        <v>73.288700000000006</v>
      </c>
      <c r="E375" s="60">
        <f t="shared" si="13"/>
        <v>-4.4700000000005957E-2</v>
      </c>
      <c r="F375" s="80">
        <f t="shared" si="12"/>
        <v>61.420253611111107</v>
      </c>
    </row>
    <row r="376" spans="1:6" ht="20.100000000000001" customHeight="1">
      <c r="A376" s="174">
        <v>38</v>
      </c>
      <c r="B376" s="277" t="s">
        <v>849</v>
      </c>
      <c r="C376" s="182">
        <v>74.605500000000006</v>
      </c>
      <c r="D376" s="182">
        <v>74.646600000000007</v>
      </c>
      <c r="E376" s="60">
        <f t="shared" si="13"/>
        <v>-4.1100000000000136E-2</v>
      </c>
      <c r="F376" s="80">
        <f t="shared" si="12"/>
        <v>62.781753611111114</v>
      </c>
    </row>
    <row r="377" spans="1:6" ht="20.100000000000001" customHeight="1">
      <c r="A377" s="174">
        <v>38</v>
      </c>
      <c r="B377" s="277" t="s">
        <v>850</v>
      </c>
      <c r="C377" s="182">
        <v>75.664100000000005</v>
      </c>
      <c r="D377" s="182">
        <v>75.715699999999998</v>
      </c>
      <c r="E377" s="60">
        <f t="shared" si="13"/>
        <v>-5.1599999999993429E-2</v>
      </c>
      <c r="F377" s="80">
        <f t="shared" si="12"/>
        <v>63.840353611111112</v>
      </c>
    </row>
    <row r="378" spans="1:6" ht="20.100000000000001" customHeight="1">
      <c r="A378" s="174">
        <v>38</v>
      </c>
      <c r="B378" s="277" t="s">
        <v>851</v>
      </c>
      <c r="C378" s="182">
        <v>73.007400000000004</v>
      </c>
      <c r="D378" s="182">
        <v>73.066199999999995</v>
      </c>
      <c r="E378" s="60">
        <f t="shared" si="13"/>
        <v>-5.879999999999086E-2</v>
      </c>
      <c r="F378" s="80">
        <f t="shared" si="12"/>
        <v>61.183653611111112</v>
      </c>
    </row>
    <row r="379" spans="1:6" ht="20.100000000000001" customHeight="1">
      <c r="A379" s="174">
        <v>38</v>
      </c>
      <c r="B379" s="277" t="s">
        <v>852</v>
      </c>
      <c r="C379" s="182">
        <v>73.562299999999993</v>
      </c>
      <c r="D379" s="182">
        <v>73.602400000000003</v>
      </c>
      <c r="E379" s="60">
        <f t="shared" si="13"/>
        <v>-4.0100000000009572E-2</v>
      </c>
      <c r="F379" s="80">
        <f t="shared" si="12"/>
        <v>61.738553611111101</v>
      </c>
    </row>
    <row r="380" spans="1:6" ht="20.100000000000001" customHeight="1">
      <c r="A380" s="174">
        <v>38</v>
      </c>
      <c r="B380" s="277" t="s">
        <v>853</v>
      </c>
      <c r="C380" s="182">
        <v>74.819699999999997</v>
      </c>
      <c r="D380" s="182">
        <v>74.866299999999995</v>
      </c>
      <c r="E380" s="60">
        <f t="shared" si="13"/>
        <v>-4.6599999999997976E-2</v>
      </c>
      <c r="F380" s="80">
        <f t="shared" si="12"/>
        <v>62.995953611111105</v>
      </c>
    </row>
    <row r="381" spans="1:6" ht="20.100000000000001" customHeight="1">
      <c r="A381" s="174">
        <v>38</v>
      </c>
      <c r="B381" s="277" t="s">
        <v>854</v>
      </c>
      <c r="C381" s="182">
        <v>72.3339</v>
      </c>
      <c r="D381" s="182">
        <v>72.374200000000002</v>
      </c>
      <c r="E381" s="60">
        <f t="shared" si="13"/>
        <v>-4.0300000000002001E-2</v>
      </c>
      <c r="F381" s="80">
        <f t="shared" si="12"/>
        <v>60.510153611111107</v>
      </c>
    </row>
    <row r="382" spans="1:6" ht="20.100000000000001" customHeight="1">
      <c r="A382" s="174">
        <v>38</v>
      </c>
      <c r="B382" s="277" t="s">
        <v>855</v>
      </c>
      <c r="C382" s="182">
        <v>72.699799999999996</v>
      </c>
      <c r="D382" s="182">
        <v>72.742800000000003</v>
      </c>
      <c r="E382" s="60">
        <f t="shared" si="13"/>
        <v>-4.3000000000006366E-2</v>
      </c>
      <c r="F382" s="80">
        <f t="shared" si="12"/>
        <v>60.876053611111104</v>
      </c>
    </row>
    <row r="383" spans="1:6" ht="20.100000000000001" customHeight="1">
      <c r="A383" s="174">
        <v>38</v>
      </c>
      <c r="B383" s="277" t="s">
        <v>856</v>
      </c>
      <c r="C383" s="182">
        <v>73.9512</v>
      </c>
      <c r="D383" s="182">
        <v>73.993799999999993</v>
      </c>
      <c r="E383" s="60">
        <f t="shared" si="13"/>
        <v>-4.2599999999993088E-2</v>
      </c>
      <c r="F383" s="80">
        <f t="shared" si="12"/>
        <v>62.127453611111108</v>
      </c>
    </row>
    <row r="384" spans="1:6" ht="20.100000000000001" customHeight="1">
      <c r="A384" s="174">
        <v>38</v>
      </c>
      <c r="B384" s="277" t="s">
        <v>857</v>
      </c>
      <c r="C384" s="182">
        <v>72.965199999999996</v>
      </c>
      <c r="D384" s="182">
        <v>73.005399999999995</v>
      </c>
      <c r="E384" s="60">
        <f t="shared" si="13"/>
        <v>-4.0199999999998681E-2</v>
      </c>
      <c r="F384" s="80">
        <f t="shared" si="12"/>
        <v>61.141453611111103</v>
      </c>
    </row>
    <row r="385" spans="1:6" ht="20.100000000000001" customHeight="1">
      <c r="A385" s="174">
        <v>38</v>
      </c>
      <c r="B385" s="277" t="s">
        <v>858</v>
      </c>
      <c r="C385" s="182">
        <v>75.315200000000004</v>
      </c>
      <c r="D385" s="182">
        <v>75.360900000000001</v>
      </c>
      <c r="E385" s="60">
        <f t="shared" si="13"/>
        <v>-4.5699999999996521E-2</v>
      </c>
      <c r="F385" s="80">
        <f t="shared" si="12"/>
        <v>63.491453611111112</v>
      </c>
    </row>
    <row r="386" spans="1:6" ht="20.100000000000001" customHeight="1">
      <c r="A386" s="174">
        <v>38</v>
      </c>
      <c r="B386" s="277" t="s">
        <v>859</v>
      </c>
      <c r="C386" s="182">
        <v>75.508200000000002</v>
      </c>
      <c r="D386" s="182">
        <v>75.553600000000003</v>
      </c>
      <c r="E386" s="60">
        <f t="shared" si="13"/>
        <v>-4.5400000000000773E-2</v>
      </c>
      <c r="F386" s="80">
        <f t="shared" si="12"/>
        <v>63.68445361111111</v>
      </c>
    </row>
    <row r="387" spans="1:6" ht="20.100000000000001" customHeight="1">
      <c r="A387" s="174">
        <v>38</v>
      </c>
      <c r="B387" s="277" t="s">
        <v>860</v>
      </c>
      <c r="C387" s="182">
        <v>73.789299999999997</v>
      </c>
      <c r="D387" s="182">
        <v>73.839699999999993</v>
      </c>
      <c r="E387" s="60">
        <f t="shared" si="13"/>
        <v>-5.0399999999996226E-2</v>
      </c>
      <c r="F387" s="80">
        <f t="shared" si="12"/>
        <v>61.965553611111105</v>
      </c>
    </row>
    <row r="388" spans="1:6" ht="20.100000000000001" customHeight="1">
      <c r="A388" s="174">
        <v>38</v>
      </c>
      <c r="B388" s="277" t="s">
        <v>861</v>
      </c>
      <c r="C388" s="182">
        <v>75.894499999999994</v>
      </c>
      <c r="D388" s="182">
        <v>75.936099999999996</v>
      </c>
      <c r="E388" s="60">
        <f t="shared" si="13"/>
        <v>-4.1600000000002524E-2</v>
      </c>
      <c r="F388" s="80">
        <f t="shared" si="12"/>
        <v>64.070753611111101</v>
      </c>
    </row>
    <row r="389" spans="1:6" ht="20.100000000000001" customHeight="1">
      <c r="A389" s="174">
        <v>38</v>
      </c>
      <c r="B389" s="277" t="s">
        <v>862</v>
      </c>
      <c r="C389" s="182">
        <v>72.211699999999993</v>
      </c>
      <c r="D389" s="182">
        <v>72.258300000000006</v>
      </c>
      <c r="E389" s="60">
        <f t="shared" si="13"/>
        <v>-4.6600000000012187E-2</v>
      </c>
      <c r="F389" s="80">
        <f t="shared" si="12"/>
        <v>60.387953611111101</v>
      </c>
    </row>
    <row r="390" spans="1:6" ht="20.100000000000001" customHeight="1">
      <c r="A390" s="174">
        <v>38</v>
      </c>
      <c r="B390" s="277" t="s">
        <v>863</v>
      </c>
      <c r="C390" s="182">
        <v>74.857500000000002</v>
      </c>
      <c r="D390" s="182">
        <v>74.898799999999994</v>
      </c>
      <c r="E390" s="60">
        <f t="shared" si="13"/>
        <v>-4.1299999999992565E-2</v>
      </c>
      <c r="F390" s="80">
        <f t="shared" si="12"/>
        <v>63.033753611111109</v>
      </c>
    </row>
    <row r="391" spans="1:6" ht="20.100000000000001" customHeight="1">
      <c r="A391" s="174">
        <v>38</v>
      </c>
      <c r="B391" s="277" t="s">
        <v>864</v>
      </c>
      <c r="C391" s="182">
        <v>75.128799999999998</v>
      </c>
      <c r="D391" s="182">
        <v>75.170199999999994</v>
      </c>
      <c r="E391" s="60">
        <f t="shared" si="13"/>
        <v>-4.1399999999995885E-2</v>
      </c>
      <c r="F391" s="80">
        <f t="shared" si="12"/>
        <v>63.305053611111106</v>
      </c>
    </row>
    <row r="392" spans="1:6" ht="20.100000000000001" customHeight="1">
      <c r="A392" s="174">
        <v>38</v>
      </c>
      <c r="B392" s="277" t="s">
        <v>865</v>
      </c>
      <c r="C392" s="182">
        <v>74.492099999999994</v>
      </c>
      <c r="D392" s="182">
        <v>74.536500000000004</v>
      </c>
      <c r="E392" s="60">
        <f t="shared" si="13"/>
        <v>-4.4400000000010209E-2</v>
      </c>
      <c r="F392" s="80">
        <f t="shared" si="12"/>
        <v>62.668353611111101</v>
      </c>
    </row>
    <row r="393" spans="1:6" ht="20.100000000000001" customHeight="1">
      <c r="A393" s="174">
        <v>38</v>
      </c>
      <c r="B393" s="277" t="s">
        <v>866</v>
      </c>
      <c r="C393" s="182">
        <v>75.091999999999999</v>
      </c>
      <c r="D393" s="182">
        <v>75.141400000000004</v>
      </c>
      <c r="E393" s="60">
        <f t="shared" si="13"/>
        <v>-4.9400000000005662E-2</v>
      </c>
      <c r="F393" s="80">
        <f t="shared" si="12"/>
        <v>63.268253611111106</v>
      </c>
    </row>
    <row r="394" spans="1:6" ht="20.100000000000001" customHeight="1">
      <c r="A394" s="174">
        <v>38</v>
      </c>
      <c r="B394" s="277" t="s">
        <v>867</v>
      </c>
      <c r="C394" s="182">
        <v>74.843400000000003</v>
      </c>
      <c r="D394" s="182">
        <v>74.889600000000002</v>
      </c>
      <c r="E394" s="60">
        <f t="shared" si="13"/>
        <v>-4.6199999999998909E-2</v>
      </c>
      <c r="F394" s="80">
        <f t="shared" si="12"/>
        <v>63.01965361111111</v>
      </c>
    </row>
    <row r="395" spans="1:6" ht="20.100000000000001" customHeight="1">
      <c r="A395" s="174">
        <v>38</v>
      </c>
      <c r="B395" s="277" t="s">
        <v>868</v>
      </c>
      <c r="C395" s="182">
        <v>75.119799999999998</v>
      </c>
      <c r="D395" s="182">
        <v>75.162800000000004</v>
      </c>
      <c r="E395" s="60">
        <f t="shared" si="13"/>
        <v>-4.3000000000006366E-2</v>
      </c>
      <c r="F395" s="80">
        <f t="shared" si="12"/>
        <v>63.296053611111105</v>
      </c>
    </row>
    <row r="396" spans="1:6" ht="20.100000000000001" customHeight="1">
      <c r="A396" s="174">
        <v>38</v>
      </c>
      <c r="B396" s="277" t="s">
        <v>869</v>
      </c>
      <c r="C396" s="182">
        <v>73.342200000000005</v>
      </c>
      <c r="D396" s="182">
        <v>73.384200000000007</v>
      </c>
      <c r="E396" s="60">
        <f t="shared" si="13"/>
        <v>-4.2000000000001592E-2</v>
      </c>
      <c r="F396" s="80">
        <f t="shared" si="12"/>
        <v>61.518453611111113</v>
      </c>
    </row>
    <row r="397" spans="1:6" ht="20.100000000000001" customHeight="1">
      <c r="A397" s="174">
        <v>38</v>
      </c>
      <c r="B397" s="277" t="s">
        <v>870</v>
      </c>
      <c r="C397" s="182">
        <v>71.718299999999999</v>
      </c>
      <c r="D397" s="182">
        <v>71.778400000000005</v>
      </c>
      <c r="E397" s="60">
        <f t="shared" si="13"/>
        <v>-6.0100000000005593E-2</v>
      </c>
      <c r="F397" s="80">
        <f t="shared" si="12"/>
        <v>59.894553611111107</v>
      </c>
    </row>
    <row r="398" spans="1:6" ht="20.100000000000001" customHeight="1">
      <c r="A398" s="174">
        <v>38</v>
      </c>
      <c r="B398" s="277" t="s">
        <v>871</v>
      </c>
      <c r="C398" s="182">
        <v>72.834699999999998</v>
      </c>
      <c r="D398" s="182">
        <v>72.877700000000004</v>
      </c>
      <c r="E398" s="60">
        <f t="shared" si="13"/>
        <v>-4.3000000000006366E-2</v>
      </c>
      <c r="F398" s="80">
        <f t="shared" ref="F398:F414" si="14">C398-$I$84</f>
        <v>61.010953611111105</v>
      </c>
    </row>
    <row r="399" spans="1:6" ht="20.100000000000001" customHeight="1">
      <c r="A399" s="174">
        <v>38</v>
      </c>
      <c r="B399" s="277" t="s">
        <v>872</v>
      </c>
      <c r="C399" s="182">
        <v>74.439700000000002</v>
      </c>
      <c r="D399" s="182">
        <v>74.490600000000001</v>
      </c>
      <c r="E399" s="60">
        <f t="shared" ref="E399:E414" si="15">C399-D399</f>
        <v>-5.0899999999998613E-2</v>
      </c>
      <c r="F399" s="80">
        <f t="shared" si="14"/>
        <v>62.615953611111109</v>
      </c>
    </row>
    <row r="400" spans="1:6" ht="20.100000000000001" customHeight="1">
      <c r="A400" s="174">
        <v>38</v>
      </c>
      <c r="B400" s="277" t="s">
        <v>873</v>
      </c>
      <c r="C400" s="182">
        <v>75.489900000000006</v>
      </c>
      <c r="D400" s="182">
        <v>75.531199999999998</v>
      </c>
      <c r="E400" s="60">
        <f t="shared" si="15"/>
        <v>-4.1299999999992565E-2</v>
      </c>
      <c r="F400" s="80">
        <f t="shared" si="14"/>
        <v>63.666153611111113</v>
      </c>
    </row>
    <row r="401" spans="1:6" ht="20.100000000000001" customHeight="1">
      <c r="A401" s="174">
        <v>38</v>
      </c>
      <c r="B401" s="277" t="s">
        <v>874</v>
      </c>
      <c r="C401" s="182">
        <v>71.759399999999999</v>
      </c>
      <c r="D401" s="182">
        <v>71.804500000000004</v>
      </c>
      <c r="E401" s="60">
        <f t="shared" si="15"/>
        <v>-4.5100000000005025E-2</v>
      </c>
      <c r="F401" s="80">
        <f t="shared" si="14"/>
        <v>59.935653611111107</v>
      </c>
    </row>
    <row r="402" spans="1:6" ht="20.100000000000001" customHeight="1">
      <c r="A402" s="174">
        <v>38</v>
      </c>
      <c r="B402" s="277" t="s">
        <v>875</v>
      </c>
      <c r="C402" s="182">
        <v>74.1233</v>
      </c>
      <c r="D402" s="182">
        <v>74.167500000000004</v>
      </c>
      <c r="E402" s="60">
        <f t="shared" si="15"/>
        <v>-4.420000000000357E-2</v>
      </c>
      <c r="F402" s="80">
        <f t="shared" si="14"/>
        <v>62.299553611111108</v>
      </c>
    </row>
    <row r="403" spans="1:6" ht="20.100000000000001" customHeight="1">
      <c r="A403" s="174">
        <v>38</v>
      </c>
      <c r="B403" s="277" t="s">
        <v>876</v>
      </c>
      <c r="C403" s="182">
        <v>73.164500000000004</v>
      </c>
      <c r="D403" s="182">
        <v>73.206199999999995</v>
      </c>
      <c r="E403" s="60">
        <f t="shared" si="15"/>
        <v>-4.1699999999991633E-2</v>
      </c>
      <c r="F403" s="80">
        <f t="shared" si="14"/>
        <v>61.340753611111111</v>
      </c>
    </row>
    <row r="404" spans="1:6" ht="20.100000000000001" customHeight="1">
      <c r="A404" s="174">
        <v>38</v>
      </c>
      <c r="B404" s="277" t="s">
        <v>877</v>
      </c>
      <c r="C404" s="182">
        <v>73.187100000000001</v>
      </c>
      <c r="D404" s="182">
        <v>73.231899999999996</v>
      </c>
      <c r="E404" s="60">
        <f t="shared" si="15"/>
        <v>-4.4799999999995066E-2</v>
      </c>
      <c r="F404" s="80">
        <f t="shared" si="14"/>
        <v>61.363353611111108</v>
      </c>
    </row>
    <row r="405" spans="1:6" ht="20.100000000000001" customHeight="1">
      <c r="A405" s="174">
        <v>38</v>
      </c>
      <c r="B405" s="277" t="s">
        <v>878</v>
      </c>
      <c r="C405" s="182">
        <v>74.900899999999993</v>
      </c>
      <c r="D405" s="182">
        <v>74.942499999999995</v>
      </c>
      <c r="E405" s="60">
        <f t="shared" si="15"/>
        <v>-4.1600000000002524E-2</v>
      </c>
      <c r="F405" s="80">
        <f t="shared" si="14"/>
        <v>63.0771536111111</v>
      </c>
    </row>
    <row r="406" spans="1:6" ht="20.100000000000001" customHeight="1">
      <c r="A406" s="174">
        <v>38</v>
      </c>
      <c r="B406" s="277" t="s">
        <v>879</v>
      </c>
      <c r="C406" s="182">
        <v>74.231499999999997</v>
      </c>
      <c r="D406" s="182">
        <v>74.277900000000002</v>
      </c>
      <c r="E406" s="60">
        <f t="shared" si="15"/>
        <v>-4.6400000000005548E-2</v>
      </c>
      <c r="F406" s="80">
        <f t="shared" si="14"/>
        <v>62.407753611111104</v>
      </c>
    </row>
    <row r="407" spans="1:6" ht="20.100000000000001" customHeight="1">
      <c r="A407" s="326">
        <v>38</v>
      </c>
      <c r="B407" s="326" t="s">
        <v>880</v>
      </c>
      <c r="C407" s="139">
        <v>73.9071</v>
      </c>
      <c r="D407" s="139">
        <v>73.948800000000006</v>
      </c>
      <c r="E407" s="80">
        <f t="shared" si="15"/>
        <v>-4.1700000000005844E-2</v>
      </c>
      <c r="F407" s="80">
        <f t="shared" si="14"/>
        <v>62.083353611111107</v>
      </c>
    </row>
    <row r="408" spans="1:6" s="323" customFormat="1" ht="20.100000000000001" customHeight="1">
      <c r="A408" s="323">
        <v>38</v>
      </c>
      <c r="B408" s="174" t="s">
        <v>881</v>
      </c>
      <c r="C408" s="182">
        <v>73.938800000000001</v>
      </c>
      <c r="D408" s="139">
        <v>73.981399999999994</v>
      </c>
      <c r="E408" s="80">
        <f t="shared" si="15"/>
        <v>-4.2599999999993088E-2</v>
      </c>
      <c r="F408" s="80">
        <f t="shared" si="14"/>
        <v>62.115053611111108</v>
      </c>
    </row>
    <row r="409" spans="1:6" s="323" customFormat="1" ht="20.100000000000001" customHeight="1">
      <c r="A409" s="323">
        <v>38</v>
      </c>
      <c r="B409" s="174" t="s">
        <v>882</v>
      </c>
      <c r="C409" s="182">
        <v>75.198599999999999</v>
      </c>
      <c r="D409" s="139">
        <v>75.247299999999996</v>
      </c>
      <c r="E409" s="80">
        <f t="shared" si="15"/>
        <v>-4.8699999999996635E-2</v>
      </c>
      <c r="F409" s="80">
        <f t="shared" si="14"/>
        <v>63.374853611111106</v>
      </c>
    </row>
    <row r="410" spans="1:6" s="323" customFormat="1" ht="20.100000000000001" customHeight="1">
      <c r="A410" s="323">
        <v>38</v>
      </c>
      <c r="B410" s="174" t="s">
        <v>883</v>
      </c>
      <c r="C410" s="182">
        <v>75.679699999999997</v>
      </c>
      <c r="D410" s="139">
        <v>75.720699999999994</v>
      </c>
      <c r="E410" s="80">
        <f t="shared" si="15"/>
        <v>-4.0999999999996817E-2</v>
      </c>
      <c r="F410" s="80">
        <f t="shared" si="14"/>
        <v>63.855953611111104</v>
      </c>
    </row>
    <row r="411" spans="1:6" s="323" customFormat="1" ht="20.100000000000001" customHeight="1">
      <c r="A411" s="323">
        <v>38</v>
      </c>
      <c r="B411" s="174" t="s">
        <v>884</v>
      </c>
      <c r="C411" s="182">
        <v>73.533699999999996</v>
      </c>
      <c r="D411" s="139">
        <v>73.581900000000005</v>
      </c>
      <c r="E411" s="80">
        <f t="shared" si="15"/>
        <v>-4.8200000000008458E-2</v>
      </c>
      <c r="F411" s="80">
        <f t="shared" si="14"/>
        <v>61.709953611111104</v>
      </c>
    </row>
    <row r="412" spans="1:6" s="323" customFormat="1" ht="20.100000000000001" customHeight="1">
      <c r="A412" s="323">
        <v>38</v>
      </c>
      <c r="B412" s="174" t="s">
        <v>885</v>
      </c>
      <c r="C412" s="182">
        <v>75.5518</v>
      </c>
      <c r="D412" s="139">
        <v>75.593500000000006</v>
      </c>
      <c r="E412" s="80">
        <f t="shared" si="15"/>
        <v>-4.1700000000005844E-2</v>
      </c>
      <c r="F412" s="80">
        <f t="shared" si="14"/>
        <v>63.728053611111108</v>
      </c>
    </row>
    <row r="413" spans="1:6" s="323" customFormat="1" ht="20.100000000000001" customHeight="1">
      <c r="A413" s="323">
        <v>38</v>
      </c>
      <c r="B413" s="174" t="s">
        <v>886</v>
      </c>
      <c r="C413" s="182">
        <v>72.757300000000001</v>
      </c>
      <c r="D413" s="139">
        <v>72.797499999999999</v>
      </c>
      <c r="E413" s="80">
        <f t="shared" si="15"/>
        <v>-4.0199999999998681E-2</v>
      </c>
      <c r="F413" s="80">
        <f t="shared" si="14"/>
        <v>60.933553611111108</v>
      </c>
    </row>
    <row r="414" spans="1:6" s="323" customFormat="1" ht="20.100000000000001" customHeight="1">
      <c r="A414" s="324">
        <v>38</v>
      </c>
      <c r="B414" s="324" t="s">
        <v>887</v>
      </c>
      <c r="C414" s="141">
        <v>74.844700000000003</v>
      </c>
      <c r="D414" s="141">
        <v>74.888400000000004</v>
      </c>
      <c r="E414" s="81">
        <f t="shared" si="15"/>
        <v>-4.3700000000001182E-2</v>
      </c>
      <c r="F414" s="81">
        <f t="shared" si="14"/>
        <v>63.020953611111111</v>
      </c>
    </row>
    <row r="415" spans="1:6" s="323" customFormat="1" ht="20.100000000000001" customHeight="1">
      <c r="A415" s="326"/>
      <c r="B415" s="326"/>
      <c r="C415" s="326"/>
      <c r="D415" s="326"/>
      <c r="E415" s="326"/>
    </row>
    <row r="416" spans="1:6" s="259" customFormat="1" ht="20.100000000000001" customHeight="1">
      <c r="A416" s="283" t="s">
        <v>923</v>
      </c>
    </row>
    <row r="417" spans="1:8" s="355" customFormat="1" ht="20.100000000000001" customHeight="1">
      <c r="A417" s="354"/>
    </row>
    <row r="418" spans="1:8" s="355" customFormat="1" ht="20.100000000000001" customHeight="1">
      <c r="A418" s="354" t="s">
        <v>920</v>
      </c>
      <c r="B418" s="355" t="s">
        <v>921</v>
      </c>
    </row>
    <row r="419" spans="1:8" s="355" customFormat="1" ht="20.100000000000001" customHeight="1">
      <c r="A419" s="355" t="s">
        <v>922</v>
      </c>
    </row>
    <row r="420" spans="1:8" s="355" customFormat="1" ht="20.100000000000001" customHeight="1">
      <c r="A420" s="355" t="s">
        <v>933</v>
      </c>
    </row>
    <row r="421" spans="1:8" s="355" customFormat="1" ht="20.100000000000001" customHeight="1"/>
    <row r="422" spans="1:8" s="355" customFormat="1" ht="20.100000000000001" customHeight="1">
      <c r="A422" s="354" t="s">
        <v>920</v>
      </c>
      <c r="B422" s="355">
        <v>20230501</v>
      </c>
    </row>
    <row r="423" spans="1:8" s="355" customFormat="1" ht="20.100000000000001" customHeight="1">
      <c r="A423" s="355" t="s">
        <v>934</v>
      </c>
    </row>
    <row r="424" spans="1:8" s="355" customFormat="1" ht="20.100000000000001" customHeight="1">
      <c r="A424" s="354"/>
    </row>
    <row r="425" spans="1:8" s="259" customFormat="1" ht="20.100000000000001" customHeight="1">
      <c r="A425" s="283" t="s">
        <v>492</v>
      </c>
    </row>
    <row r="427" spans="1:8" s="277" customFormat="1" ht="20.100000000000001" customHeight="1">
      <c r="A427" s="277" t="s">
        <v>494</v>
      </c>
    </row>
    <row r="428" spans="1:8" s="277" customFormat="1" ht="20.100000000000001" customHeight="1">
      <c r="A428" s="277" t="s">
        <v>497</v>
      </c>
    </row>
    <row r="429" spans="1:8" s="277" customFormat="1" ht="20.100000000000001" customHeight="1">
      <c r="A429" s="277" t="s">
        <v>499</v>
      </c>
    </row>
    <row r="430" spans="1:8" s="277" customFormat="1" ht="20.100000000000001" customHeight="1"/>
    <row r="431" spans="1:8" ht="20.100000000000001" customHeight="1">
      <c r="A431" s="282" t="s">
        <v>4</v>
      </c>
      <c r="B431" s="282" t="s">
        <v>4</v>
      </c>
      <c r="C431" s="280" t="s">
        <v>495</v>
      </c>
      <c r="D431" s="280" t="s">
        <v>495</v>
      </c>
      <c r="E431" s="280" t="s">
        <v>495</v>
      </c>
    </row>
    <row r="432" spans="1:8" s="291" customFormat="1" ht="20.100000000000001" customHeight="1">
      <c r="A432" s="297"/>
      <c r="B432" s="297"/>
      <c r="C432" s="291">
        <v>20230324</v>
      </c>
      <c r="D432" s="353">
        <v>20230501</v>
      </c>
      <c r="E432" s="357">
        <v>20230503</v>
      </c>
      <c r="G432" s="352" t="s">
        <v>538</v>
      </c>
      <c r="H432" s="349" t="s">
        <v>100</v>
      </c>
    </row>
    <row r="433" spans="1:8" ht="20.100000000000001" customHeight="1">
      <c r="A433" s="278" t="s">
        <v>88</v>
      </c>
      <c r="B433" s="278" t="s">
        <v>96</v>
      </c>
      <c r="C433" s="278" t="s">
        <v>493</v>
      </c>
      <c r="D433" s="278" t="s">
        <v>496</v>
      </c>
      <c r="E433" s="278" t="s">
        <v>498</v>
      </c>
      <c r="G433" s="351" t="s">
        <v>924</v>
      </c>
      <c r="H433" s="351" t="s">
        <v>64</v>
      </c>
    </row>
    <row r="434" spans="1:8" ht="20.100000000000001" customHeight="1">
      <c r="A434" s="174">
        <v>1</v>
      </c>
      <c r="B434" s="174" t="str">
        <f>"MOOS"&amp;TEXT(A434,"000")&amp;"a"</f>
        <v>MOOS001a</v>
      </c>
      <c r="C434" s="182">
        <v>11.811</v>
      </c>
      <c r="D434" s="182">
        <v>11.8126</v>
      </c>
      <c r="E434" s="182">
        <v>65.557299999999998</v>
      </c>
      <c r="G434" s="60">
        <f>D434-C434</f>
        <v>1.5999999999998238E-3</v>
      </c>
      <c r="H434" s="60">
        <f>E434-C434</f>
        <v>53.746299999999998</v>
      </c>
    </row>
    <row r="435" spans="1:8" ht="20.100000000000001" customHeight="1">
      <c r="A435" s="174">
        <v>2</v>
      </c>
      <c r="B435" s="277" t="str">
        <f t="shared" ref="B435:B498" si="16">"MOOS"&amp;TEXT(A435,"000")&amp;"a"</f>
        <v>MOOS002a</v>
      </c>
      <c r="C435" s="182">
        <v>11.8278</v>
      </c>
      <c r="D435" s="182">
        <v>11.8294</v>
      </c>
      <c r="E435" s="182">
        <v>62.463299999999997</v>
      </c>
      <c r="G435" s="60">
        <f t="shared" ref="G435:G498" si="17">D435-C435</f>
        <v>1.5999999999998238E-3</v>
      </c>
      <c r="H435" s="60">
        <f t="shared" ref="H435:H498" si="18">E435-C435</f>
        <v>50.635499999999993</v>
      </c>
    </row>
    <row r="436" spans="1:8" ht="20.100000000000001" customHeight="1">
      <c r="A436" s="174">
        <v>3</v>
      </c>
      <c r="B436" s="277" t="str">
        <f t="shared" si="16"/>
        <v>MOOS003a</v>
      </c>
      <c r="C436" s="182">
        <v>11.792899999999999</v>
      </c>
      <c r="D436" s="182">
        <v>11.7967</v>
      </c>
      <c r="E436" s="182">
        <v>64.375799999999998</v>
      </c>
      <c r="G436" s="60">
        <f t="shared" si="17"/>
        <v>3.8000000000000256E-3</v>
      </c>
      <c r="H436" s="60">
        <f t="shared" si="18"/>
        <v>52.582899999999995</v>
      </c>
    </row>
    <row r="437" spans="1:8" ht="20.100000000000001" customHeight="1">
      <c r="A437" s="277">
        <v>4</v>
      </c>
      <c r="B437" s="277" t="str">
        <f t="shared" si="16"/>
        <v>MOOS004a</v>
      </c>
      <c r="C437" s="182">
        <v>11.790900000000001</v>
      </c>
      <c r="D437" s="182">
        <v>11.7912</v>
      </c>
      <c r="E437" s="182">
        <v>65.238299999999995</v>
      </c>
      <c r="G437" s="60">
        <f t="shared" si="17"/>
        <v>2.9999999999930083E-4</v>
      </c>
      <c r="H437" s="60">
        <f t="shared" si="18"/>
        <v>53.447399999999995</v>
      </c>
    </row>
    <row r="438" spans="1:8" ht="20.100000000000001" customHeight="1">
      <c r="A438" s="277">
        <v>5</v>
      </c>
      <c r="B438" s="277" t="str">
        <f t="shared" si="16"/>
        <v>MOOS005a</v>
      </c>
      <c r="C438" s="182">
        <v>11.821199999999999</v>
      </c>
      <c r="D438" s="182">
        <v>11.823499999999999</v>
      </c>
      <c r="E438" s="182">
        <v>61.951900000000002</v>
      </c>
      <c r="G438" s="60">
        <f t="shared" si="17"/>
        <v>2.2999999999999687E-3</v>
      </c>
      <c r="H438" s="60">
        <f t="shared" si="18"/>
        <v>50.130700000000004</v>
      </c>
    </row>
    <row r="439" spans="1:8" ht="20.100000000000001" customHeight="1">
      <c r="A439" s="277">
        <v>6</v>
      </c>
      <c r="B439" s="277" t="str">
        <f t="shared" si="16"/>
        <v>MOOS006a</v>
      </c>
      <c r="C439" s="182">
        <v>11.832100000000001</v>
      </c>
      <c r="D439" s="182">
        <v>11.8338</v>
      </c>
      <c r="E439" s="182">
        <v>64.933899999999994</v>
      </c>
      <c r="G439" s="60">
        <f t="shared" si="17"/>
        <v>1.6999999999995907E-3</v>
      </c>
      <c r="H439" s="60">
        <f t="shared" si="18"/>
        <v>53.101799999999997</v>
      </c>
    </row>
    <row r="440" spans="1:8" ht="20.100000000000001" customHeight="1">
      <c r="A440" s="277">
        <v>7</v>
      </c>
      <c r="B440" s="277" t="str">
        <f t="shared" si="16"/>
        <v>MOOS007a</v>
      </c>
      <c r="C440" s="182">
        <v>11.7895</v>
      </c>
      <c r="D440" s="182">
        <v>11.7906</v>
      </c>
      <c r="E440" s="182">
        <v>65.039100000000005</v>
      </c>
      <c r="G440" s="60">
        <f t="shared" si="17"/>
        <v>1.0999999999992127E-3</v>
      </c>
      <c r="H440" s="60">
        <f t="shared" si="18"/>
        <v>53.249600000000001</v>
      </c>
    </row>
    <row r="441" spans="1:8" ht="20.100000000000001" customHeight="1">
      <c r="A441" s="277">
        <v>8</v>
      </c>
      <c r="B441" s="277" t="str">
        <f t="shared" si="16"/>
        <v>MOOS008a</v>
      </c>
      <c r="C441" s="182">
        <v>11.8291</v>
      </c>
      <c r="D441" s="182">
        <v>11.830399999999999</v>
      </c>
      <c r="E441" s="182">
        <v>64.017700000000005</v>
      </c>
      <c r="G441" s="60">
        <f t="shared" si="17"/>
        <v>1.2999999999987466E-3</v>
      </c>
      <c r="H441" s="60">
        <f t="shared" si="18"/>
        <v>52.188600000000008</v>
      </c>
    </row>
    <row r="442" spans="1:8" ht="20.100000000000001" customHeight="1">
      <c r="A442" s="277">
        <v>9</v>
      </c>
      <c r="B442" s="277" t="str">
        <f t="shared" si="16"/>
        <v>MOOS009a</v>
      </c>
      <c r="C442" s="182">
        <v>11.806900000000001</v>
      </c>
      <c r="D442" s="182">
        <v>11.807499999999999</v>
      </c>
      <c r="E442" s="182">
        <v>63.389800000000001</v>
      </c>
      <c r="G442" s="60">
        <f t="shared" si="17"/>
        <v>5.9999999999860165E-4</v>
      </c>
      <c r="H442" s="60">
        <f t="shared" si="18"/>
        <v>51.582900000000002</v>
      </c>
    </row>
    <row r="443" spans="1:8" ht="20.100000000000001" customHeight="1">
      <c r="A443" s="277">
        <v>10</v>
      </c>
      <c r="B443" s="277" t="str">
        <f t="shared" si="16"/>
        <v>MOOS010a</v>
      </c>
      <c r="C443" s="182">
        <v>11.8216</v>
      </c>
      <c r="D443" s="182">
        <v>11.8241</v>
      </c>
      <c r="E443" s="182">
        <v>63.572099999999999</v>
      </c>
      <c r="G443" s="60">
        <f t="shared" si="17"/>
        <v>2.4999999999995026E-3</v>
      </c>
      <c r="H443" s="60">
        <f t="shared" si="18"/>
        <v>51.750500000000002</v>
      </c>
    </row>
    <row r="444" spans="1:8" ht="20.100000000000001" customHeight="1">
      <c r="A444" s="277">
        <v>11</v>
      </c>
      <c r="B444" s="277" t="str">
        <f t="shared" si="16"/>
        <v>MOOS011a</v>
      </c>
      <c r="C444" s="182">
        <v>11.792199999999999</v>
      </c>
      <c r="D444" s="182">
        <v>11.7941</v>
      </c>
      <c r="E444" s="182">
        <v>64.153800000000004</v>
      </c>
      <c r="G444" s="60">
        <f t="shared" si="17"/>
        <v>1.900000000000901E-3</v>
      </c>
      <c r="H444" s="60">
        <f t="shared" si="18"/>
        <v>52.361600000000003</v>
      </c>
    </row>
    <row r="445" spans="1:8" ht="20.100000000000001" customHeight="1">
      <c r="A445" s="277">
        <v>12</v>
      </c>
      <c r="B445" s="277" t="str">
        <f t="shared" si="16"/>
        <v>MOOS012a</v>
      </c>
      <c r="C445" s="182">
        <v>11.8629</v>
      </c>
      <c r="D445" s="182">
        <v>11.864100000000001</v>
      </c>
      <c r="E445" s="182">
        <v>66.651399999999995</v>
      </c>
      <c r="G445" s="60">
        <f t="shared" si="17"/>
        <v>1.200000000000756E-3</v>
      </c>
      <c r="H445" s="60">
        <f t="shared" si="18"/>
        <v>54.788499999999999</v>
      </c>
    </row>
    <row r="446" spans="1:8" ht="20.100000000000001" customHeight="1">
      <c r="A446" s="277">
        <v>13</v>
      </c>
      <c r="B446" s="277" t="str">
        <f t="shared" si="16"/>
        <v>MOOS013a</v>
      </c>
      <c r="C446" s="182">
        <v>11.809200000000001</v>
      </c>
      <c r="D446" s="182">
        <v>11.8103</v>
      </c>
      <c r="E446" s="182">
        <v>64.498699999999999</v>
      </c>
      <c r="G446" s="60">
        <f t="shared" si="17"/>
        <v>1.0999999999992127E-3</v>
      </c>
      <c r="H446" s="60">
        <f t="shared" si="18"/>
        <v>52.689499999999995</v>
      </c>
    </row>
    <row r="447" spans="1:8" ht="20.100000000000001" customHeight="1">
      <c r="A447" s="277">
        <v>14</v>
      </c>
      <c r="B447" s="277" t="str">
        <f t="shared" si="16"/>
        <v>MOOS014a</v>
      </c>
      <c r="C447" s="182">
        <v>11.8432</v>
      </c>
      <c r="D447" s="182">
        <v>11.8445</v>
      </c>
      <c r="E447" s="182">
        <v>66.628399999999999</v>
      </c>
      <c r="G447" s="60">
        <f t="shared" si="17"/>
        <v>1.300000000000523E-3</v>
      </c>
      <c r="H447" s="60">
        <f t="shared" si="18"/>
        <v>54.785200000000003</v>
      </c>
    </row>
    <row r="448" spans="1:8" ht="20.100000000000001" customHeight="1">
      <c r="A448" s="277">
        <v>15</v>
      </c>
      <c r="B448" s="277" t="str">
        <f t="shared" si="16"/>
        <v>MOOS015a</v>
      </c>
      <c r="C448" s="182">
        <v>11.7746</v>
      </c>
      <c r="D448" s="182">
        <v>11.7776</v>
      </c>
      <c r="E448" s="182">
        <v>65.741399999999999</v>
      </c>
      <c r="G448" s="60">
        <f t="shared" si="17"/>
        <v>3.0000000000001137E-3</v>
      </c>
      <c r="H448" s="60">
        <f t="shared" si="18"/>
        <v>53.966799999999999</v>
      </c>
    </row>
    <row r="449" spans="1:8" ht="20.100000000000001" customHeight="1">
      <c r="A449" s="277">
        <v>16</v>
      </c>
      <c r="B449" s="277" t="str">
        <f t="shared" si="16"/>
        <v>MOOS016a</v>
      </c>
      <c r="C449" s="182">
        <v>11.7874</v>
      </c>
      <c r="D449" s="182">
        <v>11.7898</v>
      </c>
      <c r="E449" s="182">
        <v>65.384699999999995</v>
      </c>
      <c r="G449" s="60">
        <f t="shared" si="17"/>
        <v>2.3999999999997357E-3</v>
      </c>
      <c r="H449" s="60">
        <f t="shared" si="18"/>
        <v>53.597299999999997</v>
      </c>
    </row>
    <row r="450" spans="1:8" ht="20.100000000000001" customHeight="1">
      <c r="A450" s="277">
        <v>17</v>
      </c>
      <c r="B450" s="277" t="str">
        <f t="shared" si="16"/>
        <v>MOOS017a</v>
      </c>
      <c r="C450" s="182">
        <v>11.8142</v>
      </c>
      <c r="D450" s="182">
        <v>11.8164</v>
      </c>
      <c r="E450" s="182">
        <v>64.483099999999993</v>
      </c>
      <c r="G450" s="60">
        <f t="shared" si="17"/>
        <v>2.2000000000002018E-3</v>
      </c>
      <c r="H450" s="60">
        <f t="shared" si="18"/>
        <v>52.668899999999994</v>
      </c>
    </row>
    <row r="451" spans="1:8" ht="20.100000000000001" customHeight="1">
      <c r="A451" s="277">
        <v>18</v>
      </c>
      <c r="B451" s="277" t="str">
        <f t="shared" si="16"/>
        <v>MOOS018a</v>
      </c>
      <c r="C451" s="182">
        <v>11.7606</v>
      </c>
      <c r="D451" s="182">
        <v>11.761900000000001</v>
      </c>
      <c r="E451" s="182">
        <v>66.837000000000003</v>
      </c>
      <c r="G451" s="60">
        <f t="shared" si="17"/>
        <v>1.300000000000523E-3</v>
      </c>
      <c r="H451" s="60">
        <f t="shared" si="18"/>
        <v>55.076400000000007</v>
      </c>
    </row>
    <row r="452" spans="1:8" ht="20.100000000000001" customHeight="1">
      <c r="A452" s="277">
        <v>19</v>
      </c>
      <c r="B452" s="277" t="str">
        <f t="shared" si="16"/>
        <v>MOOS019a</v>
      </c>
      <c r="C452" s="182">
        <v>11.881</v>
      </c>
      <c r="D452" s="182">
        <v>11.881</v>
      </c>
      <c r="E452" s="182">
        <v>64.356200000000001</v>
      </c>
      <c r="G452" s="60">
        <f t="shared" si="17"/>
        <v>0</v>
      </c>
      <c r="H452" s="60">
        <f t="shared" si="18"/>
        <v>52.475200000000001</v>
      </c>
    </row>
    <row r="453" spans="1:8" ht="20.100000000000001" customHeight="1">
      <c r="A453" s="277">
        <v>20</v>
      </c>
      <c r="B453" s="277" t="str">
        <f t="shared" si="16"/>
        <v>MOOS020a</v>
      </c>
      <c r="C453" s="182">
        <v>11.773</v>
      </c>
      <c r="D453" s="182">
        <v>11.775700000000001</v>
      </c>
      <c r="E453" s="182">
        <v>64.452500000000001</v>
      </c>
      <c r="G453" s="60">
        <f t="shared" si="17"/>
        <v>2.7000000000008129E-3</v>
      </c>
      <c r="H453" s="60">
        <f t="shared" si="18"/>
        <v>52.679500000000004</v>
      </c>
    </row>
    <row r="454" spans="1:8" ht="20.100000000000001" customHeight="1">
      <c r="A454" s="277">
        <v>21</v>
      </c>
      <c r="B454" s="277" t="str">
        <f t="shared" si="16"/>
        <v>MOOS021a</v>
      </c>
      <c r="C454" s="182">
        <v>11.797499999999999</v>
      </c>
      <c r="D454" s="182">
        <v>11.7995</v>
      </c>
      <c r="E454" s="182">
        <v>65.338200000000001</v>
      </c>
      <c r="G454" s="60">
        <f t="shared" si="17"/>
        <v>2.0000000000006679E-3</v>
      </c>
      <c r="H454" s="60">
        <f t="shared" si="18"/>
        <v>53.540700000000001</v>
      </c>
    </row>
    <row r="455" spans="1:8" ht="20.100000000000001" customHeight="1">
      <c r="A455" s="277">
        <v>22</v>
      </c>
      <c r="B455" s="277" t="str">
        <f t="shared" si="16"/>
        <v>MOOS022a</v>
      </c>
      <c r="C455" s="182">
        <v>11.8025</v>
      </c>
      <c r="D455" s="182">
        <v>11.804500000000001</v>
      </c>
      <c r="E455" s="182">
        <v>65.2102</v>
      </c>
      <c r="G455" s="60">
        <f t="shared" si="17"/>
        <v>2.0000000000006679E-3</v>
      </c>
      <c r="H455" s="60">
        <f t="shared" si="18"/>
        <v>53.407699999999998</v>
      </c>
    </row>
    <row r="456" spans="1:8" ht="20.100000000000001" customHeight="1">
      <c r="A456" s="277">
        <v>23</v>
      </c>
      <c r="B456" s="277" t="str">
        <f t="shared" si="16"/>
        <v>MOOS023a</v>
      </c>
      <c r="C456" s="182">
        <v>11.796799999999999</v>
      </c>
      <c r="D456" s="182">
        <v>11.7997</v>
      </c>
      <c r="E456" s="182">
        <v>65.157200000000003</v>
      </c>
      <c r="G456" s="60">
        <f t="shared" si="17"/>
        <v>2.9000000000003467E-3</v>
      </c>
      <c r="H456" s="60">
        <f t="shared" si="18"/>
        <v>53.360400000000006</v>
      </c>
    </row>
    <row r="457" spans="1:8" ht="20.100000000000001" customHeight="1">
      <c r="A457" s="277">
        <v>24</v>
      </c>
      <c r="B457" s="277" t="str">
        <f t="shared" si="16"/>
        <v>MOOS024a</v>
      </c>
      <c r="C457" s="182">
        <v>11.825900000000001</v>
      </c>
      <c r="D457" s="182">
        <v>11.8269</v>
      </c>
      <c r="E457" s="182">
        <v>64.746700000000004</v>
      </c>
      <c r="G457" s="60">
        <f t="shared" si="17"/>
        <v>9.9999999999944578E-4</v>
      </c>
      <c r="H457" s="60">
        <f t="shared" si="18"/>
        <v>52.9208</v>
      </c>
    </row>
    <row r="458" spans="1:8" ht="20.100000000000001" customHeight="1">
      <c r="A458" s="277">
        <v>25</v>
      </c>
      <c r="B458" s="277" t="str">
        <f t="shared" si="16"/>
        <v>MOOS025a</v>
      </c>
      <c r="C458" s="182">
        <v>11.8628</v>
      </c>
      <c r="D458" s="182">
        <v>11.8643</v>
      </c>
      <c r="E458" s="182">
        <v>64.665700000000001</v>
      </c>
      <c r="G458" s="60">
        <f t="shared" si="17"/>
        <v>1.5000000000000568E-3</v>
      </c>
      <c r="H458" s="60">
        <f t="shared" si="18"/>
        <v>52.802900000000001</v>
      </c>
    </row>
    <row r="459" spans="1:8" ht="20.100000000000001" customHeight="1">
      <c r="A459" s="277">
        <v>26</v>
      </c>
      <c r="B459" s="277" t="str">
        <f t="shared" si="16"/>
        <v>MOOS026a</v>
      </c>
      <c r="C459" s="182">
        <v>11.795500000000001</v>
      </c>
      <c r="D459" s="182">
        <v>11.796900000000001</v>
      </c>
      <c r="E459" s="182">
        <v>64.2029</v>
      </c>
      <c r="G459" s="60">
        <f t="shared" si="17"/>
        <v>1.4000000000002899E-3</v>
      </c>
      <c r="H459" s="60">
        <f t="shared" si="18"/>
        <v>52.407399999999996</v>
      </c>
    </row>
    <row r="460" spans="1:8" ht="20.100000000000001" customHeight="1">
      <c r="A460" s="277">
        <v>27</v>
      </c>
      <c r="B460" s="277" t="str">
        <f t="shared" si="16"/>
        <v>MOOS027a</v>
      </c>
      <c r="C460" s="182">
        <v>11.7996</v>
      </c>
      <c r="D460" s="182">
        <v>11.8017</v>
      </c>
      <c r="E460" s="182">
        <v>64.147800000000004</v>
      </c>
      <c r="G460" s="60">
        <f t="shared" si="17"/>
        <v>2.1000000000004349E-3</v>
      </c>
      <c r="H460" s="60">
        <f t="shared" si="18"/>
        <v>52.348200000000006</v>
      </c>
    </row>
    <row r="461" spans="1:8" ht="20.100000000000001" customHeight="1">
      <c r="A461" s="277">
        <v>28</v>
      </c>
      <c r="B461" s="277" t="str">
        <f t="shared" si="16"/>
        <v>MOOS028a</v>
      </c>
      <c r="C461" s="182">
        <v>11.8383</v>
      </c>
      <c r="D461" s="182">
        <v>11.839499999999999</v>
      </c>
      <c r="E461" s="182">
        <v>64.075400000000002</v>
      </c>
      <c r="G461" s="60">
        <f t="shared" si="17"/>
        <v>1.1999999999989797E-3</v>
      </c>
      <c r="H461" s="60">
        <f t="shared" si="18"/>
        <v>52.237099999999998</v>
      </c>
    </row>
    <row r="462" spans="1:8" ht="20.100000000000001" customHeight="1">
      <c r="A462" s="277">
        <v>29</v>
      </c>
      <c r="B462" s="277" t="str">
        <f t="shared" si="16"/>
        <v>MOOS029a</v>
      </c>
      <c r="C462" s="182">
        <v>11.823399999999999</v>
      </c>
      <c r="D462" s="182">
        <v>11.826700000000001</v>
      </c>
      <c r="E462" s="182">
        <v>64.331100000000006</v>
      </c>
      <c r="G462" s="60">
        <f t="shared" si="17"/>
        <v>3.3000000000011909E-3</v>
      </c>
      <c r="H462" s="60">
        <f t="shared" si="18"/>
        <v>52.507700000000007</v>
      </c>
    </row>
    <row r="463" spans="1:8" ht="20.100000000000001" customHeight="1">
      <c r="A463" s="277">
        <v>30</v>
      </c>
      <c r="B463" s="277" t="str">
        <f t="shared" si="16"/>
        <v>MOOS030a</v>
      </c>
      <c r="C463" s="182">
        <v>11.8009</v>
      </c>
      <c r="D463" s="182">
        <v>11.803000000000001</v>
      </c>
      <c r="E463" s="182">
        <v>64.093999999999994</v>
      </c>
      <c r="G463" s="60">
        <f t="shared" si="17"/>
        <v>2.1000000000004349E-3</v>
      </c>
      <c r="H463" s="60">
        <f t="shared" si="18"/>
        <v>52.293099999999995</v>
      </c>
    </row>
    <row r="464" spans="1:8" ht="20.100000000000001" customHeight="1">
      <c r="A464" s="277">
        <v>31</v>
      </c>
      <c r="B464" s="277" t="str">
        <f t="shared" si="16"/>
        <v>MOOS031a</v>
      </c>
      <c r="C464" s="182">
        <v>11.81</v>
      </c>
      <c r="D464" s="182">
        <v>11.812200000000001</v>
      </c>
      <c r="E464" s="182">
        <v>64.296800000000005</v>
      </c>
      <c r="G464" s="60">
        <f t="shared" si="17"/>
        <v>2.2000000000002018E-3</v>
      </c>
      <c r="H464" s="60">
        <f t="shared" si="18"/>
        <v>52.486800000000002</v>
      </c>
    </row>
    <row r="465" spans="1:8" ht="20.100000000000001" customHeight="1">
      <c r="A465" s="277">
        <v>32</v>
      </c>
      <c r="B465" s="277" t="str">
        <f t="shared" si="16"/>
        <v>MOOS032a</v>
      </c>
      <c r="C465" s="182">
        <v>11.804</v>
      </c>
      <c r="D465" s="182">
        <v>11.805099999999999</v>
      </c>
      <c r="E465" s="182">
        <v>64.418400000000005</v>
      </c>
      <c r="G465" s="60">
        <f t="shared" si="17"/>
        <v>1.0999999999992127E-3</v>
      </c>
      <c r="H465" s="60">
        <f t="shared" si="18"/>
        <v>52.614400000000003</v>
      </c>
    </row>
    <row r="466" spans="1:8" ht="20.100000000000001" customHeight="1">
      <c r="A466" s="277">
        <v>33</v>
      </c>
      <c r="B466" s="277" t="str">
        <f t="shared" si="16"/>
        <v>MOOS033a</v>
      </c>
      <c r="C466" s="182">
        <v>11.785399999999999</v>
      </c>
      <c r="D466" s="182">
        <v>11.786799999999999</v>
      </c>
      <c r="E466" s="182">
        <v>65.816699999999997</v>
      </c>
      <c r="G466" s="60">
        <f t="shared" si="17"/>
        <v>1.4000000000002899E-3</v>
      </c>
      <c r="H466" s="60">
        <f t="shared" si="18"/>
        <v>54.031300000000002</v>
      </c>
    </row>
    <row r="467" spans="1:8" ht="20.100000000000001" customHeight="1">
      <c r="A467" s="277">
        <v>34</v>
      </c>
      <c r="B467" s="277" t="str">
        <f t="shared" si="16"/>
        <v>MOOS034a</v>
      </c>
      <c r="C467" s="182">
        <v>11.827400000000001</v>
      </c>
      <c r="D467" s="182">
        <v>11.8293</v>
      </c>
      <c r="E467" s="182">
        <v>65.142200000000003</v>
      </c>
      <c r="G467" s="60">
        <f t="shared" si="17"/>
        <v>1.8999999999991246E-3</v>
      </c>
      <c r="H467" s="60">
        <f t="shared" si="18"/>
        <v>53.314800000000005</v>
      </c>
    </row>
    <row r="468" spans="1:8" ht="20.100000000000001" customHeight="1">
      <c r="A468" s="277">
        <v>35</v>
      </c>
      <c r="B468" s="277" t="str">
        <f t="shared" si="16"/>
        <v>MOOS035a</v>
      </c>
      <c r="C468" s="182">
        <v>11.8261</v>
      </c>
      <c r="D468" s="182">
        <v>11.8287</v>
      </c>
      <c r="E468" s="182">
        <v>65.444500000000005</v>
      </c>
      <c r="G468" s="60">
        <f t="shared" si="17"/>
        <v>2.5999999999992696E-3</v>
      </c>
      <c r="H468" s="60">
        <f t="shared" si="18"/>
        <v>53.618400000000008</v>
      </c>
    </row>
    <row r="469" spans="1:8" ht="20.100000000000001" customHeight="1">
      <c r="A469" s="277">
        <v>36</v>
      </c>
      <c r="B469" s="277" t="str">
        <f t="shared" si="16"/>
        <v>MOOS036a</v>
      </c>
      <c r="C469" s="182">
        <v>11.7851</v>
      </c>
      <c r="D469" s="182">
        <v>11.787000000000001</v>
      </c>
      <c r="E469" s="182">
        <v>63.659500000000001</v>
      </c>
      <c r="G469" s="60">
        <f t="shared" si="17"/>
        <v>1.900000000000901E-3</v>
      </c>
      <c r="H469" s="60">
        <f t="shared" si="18"/>
        <v>51.874400000000001</v>
      </c>
    </row>
    <row r="470" spans="1:8" ht="20.100000000000001" customHeight="1">
      <c r="A470" s="277">
        <v>37</v>
      </c>
      <c r="B470" s="277" t="str">
        <f t="shared" si="16"/>
        <v>MOOS037a</v>
      </c>
      <c r="C470" s="182">
        <v>11.8025</v>
      </c>
      <c r="D470" s="182">
        <v>11.8041</v>
      </c>
      <c r="E470" s="182">
        <v>63.352699999999999</v>
      </c>
      <c r="G470" s="60">
        <f t="shared" si="17"/>
        <v>1.5999999999998238E-3</v>
      </c>
      <c r="H470" s="60">
        <f t="shared" si="18"/>
        <v>51.550199999999997</v>
      </c>
    </row>
    <row r="471" spans="1:8" ht="20.100000000000001" customHeight="1">
      <c r="A471" s="277">
        <v>38</v>
      </c>
      <c r="B471" s="277" t="str">
        <f t="shared" si="16"/>
        <v>MOOS038a</v>
      </c>
      <c r="C471" s="182">
        <v>11.7606</v>
      </c>
      <c r="D471" s="182">
        <v>11.7616</v>
      </c>
      <c r="E471" s="182">
        <v>61.97</v>
      </c>
      <c r="G471" s="60">
        <f t="shared" si="17"/>
        <v>9.9999999999944578E-4</v>
      </c>
      <c r="H471" s="60">
        <f t="shared" si="18"/>
        <v>50.209400000000002</v>
      </c>
    </row>
    <row r="472" spans="1:8" ht="20.100000000000001" customHeight="1">
      <c r="A472" s="277">
        <v>39</v>
      </c>
      <c r="B472" s="277" t="str">
        <f t="shared" si="16"/>
        <v>MOOS039a</v>
      </c>
      <c r="C472" s="182">
        <v>11.8353</v>
      </c>
      <c r="D472" s="182">
        <v>11.837300000000001</v>
      </c>
      <c r="E472" s="182">
        <v>64.350999999999999</v>
      </c>
      <c r="G472" s="60">
        <f t="shared" si="17"/>
        <v>2.0000000000006679E-3</v>
      </c>
      <c r="H472" s="60">
        <f t="shared" si="18"/>
        <v>52.515699999999995</v>
      </c>
    </row>
    <row r="473" spans="1:8" ht="20.100000000000001" customHeight="1">
      <c r="A473" s="277">
        <v>40</v>
      </c>
      <c r="B473" s="277" t="str">
        <f t="shared" si="16"/>
        <v>MOOS040a</v>
      </c>
      <c r="C473" s="182">
        <v>11.798400000000001</v>
      </c>
      <c r="D473" s="182">
        <v>11.801</v>
      </c>
      <c r="E473" s="182">
        <v>64.238200000000006</v>
      </c>
      <c r="G473" s="60">
        <f t="shared" si="17"/>
        <v>2.5999999999992696E-3</v>
      </c>
      <c r="H473" s="60">
        <f t="shared" si="18"/>
        <v>52.439800000000005</v>
      </c>
    </row>
    <row r="474" spans="1:8" ht="20.100000000000001" customHeight="1">
      <c r="A474" s="277">
        <v>41</v>
      </c>
      <c r="B474" s="277" t="str">
        <f t="shared" si="16"/>
        <v>MOOS041a</v>
      </c>
      <c r="C474" s="182">
        <v>11.818199999999999</v>
      </c>
      <c r="D474" s="182">
        <v>11.8202</v>
      </c>
      <c r="E474" s="182">
        <v>66.079700000000003</v>
      </c>
      <c r="G474" s="60">
        <f t="shared" si="17"/>
        <v>2.0000000000006679E-3</v>
      </c>
      <c r="H474" s="60">
        <f t="shared" si="18"/>
        <v>54.261500000000005</v>
      </c>
    </row>
    <row r="475" spans="1:8" ht="20.100000000000001" customHeight="1">
      <c r="A475" s="277">
        <v>42</v>
      </c>
      <c r="B475" s="277" t="str">
        <f t="shared" si="16"/>
        <v>MOOS042a</v>
      </c>
      <c r="C475" s="182">
        <v>11.8057</v>
      </c>
      <c r="D475" s="182">
        <v>11.808</v>
      </c>
      <c r="E475" s="182">
        <v>64.302199999999999</v>
      </c>
      <c r="G475" s="60">
        <f t="shared" si="17"/>
        <v>2.2999999999999687E-3</v>
      </c>
      <c r="H475" s="60">
        <f t="shared" si="18"/>
        <v>52.496499999999997</v>
      </c>
    </row>
    <row r="476" spans="1:8" ht="20.100000000000001" customHeight="1">
      <c r="A476" s="277">
        <v>43</v>
      </c>
      <c r="B476" s="277" t="str">
        <f t="shared" si="16"/>
        <v>MOOS043a</v>
      </c>
      <c r="C476" s="182">
        <v>11.7971</v>
      </c>
      <c r="D476" s="182">
        <v>11.8</v>
      </c>
      <c r="E476" s="182">
        <v>64.728800000000007</v>
      </c>
      <c r="G476" s="60">
        <f t="shared" si="17"/>
        <v>2.9000000000003467E-3</v>
      </c>
      <c r="H476" s="60">
        <f t="shared" si="18"/>
        <v>52.931700000000006</v>
      </c>
    </row>
    <row r="477" spans="1:8" ht="20.100000000000001" customHeight="1">
      <c r="A477" s="277">
        <v>44</v>
      </c>
      <c r="B477" s="277" t="str">
        <f t="shared" si="16"/>
        <v>MOOS044a</v>
      </c>
      <c r="C477" s="182">
        <v>11.8085</v>
      </c>
      <c r="D477" s="182">
        <v>11.810499999999999</v>
      </c>
      <c r="E477" s="182">
        <v>65.367099999999994</v>
      </c>
      <c r="G477" s="60">
        <f t="shared" si="17"/>
        <v>1.9999999999988916E-3</v>
      </c>
      <c r="H477" s="60">
        <f t="shared" si="18"/>
        <v>53.558599999999991</v>
      </c>
    </row>
    <row r="478" spans="1:8" ht="20.100000000000001" customHeight="1">
      <c r="A478" s="277">
        <v>45</v>
      </c>
      <c r="B478" s="277" t="str">
        <f t="shared" si="16"/>
        <v>MOOS045a</v>
      </c>
      <c r="C478" s="182">
        <v>11.801399999999999</v>
      </c>
      <c r="D478" s="182">
        <v>11.803800000000001</v>
      </c>
      <c r="E478" s="182">
        <v>65.457599999999999</v>
      </c>
      <c r="G478" s="60">
        <f t="shared" si="17"/>
        <v>2.400000000001512E-3</v>
      </c>
      <c r="H478" s="60">
        <f t="shared" si="18"/>
        <v>53.656199999999998</v>
      </c>
    </row>
    <row r="479" spans="1:8" ht="20.100000000000001" customHeight="1">
      <c r="A479" s="277">
        <v>46</v>
      </c>
      <c r="B479" s="277" t="str">
        <f t="shared" si="16"/>
        <v>MOOS046a</v>
      </c>
      <c r="C479" s="182">
        <v>11.7561</v>
      </c>
      <c r="D479" s="182">
        <v>11.7568</v>
      </c>
      <c r="E479" s="182">
        <v>65.035200000000003</v>
      </c>
      <c r="G479" s="60">
        <f t="shared" si="17"/>
        <v>7.0000000000014495E-4</v>
      </c>
      <c r="H479" s="60">
        <f t="shared" si="18"/>
        <v>53.2791</v>
      </c>
    </row>
    <row r="480" spans="1:8" ht="20.100000000000001" customHeight="1">
      <c r="A480" s="277">
        <v>47</v>
      </c>
      <c r="B480" s="277" t="str">
        <f t="shared" si="16"/>
        <v>MOOS047a</v>
      </c>
      <c r="C480" s="182">
        <v>11.7879</v>
      </c>
      <c r="D480" s="182">
        <v>11.7888</v>
      </c>
      <c r="E480" s="182">
        <v>64.478399999999993</v>
      </c>
      <c r="G480" s="60">
        <f t="shared" si="17"/>
        <v>8.9999999999967883E-4</v>
      </c>
      <c r="H480" s="60">
        <f t="shared" si="18"/>
        <v>52.690499999999993</v>
      </c>
    </row>
    <row r="481" spans="1:8" ht="20.100000000000001" customHeight="1">
      <c r="A481" s="277">
        <v>48</v>
      </c>
      <c r="B481" s="277" t="str">
        <f t="shared" si="16"/>
        <v>MOOS048a</v>
      </c>
      <c r="C481" s="182">
        <v>11.7842</v>
      </c>
      <c r="D481" s="182">
        <v>11.786300000000001</v>
      </c>
      <c r="E481" s="182">
        <v>63.700899999999997</v>
      </c>
      <c r="G481" s="60">
        <f t="shared" si="17"/>
        <v>2.1000000000004349E-3</v>
      </c>
      <c r="H481" s="60">
        <f t="shared" si="18"/>
        <v>51.916699999999999</v>
      </c>
    </row>
    <row r="482" spans="1:8" ht="20.100000000000001" customHeight="1">
      <c r="A482" s="277">
        <v>49</v>
      </c>
      <c r="B482" s="277" t="str">
        <f t="shared" si="16"/>
        <v>MOOS049a</v>
      </c>
      <c r="C482" s="182">
        <v>11.7897</v>
      </c>
      <c r="D482" s="182">
        <v>11.791499999999999</v>
      </c>
      <c r="E482" s="182">
        <v>64.978800000000007</v>
      </c>
      <c r="G482" s="60">
        <f t="shared" si="17"/>
        <v>1.7999999999993577E-3</v>
      </c>
      <c r="H482" s="60">
        <f t="shared" si="18"/>
        <v>53.18910000000001</v>
      </c>
    </row>
    <row r="483" spans="1:8" ht="20.100000000000001" customHeight="1">
      <c r="A483" s="277">
        <v>50</v>
      </c>
      <c r="B483" s="277" t="str">
        <f t="shared" si="16"/>
        <v>MOOS050a</v>
      </c>
      <c r="C483" s="182">
        <v>11.859</v>
      </c>
      <c r="D483" s="182">
        <v>11.8612</v>
      </c>
      <c r="E483" s="182">
        <v>64.726200000000006</v>
      </c>
      <c r="G483" s="60">
        <f t="shared" si="17"/>
        <v>2.2000000000002018E-3</v>
      </c>
      <c r="H483" s="60">
        <f t="shared" si="18"/>
        <v>52.867200000000004</v>
      </c>
    </row>
    <row r="484" spans="1:8" ht="20.100000000000001" customHeight="1">
      <c r="A484" s="277">
        <v>51</v>
      </c>
      <c r="B484" s="277" t="str">
        <f t="shared" si="16"/>
        <v>MOOS051a</v>
      </c>
      <c r="C484" s="182">
        <v>11.801</v>
      </c>
      <c r="D484" s="182">
        <v>11.804600000000001</v>
      </c>
      <c r="E484" s="182">
        <v>64.5822</v>
      </c>
      <c r="G484" s="60">
        <f t="shared" si="17"/>
        <v>3.6000000000004917E-3</v>
      </c>
      <c r="H484" s="60">
        <f t="shared" si="18"/>
        <v>52.781199999999998</v>
      </c>
    </row>
    <row r="485" spans="1:8" ht="20.100000000000001" customHeight="1">
      <c r="A485" s="277">
        <v>52</v>
      </c>
      <c r="B485" s="277" t="str">
        <f t="shared" si="16"/>
        <v>MOOS052a</v>
      </c>
      <c r="C485" s="182">
        <v>11.7949</v>
      </c>
      <c r="D485" s="182">
        <v>11.7967</v>
      </c>
      <c r="E485" s="182">
        <v>66.264499999999998</v>
      </c>
      <c r="G485" s="60">
        <f t="shared" si="17"/>
        <v>1.7999999999993577E-3</v>
      </c>
      <c r="H485" s="60">
        <f t="shared" si="18"/>
        <v>54.4696</v>
      </c>
    </row>
    <row r="486" spans="1:8" ht="20.100000000000001" customHeight="1">
      <c r="A486" s="277">
        <v>53</v>
      </c>
      <c r="B486" s="277" t="str">
        <f t="shared" si="16"/>
        <v>MOOS053a</v>
      </c>
      <c r="C486" s="182">
        <v>11.8216</v>
      </c>
      <c r="D486" s="182">
        <v>11.822699999999999</v>
      </c>
      <c r="E486" s="182">
        <v>64.463499999999996</v>
      </c>
      <c r="G486" s="60">
        <f t="shared" si="17"/>
        <v>1.0999999999992127E-3</v>
      </c>
      <c r="H486" s="60">
        <f t="shared" si="18"/>
        <v>52.641899999999993</v>
      </c>
    </row>
    <row r="487" spans="1:8" ht="20.100000000000001" customHeight="1">
      <c r="A487" s="277">
        <v>54</v>
      </c>
      <c r="B487" s="277" t="str">
        <f t="shared" si="16"/>
        <v>MOOS054a</v>
      </c>
      <c r="C487" s="182">
        <v>11.875400000000001</v>
      </c>
      <c r="D487" s="182">
        <v>11.876799999999999</v>
      </c>
      <c r="E487" s="182">
        <v>63.883099999999999</v>
      </c>
      <c r="G487" s="60">
        <f t="shared" si="17"/>
        <v>1.3999999999985135E-3</v>
      </c>
      <c r="H487" s="60">
        <f t="shared" si="18"/>
        <v>52.0077</v>
      </c>
    </row>
    <row r="488" spans="1:8" ht="20.100000000000001" customHeight="1">
      <c r="A488" s="277">
        <v>55</v>
      </c>
      <c r="B488" s="277" t="str">
        <f t="shared" si="16"/>
        <v>MOOS055a</v>
      </c>
      <c r="C488" s="182">
        <v>11.8405</v>
      </c>
      <c r="D488" s="182">
        <v>11.8414</v>
      </c>
      <c r="E488" s="182">
        <v>64.476699999999994</v>
      </c>
      <c r="G488" s="60">
        <f t="shared" si="17"/>
        <v>8.9999999999967883E-4</v>
      </c>
      <c r="H488" s="60">
        <f t="shared" si="18"/>
        <v>52.636199999999995</v>
      </c>
    </row>
    <row r="489" spans="1:8" ht="20.100000000000001" customHeight="1">
      <c r="A489" s="277">
        <v>56</v>
      </c>
      <c r="B489" s="277" t="str">
        <f t="shared" si="16"/>
        <v>MOOS056a</v>
      </c>
      <c r="C489" s="182">
        <v>11.7827</v>
      </c>
      <c r="D489" s="182">
        <v>11.784599999999999</v>
      </c>
      <c r="E489" s="182">
        <v>65.918899999999994</v>
      </c>
      <c r="G489" s="60">
        <f t="shared" si="17"/>
        <v>1.8999999999991246E-3</v>
      </c>
      <c r="H489" s="60">
        <f t="shared" si="18"/>
        <v>54.136199999999995</v>
      </c>
    </row>
    <row r="490" spans="1:8" ht="20.100000000000001" customHeight="1">
      <c r="A490" s="277">
        <v>57</v>
      </c>
      <c r="B490" s="277" t="str">
        <f t="shared" si="16"/>
        <v>MOOS057a</v>
      </c>
      <c r="C490" s="182">
        <v>11.8345</v>
      </c>
      <c r="D490" s="182">
        <v>11.8355</v>
      </c>
      <c r="E490" s="182">
        <v>65.242800000000003</v>
      </c>
      <c r="G490" s="60">
        <f t="shared" si="17"/>
        <v>9.9999999999944578E-4</v>
      </c>
      <c r="H490" s="60">
        <f t="shared" si="18"/>
        <v>53.408300000000004</v>
      </c>
    </row>
    <row r="491" spans="1:8" ht="20.100000000000001" customHeight="1">
      <c r="A491" s="277">
        <v>58</v>
      </c>
      <c r="B491" s="277" t="str">
        <f t="shared" si="16"/>
        <v>MOOS058a</v>
      </c>
      <c r="C491" s="182">
        <v>11.8309</v>
      </c>
      <c r="D491" s="182">
        <v>11.8315</v>
      </c>
      <c r="E491" s="182">
        <v>64.081500000000005</v>
      </c>
      <c r="G491" s="60">
        <f t="shared" si="17"/>
        <v>6.0000000000037801E-4</v>
      </c>
      <c r="H491" s="60">
        <f t="shared" si="18"/>
        <v>52.250600000000006</v>
      </c>
    </row>
    <row r="492" spans="1:8" ht="20.100000000000001" customHeight="1">
      <c r="A492" s="277">
        <v>59</v>
      </c>
      <c r="B492" s="277" t="str">
        <f t="shared" si="16"/>
        <v>MOOS059a</v>
      </c>
      <c r="C492" s="182">
        <v>11.8126</v>
      </c>
      <c r="D492" s="182">
        <v>11.8194</v>
      </c>
      <c r="E492" s="182">
        <v>64.507499999999993</v>
      </c>
      <c r="G492" s="60">
        <f t="shared" si="17"/>
        <v>6.8000000000001393E-3</v>
      </c>
      <c r="H492" s="60">
        <f t="shared" si="18"/>
        <v>52.69489999999999</v>
      </c>
    </row>
    <row r="493" spans="1:8" ht="20.100000000000001" customHeight="1">
      <c r="A493" s="277">
        <v>60</v>
      </c>
      <c r="B493" s="277" t="str">
        <f t="shared" si="16"/>
        <v>MOOS060a</v>
      </c>
      <c r="C493" s="182">
        <v>11.862399999999999</v>
      </c>
      <c r="D493" s="182">
        <v>11.864800000000001</v>
      </c>
      <c r="E493" s="182">
        <v>65.195599999999999</v>
      </c>
      <c r="G493" s="60">
        <f t="shared" si="17"/>
        <v>2.400000000001512E-3</v>
      </c>
      <c r="H493" s="60">
        <f t="shared" si="18"/>
        <v>53.333199999999998</v>
      </c>
    </row>
    <row r="494" spans="1:8" ht="20.100000000000001" customHeight="1">
      <c r="A494" s="277">
        <v>61</v>
      </c>
      <c r="B494" s="277" t="str">
        <f t="shared" si="16"/>
        <v>MOOS061a</v>
      </c>
      <c r="C494" s="182">
        <v>11.8415</v>
      </c>
      <c r="D494" s="182">
        <v>11.8428</v>
      </c>
      <c r="E494" s="182">
        <v>64.921800000000005</v>
      </c>
      <c r="G494" s="60">
        <f t="shared" si="17"/>
        <v>1.300000000000523E-3</v>
      </c>
      <c r="H494" s="60">
        <f t="shared" si="18"/>
        <v>53.080300000000008</v>
      </c>
    </row>
    <row r="495" spans="1:8" ht="20.100000000000001" customHeight="1">
      <c r="A495" s="277">
        <v>62</v>
      </c>
      <c r="B495" s="277" t="str">
        <f t="shared" si="16"/>
        <v>MOOS062a</v>
      </c>
      <c r="C495" s="182">
        <v>11.851000000000001</v>
      </c>
      <c r="D495" s="182">
        <v>11.853</v>
      </c>
      <c r="E495" s="182">
        <v>63.060400000000001</v>
      </c>
      <c r="G495" s="60">
        <f t="shared" si="17"/>
        <v>1.9999999999988916E-3</v>
      </c>
      <c r="H495" s="60">
        <f t="shared" si="18"/>
        <v>51.209400000000002</v>
      </c>
    </row>
    <row r="496" spans="1:8" ht="20.100000000000001" customHeight="1">
      <c r="A496" s="277">
        <v>63</v>
      </c>
      <c r="B496" s="277" t="str">
        <f t="shared" si="16"/>
        <v>MOOS063a</v>
      </c>
      <c r="C496" s="182">
        <v>11.7995</v>
      </c>
      <c r="D496" s="182">
        <v>11.802199999999999</v>
      </c>
      <c r="E496" s="182">
        <v>65.084400000000002</v>
      </c>
      <c r="G496" s="60">
        <f t="shared" si="17"/>
        <v>2.6999999999990365E-3</v>
      </c>
      <c r="H496" s="60">
        <f t="shared" si="18"/>
        <v>53.2849</v>
      </c>
    </row>
    <row r="497" spans="1:8" ht="20.100000000000001" customHeight="1">
      <c r="A497" s="277">
        <v>64</v>
      </c>
      <c r="B497" s="277" t="str">
        <f t="shared" si="16"/>
        <v>MOOS064a</v>
      </c>
      <c r="C497" s="182">
        <v>11.8222</v>
      </c>
      <c r="D497" s="182">
        <v>11.824</v>
      </c>
      <c r="E497" s="182">
        <v>65.756200000000007</v>
      </c>
      <c r="G497" s="60">
        <f t="shared" si="17"/>
        <v>1.7999999999993577E-3</v>
      </c>
      <c r="H497" s="60">
        <f t="shared" si="18"/>
        <v>53.934000000000005</v>
      </c>
    </row>
    <row r="498" spans="1:8" ht="20.100000000000001" customHeight="1">
      <c r="A498" s="277">
        <v>65</v>
      </c>
      <c r="B498" s="277" t="str">
        <f t="shared" si="16"/>
        <v>MOOS065a</v>
      </c>
      <c r="C498" s="182">
        <v>11.814</v>
      </c>
      <c r="D498" s="182">
        <v>11.8142</v>
      </c>
      <c r="E498" s="182">
        <v>64.928600000000003</v>
      </c>
      <c r="G498" s="60">
        <f t="shared" si="17"/>
        <v>1.9999999999953388E-4</v>
      </c>
      <c r="H498" s="60">
        <f t="shared" si="18"/>
        <v>53.114600000000003</v>
      </c>
    </row>
    <row r="499" spans="1:8" ht="20.100000000000001" customHeight="1">
      <c r="A499" s="277">
        <v>66</v>
      </c>
      <c r="B499" s="277" t="str">
        <f t="shared" ref="B499:B562" si="19">"MOOS"&amp;TEXT(A499,"000")&amp;"a"</f>
        <v>MOOS066a</v>
      </c>
      <c r="C499" s="182">
        <v>11.8292</v>
      </c>
      <c r="D499" s="182">
        <v>11.831</v>
      </c>
      <c r="E499" s="182">
        <v>63.715600000000002</v>
      </c>
      <c r="G499" s="60">
        <f t="shared" ref="G499:G562" si="20">D499-C499</f>
        <v>1.7999999999993577E-3</v>
      </c>
      <c r="H499" s="60">
        <f t="shared" ref="H499:H562" si="21">E499-C499</f>
        <v>51.886400000000002</v>
      </c>
    </row>
    <row r="500" spans="1:8" ht="20.100000000000001" customHeight="1">
      <c r="A500" s="277">
        <v>67</v>
      </c>
      <c r="B500" s="277" t="str">
        <f t="shared" si="19"/>
        <v>MOOS067a</v>
      </c>
      <c r="C500" s="182">
        <v>11.811199999999999</v>
      </c>
      <c r="D500" s="182">
        <v>11.8139</v>
      </c>
      <c r="E500" s="182">
        <v>64.041399999999996</v>
      </c>
      <c r="G500" s="60">
        <f t="shared" si="20"/>
        <v>2.7000000000008129E-3</v>
      </c>
      <c r="H500" s="60">
        <f t="shared" si="21"/>
        <v>52.230199999999996</v>
      </c>
    </row>
    <row r="501" spans="1:8" ht="20.100000000000001" customHeight="1">
      <c r="A501" s="277">
        <v>68</v>
      </c>
      <c r="B501" s="277" t="str">
        <f t="shared" si="19"/>
        <v>MOOS068a</v>
      </c>
      <c r="C501" s="182">
        <v>11.814299999999999</v>
      </c>
      <c r="D501" s="182">
        <v>11.816000000000001</v>
      </c>
      <c r="E501" s="182">
        <v>64.538300000000007</v>
      </c>
      <c r="G501" s="60">
        <f t="shared" si="20"/>
        <v>1.7000000000013671E-3</v>
      </c>
      <c r="H501" s="60">
        <f t="shared" si="21"/>
        <v>52.724000000000004</v>
      </c>
    </row>
    <row r="502" spans="1:8" ht="20.100000000000001" customHeight="1">
      <c r="A502" s="277">
        <v>69</v>
      </c>
      <c r="B502" s="277" t="str">
        <f t="shared" si="19"/>
        <v>MOOS069a</v>
      </c>
      <c r="C502" s="182">
        <v>11.8249</v>
      </c>
      <c r="D502" s="182">
        <v>11.8253</v>
      </c>
      <c r="E502" s="182">
        <v>64.456999999999994</v>
      </c>
      <c r="G502" s="60">
        <f t="shared" si="20"/>
        <v>4.0000000000084412E-4</v>
      </c>
      <c r="H502" s="60">
        <f t="shared" si="21"/>
        <v>52.632099999999994</v>
      </c>
    </row>
    <row r="503" spans="1:8" ht="20.100000000000001" customHeight="1">
      <c r="A503" s="277">
        <v>70</v>
      </c>
      <c r="B503" s="277" t="str">
        <f t="shared" si="19"/>
        <v>MOOS070a</v>
      </c>
      <c r="C503" s="182">
        <v>11.823700000000001</v>
      </c>
      <c r="D503" s="182">
        <v>11.824199999999999</v>
      </c>
      <c r="E503" s="182">
        <v>66.456699999999998</v>
      </c>
      <c r="G503" s="60">
        <f t="shared" si="20"/>
        <v>4.9999999999883471E-4</v>
      </c>
      <c r="H503" s="60">
        <f t="shared" si="21"/>
        <v>54.632999999999996</v>
      </c>
    </row>
    <row r="504" spans="1:8" ht="20.100000000000001" customHeight="1">
      <c r="A504" s="277">
        <v>71</v>
      </c>
      <c r="B504" s="277" t="str">
        <f t="shared" si="19"/>
        <v>MOOS071a</v>
      </c>
      <c r="C504" s="182">
        <v>11.8254</v>
      </c>
      <c r="D504" s="182">
        <v>11.827199999999999</v>
      </c>
      <c r="E504" s="182">
        <v>66.137100000000004</v>
      </c>
      <c r="G504" s="60">
        <f t="shared" si="20"/>
        <v>1.7999999999993577E-3</v>
      </c>
      <c r="H504" s="60">
        <f t="shared" si="21"/>
        <v>54.311700000000002</v>
      </c>
    </row>
    <row r="505" spans="1:8" ht="20.100000000000001" customHeight="1">
      <c r="A505" s="277">
        <v>72</v>
      </c>
      <c r="B505" s="277" t="str">
        <f t="shared" si="19"/>
        <v>MOOS072a</v>
      </c>
      <c r="C505" s="182">
        <v>11.8222</v>
      </c>
      <c r="D505" s="182">
        <v>11.8241</v>
      </c>
      <c r="E505" s="182">
        <v>64.302599999999998</v>
      </c>
      <c r="G505" s="60">
        <f t="shared" si="20"/>
        <v>1.8999999999991246E-3</v>
      </c>
      <c r="H505" s="60">
        <f t="shared" si="21"/>
        <v>52.480399999999996</v>
      </c>
    </row>
    <row r="506" spans="1:8" ht="20.100000000000001" customHeight="1">
      <c r="A506" s="277">
        <v>73</v>
      </c>
      <c r="B506" s="277" t="str">
        <f t="shared" si="19"/>
        <v>MOOS073a</v>
      </c>
      <c r="C506" s="182">
        <v>11.819900000000001</v>
      </c>
      <c r="D506" s="182">
        <v>11.8208</v>
      </c>
      <c r="E506" s="182">
        <v>64.858000000000004</v>
      </c>
      <c r="G506" s="60">
        <f t="shared" si="20"/>
        <v>8.9999999999967883E-4</v>
      </c>
      <c r="H506" s="60">
        <f t="shared" si="21"/>
        <v>53.0381</v>
      </c>
    </row>
    <row r="507" spans="1:8" ht="20.100000000000001" customHeight="1">
      <c r="A507" s="277">
        <v>74</v>
      </c>
      <c r="B507" s="277" t="str">
        <f t="shared" si="19"/>
        <v>MOOS074a</v>
      </c>
      <c r="C507" s="182">
        <v>11.811199999999999</v>
      </c>
      <c r="D507" s="182">
        <v>11.8148</v>
      </c>
      <c r="E507" s="182">
        <v>65.235799999999998</v>
      </c>
      <c r="G507" s="60">
        <f t="shared" si="20"/>
        <v>3.6000000000004917E-3</v>
      </c>
      <c r="H507" s="60">
        <f t="shared" si="21"/>
        <v>53.424599999999998</v>
      </c>
    </row>
    <row r="508" spans="1:8" ht="20.100000000000001" customHeight="1">
      <c r="A508" s="277">
        <v>75</v>
      </c>
      <c r="B508" s="277" t="str">
        <f t="shared" si="19"/>
        <v>MOOS075a</v>
      </c>
      <c r="C508" s="182">
        <v>11.7797</v>
      </c>
      <c r="D508" s="182">
        <v>11.780799999999999</v>
      </c>
      <c r="E508" s="182">
        <v>62.832700000000003</v>
      </c>
      <c r="G508" s="60">
        <f t="shared" si="20"/>
        <v>1.0999999999992127E-3</v>
      </c>
      <c r="H508" s="60">
        <f t="shared" si="21"/>
        <v>51.053000000000004</v>
      </c>
    </row>
    <row r="509" spans="1:8" ht="20.100000000000001" customHeight="1">
      <c r="A509" s="277">
        <v>76</v>
      </c>
      <c r="B509" s="277" t="str">
        <f t="shared" si="19"/>
        <v>MOOS076a</v>
      </c>
      <c r="C509" s="182">
        <v>11.837999999999999</v>
      </c>
      <c r="D509" s="182">
        <v>11.840999999999999</v>
      </c>
      <c r="E509" s="182">
        <v>63.668700000000001</v>
      </c>
      <c r="G509" s="60">
        <f t="shared" si="20"/>
        <v>3.0000000000001137E-3</v>
      </c>
      <c r="H509" s="60">
        <f t="shared" si="21"/>
        <v>51.8307</v>
      </c>
    </row>
    <row r="510" spans="1:8" ht="20.100000000000001" customHeight="1">
      <c r="A510" s="277">
        <v>77</v>
      </c>
      <c r="B510" s="277" t="str">
        <f t="shared" si="19"/>
        <v>MOOS077a</v>
      </c>
      <c r="C510" s="182">
        <v>11.8345</v>
      </c>
      <c r="D510" s="182">
        <v>11.8375</v>
      </c>
      <c r="E510" s="182">
        <v>65.195099999999996</v>
      </c>
      <c r="G510" s="60">
        <f t="shared" si="20"/>
        <v>3.0000000000001137E-3</v>
      </c>
      <c r="H510" s="60">
        <f t="shared" si="21"/>
        <v>53.360599999999998</v>
      </c>
    </row>
    <row r="511" spans="1:8" ht="20.100000000000001" customHeight="1">
      <c r="A511" s="277">
        <v>78</v>
      </c>
      <c r="B511" s="277" t="str">
        <f t="shared" si="19"/>
        <v>MOOS078a</v>
      </c>
      <c r="C511" s="182">
        <v>11.845499999999999</v>
      </c>
      <c r="D511" s="182">
        <v>11.8528</v>
      </c>
      <c r="E511" s="182">
        <v>62.693600000000004</v>
      </c>
      <c r="G511" s="60">
        <f t="shared" si="20"/>
        <v>7.3000000000007503E-3</v>
      </c>
      <c r="H511" s="60">
        <f t="shared" si="21"/>
        <v>50.848100000000002</v>
      </c>
    </row>
    <row r="512" spans="1:8" ht="20.100000000000001" customHeight="1">
      <c r="A512" s="277">
        <v>79</v>
      </c>
      <c r="B512" s="277" t="str">
        <f t="shared" si="19"/>
        <v>MOOS079a</v>
      </c>
      <c r="C512" s="182">
        <v>11.836499999999999</v>
      </c>
      <c r="D512" s="182">
        <v>11.8384</v>
      </c>
      <c r="E512" s="182">
        <v>62.3399</v>
      </c>
      <c r="G512" s="60">
        <f t="shared" si="20"/>
        <v>1.900000000000901E-3</v>
      </c>
      <c r="H512" s="60">
        <f t="shared" si="21"/>
        <v>50.503399999999999</v>
      </c>
    </row>
    <row r="513" spans="1:8" ht="20.100000000000001" customHeight="1">
      <c r="A513" s="277">
        <v>80</v>
      </c>
      <c r="B513" s="277" t="str">
        <f t="shared" si="19"/>
        <v>MOOS080a</v>
      </c>
      <c r="C513" s="182">
        <v>11.8407</v>
      </c>
      <c r="D513" s="182">
        <v>11.841900000000001</v>
      </c>
      <c r="E513" s="182">
        <v>63.625799999999998</v>
      </c>
      <c r="G513" s="60">
        <f t="shared" si="20"/>
        <v>1.200000000000756E-3</v>
      </c>
      <c r="H513" s="60">
        <f t="shared" si="21"/>
        <v>51.7851</v>
      </c>
    </row>
    <row r="514" spans="1:8" ht="20.100000000000001" customHeight="1">
      <c r="A514" s="277">
        <v>81</v>
      </c>
      <c r="B514" s="277" t="str">
        <f t="shared" si="19"/>
        <v>MOOS081a</v>
      </c>
      <c r="C514" s="182">
        <v>11.8668</v>
      </c>
      <c r="D514" s="182">
        <v>11.8711</v>
      </c>
      <c r="E514" s="182">
        <v>64.188000000000002</v>
      </c>
      <c r="G514" s="60">
        <f t="shared" si="20"/>
        <v>4.3000000000006366E-3</v>
      </c>
      <c r="H514" s="60">
        <f t="shared" si="21"/>
        <v>52.321200000000005</v>
      </c>
    </row>
    <row r="515" spans="1:8" ht="20.100000000000001" customHeight="1">
      <c r="A515" s="277">
        <v>82</v>
      </c>
      <c r="B515" s="277" t="str">
        <f t="shared" si="19"/>
        <v>MOOS082a</v>
      </c>
      <c r="C515" s="182">
        <v>11.817</v>
      </c>
      <c r="D515" s="182">
        <v>11.8193</v>
      </c>
      <c r="E515" s="182">
        <v>62.681199999999997</v>
      </c>
      <c r="G515" s="60">
        <f t="shared" si="20"/>
        <v>2.2999999999999687E-3</v>
      </c>
      <c r="H515" s="60">
        <f t="shared" si="21"/>
        <v>50.864199999999997</v>
      </c>
    </row>
    <row r="516" spans="1:8" ht="20.100000000000001" customHeight="1">
      <c r="A516" s="277">
        <v>83</v>
      </c>
      <c r="B516" s="277" t="str">
        <f t="shared" si="19"/>
        <v>MOOS083a</v>
      </c>
      <c r="C516" s="182">
        <v>11.8161</v>
      </c>
      <c r="D516" s="182">
        <v>11.818300000000001</v>
      </c>
      <c r="E516" s="182">
        <v>62.833199999999998</v>
      </c>
      <c r="G516" s="60">
        <f t="shared" si="20"/>
        <v>2.2000000000002018E-3</v>
      </c>
      <c r="H516" s="60">
        <f t="shared" si="21"/>
        <v>51.017099999999999</v>
      </c>
    </row>
    <row r="517" spans="1:8" ht="20.100000000000001" customHeight="1">
      <c r="A517" s="277">
        <v>84</v>
      </c>
      <c r="B517" s="277" t="str">
        <f t="shared" si="19"/>
        <v>MOOS084a</v>
      </c>
      <c r="C517" s="182">
        <v>11.787000000000001</v>
      </c>
      <c r="D517" s="182">
        <v>11.789199999999999</v>
      </c>
      <c r="E517" s="182">
        <v>63.11</v>
      </c>
      <c r="G517" s="60">
        <f t="shared" si="20"/>
        <v>2.1999999999984254E-3</v>
      </c>
      <c r="H517" s="60">
        <f t="shared" si="21"/>
        <v>51.323</v>
      </c>
    </row>
    <row r="518" spans="1:8" ht="20.100000000000001" customHeight="1">
      <c r="A518" s="277">
        <v>85</v>
      </c>
      <c r="B518" s="277" t="str">
        <f t="shared" si="19"/>
        <v>MOOS085a</v>
      </c>
      <c r="C518" s="182">
        <v>11.816800000000001</v>
      </c>
      <c r="D518" s="182">
        <v>11.8188</v>
      </c>
      <c r="E518" s="182">
        <v>63.775799999999997</v>
      </c>
      <c r="G518" s="60">
        <f t="shared" si="20"/>
        <v>1.9999999999988916E-3</v>
      </c>
      <c r="H518" s="60">
        <f t="shared" si="21"/>
        <v>51.958999999999996</v>
      </c>
    </row>
    <row r="519" spans="1:8" ht="20.100000000000001" customHeight="1">
      <c r="A519" s="277">
        <v>86</v>
      </c>
      <c r="B519" s="277" t="str">
        <f t="shared" si="19"/>
        <v>MOOS086a</v>
      </c>
      <c r="C519" s="182">
        <v>11.8659</v>
      </c>
      <c r="D519" s="182">
        <v>11.8728</v>
      </c>
      <c r="E519" s="182">
        <v>65.758600000000001</v>
      </c>
      <c r="G519" s="60">
        <f t="shared" si="20"/>
        <v>6.8999999999999062E-3</v>
      </c>
      <c r="H519" s="60">
        <f t="shared" si="21"/>
        <v>53.892700000000005</v>
      </c>
    </row>
    <row r="520" spans="1:8" ht="20.100000000000001" customHeight="1">
      <c r="A520" s="277">
        <v>87</v>
      </c>
      <c r="B520" s="277" t="str">
        <f t="shared" si="19"/>
        <v>MOOS087a</v>
      </c>
      <c r="C520" s="182">
        <v>11.8317</v>
      </c>
      <c r="D520" s="182">
        <v>11.84</v>
      </c>
      <c r="E520" s="182">
        <v>63.593699999999998</v>
      </c>
      <c r="G520" s="60">
        <f t="shared" si="20"/>
        <v>8.3000000000001961E-3</v>
      </c>
      <c r="H520" s="60">
        <f t="shared" si="21"/>
        <v>51.762</v>
      </c>
    </row>
    <row r="521" spans="1:8" ht="20.100000000000001" customHeight="1">
      <c r="A521" s="277">
        <v>88</v>
      </c>
      <c r="B521" s="277" t="str">
        <f t="shared" si="19"/>
        <v>MOOS088a</v>
      </c>
      <c r="C521" s="182">
        <v>11.8436</v>
      </c>
      <c r="D521" s="182">
        <v>11.8467</v>
      </c>
      <c r="E521" s="182">
        <v>62.988300000000002</v>
      </c>
      <c r="G521" s="60">
        <f t="shared" si="20"/>
        <v>3.0999999999998806E-3</v>
      </c>
      <c r="H521" s="60">
        <f t="shared" si="21"/>
        <v>51.1447</v>
      </c>
    </row>
    <row r="522" spans="1:8" ht="20.100000000000001" customHeight="1">
      <c r="A522" s="277">
        <v>89</v>
      </c>
      <c r="B522" s="277" t="str">
        <f t="shared" si="19"/>
        <v>MOOS089a</v>
      </c>
      <c r="C522" s="182">
        <v>11.7881</v>
      </c>
      <c r="D522" s="182">
        <v>11.792400000000001</v>
      </c>
      <c r="E522" s="182">
        <v>63.253700000000002</v>
      </c>
      <c r="G522" s="60">
        <f t="shared" si="20"/>
        <v>4.3000000000006366E-3</v>
      </c>
      <c r="H522" s="60">
        <f t="shared" si="21"/>
        <v>51.465600000000002</v>
      </c>
    </row>
    <row r="523" spans="1:8" ht="20.100000000000001" customHeight="1">
      <c r="A523" s="277">
        <v>90</v>
      </c>
      <c r="B523" s="277" t="str">
        <f t="shared" si="19"/>
        <v>MOOS090a</v>
      </c>
      <c r="C523" s="182">
        <v>11.858700000000001</v>
      </c>
      <c r="D523" s="182">
        <v>11.8611</v>
      </c>
      <c r="E523" s="182">
        <v>64.760999999999996</v>
      </c>
      <c r="G523" s="60">
        <f t="shared" si="20"/>
        <v>2.3999999999997357E-3</v>
      </c>
      <c r="H523" s="60">
        <f t="shared" si="21"/>
        <v>52.902299999999997</v>
      </c>
    </row>
    <row r="524" spans="1:8" ht="20.100000000000001" customHeight="1">
      <c r="A524" s="277">
        <v>91</v>
      </c>
      <c r="B524" s="277" t="str">
        <f t="shared" si="19"/>
        <v>MOOS091a</v>
      </c>
      <c r="C524" s="182">
        <v>11.8283</v>
      </c>
      <c r="D524" s="182">
        <v>11.829599999999999</v>
      </c>
      <c r="E524" s="182">
        <v>64.8904</v>
      </c>
      <c r="G524" s="60">
        <f t="shared" si="20"/>
        <v>1.2999999999987466E-3</v>
      </c>
      <c r="H524" s="60">
        <f t="shared" si="21"/>
        <v>53.062100000000001</v>
      </c>
    </row>
    <row r="525" spans="1:8" ht="20.100000000000001" customHeight="1">
      <c r="A525" s="277">
        <v>92</v>
      </c>
      <c r="B525" s="277" t="str">
        <f t="shared" si="19"/>
        <v>MOOS092a</v>
      </c>
      <c r="C525" s="182">
        <v>11.839700000000001</v>
      </c>
      <c r="D525" s="182">
        <v>11.8432</v>
      </c>
      <c r="E525" s="182">
        <v>64.124399999999994</v>
      </c>
      <c r="G525" s="60">
        <f t="shared" si="20"/>
        <v>3.4999999999989484E-3</v>
      </c>
      <c r="H525" s="60">
        <f t="shared" si="21"/>
        <v>52.284699999999994</v>
      </c>
    </row>
    <row r="526" spans="1:8" ht="20.100000000000001" customHeight="1">
      <c r="A526" s="277">
        <v>93</v>
      </c>
      <c r="B526" s="277" t="str">
        <f t="shared" si="19"/>
        <v>MOOS093a</v>
      </c>
      <c r="C526" s="182">
        <v>11.8749</v>
      </c>
      <c r="D526" s="182">
        <v>11.8771</v>
      </c>
      <c r="E526" s="182">
        <v>65.115399999999994</v>
      </c>
      <c r="G526" s="60">
        <f t="shared" si="20"/>
        <v>2.2000000000002018E-3</v>
      </c>
      <c r="H526" s="60">
        <f t="shared" si="21"/>
        <v>53.240499999999997</v>
      </c>
    </row>
    <row r="527" spans="1:8" ht="20.100000000000001" customHeight="1">
      <c r="A527" s="277">
        <v>94</v>
      </c>
      <c r="B527" s="277" t="str">
        <f t="shared" si="19"/>
        <v>MOOS094a</v>
      </c>
      <c r="C527" s="182">
        <v>11.815300000000001</v>
      </c>
      <c r="D527" s="182">
        <v>11.818899999999999</v>
      </c>
      <c r="E527" s="182">
        <v>64.780199999999994</v>
      </c>
      <c r="G527" s="60">
        <f t="shared" si="20"/>
        <v>3.5999999999987153E-3</v>
      </c>
      <c r="H527" s="60">
        <f t="shared" si="21"/>
        <v>52.964899999999993</v>
      </c>
    </row>
    <row r="528" spans="1:8" ht="20.100000000000001" customHeight="1">
      <c r="A528" s="277">
        <v>95</v>
      </c>
      <c r="B528" s="277" t="str">
        <f t="shared" si="19"/>
        <v>MOOS095a</v>
      </c>
      <c r="C528" s="182">
        <v>11.8271</v>
      </c>
      <c r="D528" s="182">
        <v>11.829599999999999</v>
      </c>
      <c r="E528" s="182">
        <v>62.860599999999998</v>
      </c>
      <c r="G528" s="60">
        <f t="shared" si="20"/>
        <v>2.4999999999995026E-3</v>
      </c>
      <c r="H528" s="60">
        <f t="shared" si="21"/>
        <v>51.033499999999997</v>
      </c>
    </row>
    <row r="529" spans="1:8" ht="20.100000000000001" customHeight="1">
      <c r="A529" s="277">
        <v>96</v>
      </c>
      <c r="B529" s="277" t="str">
        <f t="shared" si="19"/>
        <v>MOOS096a</v>
      </c>
      <c r="C529" s="182">
        <v>11.7761</v>
      </c>
      <c r="D529" s="182">
        <v>11.7784</v>
      </c>
      <c r="E529" s="182">
        <v>64.037199999999999</v>
      </c>
      <c r="G529" s="60">
        <f t="shared" si="20"/>
        <v>2.2999999999999687E-3</v>
      </c>
      <c r="H529" s="60">
        <f t="shared" si="21"/>
        <v>52.261099999999999</v>
      </c>
    </row>
    <row r="530" spans="1:8" ht="20.100000000000001" customHeight="1">
      <c r="A530" s="277">
        <v>97</v>
      </c>
      <c r="B530" s="277" t="str">
        <f t="shared" si="19"/>
        <v>MOOS097a</v>
      </c>
      <c r="C530" s="182">
        <v>11.8392</v>
      </c>
      <c r="D530" s="182">
        <v>11.840999999999999</v>
      </c>
      <c r="E530" s="182">
        <v>63.2577</v>
      </c>
      <c r="G530" s="60">
        <f t="shared" si="20"/>
        <v>1.7999999999993577E-3</v>
      </c>
      <c r="H530" s="60">
        <f t="shared" si="21"/>
        <v>51.418500000000002</v>
      </c>
    </row>
    <row r="531" spans="1:8" ht="20.100000000000001" customHeight="1">
      <c r="A531" s="277">
        <v>98</v>
      </c>
      <c r="B531" s="277" t="str">
        <f t="shared" si="19"/>
        <v>MOOS098a</v>
      </c>
      <c r="C531" s="182">
        <v>11.8246</v>
      </c>
      <c r="D531" s="182">
        <v>11.8345</v>
      </c>
      <c r="E531" s="182">
        <v>65.983900000000006</v>
      </c>
      <c r="G531" s="60">
        <f t="shared" si="20"/>
        <v>9.9000000000000199E-3</v>
      </c>
      <c r="H531" s="60">
        <f t="shared" si="21"/>
        <v>54.159300000000002</v>
      </c>
    </row>
    <row r="532" spans="1:8" ht="20.100000000000001" customHeight="1">
      <c r="A532" s="277">
        <v>99</v>
      </c>
      <c r="B532" s="277" t="str">
        <f t="shared" si="19"/>
        <v>MOOS099a</v>
      </c>
      <c r="C532" s="182">
        <v>11.836</v>
      </c>
      <c r="D532" s="182">
        <v>11.837300000000001</v>
      </c>
      <c r="E532" s="182">
        <v>64.721000000000004</v>
      </c>
      <c r="G532" s="60">
        <f t="shared" si="20"/>
        <v>1.300000000000523E-3</v>
      </c>
      <c r="H532" s="60">
        <f t="shared" si="21"/>
        <v>52.885000000000005</v>
      </c>
    </row>
    <row r="533" spans="1:8" ht="20.100000000000001" customHeight="1">
      <c r="A533" s="277">
        <v>100</v>
      </c>
      <c r="B533" s="277" t="str">
        <f t="shared" si="19"/>
        <v>MOOS100a</v>
      </c>
      <c r="C533" s="182">
        <v>11.821199999999999</v>
      </c>
      <c r="D533" s="182">
        <v>11.823399999999999</v>
      </c>
      <c r="E533" s="182">
        <v>64.603700000000003</v>
      </c>
      <c r="G533" s="60">
        <f t="shared" si="20"/>
        <v>2.2000000000002018E-3</v>
      </c>
      <c r="H533" s="60">
        <f t="shared" si="21"/>
        <v>52.782500000000006</v>
      </c>
    </row>
    <row r="534" spans="1:8" ht="20.100000000000001" customHeight="1">
      <c r="A534" s="277">
        <v>101</v>
      </c>
      <c r="B534" s="277" t="str">
        <f t="shared" si="19"/>
        <v>MOOS101a</v>
      </c>
      <c r="C534" s="182">
        <v>11.842599999999999</v>
      </c>
      <c r="D534" s="182">
        <v>11.8446</v>
      </c>
      <c r="E534" s="182">
        <v>66.184200000000004</v>
      </c>
      <c r="G534" s="60">
        <f t="shared" si="20"/>
        <v>2.0000000000006679E-3</v>
      </c>
      <c r="H534" s="60">
        <f t="shared" si="21"/>
        <v>54.341600000000007</v>
      </c>
    </row>
    <row r="535" spans="1:8" ht="20.100000000000001" customHeight="1">
      <c r="A535" s="277">
        <v>102</v>
      </c>
      <c r="B535" s="277" t="str">
        <f t="shared" si="19"/>
        <v>MOOS102a</v>
      </c>
      <c r="C535" s="182">
        <v>11.834199999999999</v>
      </c>
      <c r="D535" s="182">
        <v>11.836600000000001</v>
      </c>
      <c r="E535" s="182">
        <v>63.5274</v>
      </c>
      <c r="G535" s="60">
        <f t="shared" si="20"/>
        <v>2.400000000001512E-3</v>
      </c>
      <c r="H535" s="60">
        <f t="shared" si="21"/>
        <v>51.693200000000004</v>
      </c>
    </row>
    <row r="536" spans="1:8" ht="20.100000000000001" customHeight="1">
      <c r="A536" s="277">
        <v>103</v>
      </c>
      <c r="B536" s="277" t="str">
        <f t="shared" si="19"/>
        <v>MOOS103a</v>
      </c>
      <c r="C536" s="182">
        <v>11.848100000000001</v>
      </c>
      <c r="D536" s="182">
        <v>11.848800000000001</v>
      </c>
      <c r="E536" s="182">
        <v>64.459199999999996</v>
      </c>
      <c r="G536" s="60">
        <f t="shared" si="20"/>
        <v>7.0000000000014495E-4</v>
      </c>
      <c r="H536" s="60">
        <f t="shared" si="21"/>
        <v>52.611099999999993</v>
      </c>
    </row>
    <row r="537" spans="1:8" ht="20.100000000000001" customHeight="1">
      <c r="A537" s="277">
        <v>104</v>
      </c>
      <c r="B537" s="277" t="str">
        <f t="shared" si="19"/>
        <v>MOOS104a</v>
      </c>
      <c r="C537" s="182">
        <v>11.818</v>
      </c>
      <c r="D537" s="182">
        <v>11.819699999999999</v>
      </c>
      <c r="E537" s="182">
        <v>62.839799999999997</v>
      </c>
      <c r="G537" s="60">
        <f t="shared" si="20"/>
        <v>1.6999999999995907E-3</v>
      </c>
      <c r="H537" s="60">
        <f t="shared" si="21"/>
        <v>51.021799999999999</v>
      </c>
    </row>
    <row r="538" spans="1:8" ht="20.100000000000001" customHeight="1">
      <c r="A538" s="277">
        <v>105</v>
      </c>
      <c r="B538" s="277" t="str">
        <f t="shared" si="19"/>
        <v>MOOS105a</v>
      </c>
      <c r="C538" s="182">
        <v>11.8964</v>
      </c>
      <c r="D538" s="182">
        <v>11.897600000000001</v>
      </c>
      <c r="E538" s="182">
        <v>62.818399999999997</v>
      </c>
      <c r="G538" s="60">
        <f t="shared" si="20"/>
        <v>1.200000000000756E-3</v>
      </c>
      <c r="H538" s="60">
        <f t="shared" si="21"/>
        <v>50.921999999999997</v>
      </c>
    </row>
    <row r="539" spans="1:8" ht="20.100000000000001" customHeight="1">
      <c r="A539" s="277">
        <v>106</v>
      </c>
      <c r="B539" s="277" t="str">
        <f t="shared" si="19"/>
        <v>MOOS106a</v>
      </c>
      <c r="C539" s="182">
        <v>11.8469</v>
      </c>
      <c r="D539" s="182">
        <v>11.849</v>
      </c>
      <c r="E539" s="182">
        <v>63.194200000000002</v>
      </c>
      <c r="G539" s="60">
        <f t="shared" si="20"/>
        <v>2.1000000000004349E-3</v>
      </c>
      <c r="H539" s="60">
        <f t="shared" si="21"/>
        <v>51.347300000000004</v>
      </c>
    </row>
    <row r="540" spans="1:8" ht="20.100000000000001" customHeight="1">
      <c r="A540" s="277">
        <v>107</v>
      </c>
      <c r="B540" s="277" t="str">
        <f t="shared" si="19"/>
        <v>MOOS107a</v>
      </c>
      <c r="C540" s="182">
        <v>11.844099999999999</v>
      </c>
      <c r="D540" s="182">
        <v>11.8483</v>
      </c>
      <c r="E540" s="182">
        <v>65.927599999999998</v>
      </c>
      <c r="G540" s="60">
        <f t="shared" si="20"/>
        <v>4.2000000000008697E-3</v>
      </c>
      <c r="H540" s="60">
        <f t="shared" si="21"/>
        <v>54.083500000000001</v>
      </c>
    </row>
    <row r="541" spans="1:8" ht="20.100000000000001" customHeight="1">
      <c r="A541" s="277">
        <v>108</v>
      </c>
      <c r="B541" s="277" t="str">
        <f t="shared" si="19"/>
        <v>MOOS108a</v>
      </c>
      <c r="C541" s="182">
        <v>11.8005</v>
      </c>
      <c r="D541" s="182">
        <v>11.802899999999999</v>
      </c>
      <c r="E541" s="182">
        <v>63.7042</v>
      </c>
      <c r="G541" s="60">
        <f t="shared" si="20"/>
        <v>2.3999999999997357E-3</v>
      </c>
      <c r="H541" s="60">
        <f t="shared" si="21"/>
        <v>51.903700000000001</v>
      </c>
    </row>
    <row r="542" spans="1:8" ht="20.100000000000001" customHeight="1">
      <c r="A542" s="277">
        <v>109</v>
      </c>
      <c r="B542" s="277" t="str">
        <f t="shared" si="19"/>
        <v>MOOS109a</v>
      </c>
      <c r="C542" s="182">
        <v>11.8567</v>
      </c>
      <c r="D542" s="182">
        <v>11.859500000000001</v>
      </c>
      <c r="E542" s="182">
        <v>63.810200000000002</v>
      </c>
      <c r="G542" s="60">
        <f t="shared" si="20"/>
        <v>2.8000000000005798E-3</v>
      </c>
      <c r="H542" s="60">
        <f t="shared" si="21"/>
        <v>51.953500000000005</v>
      </c>
    </row>
    <row r="543" spans="1:8" ht="20.100000000000001" customHeight="1">
      <c r="A543" s="277">
        <v>110</v>
      </c>
      <c r="B543" s="277" t="str">
        <f t="shared" si="19"/>
        <v>MOOS110a</v>
      </c>
      <c r="C543" s="182">
        <v>11.807700000000001</v>
      </c>
      <c r="D543" s="182">
        <v>11.8103</v>
      </c>
      <c r="E543" s="182">
        <v>63.222299999999997</v>
      </c>
      <c r="G543" s="60">
        <f t="shared" si="20"/>
        <v>2.5999999999992696E-3</v>
      </c>
      <c r="H543" s="60">
        <f t="shared" si="21"/>
        <v>51.414599999999993</v>
      </c>
    </row>
    <row r="544" spans="1:8" ht="20.100000000000001" customHeight="1">
      <c r="A544" s="277">
        <v>111</v>
      </c>
      <c r="B544" s="277" t="str">
        <f t="shared" si="19"/>
        <v>MOOS111a</v>
      </c>
      <c r="C544" s="182">
        <v>11.825200000000001</v>
      </c>
      <c r="D544" s="182">
        <v>11.8293</v>
      </c>
      <c r="E544" s="182">
        <v>65.006299999999996</v>
      </c>
      <c r="G544" s="60">
        <f t="shared" si="20"/>
        <v>4.0999999999993264E-3</v>
      </c>
      <c r="H544" s="60">
        <f t="shared" si="21"/>
        <v>53.181099999999994</v>
      </c>
    </row>
    <row r="545" spans="1:8" ht="20.100000000000001" customHeight="1">
      <c r="A545" s="277">
        <v>112</v>
      </c>
      <c r="B545" s="277" t="str">
        <f t="shared" si="19"/>
        <v>MOOS112a</v>
      </c>
      <c r="C545" s="182">
        <v>11.7826</v>
      </c>
      <c r="D545" s="182">
        <v>11.786300000000001</v>
      </c>
      <c r="E545" s="182">
        <v>63.882599999999996</v>
      </c>
      <c r="G545" s="60">
        <f t="shared" si="20"/>
        <v>3.7000000000002586E-3</v>
      </c>
      <c r="H545" s="60">
        <f t="shared" si="21"/>
        <v>52.099999999999994</v>
      </c>
    </row>
    <row r="546" spans="1:8" ht="20.100000000000001" customHeight="1">
      <c r="A546" s="277">
        <v>113</v>
      </c>
      <c r="B546" s="277" t="str">
        <f t="shared" si="19"/>
        <v>MOOS113a</v>
      </c>
      <c r="C546" s="182">
        <v>11.850199999999999</v>
      </c>
      <c r="D546" s="182">
        <v>11.851800000000001</v>
      </c>
      <c r="E546" s="182">
        <v>63.661499999999997</v>
      </c>
      <c r="G546" s="60">
        <f t="shared" si="20"/>
        <v>1.6000000000016001E-3</v>
      </c>
      <c r="H546" s="60">
        <f t="shared" si="21"/>
        <v>51.811299999999996</v>
      </c>
    </row>
    <row r="547" spans="1:8" ht="20.100000000000001" customHeight="1">
      <c r="A547" s="277">
        <v>114</v>
      </c>
      <c r="B547" s="277" t="str">
        <f t="shared" si="19"/>
        <v>MOOS114a</v>
      </c>
      <c r="C547" s="182">
        <v>11.817500000000001</v>
      </c>
      <c r="D547" s="182">
        <v>11.8193</v>
      </c>
      <c r="E547" s="182">
        <v>65.868300000000005</v>
      </c>
      <c r="G547" s="60">
        <f t="shared" si="20"/>
        <v>1.7999999999993577E-3</v>
      </c>
      <c r="H547" s="60">
        <f t="shared" si="21"/>
        <v>54.050800000000002</v>
      </c>
    </row>
    <row r="548" spans="1:8" ht="20.100000000000001" customHeight="1">
      <c r="A548" s="277">
        <v>115</v>
      </c>
      <c r="B548" s="277" t="str">
        <f t="shared" si="19"/>
        <v>MOOS115a</v>
      </c>
      <c r="C548" s="182">
        <v>11.843400000000001</v>
      </c>
      <c r="D548" s="182">
        <v>11.8477</v>
      </c>
      <c r="E548" s="182">
        <v>62.971600000000002</v>
      </c>
      <c r="G548" s="60">
        <f t="shared" si="20"/>
        <v>4.2999999999988603E-3</v>
      </c>
      <c r="H548" s="60">
        <f t="shared" si="21"/>
        <v>51.1282</v>
      </c>
    </row>
    <row r="549" spans="1:8" ht="20.100000000000001" customHeight="1">
      <c r="A549" s="277">
        <v>116</v>
      </c>
      <c r="B549" s="277" t="str">
        <f t="shared" si="19"/>
        <v>MOOS116a</v>
      </c>
      <c r="C549" s="182">
        <v>11.7723</v>
      </c>
      <c r="D549" s="182">
        <v>11.774100000000001</v>
      </c>
      <c r="E549" s="182">
        <v>61.9938</v>
      </c>
      <c r="G549" s="60">
        <f t="shared" si="20"/>
        <v>1.800000000001134E-3</v>
      </c>
      <c r="H549" s="60">
        <f t="shared" si="21"/>
        <v>50.221499999999999</v>
      </c>
    </row>
    <row r="550" spans="1:8" ht="20.100000000000001" customHeight="1">
      <c r="A550" s="277">
        <v>117</v>
      </c>
      <c r="B550" s="277" t="str">
        <f t="shared" si="19"/>
        <v>MOOS117a</v>
      </c>
      <c r="C550" s="182">
        <v>11.8049</v>
      </c>
      <c r="D550" s="182">
        <v>11.8064</v>
      </c>
      <c r="E550" s="182">
        <v>63.755800000000001</v>
      </c>
      <c r="G550" s="60">
        <f t="shared" si="20"/>
        <v>1.5000000000000568E-3</v>
      </c>
      <c r="H550" s="60">
        <f t="shared" si="21"/>
        <v>51.950900000000004</v>
      </c>
    </row>
    <row r="551" spans="1:8" ht="20.100000000000001" customHeight="1">
      <c r="A551" s="277">
        <v>118</v>
      </c>
      <c r="B551" s="277" t="str">
        <f t="shared" si="19"/>
        <v>MOOS118a</v>
      </c>
      <c r="C551" s="182">
        <v>11.820399999999999</v>
      </c>
      <c r="D551" s="182">
        <v>11.8222</v>
      </c>
      <c r="E551" s="182">
        <v>61.808300000000003</v>
      </c>
      <c r="G551" s="60">
        <f t="shared" si="20"/>
        <v>1.800000000001134E-3</v>
      </c>
      <c r="H551" s="60">
        <f t="shared" si="21"/>
        <v>49.987900000000003</v>
      </c>
    </row>
    <row r="552" spans="1:8" ht="20.100000000000001" customHeight="1">
      <c r="A552" s="277">
        <v>119</v>
      </c>
      <c r="B552" s="277" t="str">
        <f t="shared" si="19"/>
        <v>MOOS119a</v>
      </c>
      <c r="C552" s="182">
        <v>11.8626</v>
      </c>
      <c r="D552" s="182">
        <v>11.864000000000001</v>
      </c>
      <c r="E552" s="182">
        <v>59.426499999999997</v>
      </c>
      <c r="G552" s="60">
        <f t="shared" si="20"/>
        <v>1.4000000000002899E-3</v>
      </c>
      <c r="H552" s="60">
        <f t="shared" si="21"/>
        <v>47.563899999999997</v>
      </c>
    </row>
    <row r="553" spans="1:8" ht="20.100000000000001" customHeight="1">
      <c r="A553" s="277">
        <v>120</v>
      </c>
      <c r="B553" s="277" t="str">
        <f t="shared" si="19"/>
        <v>MOOS120a</v>
      </c>
      <c r="C553" s="182">
        <v>11.8086</v>
      </c>
      <c r="D553" s="182">
        <v>11.811</v>
      </c>
      <c r="E553" s="182">
        <v>63.814399999999999</v>
      </c>
      <c r="G553" s="60">
        <f t="shared" si="20"/>
        <v>2.3999999999997357E-3</v>
      </c>
      <c r="H553" s="60">
        <f t="shared" si="21"/>
        <v>52.005800000000001</v>
      </c>
    </row>
    <row r="554" spans="1:8" ht="20.100000000000001" customHeight="1">
      <c r="A554" s="277">
        <v>121</v>
      </c>
      <c r="B554" s="277" t="str">
        <f t="shared" si="19"/>
        <v>MOOS121a</v>
      </c>
      <c r="C554" s="182">
        <v>11.8857</v>
      </c>
      <c r="D554" s="182">
        <v>11.887600000000001</v>
      </c>
      <c r="E554" s="182">
        <v>63.985500000000002</v>
      </c>
      <c r="G554" s="60">
        <f t="shared" si="20"/>
        <v>1.900000000000901E-3</v>
      </c>
      <c r="H554" s="60">
        <f t="shared" si="21"/>
        <v>52.099800000000002</v>
      </c>
    </row>
    <row r="555" spans="1:8" ht="20.100000000000001" customHeight="1">
      <c r="A555" s="277">
        <v>122</v>
      </c>
      <c r="B555" s="277" t="str">
        <f t="shared" si="19"/>
        <v>MOOS122a</v>
      </c>
      <c r="C555" s="182">
        <v>11.8591</v>
      </c>
      <c r="D555" s="182">
        <v>11.8592</v>
      </c>
      <c r="E555" s="182">
        <v>63.637300000000003</v>
      </c>
      <c r="G555" s="60">
        <f t="shared" si="20"/>
        <v>9.9999999999766942E-5</v>
      </c>
      <c r="H555" s="60">
        <f t="shared" si="21"/>
        <v>51.778200000000005</v>
      </c>
    </row>
    <row r="556" spans="1:8" ht="20.100000000000001" customHeight="1">
      <c r="A556" s="277">
        <v>123</v>
      </c>
      <c r="B556" s="277" t="str">
        <f t="shared" si="19"/>
        <v>MOOS123a</v>
      </c>
      <c r="C556" s="182">
        <v>11.838800000000001</v>
      </c>
      <c r="D556" s="182">
        <v>11.845000000000001</v>
      </c>
      <c r="E556" s="182">
        <v>63.503100000000003</v>
      </c>
      <c r="G556" s="60">
        <f t="shared" si="20"/>
        <v>6.1999999999997613E-3</v>
      </c>
      <c r="H556" s="60">
        <f t="shared" si="21"/>
        <v>51.664300000000004</v>
      </c>
    </row>
    <row r="557" spans="1:8" ht="20.100000000000001" customHeight="1">
      <c r="A557" s="277">
        <v>124</v>
      </c>
      <c r="B557" s="277" t="str">
        <f t="shared" si="19"/>
        <v>MOOS124a</v>
      </c>
      <c r="C557" s="182">
        <v>11.8872</v>
      </c>
      <c r="D557" s="182">
        <v>11.889099999999999</v>
      </c>
      <c r="E557" s="182">
        <v>63.5901</v>
      </c>
      <c r="G557" s="60">
        <f t="shared" si="20"/>
        <v>1.8999999999991246E-3</v>
      </c>
      <c r="H557" s="60">
        <f t="shared" si="21"/>
        <v>51.7029</v>
      </c>
    </row>
    <row r="558" spans="1:8" ht="20.100000000000001" customHeight="1">
      <c r="A558" s="277">
        <v>125</v>
      </c>
      <c r="B558" s="277" t="str">
        <f t="shared" si="19"/>
        <v>MOOS125a</v>
      </c>
      <c r="C558" s="182">
        <v>11.8794</v>
      </c>
      <c r="D558" s="182">
        <v>11.8825</v>
      </c>
      <c r="E558" s="182">
        <v>63.6342</v>
      </c>
      <c r="G558" s="60">
        <f t="shared" si="20"/>
        <v>3.0999999999998806E-3</v>
      </c>
      <c r="H558" s="60">
        <f t="shared" si="21"/>
        <v>51.754800000000003</v>
      </c>
    </row>
    <row r="559" spans="1:8" ht="20.100000000000001" customHeight="1">
      <c r="A559" s="277">
        <v>126</v>
      </c>
      <c r="B559" s="277" t="str">
        <f t="shared" si="19"/>
        <v>MOOS126a</v>
      </c>
      <c r="C559" s="182">
        <v>11.8325</v>
      </c>
      <c r="D559" s="182">
        <v>11.833500000000001</v>
      </c>
      <c r="E559" s="182">
        <v>64.045000000000002</v>
      </c>
      <c r="G559" s="60">
        <f t="shared" si="20"/>
        <v>1.0000000000012221E-3</v>
      </c>
      <c r="H559" s="60">
        <f t="shared" si="21"/>
        <v>52.212500000000006</v>
      </c>
    </row>
    <row r="560" spans="1:8" ht="20.100000000000001" customHeight="1">
      <c r="A560" s="277">
        <v>127</v>
      </c>
      <c r="B560" s="277" t="str">
        <f t="shared" si="19"/>
        <v>MOOS127a</v>
      </c>
      <c r="C560" s="182">
        <v>11.798299999999999</v>
      </c>
      <c r="D560" s="182">
        <v>11.7982</v>
      </c>
      <c r="E560" s="182">
        <v>64.052300000000002</v>
      </c>
      <c r="G560" s="60">
        <f t="shared" si="20"/>
        <v>-9.9999999999766942E-5</v>
      </c>
      <c r="H560" s="60">
        <f t="shared" si="21"/>
        <v>52.254000000000005</v>
      </c>
    </row>
    <row r="561" spans="1:8" ht="20.100000000000001" customHeight="1">
      <c r="A561" s="277">
        <v>128</v>
      </c>
      <c r="B561" s="277" t="str">
        <f t="shared" si="19"/>
        <v>MOOS128a</v>
      </c>
      <c r="C561" s="182">
        <v>11.834300000000001</v>
      </c>
      <c r="D561" s="182">
        <v>11.835800000000001</v>
      </c>
      <c r="E561" s="182">
        <v>66.643000000000001</v>
      </c>
      <c r="G561" s="60">
        <f t="shared" si="20"/>
        <v>1.5000000000000568E-3</v>
      </c>
      <c r="H561" s="60">
        <f t="shared" si="21"/>
        <v>54.808700000000002</v>
      </c>
    </row>
    <row r="562" spans="1:8" ht="20.100000000000001" customHeight="1">
      <c r="A562" s="277">
        <v>129</v>
      </c>
      <c r="B562" s="277" t="str">
        <f t="shared" si="19"/>
        <v>MOOS129a</v>
      </c>
      <c r="C562" s="182">
        <v>11.879</v>
      </c>
      <c r="D562" s="182">
        <v>11.883100000000001</v>
      </c>
      <c r="E562" s="182">
        <v>64.021699999999996</v>
      </c>
      <c r="G562" s="60">
        <f t="shared" si="20"/>
        <v>4.1000000000011028E-3</v>
      </c>
      <c r="H562" s="60">
        <f t="shared" si="21"/>
        <v>52.142699999999998</v>
      </c>
    </row>
    <row r="563" spans="1:8" ht="20.100000000000001" customHeight="1">
      <c r="A563" s="277">
        <v>130</v>
      </c>
      <c r="B563" s="277" t="str">
        <f t="shared" ref="B563:B626" si="22">"MOOS"&amp;TEXT(A563,"000")&amp;"a"</f>
        <v>MOOS130a</v>
      </c>
      <c r="C563" s="182">
        <v>11.835699999999999</v>
      </c>
      <c r="D563" s="182">
        <v>11.836399999999999</v>
      </c>
      <c r="E563" s="182">
        <v>65.578900000000004</v>
      </c>
      <c r="G563" s="60">
        <f t="shared" ref="G563:G626" si="23">D563-C563</f>
        <v>7.0000000000014495E-4</v>
      </c>
      <c r="H563" s="60">
        <f t="shared" ref="H563:H626" si="24">E563-C563</f>
        <v>53.743200000000002</v>
      </c>
    </row>
    <row r="564" spans="1:8" ht="20.100000000000001" customHeight="1">
      <c r="A564" s="277">
        <v>131</v>
      </c>
      <c r="B564" s="277" t="str">
        <f t="shared" si="22"/>
        <v>MOOS131a</v>
      </c>
      <c r="C564" s="182">
        <v>11.8218</v>
      </c>
      <c r="D564" s="182">
        <v>11.8246</v>
      </c>
      <c r="E564" s="182">
        <v>65.020200000000003</v>
      </c>
      <c r="G564" s="60">
        <f t="shared" si="23"/>
        <v>2.8000000000005798E-3</v>
      </c>
      <c r="H564" s="60">
        <f t="shared" si="24"/>
        <v>53.198400000000007</v>
      </c>
    </row>
    <row r="565" spans="1:8" ht="20.100000000000001" customHeight="1">
      <c r="A565" s="277">
        <v>132</v>
      </c>
      <c r="B565" s="277" t="str">
        <f t="shared" si="22"/>
        <v>MOOS132a</v>
      </c>
      <c r="C565" s="182">
        <v>11.8005</v>
      </c>
      <c r="D565" s="182">
        <v>11.802300000000001</v>
      </c>
      <c r="E565" s="182">
        <v>63.880099999999999</v>
      </c>
      <c r="G565" s="60">
        <f t="shared" si="23"/>
        <v>1.800000000001134E-3</v>
      </c>
      <c r="H565" s="60">
        <f t="shared" si="24"/>
        <v>52.079599999999999</v>
      </c>
    </row>
    <row r="566" spans="1:8" ht="20.100000000000001" customHeight="1">
      <c r="A566" s="277">
        <v>133</v>
      </c>
      <c r="B566" s="277" t="str">
        <f t="shared" si="22"/>
        <v>MOOS133a</v>
      </c>
      <c r="C566" s="182">
        <v>11.835900000000001</v>
      </c>
      <c r="D566" s="182">
        <v>11.8368</v>
      </c>
      <c r="E566" s="182">
        <v>64.096500000000006</v>
      </c>
      <c r="G566" s="60">
        <f t="shared" si="23"/>
        <v>8.9999999999967883E-4</v>
      </c>
      <c r="H566" s="60">
        <f t="shared" si="24"/>
        <v>52.260600000000004</v>
      </c>
    </row>
    <row r="567" spans="1:8" ht="20.100000000000001" customHeight="1">
      <c r="A567" s="277">
        <v>134</v>
      </c>
      <c r="B567" s="277" t="str">
        <f t="shared" si="22"/>
        <v>MOOS134a</v>
      </c>
      <c r="C567" s="182">
        <v>11.851800000000001</v>
      </c>
      <c r="D567" s="182">
        <v>11.851900000000001</v>
      </c>
      <c r="E567" s="182">
        <v>64.262600000000006</v>
      </c>
      <c r="G567" s="60">
        <f t="shared" si="23"/>
        <v>9.9999999999766942E-5</v>
      </c>
      <c r="H567" s="60">
        <f t="shared" si="24"/>
        <v>52.410800000000009</v>
      </c>
    </row>
    <row r="568" spans="1:8" ht="20.100000000000001" customHeight="1">
      <c r="A568" s="277">
        <v>135</v>
      </c>
      <c r="B568" s="277" t="str">
        <f t="shared" si="22"/>
        <v>MOOS135a</v>
      </c>
      <c r="C568" s="182">
        <v>11.8384</v>
      </c>
      <c r="D568" s="182">
        <v>11.846299999999999</v>
      </c>
      <c r="E568" s="182">
        <v>65.0184</v>
      </c>
      <c r="G568" s="60">
        <f t="shared" si="23"/>
        <v>7.899999999999352E-3</v>
      </c>
      <c r="H568" s="60">
        <f t="shared" si="24"/>
        <v>53.18</v>
      </c>
    </row>
    <row r="569" spans="1:8" ht="20.100000000000001" customHeight="1">
      <c r="A569" s="277">
        <v>136</v>
      </c>
      <c r="B569" s="277" t="str">
        <f t="shared" si="22"/>
        <v>MOOS136a</v>
      </c>
      <c r="C569" s="182">
        <v>11.8468</v>
      </c>
      <c r="D569" s="182">
        <v>11.850300000000001</v>
      </c>
      <c r="E569" s="182">
        <v>63.4</v>
      </c>
      <c r="G569" s="60">
        <f t="shared" si="23"/>
        <v>3.5000000000007248E-3</v>
      </c>
      <c r="H569" s="60">
        <f t="shared" si="24"/>
        <v>51.553199999999997</v>
      </c>
    </row>
    <row r="570" spans="1:8" ht="20.100000000000001" customHeight="1">
      <c r="A570" s="277">
        <v>137</v>
      </c>
      <c r="B570" s="277" t="str">
        <f t="shared" si="22"/>
        <v>MOOS137a</v>
      </c>
      <c r="C570" s="182">
        <v>11.8391</v>
      </c>
      <c r="D570" s="182">
        <v>11.842700000000001</v>
      </c>
      <c r="E570" s="182">
        <v>64.384699999999995</v>
      </c>
      <c r="G570" s="60">
        <f t="shared" si="23"/>
        <v>3.6000000000004917E-3</v>
      </c>
      <c r="H570" s="60">
        <f t="shared" si="24"/>
        <v>52.545599999999993</v>
      </c>
    </row>
    <row r="571" spans="1:8" ht="20.100000000000001" customHeight="1">
      <c r="A571" s="277">
        <v>138</v>
      </c>
      <c r="B571" s="277" t="str">
        <f t="shared" si="22"/>
        <v>MOOS138a</v>
      </c>
      <c r="C571" s="182">
        <v>11.8142</v>
      </c>
      <c r="D571" s="182">
        <v>11.814</v>
      </c>
      <c r="E571" s="182">
        <v>63.751800000000003</v>
      </c>
      <c r="G571" s="60">
        <f t="shared" si="23"/>
        <v>-1.9999999999953388E-4</v>
      </c>
      <c r="H571" s="60">
        <f t="shared" si="24"/>
        <v>51.937600000000003</v>
      </c>
    </row>
    <row r="572" spans="1:8" ht="20.100000000000001" customHeight="1">
      <c r="A572" s="277">
        <v>139</v>
      </c>
      <c r="B572" s="277" t="str">
        <f t="shared" si="22"/>
        <v>MOOS139a</v>
      </c>
      <c r="C572" s="182">
        <v>11.858700000000001</v>
      </c>
      <c r="D572" s="182">
        <v>11.860799999999999</v>
      </c>
      <c r="E572" s="182">
        <v>63.999299999999998</v>
      </c>
      <c r="G572" s="60">
        <f t="shared" si="23"/>
        <v>2.0999999999986585E-3</v>
      </c>
      <c r="H572" s="60">
        <f t="shared" si="24"/>
        <v>52.140599999999999</v>
      </c>
    </row>
    <row r="573" spans="1:8" ht="20.100000000000001" customHeight="1">
      <c r="A573" s="277">
        <v>140</v>
      </c>
      <c r="B573" s="277" t="str">
        <f t="shared" si="22"/>
        <v>MOOS140a</v>
      </c>
      <c r="C573" s="182">
        <v>11.8201</v>
      </c>
      <c r="D573" s="182">
        <v>11.8261</v>
      </c>
      <c r="E573" s="182">
        <v>62.128500000000003</v>
      </c>
      <c r="G573" s="60">
        <f t="shared" si="23"/>
        <v>6.0000000000002274E-3</v>
      </c>
      <c r="H573" s="60">
        <f t="shared" si="24"/>
        <v>50.308400000000006</v>
      </c>
    </row>
    <row r="574" spans="1:8" ht="20.100000000000001" customHeight="1">
      <c r="A574" s="277">
        <v>141</v>
      </c>
      <c r="B574" s="277" t="str">
        <f t="shared" si="22"/>
        <v>MOOS141a</v>
      </c>
      <c r="C574" s="182">
        <v>11.8325</v>
      </c>
      <c r="D574" s="182">
        <v>11.8329</v>
      </c>
      <c r="E574" s="182">
        <v>63.870199999999997</v>
      </c>
      <c r="G574" s="60">
        <f t="shared" si="23"/>
        <v>4.0000000000084412E-4</v>
      </c>
      <c r="H574" s="60">
        <f t="shared" si="24"/>
        <v>52.037700000000001</v>
      </c>
    </row>
    <row r="575" spans="1:8" ht="20.100000000000001" customHeight="1">
      <c r="A575" s="277">
        <v>142</v>
      </c>
      <c r="B575" s="277" t="str">
        <f t="shared" si="22"/>
        <v>MOOS142a</v>
      </c>
      <c r="C575" s="182">
        <v>11.8187</v>
      </c>
      <c r="D575" s="182">
        <v>11.8232</v>
      </c>
      <c r="E575" s="182">
        <v>65.238500000000002</v>
      </c>
      <c r="G575" s="60">
        <f t="shared" si="23"/>
        <v>4.5000000000001705E-3</v>
      </c>
      <c r="H575" s="60">
        <f t="shared" si="24"/>
        <v>53.419800000000002</v>
      </c>
    </row>
    <row r="576" spans="1:8" ht="20.100000000000001" customHeight="1">
      <c r="A576" s="277">
        <v>143</v>
      </c>
      <c r="B576" s="277" t="str">
        <f t="shared" si="22"/>
        <v>MOOS143a</v>
      </c>
      <c r="C576" s="182">
        <v>11.837300000000001</v>
      </c>
      <c r="D576" s="182">
        <v>11.838200000000001</v>
      </c>
      <c r="E576" s="182">
        <v>65.296300000000002</v>
      </c>
      <c r="G576" s="60">
        <f t="shared" si="23"/>
        <v>8.9999999999967883E-4</v>
      </c>
      <c r="H576" s="60">
        <f t="shared" si="24"/>
        <v>53.459000000000003</v>
      </c>
    </row>
    <row r="577" spans="1:8" ht="20.100000000000001" customHeight="1">
      <c r="A577" s="277">
        <v>144</v>
      </c>
      <c r="B577" s="277" t="str">
        <f t="shared" si="22"/>
        <v>MOOS144a</v>
      </c>
      <c r="C577" s="182">
        <v>11.8331</v>
      </c>
      <c r="D577" s="182">
        <v>11.8348</v>
      </c>
      <c r="E577" s="182">
        <v>64.592500000000001</v>
      </c>
      <c r="G577" s="60">
        <f t="shared" si="23"/>
        <v>1.6999999999995907E-3</v>
      </c>
      <c r="H577" s="60">
        <f t="shared" si="24"/>
        <v>52.759399999999999</v>
      </c>
    </row>
    <row r="578" spans="1:8" ht="20.100000000000001" customHeight="1">
      <c r="A578" s="277">
        <v>145</v>
      </c>
      <c r="B578" s="277" t="str">
        <f t="shared" si="22"/>
        <v>MOOS145a</v>
      </c>
      <c r="C578" s="182">
        <v>11.824299999999999</v>
      </c>
      <c r="D578" s="182">
        <v>11.8262</v>
      </c>
      <c r="E578" s="182">
        <v>62.944499999999998</v>
      </c>
      <c r="G578" s="60">
        <f t="shared" si="23"/>
        <v>1.900000000000901E-3</v>
      </c>
      <c r="H578" s="60">
        <f t="shared" si="24"/>
        <v>51.120199999999997</v>
      </c>
    </row>
    <row r="579" spans="1:8" ht="20.100000000000001" customHeight="1">
      <c r="A579" s="277">
        <v>146</v>
      </c>
      <c r="B579" s="277" t="str">
        <f t="shared" si="22"/>
        <v>MOOS146a</v>
      </c>
      <c r="C579" s="182">
        <v>11.8407</v>
      </c>
      <c r="D579" s="182">
        <v>11.8468</v>
      </c>
      <c r="E579" s="182">
        <v>64.954599999999999</v>
      </c>
      <c r="G579" s="60">
        <f t="shared" si="23"/>
        <v>6.0999999999999943E-3</v>
      </c>
      <c r="H579" s="60">
        <f t="shared" si="24"/>
        <v>53.113900000000001</v>
      </c>
    </row>
    <row r="580" spans="1:8" ht="20.100000000000001" customHeight="1">
      <c r="A580" s="277">
        <v>147</v>
      </c>
      <c r="B580" s="277" t="str">
        <f t="shared" si="22"/>
        <v>MOOS147a</v>
      </c>
      <c r="C580" s="182">
        <v>11.855600000000001</v>
      </c>
      <c r="D580" s="182">
        <v>11.856299999999999</v>
      </c>
      <c r="E580" s="182">
        <v>65.343999999999994</v>
      </c>
      <c r="G580" s="60">
        <f t="shared" si="23"/>
        <v>6.9999999999836859E-4</v>
      </c>
      <c r="H580" s="60">
        <f t="shared" si="24"/>
        <v>53.488399999999992</v>
      </c>
    </row>
    <row r="581" spans="1:8" ht="20.100000000000001" customHeight="1">
      <c r="A581" s="277">
        <v>148</v>
      </c>
      <c r="B581" s="277" t="str">
        <f t="shared" si="22"/>
        <v>MOOS148a</v>
      </c>
      <c r="C581" s="182">
        <v>11.840999999999999</v>
      </c>
      <c r="D581" s="182">
        <v>11.843400000000001</v>
      </c>
      <c r="E581" s="182">
        <v>63.1509</v>
      </c>
      <c r="G581" s="60">
        <f t="shared" si="23"/>
        <v>2.400000000001512E-3</v>
      </c>
      <c r="H581" s="60">
        <f t="shared" si="24"/>
        <v>51.309899999999999</v>
      </c>
    </row>
    <row r="582" spans="1:8" ht="20.100000000000001" customHeight="1">
      <c r="A582" s="277">
        <v>149</v>
      </c>
      <c r="B582" s="277" t="str">
        <f t="shared" si="22"/>
        <v>MOOS149a</v>
      </c>
      <c r="C582" s="182">
        <v>11.8512</v>
      </c>
      <c r="D582" s="182">
        <v>11.8543</v>
      </c>
      <c r="E582" s="182">
        <v>62.9315</v>
      </c>
      <c r="G582" s="60">
        <f t="shared" si="23"/>
        <v>3.0999999999998806E-3</v>
      </c>
      <c r="H582" s="60">
        <f t="shared" si="24"/>
        <v>51.080300000000001</v>
      </c>
    </row>
    <row r="583" spans="1:8" ht="20.100000000000001" customHeight="1">
      <c r="A583" s="277">
        <v>150</v>
      </c>
      <c r="B583" s="277" t="str">
        <f t="shared" si="22"/>
        <v>MOOS150a</v>
      </c>
      <c r="C583" s="182">
        <v>11.8415</v>
      </c>
      <c r="D583" s="182">
        <v>11.841699999999999</v>
      </c>
      <c r="E583" s="182">
        <v>62.947600000000001</v>
      </c>
      <c r="G583" s="60">
        <f t="shared" si="23"/>
        <v>1.9999999999953388E-4</v>
      </c>
      <c r="H583" s="60">
        <f t="shared" si="24"/>
        <v>51.106099999999998</v>
      </c>
    </row>
    <row r="584" spans="1:8" ht="20.100000000000001" customHeight="1">
      <c r="A584" s="277">
        <v>151</v>
      </c>
      <c r="B584" s="277" t="str">
        <f t="shared" si="22"/>
        <v>MOOS151a</v>
      </c>
      <c r="C584" s="182">
        <v>11.8284</v>
      </c>
      <c r="D584" s="182">
        <v>11.829000000000001</v>
      </c>
      <c r="E584" s="182">
        <v>62.323999999999998</v>
      </c>
      <c r="G584" s="60">
        <f t="shared" si="23"/>
        <v>6.0000000000037801E-4</v>
      </c>
      <c r="H584" s="60">
        <f t="shared" si="24"/>
        <v>50.495599999999996</v>
      </c>
    </row>
    <row r="585" spans="1:8" ht="20.100000000000001" customHeight="1">
      <c r="A585" s="277">
        <v>152</v>
      </c>
      <c r="B585" s="277" t="str">
        <f t="shared" si="22"/>
        <v>MOOS152a</v>
      </c>
      <c r="C585" s="182">
        <v>11.8028</v>
      </c>
      <c r="D585" s="182">
        <v>11.805999999999999</v>
      </c>
      <c r="E585" s="182">
        <v>63.010899999999999</v>
      </c>
      <c r="G585" s="60">
        <f t="shared" si="23"/>
        <v>3.1999999999996476E-3</v>
      </c>
      <c r="H585" s="60">
        <f t="shared" si="24"/>
        <v>51.208100000000002</v>
      </c>
    </row>
    <row r="586" spans="1:8" ht="20.100000000000001" customHeight="1">
      <c r="A586" s="277">
        <v>153</v>
      </c>
      <c r="B586" s="277" t="str">
        <f t="shared" si="22"/>
        <v>MOOS153a</v>
      </c>
      <c r="C586" s="182">
        <v>11.787000000000001</v>
      </c>
      <c r="D586" s="182">
        <v>11.7896</v>
      </c>
      <c r="E586" s="182">
        <v>64.087100000000007</v>
      </c>
      <c r="G586" s="60">
        <f t="shared" si="23"/>
        <v>2.5999999999992696E-3</v>
      </c>
      <c r="H586" s="60">
        <f t="shared" si="24"/>
        <v>52.300100000000008</v>
      </c>
    </row>
    <row r="587" spans="1:8" ht="20.100000000000001" customHeight="1">
      <c r="A587" s="277">
        <v>154</v>
      </c>
      <c r="B587" s="277" t="str">
        <f t="shared" si="22"/>
        <v>MOOS154a</v>
      </c>
      <c r="C587" s="182">
        <v>11.815300000000001</v>
      </c>
      <c r="D587" s="182">
        <v>11.817500000000001</v>
      </c>
      <c r="E587" s="182">
        <v>63.840600000000002</v>
      </c>
      <c r="G587" s="60">
        <f t="shared" si="23"/>
        <v>2.2000000000002018E-3</v>
      </c>
      <c r="H587" s="60">
        <f t="shared" si="24"/>
        <v>52.025300000000001</v>
      </c>
    </row>
    <row r="588" spans="1:8" ht="20.100000000000001" customHeight="1">
      <c r="A588" s="277">
        <v>155</v>
      </c>
      <c r="B588" s="277" t="str">
        <f t="shared" si="22"/>
        <v>MOOS155a</v>
      </c>
      <c r="C588" s="182">
        <v>11.7973</v>
      </c>
      <c r="D588" s="182">
        <v>11.7997</v>
      </c>
      <c r="E588" s="182">
        <v>65.548500000000004</v>
      </c>
      <c r="G588" s="60">
        <f t="shared" si="23"/>
        <v>2.3999999999997357E-3</v>
      </c>
      <c r="H588" s="60">
        <f t="shared" si="24"/>
        <v>53.751200000000004</v>
      </c>
    </row>
    <row r="589" spans="1:8" ht="20.100000000000001" customHeight="1">
      <c r="A589" s="277">
        <v>156</v>
      </c>
      <c r="B589" s="277" t="str">
        <f t="shared" si="22"/>
        <v>MOOS156a</v>
      </c>
      <c r="C589" s="182">
        <v>11.765599999999999</v>
      </c>
      <c r="D589" s="182">
        <v>11.7713</v>
      </c>
      <c r="E589" s="182">
        <v>66.246799999999993</v>
      </c>
      <c r="G589" s="60">
        <f t="shared" si="23"/>
        <v>5.7000000000009265E-3</v>
      </c>
      <c r="H589" s="60">
        <f t="shared" si="24"/>
        <v>54.481199999999994</v>
      </c>
    </row>
    <row r="590" spans="1:8" ht="20.100000000000001" customHeight="1">
      <c r="A590" s="277">
        <v>157</v>
      </c>
      <c r="B590" s="277" t="str">
        <f t="shared" si="22"/>
        <v>MOOS157a</v>
      </c>
      <c r="C590" s="182">
        <v>11.7552</v>
      </c>
      <c r="D590" s="182">
        <v>11.7592</v>
      </c>
      <c r="E590" s="182">
        <v>64.591899999999995</v>
      </c>
      <c r="G590" s="60">
        <f t="shared" si="23"/>
        <v>3.9999999999995595E-3</v>
      </c>
      <c r="H590" s="60">
        <f t="shared" si="24"/>
        <v>52.836699999999993</v>
      </c>
    </row>
    <row r="591" spans="1:8" ht="20.100000000000001" customHeight="1">
      <c r="A591" s="277">
        <v>158</v>
      </c>
      <c r="B591" s="277" t="str">
        <f t="shared" si="22"/>
        <v>MOOS158a</v>
      </c>
      <c r="C591" s="182">
        <v>11.8544</v>
      </c>
      <c r="D591" s="182">
        <v>11.855499999999999</v>
      </c>
      <c r="E591" s="182">
        <v>64.013999999999996</v>
      </c>
      <c r="G591" s="60">
        <f t="shared" si="23"/>
        <v>1.0999999999992127E-3</v>
      </c>
      <c r="H591" s="60">
        <f t="shared" si="24"/>
        <v>52.159599999999998</v>
      </c>
    </row>
    <row r="592" spans="1:8" ht="20.100000000000001" customHeight="1">
      <c r="A592" s="277">
        <v>159</v>
      </c>
      <c r="B592" s="277" t="str">
        <f t="shared" si="22"/>
        <v>MOOS159a</v>
      </c>
      <c r="C592" s="182">
        <v>11.814299999999999</v>
      </c>
      <c r="D592" s="182">
        <v>11.816800000000001</v>
      </c>
      <c r="E592" s="182">
        <v>64.527600000000007</v>
      </c>
      <c r="G592" s="60">
        <f t="shared" si="23"/>
        <v>2.500000000001279E-3</v>
      </c>
      <c r="H592" s="60">
        <f t="shared" si="24"/>
        <v>52.713300000000004</v>
      </c>
    </row>
    <row r="593" spans="1:8" ht="20.100000000000001" customHeight="1">
      <c r="A593" s="277">
        <v>160</v>
      </c>
      <c r="B593" s="277" t="str">
        <f t="shared" si="22"/>
        <v>MOOS160a</v>
      </c>
      <c r="C593" s="182">
        <v>11.8011</v>
      </c>
      <c r="D593" s="182">
        <v>11.8034</v>
      </c>
      <c r="E593" s="182">
        <v>63.1678</v>
      </c>
      <c r="G593" s="60">
        <f t="shared" si="23"/>
        <v>2.2999999999999687E-3</v>
      </c>
      <c r="H593" s="60">
        <f t="shared" si="24"/>
        <v>51.366700000000002</v>
      </c>
    </row>
    <row r="594" spans="1:8" ht="20.100000000000001" customHeight="1">
      <c r="A594" s="277">
        <v>161</v>
      </c>
      <c r="B594" s="277" t="str">
        <f t="shared" si="22"/>
        <v>MOOS161a</v>
      </c>
      <c r="C594" s="182">
        <v>11.7751</v>
      </c>
      <c r="D594" s="182">
        <v>11.7775</v>
      </c>
      <c r="E594" s="182">
        <v>65.449399999999997</v>
      </c>
      <c r="G594" s="60">
        <f t="shared" si="23"/>
        <v>2.3999999999997357E-3</v>
      </c>
      <c r="H594" s="60">
        <f t="shared" si="24"/>
        <v>53.674299999999995</v>
      </c>
    </row>
    <row r="595" spans="1:8" ht="20.100000000000001" customHeight="1">
      <c r="A595" s="277">
        <v>162</v>
      </c>
      <c r="B595" s="277" t="str">
        <f t="shared" si="22"/>
        <v>MOOS162a</v>
      </c>
      <c r="C595" s="182">
        <v>11.8376</v>
      </c>
      <c r="D595" s="182">
        <v>11.839600000000001</v>
      </c>
      <c r="E595" s="182">
        <v>63.932600000000001</v>
      </c>
      <c r="G595" s="60">
        <f t="shared" si="23"/>
        <v>2.0000000000006679E-3</v>
      </c>
      <c r="H595" s="60">
        <f t="shared" si="24"/>
        <v>52.094999999999999</v>
      </c>
    </row>
    <row r="596" spans="1:8" ht="20.100000000000001" customHeight="1">
      <c r="A596" s="277">
        <v>163</v>
      </c>
      <c r="B596" s="277" t="str">
        <f t="shared" si="22"/>
        <v>MOOS163a</v>
      </c>
      <c r="C596" s="182">
        <v>11.8353</v>
      </c>
      <c r="D596" s="182">
        <v>11.8377</v>
      </c>
      <c r="E596" s="182">
        <v>63.7622</v>
      </c>
      <c r="G596" s="60">
        <f t="shared" si="23"/>
        <v>2.3999999999997357E-3</v>
      </c>
      <c r="H596" s="60">
        <f t="shared" si="24"/>
        <v>51.926900000000003</v>
      </c>
    </row>
    <row r="597" spans="1:8" ht="20.100000000000001" customHeight="1">
      <c r="A597" s="277">
        <v>164</v>
      </c>
      <c r="B597" s="277" t="str">
        <f t="shared" si="22"/>
        <v>MOOS164a</v>
      </c>
      <c r="C597" s="182">
        <v>11.754099999999999</v>
      </c>
      <c r="D597" s="182">
        <v>11.755599999999999</v>
      </c>
      <c r="E597" s="182">
        <v>63.277900000000002</v>
      </c>
      <c r="G597" s="60">
        <f t="shared" si="23"/>
        <v>1.5000000000000568E-3</v>
      </c>
      <c r="H597" s="60">
        <f t="shared" si="24"/>
        <v>51.523800000000001</v>
      </c>
    </row>
    <row r="598" spans="1:8" ht="20.100000000000001" customHeight="1">
      <c r="A598" s="277">
        <v>165</v>
      </c>
      <c r="B598" s="277" t="str">
        <f t="shared" si="22"/>
        <v>MOOS165a</v>
      </c>
      <c r="C598" s="182">
        <v>11.8139</v>
      </c>
      <c r="D598" s="182">
        <v>11.8157</v>
      </c>
      <c r="E598" s="182">
        <v>63.871499999999997</v>
      </c>
      <c r="G598" s="60">
        <f t="shared" si="23"/>
        <v>1.7999999999993577E-3</v>
      </c>
      <c r="H598" s="60">
        <f t="shared" si="24"/>
        <v>52.057599999999994</v>
      </c>
    </row>
    <row r="599" spans="1:8" ht="20.100000000000001" customHeight="1">
      <c r="A599" s="277">
        <v>166</v>
      </c>
      <c r="B599" s="277" t="str">
        <f t="shared" si="22"/>
        <v>MOOS166a</v>
      </c>
      <c r="C599" s="182">
        <v>11.8088</v>
      </c>
      <c r="D599" s="182">
        <v>11.810499999999999</v>
      </c>
      <c r="E599" s="182">
        <v>63.124699999999997</v>
      </c>
      <c r="G599" s="60">
        <f t="shared" si="23"/>
        <v>1.6999999999995907E-3</v>
      </c>
      <c r="H599" s="60">
        <f t="shared" si="24"/>
        <v>51.315899999999999</v>
      </c>
    </row>
    <row r="600" spans="1:8" ht="20.100000000000001" customHeight="1">
      <c r="A600" s="277">
        <v>167</v>
      </c>
      <c r="B600" s="277" t="str">
        <f t="shared" si="22"/>
        <v>MOOS167a</v>
      </c>
      <c r="C600" s="182">
        <v>11.7928</v>
      </c>
      <c r="D600" s="182">
        <v>11.7949</v>
      </c>
      <c r="E600" s="182">
        <v>64.154899999999998</v>
      </c>
      <c r="G600" s="60">
        <f t="shared" si="23"/>
        <v>2.1000000000004349E-3</v>
      </c>
      <c r="H600" s="60">
        <f t="shared" si="24"/>
        <v>52.362099999999998</v>
      </c>
    </row>
    <row r="601" spans="1:8" ht="20.100000000000001" customHeight="1">
      <c r="A601" s="277">
        <v>168</v>
      </c>
      <c r="B601" s="277" t="str">
        <f t="shared" si="22"/>
        <v>MOOS168a</v>
      </c>
      <c r="C601" s="182">
        <v>11.7973</v>
      </c>
      <c r="D601" s="182">
        <v>11.8005</v>
      </c>
      <c r="E601" s="182">
        <v>63.762099999999997</v>
      </c>
      <c r="G601" s="60">
        <f t="shared" si="23"/>
        <v>3.1999999999996476E-3</v>
      </c>
      <c r="H601" s="60">
        <f t="shared" si="24"/>
        <v>51.964799999999997</v>
      </c>
    </row>
    <row r="602" spans="1:8" ht="20.100000000000001" customHeight="1">
      <c r="A602" s="277">
        <v>169</v>
      </c>
      <c r="B602" s="277" t="str">
        <f t="shared" si="22"/>
        <v>MOOS169a</v>
      </c>
      <c r="C602" s="182">
        <v>11.806699999999999</v>
      </c>
      <c r="D602" s="182">
        <v>11.8086</v>
      </c>
      <c r="E602" s="182">
        <v>62.290599999999998</v>
      </c>
      <c r="G602" s="60">
        <f t="shared" si="23"/>
        <v>1.900000000000901E-3</v>
      </c>
      <c r="H602" s="60">
        <f t="shared" si="24"/>
        <v>50.483899999999998</v>
      </c>
    </row>
    <row r="603" spans="1:8" ht="20.100000000000001" customHeight="1">
      <c r="A603" s="277">
        <v>170</v>
      </c>
      <c r="B603" s="277" t="str">
        <f t="shared" si="22"/>
        <v>MOOS170a</v>
      </c>
      <c r="C603" s="182">
        <v>11.763400000000001</v>
      </c>
      <c r="D603" s="182">
        <v>11.7644</v>
      </c>
      <c r="E603" s="182">
        <v>64.4285</v>
      </c>
      <c r="G603" s="60">
        <f t="shared" si="23"/>
        <v>9.9999999999944578E-4</v>
      </c>
      <c r="H603" s="60">
        <f t="shared" si="24"/>
        <v>52.665099999999995</v>
      </c>
    </row>
    <row r="604" spans="1:8" ht="20.100000000000001" customHeight="1">
      <c r="A604" s="277">
        <v>171</v>
      </c>
      <c r="B604" s="277" t="str">
        <f t="shared" si="22"/>
        <v>MOOS171a</v>
      </c>
      <c r="C604" s="182">
        <v>11.7883</v>
      </c>
      <c r="D604" s="182">
        <v>11.792</v>
      </c>
      <c r="E604" s="182">
        <v>64.193700000000007</v>
      </c>
      <c r="G604" s="60">
        <f t="shared" si="23"/>
        <v>3.7000000000002586E-3</v>
      </c>
      <c r="H604" s="60">
        <f t="shared" si="24"/>
        <v>52.405400000000007</v>
      </c>
    </row>
    <row r="605" spans="1:8" ht="20.100000000000001" customHeight="1">
      <c r="A605" s="277">
        <v>172</v>
      </c>
      <c r="B605" s="277" t="str">
        <f t="shared" si="22"/>
        <v>MOOS172a</v>
      </c>
      <c r="C605" s="182">
        <v>11.8119</v>
      </c>
      <c r="D605" s="182">
        <v>11.8139</v>
      </c>
      <c r="E605" s="182">
        <v>65.652500000000003</v>
      </c>
      <c r="G605" s="60">
        <f t="shared" si="23"/>
        <v>2.0000000000006679E-3</v>
      </c>
      <c r="H605" s="60">
        <f t="shared" si="24"/>
        <v>53.840600000000002</v>
      </c>
    </row>
    <row r="606" spans="1:8" ht="20.100000000000001" customHeight="1">
      <c r="A606" s="277">
        <v>173</v>
      </c>
      <c r="B606" s="277" t="str">
        <f t="shared" si="22"/>
        <v>MOOS173a</v>
      </c>
      <c r="C606" s="182">
        <v>11.7981</v>
      </c>
      <c r="D606" s="182">
        <v>11.8019</v>
      </c>
      <c r="E606" s="182">
        <v>63.649500000000003</v>
      </c>
      <c r="G606" s="60">
        <f t="shared" si="23"/>
        <v>3.8000000000000256E-3</v>
      </c>
      <c r="H606" s="60">
        <f t="shared" si="24"/>
        <v>51.851400000000005</v>
      </c>
    </row>
    <row r="607" spans="1:8" ht="20.100000000000001" customHeight="1">
      <c r="A607" s="277">
        <v>174</v>
      </c>
      <c r="B607" s="277" t="str">
        <f t="shared" si="22"/>
        <v>MOOS174a</v>
      </c>
      <c r="C607" s="182">
        <v>11.8049</v>
      </c>
      <c r="D607" s="182">
        <v>11.8073</v>
      </c>
      <c r="E607" s="182">
        <v>63.872799999999998</v>
      </c>
      <c r="G607" s="60">
        <f t="shared" si="23"/>
        <v>2.3999999999997357E-3</v>
      </c>
      <c r="H607" s="60">
        <f t="shared" si="24"/>
        <v>52.067899999999995</v>
      </c>
    </row>
    <row r="608" spans="1:8" ht="20.100000000000001" customHeight="1">
      <c r="A608" s="277">
        <v>175</v>
      </c>
      <c r="B608" s="277" t="str">
        <f t="shared" si="22"/>
        <v>MOOS175a</v>
      </c>
      <c r="C608" s="182">
        <v>11.7912</v>
      </c>
      <c r="D608" s="182">
        <v>11.7927</v>
      </c>
      <c r="E608" s="182">
        <v>63.866799999999998</v>
      </c>
      <c r="G608" s="60">
        <f t="shared" si="23"/>
        <v>1.5000000000000568E-3</v>
      </c>
      <c r="H608" s="60">
        <f t="shared" si="24"/>
        <v>52.075599999999994</v>
      </c>
    </row>
    <row r="609" spans="1:8" ht="20.100000000000001" customHeight="1">
      <c r="A609" s="277">
        <v>176</v>
      </c>
      <c r="B609" s="277" t="str">
        <f t="shared" si="22"/>
        <v>MOOS176a</v>
      </c>
      <c r="C609" s="182">
        <v>11.819100000000001</v>
      </c>
      <c r="D609" s="182">
        <v>11.820399999999999</v>
      </c>
      <c r="E609" s="182">
        <v>62.849299999999999</v>
      </c>
      <c r="G609" s="60">
        <f t="shared" si="23"/>
        <v>1.2999999999987466E-3</v>
      </c>
      <c r="H609" s="60">
        <f t="shared" si="24"/>
        <v>51.030200000000001</v>
      </c>
    </row>
    <row r="610" spans="1:8" ht="20.100000000000001" customHeight="1">
      <c r="A610" s="277">
        <v>177</v>
      </c>
      <c r="B610" s="277" t="str">
        <f t="shared" si="22"/>
        <v>MOOS177a</v>
      </c>
      <c r="C610" s="182">
        <v>11.882999999999999</v>
      </c>
      <c r="D610" s="182">
        <v>11.885300000000001</v>
      </c>
      <c r="E610" s="182">
        <v>64.400700000000001</v>
      </c>
      <c r="G610" s="60">
        <f t="shared" si="23"/>
        <v>2.3000000000017451E-3</v>
      </c>
      <c r="H610" s="60">
        <f t="shared" si="24"/>
        <v>52.517700000000005</v>
      </c>
    </row>
    <row r="611" spans="1:8" ht="20.100000000000001" customHeight="1">
      <c r="A611" s="277">
        <v>178</v>
      </c>
      <c r="B611" s="277" t="str">
        <f t="shared" si="22"/>
        <v>MOOS178a</v>
      </c>
      <c r="C611" s="182">
        <v>11.77</v>
      </c>
      <c r="D611" s="182">
        <v>11.7712</v>
      </c>
      <c r="E611" s="182">
        <v>63.300199999999997</v>
      </c>
      <c r="G611" s="60">
        <f t="shared" si="23"/>
        <v>1.200000000000756E-3</v>
      </c>
      <c r="H611" s="60">
        <f t="shared" si="24"/>
        <v>51.530199999999994</v>
      </c>
    </row>
    <row r="612" spans="1:8" ht="20.100000000000001" customHeight="1">
      <c r="A612" s="277">
        <v>179</v>
      </c>
      <c r="B612" s="277" t="str">
        <f t="shared" si="22"/>
        <v>MOOS179a</v>
      </c>
      <c r="C612" s="182">
        <v>11.818</v>
      </c>
      <c r="D612" s="182">
        <v>11.820499999999999</v>
      </c>
      <c r="E612" s="182">
        <v>65.645099999999999</v>
      </c>
      <c r="G612" s="60">
        <f t="shared" si="23"/>
        <v>2.4999999999995026E-3</v>
      </c>
      <c r="H612" s="60">
        <f t="shared" si="24"/>
        <v>53.827100000000002</v>
      </c>
    </row>
    <row r="613" spans="1:8" ht="20.100000000000001" customHeight="1">
      <c r="A613" s="277">
        <v>180</v>
      </c>
      <c r="B613" s="277" t="str">
        <f t="shared" si="22"/>
        <v>MOOS180a</v>
      </c>
      <c r="C613" s="182">
        <v>11.8231</v>
      </c>
      <c r="D613" s="182">
        <v>11.8279</v>
      </c>
      <c r="E613" s="182">
        <v>64.211399999999998</v>
      </c>
      <c r="G613" s="60">
        <f t="shared" si="23"/>
        <v>4.7999999999994714E-3</v>
      </c>
      <c r="H613" s="60">
        <f t="shared" si="24"/>
        <v>52.388300000000001</v>
      </c>
    </row>
    <row r="614" spans="1:8" ht="20.100000000000001" customHeight="1">
      <c r="A614" s="277">
        <v>181</v>
      </c>
      <c r="B614" s="277" t="str">
        <f t="shared" si="22"/>
        <v>MOOS181a</v>
      </c>
      <c r="C614" s="182">
        <v>11.8081</v>
      </c>
      <c r="D614" s="182">
        <v>11.808400000000001</v>
      </c>
      <c r="E614" s="182">
        <v>65.647400000000005</v>
      </c>
      <c r="G614" s="60">
        <f t="shared" si="23"/>
        <v>3.0000000000107718E-4</v>
      </c>
      <c r="H614" s="60">
        <f t="shared" si="24"/>
        <v>53.839300000000009</v>
      </c>
    </row>
    <row r="615" spans="1:8" ht="20.100000000000001" customHeight="1">
      <c r="A615" s="277">
        <v>182</v>
      </c>
      <c r="B615" s="277" t="str">
        <f t="shared" si="22"/>
        <v>MOOS182a</v>
      </c>
      <c r="C615" s="182">
        <v>11.851699999999999</v>
      </c>
      <c r="D615" s="182">
        <v>11.853300000000001</v>
      </c>
      <c r="E615" s="182">
        <v>63.075800000000001</v>
      </c>
      <c r="G615" s="60">
        <f t="shared" si="23"/>
        <v>1.6000000000016001E-3</v>
      </c>
      <c r="H615" s="60">
        <f t="shared" si="24"/>
        <v>51.2241</v>
      </c>
    </row>
    <row r="616" spans="1:8" ht="20.100000000000001" customHeight="1">
      <c r="A616" s="277">
        <v>183</v>
      </c>
      <c r="B616" s="277" t="str">
        <f t="shared" si="22"/>
        <v>MOOS183a</v>
      </c>
      <c r="C616" s="182">
        <v>11.8215</v>
      </c>
      <c r="D616" s="182">
        <v>11.8233</v>
      </c>
      <c r="E616" s="182">
        <v>64.158699999999996</v>
      </c>
      <c r="G616" s="60">
        <f t="shared" si="23"/>
        <v>1.7999999999993577E-3</v>
      </c>
      <c r="H616" s="60">
        <f t="shared" si="24"/>
        <v>52.337199999999996</v>
      </c>
    </row>
    <row r="617" spans="1:8" ht="20.100000000000001" customHeight="1">
      <c r="A617" s="277">
        <v>184</v>
      </c>
      <c r="B617" s="277" t="str">
        <f t="shared" si="22"/>
        <v>MOOS184a</v>
      </c>
      <c r="C617" s="182">
        <v>11.819900000000001</v>
      </c>
      <c r="D617" s="182">
        <v>11.821999999999999</v>
      </c>
      <c r="E617" s="182">
        <v>62.878399999999999</v>
      </c>
      <c r="G617" s="60">
        <f t="shared" si="23"/>
        <v>2.0999999999986585E-3</v>
      </c>
      <c r="H617" s="60">
        <f t="shared" si="24"/>
        <v>51.058499999999995</v>
      </c>
    </row>
    <row r="618" spans="1:8" ht="20.100000000000001" customHeight="1">
      <c r="A618" s="277">
        <v>185</v>
      </c>
      <c r="B618" s="277" t="str">
        <f t="shared" si="22"/>
        <v>MOOS185a</v>
      </c>
      <c r="C618" s="182">
        <v>11.7349</v>
      </c>
      <c r="D618" s="182">
        <v>11.7364</v>
      </c>
      <c r="E618" s="182">
        <v>63.874200000000002</v>
      </c>
      <c r="G618" s="60">
        <f t="shared" si="23"/>
        <v>1.5000000000000568E-3</v>
      </c>
      <c r="H618" s="60">
        <f t="shared" si="24"/>
        <v>52.139300000000006</v>
      </c>
    </row>
    <row r="619" spans="1:8" ht="20.100000000000001" customHeight="1">
      <c r="A619" s="277">
        <v>186</v>
      </c>
      <c r="B619" s="277" t="str">
        <f t="shared" si="22"/>
        <v>MOOS186a</v>
      </c>
      <c r="C619" s="182">
        <v>11.8363</v>
      </c>
      <c r="D619" s="182">
        <v>11.843500000000001</v>
      </c>
      <c r="E619" s="182">
        <v>64.469399999999993</v>
      </c>
      <c r="G619" s="60">
        <f t="shared" si="23"/>
        <v>7.2000000000009834E-3</v>
      </c>
      <c r="H619" s="60">
        <f t="shared" si="24"/>
        <v>52.633099999999992</v>
      </c>
    </row>
    <row r="620" spans="1:8" ht="20.100000000000001" customHeight="1">
      <c r="A620" s="277">
        <v>187</v>
      </c>
      <c r="B620" s="277" t="str">
        <f t="shared" si="22"/>
        <v>MOOS187a</v>
      </c>
      <c r="C620" s="182">
        <v>11.798999999999999</v>
      </c>
      <c r="D620" s="182">
        <v>11.8003</v>
      </c>
      <c r="E620" s="182">
        <v>64.702600000000004</v>
      </c>
      <c r="G620" s="60">
        <f t="shared" si="23"/>
        <v>1.300000000000523E-3</v>
      </c>
      <c r="H620" s="60">
        <f t="shared" si="24"/>
        <v>52.903600000000004</v>
      </c>
    </row>
    <row r="621" spans="1:8" ht="20.100000000000001" customHeight="1">
      <c r="A621" s="277">
        <v>188</v>
      </c>
      <c r="B621" s="277" t="str">
        <f t="shared" si="22"/>
        <v>MOOS188a</v>
      </c>
      <c r="C621" s="182">
        <v>11.8573</v>
      </c>
      <c r="D621" s="182">
        <v>11.8588</v>
      </c>
      <c r="E621" s="182">
        <v>65.270200000000003</v>
      </c>
      <c r="G621" s="60">
        <f t="shared" si="23"/>
        <v>1.5000000000000568E-3</v>
      </c>
      <c r="H621" s="60">
        <f t="shared" si="24"/>
        <v>53.4129</v>
      </c>
    </row>
    <row r="622" spans="1:8" ht="20.100000000000001" customHeight="1">
      <c r="A622" s="277">
        <v>189</v>
      </c>
      <c r="B622" s="277" t="str">
        <f t="shared" si="22"/>
        <v>MOOS189a</v>
      </c>
      <c r="C622" s="182">
        <v>11.8354</v>
      </c>
      <c r="D622" s="182">
        <v>11.836600000000001</v>
      </c>
      <c r="E622" s="182">
        <v>65.171000000000006</v>
      </c>
      <c r="G622" s="60">
        <f t="shared" si="23"/>
        <v>1.200000000000756E-3</v>
      </c>
      <c r="H622" s="60">
        <f t="shared" si="24"/>
        <v>53.335600000000007</v>
      </c>
    </row>
    <row r="623" spans="1:8" ht="20.100000000000001" customHeight="1">
      <c r="A623" s="277">
        <v>190</v>
      </c>
      <c r="B623" s="277" t="str">
        <f t="shared" si="22"/>
        <v>MOOS190a</v>
      </c>
      <c r="C623" s="182">
        <v>11.805199999999999</v>
      </c>
      <c r="D623" s="182">
        <v>11.806900000000001</v>
      </c>
      <c r="E623" s="182">
        <v>62.878399999999999</v>
      </c>
      <c r="G623" s="60">
        <f t="shared" si="23"/>
        <v>1.7000000000013671E-3</v>
      </c>
      <c r="H623" s="60">
        <f t="shared" si="24"/>
        <v>51.0732</v>
      </c>
    </row>
    <row r="624" spans="1:8" ht="20.100000000000001" customHeight="1">
      <c r="A624" s="277">
        <v>191</v>
      </c>
      <c r="B624" s="277" t="str">
        <f t="shared" si="22"/>
        <v>MOOS191a</v>
      </c>
      <c r="C624" s="182">
        <v>11.824</v>
      </c>
      <c r="D624" s="182">
        <v>11.825699999999999</v>
      </c>
      <c r="E624" s="182">
        <v>63.173900000000003</v>
      </c>
      <c r="G624" s="60">
        <f t="shared" si="23"/>
        <v>1.6999999999995907E-3</v>
      </c>
      <c r="H624" s="60">
        <f t="shared" si="24"/>
        <v>51.349900000000005</v>
      </c>
    </row>
    <row r="625" spans="1:8" ht="20.100000000000001" customHeight="1">
      <c r="A625" s="277">
        <v>192</v>
      </c>
      <c r="B625" s="277" t="str">
        <f t="shared" si="22"/>
        <v>MOOS192a</v>
      </c>
      <c r="C625" s="182">
        <v>11.8317</v>
      </c>
      <c r="D625" s="182">
        <v>11.834</v>
      </c>
      <c r="E625" s="182">
        <v>64.222499999999997</v>
      </c>
      <c r="G625" s="60">
        <f t="shared" si="23"/>
        <v>2.2999999999999687E-3</v>
      </c>
      <c r="H625" s="60">
        <f t="shared" si="24"/>
        <v>52.390799999999999</v>
      </c>
    </row>
    <row r="626" spans="1:8" ht="20.100000000000001" customHeight="1">
      <c r="A626" s="277">
        <v>193</v>
      </c>
      <c r="B626" s="277" t="str">
        <f t="shared" si="22"/>
        <v>MOOS193a</v>
      </c>
      <c r="C626" s="182">
        <v>11.8142</v>
      </c>
      <c r="D626" s="182">
        <v>11.8165</v>
      </c>
      <c r="E626" s="182">
        <v>66.139099999999999</v>
      </c>
      <c r="G626" s="60">
        <f t="shared" si="23"/>
        <v>2.2999999999999687E-3</v>
      </c>
      <c r="H626" s="60">
        <f t="shared" si="24"/>
        <v>54.3249</v>
      </c>
    </row>
    <row r="627" spans="1:8" ht="20.100000000000001" customHeight="1">
      <c r="A627" s="277">
        <v>194</v>
      </c>
      <c r="B627" s="277" t="str">
        <f t="shared" ref="B627:B690" si="25">"MOOS"&amp;TEXT(A627,"000")&amp;"a"</f>
        <v>MOOS194a</v>
      </c>
      <c r="C627" s="182">
        <v>11.7981</v>
      </c>
      <c r="D627" s="182">
        <v>11.8002</v>
      </c>
      <c r="E627" s="182">
        <v>64.1113</v>
      </c>
      <c r="G627" s="60">
        <f t="shared" ref="G627:G690" si="26">D627-C627</f>
        <v>2.1000000000004349E-3</v>
      </c>
      <c r="H627" s="60">
        <f t="shared" ref="H627:H690" si="27">E627-C627</f>
        <v>52.313200000000002</v>
      </c>
    </row>
    <row r="628" spans="1:8" ht="20.100000000000001" customHeight="1">
      <c r="A628" s="277">
        <v>195</v>
      </c>
      <c r="B628" s="277" t="str">
        <f t="shared" si="25"/>
        <v>MOOS195a</v>
      </c>
      <c r="C628" s="182">
        <v>11.848599999999999</v>
      </c>
      <c r="D628" s="182">
        <v>11.8506</v>
      </c>
      <c r="E628" s="182">
        <v>64.639200000000002</v>
      </c>
      <c r="G628" s="60">
        <f t="shared" si="26"/>
        <v>2.0000000000006679E-3</v>
      </c>
      <c r="H628" s="60">
        <f t="shared" si="27"/>
        <v>52.790600000000005</v>
      </c>
    </row>
    <row r="629" spans="1:8" ht="20.100000000000001" customHeight="1">
      <c r="A629" s="277">
        <v>196</v>
      </c>
      <c r="B629" s="277" t="str">
        <f t="shared" si="25"/>
        <v>MOOS196a</v>
      </c>
      <c r="C629" s="182">
        <v>11.8178</v>
      </c>
      <c r="D629" s="182">
        <v>11.818300000000001</v>
      </c>
      <c r="E629" s="182">
        <v>65.164900000000003</v>
      </c>
      <c r="G629" s="60">
        <f t="shared" si="26"/>
        <v>5.0000000000061107E-4</v>
      </c>
      <c r="H629" s="60">
        <f t="shared" si="27"/>
        <v>53.347100000000005</v>
      </c>
    </row>
    <row r="630" spans="1:8" ht="20.100000000000001" customHeight="1">
      <c r="A630" s="277">
        <v>197</v>
      </c>
      <c r="B630" s="277" t="str">
        <f t="shared" si="25"/>
        <v>MOOS197a</v>
      </c>
      <c r="C630" s="182">
        <v>11.836399999999999</v>
      </c>
      <c r="D630" s="182">
        <v>11.837999999999999</v>
      </c>
      <c r="E630" s="182">
        <v>64.164900000000003</v>
      </c>
      <c r="G630" s="60">
        <f t="shared" si="26"/>
        <v>1.5999999999998238E-3</v>
      </c>
      <c r="H630" s="60">
        <f t="shared" si="27"/>
        <v>52.328500000000005</v>
      </c>
    </row>
    <row r="631" spans="1:8" ht="20.100000000000001" customHeight="1">
      <c r="A631" s="277">
        <v>198</v>
      </c>
      <c r="B631" s="277" t="str">
        <f t="shared" si="25"/>
        <v>MOOS198a</v>
      </c>
      <c r="C631" s="182">
        <v>11.775600000000001</v>
      </c>
      <c r="D631" s="182">
        <v>11.776</v>
      </c>
      <c r="E631" s="182">
        <v>64.265000000000001</v>
      </c>
      <c r="G631" s="60">
        <f t="shared" si="26"/>
        <v>3.9999999999906777E-4</v>
      </c>
      <c r="H631" s="60">
        <f t="shared" si="27"/>
        <v>52.489400000000003</v>
      </c>
    </row>
    <row r="632" spans="1:8" ht="20.100000000000001" customHeight="1">
      <c r="A632" s="277">
        <v>199</v>
      </c>
      <c r="B632" s="277" t="str">
        <f t="shared" si="25"/>
        <v>MOOS199a</v>
      </c>
      <c r="C632" s="182">
        <v>11.8276</v>
      </c>
      <c r="D632" s="182">
        <v>11.8301</v>
      </c>
      <c r="E632" s="182">
        <v>64.624300000000005</v>
      </c>
      <c r="G632" s="60">
        <f t="shared" si="26"/>
        <v>2.4999999999995026E-3</v>
      </c>
      <c r="H632" s="60">
        <f t="shared" si="27"/>
        <v>52.796700000000001</v>
      </c>
    </row>
    <row r="633" spans="1:8" ht="20.100000000000001" customHeight="1">
      <c r="A633" s="277">
        <v>200</v>
      </c>
      <c r="B633" s="277" t="str">
        <f t="shared" si="25"/>
        <v>MOOS200a</v>
      </c>
      <c r="C633" s="182">
        <v>11.813499999999999</v>
      </c>
      <c r="D633" s="182">
        <v>11.815200000000001</v>
      </c>
      <c r="E633" s="182">
        <v>64.430199999999999</v>
      </c>
      <c r="G633" s="60">
        <f t="shared" si="26"/>
        <v>1.7000000000013671E-3</v>
      </c>
      <c r="H633" s="60">
        <f t="shared" si="27"/>
        <v>52.616700000000002</v>
      </c>
    </row>
    <row r="634" spans="1:8" ht="20.100000000000001" customHeight="1">
      <c r="A634" s="277">
        <v>201</v>
      </c>
      <c r="B634" s="277" t="str">
        <f t="shared" si="25"/>
        <v>MOOS201a</v>
      </c>
      <c r="C634" s="182">
        <v>11.8429</v>
      </c>
      <c r="D634" s="182">
        <v>11.8451</v>
      </c>
      <c r="E634" s="182">
        <v>64.563000000000002</v>
      </c>
      <c r="G634" s="60">
        <f t="shared" si="26"/>
        <v>2.2000000000002018E-3</v>
      </c>
      <c r="H634" s="60">
        <f t="shared" si="27"/>
        <v>52.720100000000002</v>
      </c>
    </row>
    <row r="635" spans="1:8" ht="20.100000000000001" customHeight="1">
      <c r="A635" s="277">
        <v>202</v>
      </c>
      <c r="B635" s="277" t="str">
        <f t="shared" si="25"/>
        <v>MOOS202a</v>
      </c>
      <c r="C635" s="182">
        <v>11.8207</v>
      </c>
      <c r="D635" s="182">
        <v>11.822900000000001</v>
      </c>
      <c r="E635" s="182">
        <v>64.768600000000006</v>
      </c>
      <c r="G635" s="60">
        <f t="shared" si="26"/>
        <v>2.2000000000002018E-3</v>
      </c>
      <c r="H635" s="60">
        <f t="shared" si="27"/>
        <v>52.947900000000004</v>
      </c>
    </row>
    <row r="636" spans="1:8" ht="20.100000000000001" customHeight="1">
      <c r="A636" s="277">
        <v>203</v>
      </c>
      <c r="B636" s="277" t="str">
        <f t="shared" si="25"/>
        <v>MOOS203a</v>
      </c>
      <c r="C636" s="182">
        <v>11.835900000000001</v>
      </c>
      <c r="D636" s="182">
        <v>11.838900000000001</v>
      </c>
      <c r="E636" s="182">
        <v>63.767000000000003</v>
      </c>
      <c r="G636" s="60">
        <f t="shared" si="26"/>
        <v>3.0000000000001137E-3</v>
      </c>
      <c r="H636" s="60">
        <f t="shared" si="27"/>
        <v>51.931100000000001</v>
      </c>
    </row>
    <row r="637" spans="1:8" ht="20.100000000000001" customHeight="1">
      <c r="A637" s="277">
        <v>204</v>
      </c>
      <c r="B637" s="277" t="str">
        <f t="shared" si="25"/>
        <v>MOOS204a</v>
      </c>
      <c r="C637" s="182">
        <v>11.756</v>
      </c>
      <c r="D637" s="182">
        <v>11.7584</v>
      </c>
      <c r="E637" s="182">
        <v>62.812899999999999</v>
      </c>
      <c r="G637" s="60">
        <f t="shared" si="26"/>
        <v>2.3999999999997357E-3</v>
      </c>
      <c r="H637" s="60">
        <f t="shared" si="27"/>
        <v>51.056899999999999</v>
      </c>
    </row>
    <row r="638" spans="1:8" ht="20.100000000000001" customHeight="1">
      <c r="A638" s="277">
        <v>205</v>
      </c>
      <c r="B638" s="277" t="str">
        <f t="shared" si="25"/>
        <v>MOOS205a</v>
      </c>
      <c r="C638" s="182">
        <v>11.84</v>
      </c>
      <c r="D638" s="182">
        <v>11.8415</v>
      </c>
      <c r="E638" s="182">
        <v>64.195800000000006</v>
      </c>
      <c r="G638" s="60">
        <f t="shared" si="26"/>
        <v>1.5000000000000568E-3</v>
      </c>
      <c r="H638" s="60">
        <f t="shared" si="27"/>
        <v>52.355800000000002</v>
      </c>
    </row>
    <row r="639" spans="1:8" ht="20.100000000000001" customHeight="1">
      <c r="A639" s="277">
        <v>206</v>
      </c>
      <c r="B639" s="277" t="str">
        <f t="shared" si="25"/>
        <v>MOOS206a</v>
      </c>
      <c r="C639" s="182">
        <v>11.7906</v>
      </c>
      <c r="D639" s="182">
        <v>11.801500000000001</v>
      </c>
      <c r="E639" s="182">
        <v>64.934600000000003</v>
      </c>
      <c r="G639" s="60">
        <f t="shared" si="26"/>
        <v>1.0900000000001242E-2</v>
      </c>
      <c r="H639" s="60">
        <f t="shared" si="27"/>
        <v>53.144000000000005</v>
      </c>
    </row>
    <row r="640" spans="1:8" ht="20.100000000000001" customHeight="1">
      <c r="A640" s="277">
        <v>207</v>
      </c>
      <c r="B640" s="277" t="str">
        <f t="shared" si="25"/>
        <v>MOOS207a</v>
      </c>
      <c r="C640" s="182">
        <v>11.875400000000001</v>
      </c>
      <c r="D640" s="182">
        <v>11.8779</v>
      </c>
      <c r="E640" s="182">
        <v>65.413200000000003</v>
      </c>
      <c r="G640" s="60">
        <f t="shared" si="26"/>
        <v>2.4999999999995026E-3</v>
      </c>
      <c r="H640" s="60">
        <f t="shared" si="27"/>
        <v>53.537800000000004</v>
      </c>
    </row>
    <row r="641" spans="1:8" ht="20.100000000000001" customHeight="1">
      <c r="A641" s="277">
        <v>208</v>
      </c>
      <c r="B641" s="277" t="str">
        <f t="shared" si="25"/>
        <v>MOOS208a</v>
      </c>
      <c r="C641" s="182">
        <v>11.82</v>
      </c>
      <c r="D641" s="182">
        <v>11.821899999999999</v>
      </c>
      <c r="E641" s="182">
        <v>64.997299999999996</v>
      </c>
      <c r="G641" s="60">
        <f t="shared" si="26"/>
        <v>1.8999999999991246E-3</v>
      </c>
      <c r="H641" s="60">
        <f t="shared" si="27"/>
        <v>53.177299999999995</v>
      </c>
    </row>
    <row r="642" spans="1:8" ht="20.100000000000001" customHeight="1">
      <c r="A642" s="277">
        <v>209</v>
      </c>
      <c r="B642" s="277" t="str">
        <f t="shared" si="25"/>
        <v>MOOS209a</v>
      </c>
      <c r="C642" s="182">
        <v>11.8827</v>
      </c>
      <c r="D642" s="182">
        <v>11.8849</v>
      </c>
      <c r="E642" s="182">
        <v>64.445300000000003</v>
      </c>
      <c r="G642" s="60">
        <f t="shared" si="26"/>
        <v>2.2000000000002018E-3</v>
      </c>
      <c r="H642" s="60">
        <f t="shared" si="27"/>
        <v>52.562600000000003</v>
      </c>
    </row>
    <row r="643" spans="1:8" ht="20.100000000000001" customHeight="1">
      <c r="A643" s="277">
        <v>210</v>
      </c>
      <c r="B643" s="277" t="str">
        <f t="shared" si="25"/>
        <v>MOOS210a</v>
      </c>
      <c r="C643" s="182">
        <v>11.8165</v>
      </c>
      <c r="D643" s="182">
        <v>11.818899999999999</v>
      </c>
      <c r="E643" s="182">
        <v>64.958799999999997</v>
      </c>
      <c r="G643" s="60">
        <f t="shared" si="26"/>
        <v>2.3999999999997357E-3</v>
      </c>
      <c r="H643" s="60">
        <f t="shared" si="27"/>
        <v>53.142299999999999</v>
      </c>
    </row>
    <row r="644" spans="1:8" ht="20.100000000000001" customHeight="1">
      <c r="A644" s="277">
        <v>211</v>
      </c>
      <c r="B644" s="277" t="str">
        <f t="shared" si="25"/>
        <v>MOOS211a</v>
      </c>
      <c r="C644" s="182">
        <v>11.8118</v>
      </c>
      <c r="D644" s="182">
        <v>11.8148</v>
      </c>
      <c r="E644" s="182">
        <v>65.862399999999994</v>
      </c>
      <c r="G644" s="60">
        <f t="shared" si="26"/>
        <v>3.0000000000001137E-3</v>
      </c>
      <c r="H644" s="60">
        <f t="shared" si="27"/>
        <v>54.050599999999996</v>
      </c>
    </row>
    <row r="645" spans="1:8" ht="20.100000000000001" customHeight="1">
      <c r="A645" s="277">
        <v>212</v>
      </c>
      <c r="B645" s="277" t="str">
        <f t="shared" si="25"/>
        <v>MOOS212a</v>
      </c>
      <c r="C645" s="182">
        <v>11.791</v>
      </c>
      <c r="D645" s="182">
        <v>11.792</v>
      </c>
      <c r="E645" s="182">
        <v>64.454899999999995</v>
      </c>
      <c r="G645" s="60">
        <f t="shared" si="26"/>
        <v>9.9999999999944578E-4</v>
      </c>
      <c r="H645" s="60">
        <f t="shared" si="27"/>
        <v>52.663899999999998</v>
      </c>
    </row>
    <row r="646" spans="1:8" ht="20.100000000000001" customHeight="1">
      <c r="A646" s="277">
        <v>213</v>
      </c>
      <c r="B646" s="277" t="str">
        <f t="shared" si="25"/>
        <v>MOOS213a</v>
      </c>
      <c r="C646" s="182">
        <v>11.839</v>
      </c>
      <c r="D646" s="182">
        <v>11.8407</v>
      </c>
      <c r="E646" s="182">
        <v>64.471000000000004</v>
      </c>
      <c r="G646" s="60">
        <f t="shared" si="26"/>
        <v>1.6999999999995907E-3</v>
      </c>
      <c r="H646" s="60">
        <f t="shared" si="27"/>
        <v>52.632000000000005</v>
      </c>
    </row>
    <row r="647" spans="1:8" ht="20.100000000000001" customHeight="1">
      <c r="A647" s="277">
        <v>214</v>
      </c>
      <c r="B647" s="277" t="str">
        <f t="shared" si="25"/>
        <v>MOOS214a</v>
      </c>
      <c r="C647" s="182">
        <v>11.8369</v>
      </c>
      <c r="D647" s="182">
        <v>11.8385</v>
      </c>
      <c r="E647" s="182">
        <v>63.219200000000001</v>
      </c>
      <c r="G647" s="60">
        <f t="shared" si="26"/>
        <v>1.5999999999998238E-3</v>
      </c>
      <c r="H647" s="60">
        <f t="shared" si="27"/>
        <v>51.382300000000001</v>
      </c>
    </row>
    <row r="648" spans="1:8" ht="20.100000000000001" customHeight="1">
      <c r="A648" s="277">
        <v>215</v>
      </c>
      <c r="B648" s="277" t="str">
        <f t="shared" si="25"/>
        <v>MOOS215a</v>
      </c>
      <c r="C648" s="182">
        <v>11.8345</v>
      </c>
      <c r="D648" s="182">
        <v>11.8362</v>
      </c>
      <c r="E648" s="182">
        <v>63.186199999999999</v>
      </c>
      <c r="G648" s="60">
        <f t="shared" si="26"/>
        <v>1.6999999999995907E-3</v>
      </c>
      <c r="H648" s="60">
        <f t="shared" si="27"/>
        <v>51.351700000000001</v>
      </c>
    </row>
    <row r="649" spans="1:8" ht="20.100000000000001" customHeight="1">
      <c r="A649" s="277">
        <v>216</v>
      </c>
      <c r="B649" s="277" t="str">
        <f t="shared" si="25"/>
        <v>MOOS216a</v>
      </c>
      <c r="C649" s="182">
        <v>11.826700000000001</v>
      </c>
      <c r="D649" s="182">
        <v>11.8277</v>
      </c>
      <c r="E649" s="182">
        <v>62.819299999999998</v>
      </c>
      <c r="G649" s="60">
        <f t="shared" si="26"/>
        <v>9.9999999999944578E-4</v>
      </c>
      <c r="H649" s="60">
        <f t="shared" si="27"/>
        <v>50.992599999999996</v>
      </c>
    </row>
    <row r="650" spans="1:8" ht="20.100000000000001" customHeight="1">
      <c r="A650" s="277">
        <v>217</v>
      </c>
      <c r="B650" s="277" t="str">
        <f t="shared" si="25"/>
        <v>MOOS217a</v>
      </c>
      <c r="C650" s="182">
        <v>11.798999999999999</v>
      </c>
      <c r="D650" s="182">
        <v>11.8003</v>
      </c>
      <c r="E650" s="182">
        <v>65.193200000000004</v>
      </c>
      <c r="G650" s="60">
        <f t="shared" si="26"/>
        <v>1.300000000000523E-3</v>
      </c>
      <c r="H650" s="60">
        <f t="shared" si="27"/>
        <v>53.394200000000005</v>
      </c>
    </row>
    <row r="651" spans="1:8" ht="20.100000000000001" customHeight="1">
      <c r="A651" s="277">
        <v>218</v>
      </c>
      <c r="B651" s="277" t="str">
        <f t="shared" si="25"/>
        <v>MOOS218a</v>
      </c>
      <c r="C651" s="182">
        <v>11.881600000000001</v>
      </c>
      <c r="D651" s="182">
        <v>11.882300000000001</v>
      </c>
      <c r="E651" s="182">
        <v>65.688699999999997</v>
      </c>
      <c r="G651" s="60">
        <f t="shared" si="26"/>
        <v>7.0000000000014495E-4</v>
      </c>
      <c r="H651" s="60">
        <f t="shared" si="27"/>
        <v>53.807099999999998</v>
      </c>
    </row>
    <row r="652" spans="1:8" ht="20.100000000000001" customHeight="1">
      <c r="A652" s="277">
        <v>219</v>
      </c>
      <c r="B652" s="277" t="str">
        <f t="shared" si="25"/>
        <v>MOOS219a</v>
      </c>
      <c r="C652" s="182">
        <v>11.8492</v>
      </c>
      <c r="D652" s="182">
        <v>11.8491</v>
      </c>
      <c r="E652" s="182">
        <v>65.544200000000004</v>
      </c>
      <c r="G652" s="60">
        <f t="shared" si="26"/>
        <v>-9.9999999999766942E-5</v>
      </c>
      <c r="H652" s="60">
        <f t="shared" si="27"/>
        <v>53.695000000000007</v>
      </c>
    </row>
    <row r="653" spans="1:8" ht="20.100000000000001" customHeight="1">
      <c r="A653" s="277">
        <v>220</v>
      </c>
      <c r="B653" s="277" t="str">
        <f t="shared" si="25"/>
        <v>MOOS220a</v>
      </c>
      <c r="C653" s="182">
        <v>11.8149</v>
      </c>
      <c r="D653" s="182">
        <v>11.8169</v>
      </c>
      <c r="E653" s="182">
        <v>65.133200000000002</v>
      </c>
      <c r="G653" s="60">
        <f t="shared" si="26"/>
        <v>2.0000000000006679E-3</v>
      </c>
      <c r="H653" s="60">
        <f t="shared" si="27"/>
        <v>53.318300000000001</v>
      </c>
    </row>
    <row r="654" spans="1:8" ht="20.100000000000001" customHeight="1">
      <c r="A654" s="277">
        <v>221</v>
      </c>
      <c r="B654" s="277" t="str">
        <f t="shared" si="25"/>
        <v>MOOS221a</v>
      </c>
      <c r="C654" s="182">
        <v>11.800800000000001</v>
      </c>
      <c r="D654" s="182">
        <v>11.805099999999999</v>
      </c>
      <c r="E654" s="182">
        <v>63.959699999999998</v>
      </c>
      <c r="G654" s="60">
        <f t="shared" si="26"/>
        <v>4.2999999999988603E-3</v>
      </c>
      <c r="H654" s="60">
        <f t="shared" si="27"/>
        <v>52.158899999999996</v>
      </c>
    </row>
    <row r="655" spans="1:8" ht="20.100000000000001" customHeight="1">
      <c r="A655" s="277">
        <v>222</v>
      </c>
      <c r="B655" s="277" t="str">
        <f t="shared" si="25"/>
        <v>MOOS222a</v>
      </c>
      <c r="C655" s="182">
        <v>11.7973</v>
      </c>
      <c r="D655" s="182">
        <v>11.798500000000001</v>
      </c>
      <c r="E655" s="182">
        <v>63.753599999999999</v>
      </c>
      <c r="G655" s="60">
        <f t="shared" si="26"/>
        <v>1.200000000000756E-3</v>
      </c>
      <c r="H655" s="60">
        <f t="shared" si="27"/>
        <v>51.956299999999999</v>
      </c>
    </row>
    <row r="656" spans="1:8" ht="20.100000000000001" customHeight="1">
      <c r="A656" s="277">
        <v>223</v>
      </c>
      <c r="B656" s="277" t="str">
        <f t="shared" si="25"/>
        <v>MOOS223a</v>
      </c>
      <c r="C656" s="182">
        <v>11.777200000000001</v>
      </c>
      <c r="D656" s="182">
        <v>11.7791</v>
      </c>
      <c r="E656" s="182">
        <v>64.3262</v>
      </c>
      <c r="G656" s="60">
        <f t="shared" si="26"/>
        <v>1.8999999999991246E-3</v>
      </c>
      <c r="H656" s="60">
        <f t="shared" si="27"/>
        <v>52.548999999999999</v>
      </c>
    </row>
    <row r="657" spans="1:8" ht="20.100000000000001" customHeight="1">
      <c r="A657" s="277">
        <v>224</v>
      </c>
      <c r="B657" s="277" t="str">
        <f t="shared" si="25"/>
        <v>MOOS224a</v>
      </c>
      <c r="C657" s="182">
        <v>11.8322</v>
      </c>
      <c r="D657" s="182">
        <v>11.834199999999999</v>
      </c>
      <c r="E657" s="182">
        <v>65.168599999999998</v>
      </c>
      <c r="G657" s="60">
        <f t="shared" si="26"/>
        <v>1.9999999999988916E-3</v>
      </c>
      <c r="H657" s="60">
        <f t="shared" si="27"/>
        <v>53.336399999999998</v>
      </c>
    </row>
    <row r="658" spans="1:8" ht="20.100000000000001" customHeight="1">
      <c r="A658" s="277">
        <v>225</v>
      </c>
      <c r="B658" s="277" t="str">
        <f t="shared" si="25"/>
        <v>MOOS225a</v>
      </c>
      <c r="C658" s="182">
        <v>11.8292</v>
      </c>
      <c r="D658" s="182">
        <v>11.8324</v>
      </c>
      <c r="E658" s="182">
        <v>66.625900000000001</v>
      </c>
      <c r="G658" s="60">
        <f t="shared" si="26"/>
        <v>3.1999999999996476E-3</v>
      </c>
      <c r="H658" s="60">
        <f t="shared" si="27"/>
        <v>54.796700000000001</v>
      </c>
    </row>
    <row r="659" spans="1:8" ht="20.100000000000001" customHeight="1">
      <c r="A659" s="277">
        <v>226</v>
      </c>
      <c r="B659" s="277" t="str">
        <f t="shared" si="25"/>
        <v>MOOS226a</v>
      </c>
      <c r="C659" s="182">
        <v>11.837400000000001</v>
      </c>
      <c r="D659" s="182">
        <v>11.8428</v>
      </c>
      <c r="E659" s="182">
        <v>63.376399999999997</v>
      </c>
      <c r="G659" s="60">
        <f t="shared" si="26"/>
        <v>5.3999999999998494E-3</v>
      </c>
      <c r="H659" s="60">
        <f t="shared" si="27"/>
        <v>51.538999999999994</v>
      </c>
    </row>
    <row r="660" spans="1:8" ht="20.100000000000001" customHeight="1">
      <c r="A660" s="277">
        <v>227</v>
      </c>
      <c r="B660" s="277" t="str">
        <f t="shared" si="25"/>
        <v>MOOS227a</v>
      </c>
      <c r="C660" s="182">
        <v>11.8416</v>
      </c>
      <c r="D660" s="182">
        <v>11.8453</v>
      </c>
      <c r="E660" s="182">
        <v>64.232600000000005</v>
      </c>
      <c r="G660" s="60">
        <f t="shared" si="26"/>
        <v>3.7000000000002586E-3</v>
      </c>
      <c r="H660" s="60">
        <f t="shared" si="27"/>
        <v>52.391000000000005</v>
      </c>
    </row>
    <row r="661" spans="1:8" ht="20.100000000000001" customHeight="1">
      <c r="A661" s="277">
        <v>228</v>
      </c>
      <c r="B661" s="277" t="str">
        <f t="shared" si="25"/>
        <v>MOOS228a</v>
      </c>
      <c r="C661" s="182">
        <v>11.8086</v>
      </c>
      <c r="D661" s="182">
        <v>11.811199999999999</v>
      </c>
      <c r="E661" s="182">
        <v>63.551900000000003</v>
      </c>
      <c r="G661" s="60">
        <f t="shared" si="26"/>
        <v>2.5999999999992696E-3</v>
      </c>
      <c r="H661" s="60">
        <f t="shared" si="27"/>
        <v>51.743300000000005</v>
      </c>
    </row>
    <row r="662" spans="1:8" ht="20.100000000000001" customHeight="1">
      <c r="A662" s="277">
        <v>229</v>
      </c>
      <c r="B662" s="277" t="str">
        <f t="shared" si="25"/>
        <v>MOOS229a</v>
      </c>
      <c r="C662" s="182">
        <v>11.835000000000001</v>
      </c>
      <c r="D662" s="182">
        <v>11.837199999999999</v>
      </c>
      <c r="E662" s="182">
        <v>63.898099999999999</v>
      </c>
      <c r="G662" s="60">
        <f t="shared" si="26"/>
        <v>2.1999999999984254E-3</v>
      </c>
      <c r="H662" s="60">
        <f t="shared" si="27"/>
        <v>52.063099999999999</v>
      </c>
    </row>
    <row r="663" spans="1:8" ht="20.100000000000001" customHeight="1">
      <c r="A663" s="277">
        <v>230</v>
      </c>
      <c r="B663" s="277" t="str">
        <f t="shared" si="25"/>
        <v>MOOS230a</v>
      </c>
      <c r="C663" s="182">
        <v>11.8565</v>
      </c>
      <c r="D663" s="182">
        <v>11.8588</v>
      </c>
      <c r="E663" s="182">
        <v>62.017699999999998</v>
      </c>
      <c r="G663" s="60">
        <f t="shared" si="26"/>
        <v>2.2999999999999687E-3</v>
      </c>
      <c r="H663" s="60">
        <f t="shared" si="27"/>
        <v>50.161199999999994</v>
      </c>
    </row>
    <row r="664" spans="1:8" ht="20.100000000000001" customHeight="1">
      <c r="A664" s="277">
        <v>231</v>
      </c>
      <c r="B664" s="277" t="str">
        <f t="shared" si="25"/>
        <v>MOOS231a</v>
      </c>
      <c r="C664" s="182">
        <v>11.8141</v>
      </c>
      <c r="D664" s="182">
        <v>11.817299999999999</v>
      </c>
      <c r="E664" s="182">
        <v>65.306399999999996</v>
      </c>
      <c r="G664" s="60">
        <f t="shared" si="26"/>
        <v>3.1999999999996476E-3</v>
      </c>
      <c r="H664" s="60">
        <f t="shared" si="27"/>
        <v>53.4923</v>
      </c>
    </row>
    <row r="665" spans="1:8" ht="20.100000000000001" customHeight="1">
      <c r="A665" s="277">
        <v>232</v>
      </c>
      <c r="B665" s="277" t="str">
        <f t="shared" si="25"/>
        <v>MOOS232a</v>
      </c>
      <c r="C665" s="182">
        <v>11.829700000000001</v>
      </c>
      <c r="D665" s="182">
        <v>11.831799999999999</v>
      </c>
      <c r="E665" s="182">
        <v>64.047600000000003</v>
      </c>
      <c r="G665" s="60">
        <f t="shared" si="26"/>
        <v>2.0999999999986585E-3</v>
      </c>
      <c r="H665" s="60">
        <f t="shared" si="27"/>
        <v>52.2179</v>
      </c>
    </row>
    <row r="666" spans="1:8" ht="20.100000000000001" customHeight="1">
      <c r="A666" s="277">
        <v>233</v>
      </c>
      <c r="B666" s="277" t="str">
        <f t="shared" si="25"/>
        <v>MOOS233a</v>
      </c>
      <c r="C666" s="182">
        <v>11.8215</v>
      </c>
      <c r="D666" s="182">
        <v>11.822900000000001</v>
      </c>
      <c r="E666" s="182">
        <v>63.897199999999998</v>
      </c>
      <c r="G666" s="60">
        <f t="shared" si="26"/>
        <v>1.4000000000002899E-3</v>
      </c>
      <c r="H666" s="60">
        <f t="shared" si="27"/>
        <v>52.075699999999998</v>
      </c>
    </row>
    <row r="667" spans="1:8" ht="20.100000000000001" customHeight="1">
      <c r="A667" s="277">
        <v>234</v>
      </c>
      <c r="B667" s="277" t="str">
        <f t="shared" si="25"/>
        <v>MOOS234a</v>
      </c>
      <c r="C667" s="182">
        <v>11.8192</v>
      </c>
      <c r="D667" s="182">
        <v>11.820499999999999</v>
      </c>
      <c r="E667" s="182">
        <v>63.115900000000003</v>
      </c>
      <c r="G667" s="60">
        <f t="shared" si="26"/>
        <v>1.2999999999987466E-3</v>
      </c>
      <c r="H667" s="60">
        <f t="shared" si="27"/>
        <v>51.296700000000001</v>
      </c>
    </row>
    <row r="668" spans="1:8" ht="20.100000000000001" customHeight="1">
      <c r="A668" s="277">
        <v>235</v>
      </c>
      <c r="B668" s="277" t="str">
        <f t="shared" si="25"/>
        <v>MOOS235a</v>
      </c>
      <c r="C668" s="182">
        <v>11.8573</v>
      </c>
      <c r="D668" s="182">
        <v>11.8597</v>
      </c>
      <c r="E668" s="182">
        <v>63.454099999999997</v>
      </c>
      <c r="G668" s="60">
        <f t="shared" si="26"/>
        <v>2.3999999999997357E-3</v>
      </c>
      <c r="H668" s="60">
        <f t="shared" si="27"/>
        <v>51.596799999999995</v>
      </c>
    </row>
    <row r="669" spans="1:8" ht="20.100000000000001" customHeight="1">
      <c r="A669" s="277">
        <v>236</v>
      </c>
      <c r="B669" s="277" t="str">
        <f t="shared" si="25"/>
        <v>MOOS236a</v>
      </c>
      <c r="C669" s="182">
        <v>11.8599</v>
      </c>
      <c r="D669" s="182">
        <v>11.861800000000001</v>
      </c>
      <c r="E669" s="182">
        <v>64.779899999999998</v>
      </c>
      <c r="G669" s="60">
        <f t="shared" si="26"/>
        <v>1.900000000000901E-3</v>
      </c>
      <c r="H669" s="60">
        <f t="shared" si="27"/>
        <v>52.92</v>
      </c>
    </row>
    <row r="670" spans="1:8" ht="20.100000000000001" customHeight="1">
      <c r="A670" s="277">
        <v>237</v>
      </c>
      <c r="B670" s="277" t="str">
        <f t="shared" si="25"/>
        <v>MOOS237a</v>
      </c>
      <c r="C670" s="182">
        <v>11.819699999999999</v>
      </c>
      <c r="D670" s="182">
        <v>11.8201</v>
      </c>
      <c r="E670" s="182">
        <v>63.887700000000002</v>
      </c>
      <c r="G670" s="60">
        <f t="shared" si="26"/>
        <v>4.0000000000084412E-4</v>
      </c>
      <c r="H670" s="60">
        <f t="shared" si="27"/>
        <v>52.068000000000005</v>
      </c>
    </row>
    <row r="671" spans="1:8" ht="20.100000000000001" customHeight="1">
      <c r="A671" s="277">
        <v>238</v>
      </c>
      <c r="B671" s="277" t="str">
        <f t="shared" si="25"/>
        <v>MOOS238a</v>
      </c>
      <c r="C671" s="182">
        <v>11.842499999999999</v>
      </c>
      <c r="D671" s="182">
        <v>11.844799999999999</v>
      </c>
      <c r="E671" s="182">
        <v>65.3399</v>
      </c>
      <c r="G671" s="60">
        <f t="shared" si="26"/>
        <v>2.2999999999999687E-3</v>
      </c>
      <c r="H671" s="60">
        <f t="shared" si="27"/>
        <v>53.497399999999999</v>
      </c>
    </row>
    <row r="672" spans="1:8" ht="20.100000000000001" customHeight="1">
      <c r="A672" s="277">
        <v>239</v>
      </c>
      <c r="B672" s="277" t="str">
        <f t="shared" si="25"/>
        <v>MOOS239a</v>
      </c>
      <c r="C672" s="182">
        <v>11.8207</v>
      </c>
      <c r="D672" s="182">
        <v>11.8268</v>
      </c>
      <c r="E672" s="182">
        <v>64.915499999999994</v>
      </c>
      <c r="G672" s="60">
        <f t="shared" si="26"/>
        <v>6.0999999999999943E-3</v>
      </c>
      <c r="H672" s="60">
        <f t="shared" si="27"/>
        <v>53.094799999999992</v>
      </c>
    </row>
    <row r="673" spans="1:8" ht="20.100000000000001" customHeight="1">
      <c r="A673" s="277">
        <v>240</v>
      </c>
      <c r="B673" s="277" t="str">
        <f t="shared" si="25"/>
        <v>MOOS240a</v>
      </c>
      <c r="C673" s="182">
        <v>11.8369</v>
      </c>
      <c r="D673" s="182">
        <v>11.839600000000001</v>
      </c>
      <c r="E673" s="182">
        <v>66.069800000000001</v>
      </c>
      <c r="G673" s="60">
        <f t="shared" si="26"/>
        <v>2.7000000000008129E-3</v>
      </c>
      <c r="H673" s="60">
        <f t="shared" si="27"/>
        <v>54.232900000000001</v>
      </c>
    </row>
    <row r="674" spans="1:8" ht="20.100000000000001" customHeight="1">
      <c r="A674" s="277">
        <v>241</v>
      </c>
      <c r="B674" s="277" t="str">
        <f t="shared" si="25"/>
        <v>MOOS241a</v>
      </c>
      <c r="C674" s="182">
        <v>11.799099999999999</v>
      </c>
      <c r="D674" s="182">
        <v>11.801399999999999</v>
      </c>
      <c r="E674" s="182">
        <v>62.274799999999999</v>
      </c>
      <c r="G674" s="60">
        <f t="shared" si="26"/>
        <v>2.2999999999999687E-3</v>
      </c>
      <c r="H674" s="60">
        <f t="shared" si="27"/>
        <v>50.475700000000003</v>
      </c>
    </row>
    <row r="675" spans="1:8" ht="20.100000000000001" customHeight="1">
      <c r="A675" s="277">
        <v>242</v>
      </c>
      <c r="B675" s="277" t="str">
        <f t="shared" si="25"/>
        <v>MOOS242a</v>
      </c>
      <c r="C675" s="182">
        <v>11.8103</v>
      </c>
      <c r="D675" s="182">
        <v>11.8124</v>
      </c>
      <c r="E675" s="182">
        <v>62.490400000000001</v>
      </c>
      <c r="G675" s="60">
        <f t="shared" si="26"/>
        <v>2.1000000000004349E-3</v>
      </c>
      <c r="H675" s="60">
        <f t="shared" si="27"/>
        <v>50.680100000000003</v>
      </c>
    </row>
    <row r="676" spans="1:8" ht="20.100000000000001" customHeight="1">
      <c r="A676" s="277">
        <v>243</v>
      </c>
      <c r="B676" s="277" t="str">
        <f t="shared" si="25"/>
        <v>MOOS243a</v>
      </c>
      <c r="C676" s="182">
        <v>11.7919</v>
      </c>
      <c r="D676" s="182">
        <v>11.793799999999999</v>
      </c>
      <c r="E676" s="182">
        <v>65.278999999999996</v>
      </c>
      <c r="G676" s="60">
        <f t="shared" si="26"/>
        <v>1.8999999999991246E-3</v>
      </c>
      <c r="H676" s="60">
        <f t="shared" si="27"/>
        <v>53.487099999999998</v>
      </c>
    </row>
    <row r="677" spans="1:8" ht="20.100000000000001" customHeight="1">
      <c r="A677" s="277">
        <v>244</v>
      </c>
      <c r="B677" s="277" t="str">
        <f t="shared" si="25"/>
        <v>MOOS244a</v>
      </c>
      <c r="C677" s="182">
        <v>11.830500000000001</v>
      </c>
      <c r="D677" s="182">
        <v>11.832700000000001</v>
      </c>
      <c r="E677" s="182">
        <v>64.122900000000001</v>
      </c>
      <c r="G677" s="60">
        <f t="shared" si="26"/>
        <v>2.2000000000002018E-3</v>
      </c>
      <c r="H677" s="60">
        <f t="shared" si="27"/>
        <v>52.292400000000001</v>
      </c>
    </row>
    <row r="678" spans="1:8" ht="20.100000000000001" customHeight="1">
      <c r="A678" s="277">
        <v>245</v>
      </c>
      <c r="B678" s="277" t="str">
        <f t="shared" si="25"/>
        <v>MOOS245a</v>
      </c>
      <c r="C678" s="182">
        <v>11.7904</v>
      </c>
      <c r="D678" s="182">
        <v>11.792999999999999</v>
      </c>
      <c r="E678" s="182">
        <v>65.198099999999997</v>
      </c>
      <c r="G678" s="60">
        <f t="shared" si="26"/>
        <v>2.5999999999992696E-3</v>
      </c>
      <c r="H678" s="60">
        <f t="shared" si="27"/>
        <v>53.407699999999998</v>
      </c>
    </row>
    <row r="679" spans="1:8" ht="20.100000000000001" customHeight="1">
      <c r="A679" s="277">
        <v>246</v>
      </c>
      <c r="B679" s="277" t="str">
        <f t="shared" si="25"/>
        <v>MOOS246a</v>
      </c>
      <c r="C679" s="182">
        <v>11.885400000000001</v>
      </c>
      <c r="D679" s="182">
        <v>11.8874</v>
      </c>
      <c r="E679" s="182">
        <v>64.622</v>
      </c>
      <c r="G679" s="60">
        <f t="shared" si="26"/>
        <v>1.9999999999988916E-3</v>
      </c>
      <c r="H679" s="60">
        <f t="shared" si="27"/>
        <v>52.736599999999996</v>
      </c>
    </row>
    <row r="680" spans="1:8" ht="20.100000000000001" customHeight="1">
      <c r="A680" s="277">
        <v>247</v>
      </c>
      <c r="B680" s="277" t="str">
        <f t="shared" si="25"/>
        <v>MOOS247a</v>
      </c>
      <c r="C680" s="182">
        <v>11.8451</v>
      </c>
      <c r="D680" s="182">
        <v>11.847200000000001</v>
      </c>
      <c r="E680" s="182">
        <v>65.165199999999999</v>
      </c>
      <c r="G680" s="60">
        <f t="shared" si="26"/>
        <v>2.1000000000004349E-3</v>
      </c>
      <c r="H680" s="60">
        <f t="shared" si="27"/>
        <v>53.320099999999996</v>
      </c>
    </row>
    <row r="681" spans="1:8" ht="20.100000000000001" customHeight="1">
      <c r="A681" s="277">
        <v>248</v>
      </c>
      <c r="B681" s="277" t="str">
        <f t="shared" si="25"/>
        <v>MOOS248a</v>
      </c>
      <c r="C681" s="182">
        <v>11.849500000000001</v>
      </c>
      <c r="D681" s="182">
        <v>11.8515</v>
      </c>
      <c r="E681" s="182">
        <v>65.442700000000002</v>
      </c>
      <c r="G681" s="60">
        <f t="shared" si="26"/>
        <v>1.9999999999988916E-3</v>
      </c>
      <c r="H681" s="60">
        <f t="shared" si="27"/>
        <v>53.593200000000003</v>
      </c>
    </row>
    <row r="682" spans="1:8" ht="20.100000000000001" customHeight="1">
      <c r="A682" s="277">
        <v>249</v>
      </c>
      <c r="B682" s="277" t="str">
        <f t="shared" si="25"/>
        <v>MOOS249a</v>
      </c>
      <c r="C682" s="182">
        <v>11.7982</v>
      </c>
      <c r="D682" s="182">
        <v>11.8002</v>
      </c>
      <c r="E682" s="182">
        <v>66.567400000000006</v>
      </c>
      <c r="G682" s="60">
        <f t="shared" si="26"/>
        <v>2.0000000000006679E-3</v>
      </c>
      <c r="H682" s="60">
        <f t="shared" si="27"/>
        <v>54.769200000000005</v>
      </c>
    </row>
    <row r="683" spans="1:8" ht="20.100000000000001" customHeight="1">
      <c r="A683" s="277">
        <v>250</v>
      </c>
      <c r="B683" s="277" t="str">
        <f t="shared" si="25"/>
        <v>MOOS250a</v>
      </c>
      <c r="C683" s="182">
        <v>11.804</v>
      </c>
      <c r="D683" s="182">
        <v>11.806900000000001</v>
      </c>
      <c r="E683" s="182">
        <v>63.201900000000002</v>
      </c>
      <c r="G683" s="60">
        <f t="shared" si="26"/>
        <v>2.9000000000003467E-3</v>
      </c>
      <c r="H683" s="60">
        <f t="shared" si="27"/>
        <v>51.3979</v>
      </c>
    </row>
    <row r="684" spans="1:8" ht="20.100000000000001" customHeight="1">
      <c r="A684" s="277">
        <v>251</v>
      </c>
      <c r="B684" s="277" t="str">
        <f t="shared" si="25"/>
        <v>MOOS251a</v>
      </c>
      <c r="C684" s="182">
        <v>11.882899999999999</v>
      </c>
      <c r="D684" s="182">
        <v>11.885199999999999</v>
      </c>
      <c r="E684" s="182">
        <v>63.525100000000002</v>
      </c>
      <c r="G684" s="60">
        <f t="shared" si="26"/>
        <v>2.2999999999999687E-3</v>
      </c>
      <c r="H684" s="60">
        <f t="shared" si="27"/>
        <v>51.642200000000003</v>
      </c>
    </row>
    <row r="685" spans="1:8" ht="20.100000000000001" customHeight="1">
      <c r="A685" s="277">
        <v>252</v>
      </c>
      <c r="B685" s="277" t="str">
        <f t="shared" si="25"/>
        <v>MOOS252a</v>
      </c>
      <c r="C685" s="182">
        <v>11.8527</v>
      </c>
      <c r="D685" s="182">
        <v>11.854900000000001</v>
      </c>
      <c r="E685" s="182">
        <v>62.550899999999999</v>
      </c>
      <c r="G685" s="60">
        <f t="shared" si="26"/>
        <v>2.2000000000002018E-3</v>
      </c>
      <c r="H685" s="60">
        <f t="shared" si="27"/>
        <v>50.6982</v>
      </c>
    </row>
    <row r="686" spans="1:8" ht="20.100000000000001" customHeight="1">
      <c r="A686" s="277">
        <v>253</v>
      </c>
      <c r="B686" s="277" t="str">
        <f t="shared" si="25"/>
        <v>MOOS253a</v>
      </c>
      <c r="C686" s="182">
        <v>11.8423</v>
      </c>
      <c r="D686" s="182">
        <v>11.8444</v>
      </c>
      <c r="E686" s="182">
        <v>65.583200000000005</v>
      </c>
      <c r="G686" s="60">
        <f t="shared" si="26"/>
        <v>2.1000000000004349E-3</v>
      </c>
      <c r="H686" s="60">
        <f t="shared" si="27"/>
        <v>53.740900000000003</v>
      </c>
    </row>
    <row r="687" spans="1:8" ht="20.100000000000001" customHeight="1">
      <c r="A687" s="277">
        <v>254</v>
      </c>
      <c r="B687" s="277" t="str">
        <f t="shared" si="25"/>
        <v>MOOS254a</v>
      </c>
      <c r="C687" s="182">
        <v>11.851100000000001</v>
      </c>
      <c r="D687" s="182">
        <v>11.8537</v>
      </c>
      <c r="E687" s="182">
        <v>63.814100000000003</v>
      </c>
      <c r="G687" s="60">
        <f t="shared" si="26"/>
        <v>2.5999999999992696E-3</v>
      </c>
      <c r="H687" s="60">
        <f t="shared" si="27"/>
        <v>51.963000000000001</v>
      </c>
    </row>
    <row r="688" spans="1:8" ht="20.100000000000001" customHeight="1">
      <c r="A688" s="277">
        <v>255</v>
      </c>
      <c r="B688" s="277" t="str">
        <f t="shared" si="25"/>
        <v>MOOS255a</v>
      </c>
      <c r="C688" s="182">
        <v>11.847799999999999</v>
      </c>
      <c r="D688" s="182">
        <v>11.849399999999999</v>
      </c>
      <c r="E688" s="182">
        <v>63.930100000000003</v>
      </c>
      <c r="G688" s="60">
        <f t="shared" si="26"/>
        <v>1.5999999999998238E-3</v>
      </c>
      <c r="H688" s="60">
        <f t="shared" si="27"/>
        <v>52.082300000000004</v>
      </c>
    </row>
    <row r="689" spans="1:8" ht="20.100000000000001" customHeight="1">
      <c r="A689" s="277">
        <v>256</v>
      </c>
      <c r="B689" s="277" t="str">
        <f t="shared" si="25"/>
        <v>MOOS256a</v>
      </c>
      <c r="C689" s="182">
        <v>11.8446</v>
      </c>
      <c r="D689" s="182">
        <v>11.8468</v>
      </c>
      <c r="E689" s="182">
        <v>64.343000000000004</v>
      </c>
      <c r="G689" s="60">
        <f t="shared" si="26"/>
        <v>2.2000000000002018E-3</v>
      </c>
      <c r="H689" s="60">
        <f t="shared" si="27"/>
        <v>52.498400000000004</v>
      </c>
    </row>
    <row r="690" spans="1:8" ht="20.100000000000001" customHeight="1">
      <c r="A690" s="277">
        <v>257</v>
      </c>
      <c r="B690" s="277" t="str">
        <f t="shared" si="25"/>
        <v>MOOS257a</v>
      </c>
      <c r="C690" s="182">
        <v>11.8302</v>
      </c>
      <c r="D690" s="182">
        <v>11.831799999999999</v>
      </c>
      <c r="E690" s="182">
        <v>63.786000000000001</v>
      </c>
      <c r="G690" s="60">
        <f t="shared" si="26"/>
        <v>1.5999999999998238E-3</v>
      </c>
      <c r="H690" s="60">
        <f t="shared" si="27"/>
        <v>51.955800000000004</v>
      </c>
    </row>
    <row r="691" spans="1:8" ht="20.100000000000001" customHeight="1">
      <c r="A691" s="277">
        <v>258</v>
      </c>
      <c r="B691" s="277" t="str">
        <f t="shared" ref="B691:B754" si="28">"MOOS"&amp;TEXT(A691,"000")&amp;"a"</f>
        <v>MOOS258a</v>
      </c>
      <c r="C691" s="182">
        <v>11.803800000000001</v>
      </c>
      <c r="D691" s="182">
        <v>11.805899999999999</v>
      </c>
      <c r="E691" s="182">
        <v>64.541700000000006</v>
      </c>
      <c r="G691" s="60">
        <f t="shared" ref="G691:G754" si="29">D691-C691</f>
        <v>2.0999999999986585E-3</v>
      </c>
      <c r="H691" s="60">
        <f t="shared" ref="H691:H754" si="30">E691-C691</f>
        <v>52.737900000000003</v>
      </c>
    </row>
    <row r="692" spans="1:8" ht="20.100000000000001" customHeight="1">
      <c r="A692" s="277">
        <v>259</v>
      </c>
      <c r="B692" s="277" t="str">
        <f t="shared" si="28"/>
        <v>MOOS259a</v>
      </c>
      <c r="C692" s="182">
        <v>11.839399999999999</v>
      </c>
      <c r="D692" s="182">
        <v>11.842700000000001</v>
      </c>
      <c r="E692" s="182">
        <v>65.3416</v>
      </c>
      <c r="G692" s="60">
        <f t="shared" si="29"/>
        <v>3.3000000000011909E-3</v>
      </c>
      <c r="H692" s="60">
        <f t="shared" si="30"/>
        <v>53.502200000000002</v>
      </c>
    </row>
    <row r="693" spans="1:8" ht="20.100000000000001" customHeight="1">
      <c r="A693" s="277">
        <v>260</v>
      </c>
      <c r="B693" s="277" t="str">
        <f t="shared" si="28"/>
        <v>MOOS260a</v>
      </c>
      <c r="C693" s="182">
        <v>11.822800000000001</v>
      </c>
      <c r="D693" s="182">
        <v>11.826000000000001</v>
      </c>
      <c r="E693" s="182">
        <v>62.006999999999998</v>
      </c>
      <c r="G693" s="60">
        <f t="shared" si="29"/>
        <v>3.1999999999996476E-3</v>
      </c>
      <c r="H693" s="60">
        <f t="shared" si="30"/>
        <v>50.184199999999997</v>
      </c>
    </row>
    <row r="694" spans="1:8" ht="20.100000000000001" customHeight="1">
      <c r="A694" s="277">
        <v>261</v>
      </c>
      <c r="B694" s="277" t="str">
        <f t="shared" si="28"/>
        <v>MOOS261a</v>
      </c>
      <c r="C694" s="182">
        <v>11.817299999999999</v>
      </c>
      <c r="D694" s="182">
        <v>11.82</v>
      </c>
      <c r="E694" s="182">
        <v>62.301000000000002</v>
      </c>
      <c r="G694" s="60">
        <f t="shared" si="29"/>
        <v>2.7000000000008129E-3</v>
      </c>
      <c r="H694" s="60">
        <f t="shared" si="30"/>
        <v>50.483699999999999</v>
      </c>
    </row>
    <row r="695" spans="1:8" ht="20.100000000000001" customHeight="1">
      <c r="A695" s="277">
        <v>262</v>
      </c>
      <c r="B695" s="277" t="str">
        <f t="shared" si="28"/>
        <v>MOOS262a</v>
      </c>
      <c r="C695" s="182">
        <v>11.8047</v>
      </c>
      <c r="D695" s="182">
        <v>11.8065</v>
      </c>
      <c r="E695" s="182">
        <v>64.766999999999996</v>
      </c>
      <c r="G695" s="60">
        <f t="shared" si="29"/>
        <v>1.7999999999993577E-3</v>
      </c>
      <c r="H695" s="60">
        <f t="shared" si="30"/>
        <v>52.962299999999999</v>
      </c>
    </row>
    <row r="696" spans="1:8" ht="20.100000000000001" customHeight="1">
      <c r="A696" s="277">
        <v>263</v>
      </c>
      <c r="B696" s="277" t="str">
        <f t="shared" si="28"/>
        <v>MOOS263a</v>
      </c>
      <c r="C696" s="182">
        <v>11.771599999999999</v>
      </c>
      <c r="D696" s="182">
        <v>11.7737</v>
      </c>
      <c r="E696" s="182">
        <v>63.007800000000003</v>
      </c>
      <c r="G696" s="60">
        <f t="shared" si="29"/>
        <v>2.1000000000004349E-3</v>
      </c>
      <c r="H696" s="60">
        <f t="shared" si="30"/>
        <v>51.236200000000004</v>
      </c>
    </row>
    <row r="697" spans="1:8" ht="20.100000000000001" customHeight="1">
      <c r="A697" s="277">
        <v>264</v>
      </c>
      <c r="B697" s="277" t="str">
        <f t="shared" si="28"/>
        <v>MOOS264a</v>
      </c>
      <c r="C697" s="182">
        <v>11.849500000000001</v>
      </c>
      <c r="D697" s="182">
        <v>11.8515</v>
      </c>
      <c r="E697" s="182">
        <v>64.796499999999995</v>
      </c>
      <c r="G697" s="60">
        <f t="shared" si="29"/>
        <v>1.9999999999988916E-3</v>
      </c>
      <c r="H697" s="60">
        <f t="shared" si="30"/>
        <v>52.946999999999996</v>
      </c>
    </row>
    <row r="698" spans="1:8" ht="20.100000000000001" customHeight="1">
      <c r="A698" s="277">
        <v>265</v>
      </c>
      <c r="B698" s="277" t="str">
        <f t="shared" si="28"/>
        <v>MOOS265a</v>
      </c>
      <c r="C698" s="182">
        <v>11.8193</v>
      </c>
      <c r="D698" s="182">
        <v>11.821099999999999</v>
      </c>
      <c r="E698" s="182">
        <v>62.186700000000002</v>
      </c>
      <c r="G698" s="60">
        <f t="shared" si="29"/>
        <v>1.7999999999993577E-3</v>
      </c>
      <c r="H698" s="60">
        <f t="shared" si="30"/>
        <v>50.367400000000004</v>
      </c>
    </row>
    <row r="699" spans="1:8" ht="20.100000000000001" customHeight="1">
      <c r="A699" s="277">
        <v>266</v>
      </c>
      <c r="B699" s="277" t="str">
        <f t="shared" si="28"/>
        <v>MOOS266a</v>
      </c>
      <c r="C699" s="182">
        <v>11.824199999999999</v>
      </c>
      <c r="D699" s="182">
        <v>11.8263</v>
      </c>
      <c r="E699" s="182">
        <v>63.366199999999999</v>
      </c>
      <c r="G699" s="60">
        <f t="shared" si="29"/>
        <v>2.1000000000004349E-3</v>
      </c>
      <c r="H699" s="60">
        <f t="shared" si="30"/>
        <v>51.542000000000002</v>
      </c>
    </row>
    <row r="700" spans="1:8" ht="20.100000000000001" customHeight="1">
      <c r="A700" s="277">
        <v>267</v>
      </c>
      <c r="B700" s="277" t="str">
        <f t="shared" si="28"/>
        <v>MOOS267a</v>
      </c>
      <c r="C700" s="182">
        <v>11.832700000000001</v>
      </c>
      <c r="D700" s="182">
        <v>11.8377</v>
      </c>
      <c r="E700" s="182">
        <v>64.349599999999995</v>
      </c>
      <c r="G700" s="60">
        <f t="shared" si="29"/>
        <v>4.9999999999990052E-3</v>
      </c>
      <c r="H700" s="60">
        <f t="shared" si="30"/>
        <v>52.516899999999993</v>
      </c>
    </row>
    <row r="701" spans="1:8" ht="20.100000000000001" customHeight="1">
      <c r="A701" s="277">
        <v>268</v>
      </c>
      <c r="B701" s="277" t="str">
        <f t="shared" si="28"/>
        <v>MOOS268a</v>
      </c>
      <c r="C701" s="182">
        <v>11.8782</v>
      </c>
      <c r="D701" s="182">
        <v>11.879899999999999</v>
      </c>
      <c r="E701" s="182">
        <v>65.392499999999998</v>
      </c>
      <c r="G701" s="60">
        <f t="shared" si="29"/>
        <v>1.6999999999995907E-3</v>
      </c>
      <c r="H701" s="60">
        <f t="shared" si="30"/>
        <v>53.514299999999999</v>
      </c>
    </row>
    <row r="702" spans="1:8" ht="20.100000000000001" customHeight="1">
      <c r="A702" s="277">
        <v>269</v>
      </c>
      <c r="B702" s="277" t="str">
        <f t="shared" si="28"/>
        <v>MOOS269a</v>
      </c>
      <c r="C702" s="182">
        <v>11.8401</v>
      </c>
      <c r="D702" s="182">
        <v>11.842499999999999</v>
      </c>
      <c r="E702" s="182">
        <v>63.572400000000002</v>
      </c>
      <c r="G702" s="60">
        <f t="shared" si="29"/>
        <v>2.3999999999997357E-3</v>
      </c>
      <c r="H702" s="60">
        <f t="shared" si="30"/>
        <v>51.732300000000002</v>
      </c>
    </row>
    <row r="703" spans="1:8" ht="20.100000000000001" customHeight="1">
      <c r="A703" s="277">
        <v>270</v>
      </c>
      <c r="B703" s="277" t="str">
        <f t="shared" si="28"/>
        <v>MOOS270a</v>
      </c>
      <c r="C703" s="182">
        <v>11.8132</v>
      </c>
      <c r="D703" s="182">
        <v>11.815899999999999</v>
      </c>
      <c r="E703" s="182">
        <v>62.464100000000002</v>
      </c>
      <c r="G703" s="60">
        <f t="shared" si="29"/>
        <v>2.6999999999990365E-3</v>
      </c>
      <c r="H703" s="60">
        <f t="shared" si="30"/>
        <v>50.6509</v>
      </c>
    </row>
    <row r="704" spans="1:8" ht="20.100000000000001" customHeight="1">
      <c r="A704" s="277">
        <v>271</v>
      </c>
      <c r="B704" s="277" t="str">
        <f t="shared" si="28"/>
        <v>MOOS271a</v>
      </c>
      <c r="C704" s="182">
        <v>11.802199999999999</v>
      </c>
      <c r="D704" s="182">
        <v>11.8034</v>
      </c>
      <c r="E704" s="182">
        <v>63.724400000000003</v>
      </c>
      <c r="G704" s="60">
        <f t="shared" si="29"/>
        <v>1.200000000000756E-3</v>
      </c>
      <c r="H704" s="60">
        <f t="shared" si="30"/>
        <v>51.922200000000004</v>
      </c>
    </row>
    <row r="705" spans="1:8" ht="20.100000000000001" customHeight="1">
      <c r="A705" s="277">
        <v>272</v>
      </c>
      <c r="B705" s="277" t="str">
        <f t="shared" si="28"/>
        <v>MOOS272a</v>
      </c>
      <c r="C705" s="182">
        <v>11.839700000000001</v>
      </c>
      <c r="D705" s="182">
        <v>11.842599999999999</v>
      </c>
      <c r="E705" s="182">
        <v>63.7883</v>
      </c>
      <c r="G705" s="60">
        <f t="shared" si="29"/>
        <v>2.8999999999985704E-3</v>
      </c>
      <c r="H705" s="60">
        <f t="shared" si="30"/>
        <v>51.948599999999999</v>
      </c>
    </row>
    <row r="706" spans="1:8" ht="20.100000000000001" customHeight="1">
      <c r="A706" s="277">
        <v>273</v>
      </c>
      <c r="B706" s="277" t="str">
        <f t="shared" si="28"/>
        <v>MOOS273a</v>
      </c>
      <c r="C706" s="182">
        <v>11.834</v>
      </c>
      <c r="D706" s="182">
        <v>11.835800000000001</v>
      </c>
      <c r="E706" s="182">
        <v>63.293399999999998</v>
      </c>
      <c r="G706" s="60">
        <f t="shared" si="29"/>
        <v>1.800000000001134E-3</v>
      </c>
      <c r="H706" s="60">
        <f t="shared" si="30"/>
        <v>51.459400000000002</v>
      </c>
    </row>
    <row r="707" spans="1:8" ht="20.100000000000001" customHeight="1">
      <c r="A707" s="277">
        <v>274</v>
      </c>
      <c r="B707" s="277" t="str">
        <f t="shared" si="28"/>
        <v>MOOS274a</v>
      </c>
      <c r="C707" s="182">
        <v>11.794</v>
      </c>
      <c r="D707" s="182">
        <v>11.7958</v>
      </c>
      <c r="E707" s="182">
        <v>64.3489</v>
      </c>
      <c r="G707" s="60">
        <f t="shared" si="29"/>
        <v>1.7999999999993577E-3</v>
      </c>
      <c r="H707" s="60">
        <f t="shared" si="30"/>
        <v>52.554900000000004</v>
      </c>
    </row>
    <row r="708" spans="1:8" ht="20.100000000000001" customHeight="1">
      <c r="A708" s="277">
        <v>275</v>
      </c>
      <c r="B708" s="277" t="str">
        <f t="shared" si="28"/>
        <v>MOOS275a</v>
      </c>
      <c r="C708" s="182">
        <v>11.817</v>
      </c>
      <c r="D708" s="182">
        <v>11.818300000000001</v>
      </c>
      <c r="E708" s="182">
        <v>63.123800000000003</v>
      </c>
      <c r="G708" s="60">
        <f t="shared" si="29"/>
        <v>1.300000000000523E-3</v>
      </c>
      <c r="H708" s="60">
        <f t="shared" si="30"/>
        <v>51.306800000000003</v>
      </c>
    </row>
    <row r="709" spans="1:8" ht="20.100000000000001" customHeight="1">
      <c r="A709" s="277">
        <v>276</v>
      </c>
      <c r="B709" s="277" t="str">
        <f t="shared" si="28"/>
        <v>MOOS276a</v>
      </c>
      <c r="C709" s="182">
        <v>11.799099999999999</v>
      </c>
      <c r="D709" s="182">
        <v>11.8011</v>
      </c>
      <c r="E709" s="182">
        <v>61.6845</v>
      </c>
      <c r="G709" s="60">
        <f t="shared" si="29"/>
        <v>2.0000000000006679E-3</v>
      </c>
      <c r="H709" s="60">
        <f t="shared" si="30"/>
        <v>49.885400000000004</v>
      </c>
    </row>
    <row r="710" spans="1:8" ht="20.100000000000001" customHeight="1">
      <c r="A710" s="277">
        <v>277</v>
      </c>
      <c r="B710" s="277" t="str">
        <f t="shared" si="28"/>
        <v>MOOS277a</v>
      </c>
      <c r="C710" s="182">
        <v>11.858000000000001</v>
      </c>
      <c r="D710" s="182">
        <v>11.8682</v>
      </c>
      <c r="E710" s="182">
        <v>65.672700000000006</v>
      </c>
      <c r="G710" s="60">
        <f t="shared" si="29"/>
        <v>1.0199999999999321E-2</v>
      </c>
      <c r="H710" s="60">
        <f t="shared" si="30"/>
        <v>53.814700000000002</v>
      </c>
    </row>
    <row r="711" spans="1:8" ht="20.100000000000001" customHeight="1">
      <c r="A711" s="277">
        <v>278</v>
      </c>
      <c r="B711" s="277" t="str">
        <f t="shared" si="28"/>
        <v>MOOS278a</v>
      </c>
      <c r="C711" s="182">
        <v>11.8155</v>
      </c>
      <c r="D711" s="182">
        <v>11.8171</v>
      </c>
      <c r="E711" s="182">
        <v>63.524000000000001</v>
      </c>
      <c r="G711" s="60">
        <f t="shared" si="29"/>
        <v>1.5999999999998238E-3</v>
      </c>
      <c r="H711" s="60">
        <f t="shared" si="30"/>
        <v>51.708500000000001</v>
      </c>
    </row>
    <row r="712" spans="1:8" ht="20.100000000000001" customHeight="1">
      <c r="A712" s="277">
        <v>279</v>
      </c>
      <c r="B712" s="277" t="str">
        <f t="shared" si="28"/>
        <v>MOOS279a</v>
      </c>
      <c r="C712" s="182">
        <v>11.857799999999999</v>
      </c>
      <c r="D712" s="182">
        <v>11.8591</v>
      </c>
      <c r="E712" s="182">
        <v>64.403400000000005</v>
      </c>
      <c r="G712" s="60">
        <f t="shared" si="29"/>
        <v>1.300000000000523E-3</v>
      </c>
      <c r="H712" s="60">
        <f t="shared" si="30"/>
        <v>52.545600000000007</v>
      </c>
    </row>
    <row r="713" spans="1:8" ht="20.100000000000001" customHeight="1">
      <c r="A713" s="277">
        <v>280</v>
      </c>
      <c r="B713" s="277" t="str">
        <f t="shared" si="28"/>
        <v>MOOS280a</v>
      </c>
      <c r="C713" s="182">
        <v>11.8355</v>
      </c>
      <c r="D713" s="182">
        <v>11.8363</v>
      </c>
      <c r="E713" s="182">
        <v>64.465800000000002</v>
      </c>
      <c r="G713" s="60">
        <f t="shared" si="29"/>
        <v>7.9999999999991189E-4</v>
      </c>
      <c r="H713" s="60">
        <f t="shared" si="30"/>
        <v>52.630300000000005</v>
      </c>
    </row>
    <row r="714" spans="1:8" ht="20.100000000000001" customHeight="1">
      <c r="A714" s="277">
        <v>281</v>
      </c>
      <c r="B714" s="277" t="str">
        <f t="shared" si="28"/>
        <v>MOOS281a</v>
      </c>
      <c r="C714" s="182">
        <v>11.888999999999999</v>
      </c>
      <c r="D714" s="182">
        <v>11.8911</v>
      </c>
      <c r="E714" s="182">
        <v>62.228000000000002</v>
      </c>
      <c r="G714" s="60">
        <f t="shared" si="29"/>
        <v>2.1000000000004349E-3</v>
      </c>
      <c r="H714" s="60">
        <f t="shared" si="30"/>
        <v>50.338999999999999</v>
      </c>
    </row>
    <row r="715" spans="1:8" ht="20.100000000000001" customHeight="1">
      <c r="A715" s="277">
        <v>282</v>
      </c>
      <c r="B715" s="277" t="str">
        <f t="shared" si="28"/>
        <v>MOOS282a</v>
      </c>
      <c r="C715" s="182">
        <v>11.8028</v>
      </c>
      <c r="D715" s="182">
        <v>11.8047</v>
      </c>
      <c r="E715" s="182">
        <v>63.791899999999998</v>
      </c>
      <c r="G715" s="60">
        <f t="shared" si="29"/>
        <v>1.900000000000901E-3</v>
      </c>
      <c r="H715" s="60">
        <f t="shared" si="30"/>
        <v>51.989100000000001</v>
      </c>
    </row>
    <row r="716" spans="1:8" ht="20.100000000000001" customHeight="1">
      <c r="A716" s="277">
        <v>283</v>
      </c>
      <c r="B716" s="277" t="str">
        <f t="shared" si="28"/>
        <v>MOOS283a</v>
      </c>
      <c r="C716" s="182">
        <v>11.8483</v>
      </c>
      <c r="D716" s="182">
        <v>11.850099999999999</v>
      </c>
      <c r="E716" s="182">
        <v>66.371700000000004</v>
      </c>
      <c r="G716" s="60">
        <f t="shared" si="29"/>
        <v>1.7999999999993577E-3</v>
      </c>
      <c r="H716" s="60">
        <f t="shared" si="30"/>
        <v>54.523400000000002</v>
      </c>
    </row>
    <row r="717" spans="1:8" ht="20.100000000000001" customHeight="1">
      <c r="A717" s="277">
        <v>284</v>
      </c>
      <c r="B717" s="277" t="str">
        <f t="shared" si="28"/>
        <v>MOOS284a</v>
      </c>
      <c r="C717" s="182">
        <v>11.841799999999999</v>
      </c>
      <c r="D717" s="182">
        <v>11.8443</v>
      </c>
      <c r="E717" s="182">
        <v>65.239900000000006</v>
      </c>
      <c r="G717" s="60">
        <f t="shared" si="29"/>
        <v>2.500000000001279E-3</v>
      </c>
      <c r="H717" s="60">
        <f t="shared" si="30"/>
        <v>53.398100000000007</v>
      </c>
    </row>
    <row r="718" spans="1:8" ht="20.100000000000001" customHeight="1">
      <c r="A718" s="277">
        <v>285</v>
      </c>
      <c r="B718" s="277" t="str">
        <f t="shared" si="28"/>
        <v>MOOS285a</v>
      </c>
      <c r="C718" s="182">
        <v>11.842599999999999</v>
      </c>
      <c r="D718" s="182">
        <v>11.844200000000001</v>
      </c>
      <c r="E718" s="182">
        <v>65.433899999999994</v>
      </c>
      <c r="G718" s="60">
        <f t="shared" si="29"/>
        <v>1.6000000000016001E-3</v>
      </c>
      <c r="H718" s="60">
        <f t="shared" si="30"/>
        <v>53.591299999999997</v>
      </c>
    </row>
    <row r="719" spans="1:8" ht="20.100000000000001" customHeight="1">
      <c r="A719" s="277">
        <v>286</v>
      </c>
      <c r="B719" s="277" t="str">
        <f t="shared" si="28"/>
        <v>MOOS286a</v>
      </c>
      <c r="C719" s="182">
        <v>11.8451</v>
      </c>
      <c r="D719" s="182">
        <v>11.8466</v>
      </c>
      <c r="E719" s="182">
        <v>65.309899999999999</v>
      </c>
      <c r="G719" s="60">
        <f t="shared" si="29"/>
        <v>1.5000000000000568E-3</v>
      </c>
      <c r="H719" s="60">
        <f t="shared" si="30"/>
        <v>53.464799999999997</v>
      </c>
    </row>
    <row r="720" spans="1:8" ht="20.100000000000001" customHeight="1">
      <c r="A720" s="277">
        <v>287</v>
      </c>
      <c r="B720" s="277" t="str">
        <f t="shared" si="28"/>
        <v>MOOS287a</v>
      </c>
      <c r="C720" s="182">
        <v>11.833</v>
      </c>
      <c r="D720" s="182">
        <v>11.8375</v>
      </c>
      <c r="E720" s="182">
        <v>64.090900000000005</v>
      </c>
      <c r="G720" s="60">
        <f t="shared" si="29"/>
        <v>4.5000000000001705E-3</v>
      </c>
      <c r="H720" s="60">
        <f t="shared" si="30"/>
        <v>52.257900000000006</v>
      </c>
    </row>
    <row r="721" spans="1:8" ht="20.100000000000001" customHeight="1">
      <c r="A721" s="277">
        <v>288</v>
      </c>
      <c r="B721" s="277" t="str">
        <f t="shared" si="28"/>
        <v>MOOS288a</v>
      </c>
      <c r="C721" s="182">
        <v>11.874499999999999</v>
      </c>
      <c r="D721" s="182">
        <v>11.8764</v>
      </c>
      <c r="E721" s="182">
        <v>62.778199999999998</v>
      </c>
      <c r="G721" s="60">
        <f t="shared" si="29"/>
        <v>1.900000000000901E-3</v>
      </c>
      <c r="H721" s="60">
        <f t="shared" si="30"/>
        <v>50.903700000000001</v>
      </c>
    </row>
    <row r="722" spans="1:8" ht="20.100000000000001" customHeight="1">
      <c r="A722" s="277">
        <v>289</v>
      </c>
      <c r="B722" s="277" t="str">
        <f t="shared" si="28"/>
        <v>MOOS289a</v>
      </c>
      <c r="C722" s="182">
        <v>11.807499999999999</v>
      </c>
      <c r="D722" s="182">
        <v>11.8104</v>
      </c>
      <c r="E722" s="182">
        <v>62.294800000000002</v>
      </c>
      <c r="G722" s="60">
        <f t="shared" si="29"/>
        <v>2.9000000000003467E-3</v>
      </c>
      <c r="H722" s="60">
        <f t="shared" si="30"/>
        <v>50.487300000000005</v>
      </c>
    </row>
    <row r="723" spans="1:8" ht="20.100000000000001" customHeight="1">
      <c r="A723" s="277">
        <v>290</v>
      </c>
      <c r="B723" s="277" t="str">
        <f t="shared" si="28"/>
        <v>MOOS290a</v>
      </c>
      <c r="C723" s="182">
        <v>11.8111</v>
      </c>
      <c r="D723" s="182">
        <v>11.812900000000001</v>
      </c>
      <c r="E723" s="182">
        <v>62.989699999999999</v>
      </c>
      <c r="G723" s="60">
        <f t="shared" si="29"/>
        <v>1.800000000001134E-3</v>
      </c>
      <c r="H723" s="60">
        <f t="shared" si="30"/>
        <v>51.178600000000003</v>
      </c>
    </row>
    <row r="724" spans="1:8" ht="20.100000000000001" customHeight="1">
      <c r="A724" s="277">
        <v>291</v>
      </c>
      <c r="B724" s="277" t="str">
        <f t="shared" si="28"/>
        <v>MOOS291a</v>
      </c>
      <c r="C724" s="182">
        <v>11.8392</v>
      </c>
      <c r="D724" s="182">
        <v>11.8409</v>
      </c>
      <c r="E724" s="182">
        <v>63.454999999999998</v>
      </c>
      <c r="G724" s="60">
        <f t="shared" si="29"/>
        <v>1.6999999999995907E-3</v>
      </c>
      <c r="H724" s="60">
        <f t="shared" si="30"/>
        <v>51.6158</v>
      </c>
    </row>
    <row r="725" spans="1:8" ht="20.100000000000001" customHeight="1">
      <c r="A725" s="277">
        <v>292</v>
      </c>
      <c r="B725" s="277" t="str">
        <f t="shared" si="28"/>
        <v>MOOS292a</v>
      </c>
      <c r="C725" s="182">
        <v>11.840199999999999</v>
      </c>
      <c r="D725" s="182">
        <v>11.8454</v>
      </c>
      <c r="E725" s="182">
        <v>63.106499999999997</v>
      </c>
      <c r="G725" s="60">
        <f t="shared" si="29"/>
        <v>5.2000000000003155E-3</v>
      </c>
      <c r="H725" s="60">
        <f t="shared" si="30"/>
        <v>51.266300000000001</v>
      </c>
    </row>
    <row r="726" spans="1:8" ht="20.100000000000001" customHeight="1">
      <c r="A726" s="277">
        <v>293</v>
      </c>
      <c r="B726" s="277" t="str">
        <f t="shared" si="28"/>
        <v>MOOS293a</v>
      </c>
      <c r="C726" s="182">
        <v>11.798299999999999</v>
      </c>
      <c r="D726" s="182">
        <v>11.8009</v>
      </c>
      <c r="E726" s="182">
        <v>66.535499999999999</v>
      </c>
      <c r="G726" s="60">
        <f t="shared" si="29"/>
        <v>2.6000000000010459E-3</v>
      </c>
      <c r="H726" s="60">
        <f t="shared" si="30"/>
        <v>54.737200000000001</v>
      </c>
    </row>
    <row r="727" spans="1:8" ht="20.100000000000001" customHeight="1">
      <c r="A727" s="277">
        <v>294</v>
      </c>
      <c r="B727" s="277" t="str">
        <f t="shared" si="28"/>
        <v>MOOS294a</v>
      </c>
      <c r="C727" s="182">
        <v>11.8133</v>
      </c>
      <c r="D727" s="182">
        <v>11.8142</v>
      </c>
      <c r="E727" s="182">
        <v>64.409599999999998</v>
      </c>
      <c r="G727" s="60">
        <f t="shared" si="29"/>
        <v>8.9999999999967883E-4</v>
      </c>
      <c r="H727" s="60">
        <f t="shared" si="30"/>
        <v>52.596299999999999</v>
      </c>
    </row>
    <row r="728" spans="1:8" ht="20.100000000000001" customHeight="1">
      <c r="A728" s="277">
        <v>295</v>
      </c>
      <c r="B728" s="277" t="str">
        <f t="shared" si="28"/>
        <v>MOOS295a</v>
      </c>
      <c r="C728" s="182">
        <v>11.8284</v>
      </c>
      <c r="D728" s="182">
        <v>11.8301</v>
      </c>
      <c r="E728" s="182">
        <v>64.120599999999996</v>
      </c>
      <c r="G728" s="60">
        <f t="shared" si="29"/>
        <v>1.6999999999995907E-3</v>
      </c>
      <c r="H728" s="60">
        <f t="shared" si="30"/>
        <v>52.292199999999994</v>
      </c>
    </row>
    <row r="729" spans="1:8" ht="20.100000000000001" customHeight="1">
      <c r="A729" s="277">
        <v>296</v>
      </c>
      <c r="B729" s="277" t="str">
        <f t="shared" si="28"/>
        <v>MOOS296a</v>
      </c>
      <c r="C729" s="182">
        <v>11.845000000000001</v>
      </c>
      <c r="D729" s="182">
        <v>11.853300000000001</v>
      </c>
      <c r="E729" s="182">
        <v>67.692300000000003</v>
      </c>
      <c r="G729" s="60">
        <f t="shared" si="29"/>
        <v>8.3000000000001961E-3</v>
      </c>
      <c r="H729" s="60">
        <f t="shared" si="30"/>
        <v>55.847300000000004</v>
      </c>
    </row>
    <row r="730" spans="1:8" ht="20.100000000000001" customHeight="1">
      <c r="A730" s="277">
        <v>297</v>
      </c>
      <c r="B730" s="277" t="str">
        <f t="shared" si="28"/>
        <v>MOOS297a</v>
      </c>
      <c r="C730" s="182">
        <v>11.8369</v>
      </c>
      <c r="D730" s="182">
        <v>11.8393</v>
      </c>
      <c r="E730" s="182">
        <v>63.6815</v>
      </c>
      <c r="G730" s="60">
        <f t="shared" si="29"/>
        <v>2.3999999999997357E-3</v>
      </c>
      <c r="H730" s="60">
        <f t="shared" si="30"/>
        <v>51.8446</v>
      </c>
    </row>
    <row r="731" spans="1:8" ht="20.100000000000001" customHeight="1">
      <c r="A731" s="277">
        <v>298</v>
      </c>
      <c r="B731" s="277" t="str">
        <f t="shared" si="28"/>
        <v>MOOS298a</v>
      </c>
      <c r="C731" s="182">
        <v>11.8361</v>
      </c>
      <c r="D731" s="182">
        <v>11.838100000000001</v>
      </c>
      <c r="E731" s="182">
        <v>63.284300000000002</v>
      </c>
      <c r="G731" s="60">
        <f t="shared" si="29"/>
        <v>2.0000000000006679E-3</v>
      </c>
      <c r="H731" s="60">
        <f t="shared" si="30"/>
        <v>51.4482</v>
      </c>
    </row>
    <row r="732" spans="1:8" ht="20.100000000000001" customHeight="1">
      <c r="A732" s="277">
        <v>299</v>
      </c>
      <c r="B732" s="277" t="str">
        <f t="shared" si="28"/>
        <v>MOOS299a</v>
      </c>
      <c r="C732" s="182">
        <v>11.879799999999999</v>
      </c>
      <c r="D732" s="182">
        <v>11.8811</v>
      </c>
      <c r="E732" s="182">
        <v>63.129100000000001</v>
      </c>
      <c r="G732" s="60">
        <f t="shared" si="29"/>
        <v>1.300000000000523E-3</v>
      </c>
      <c r="H732" s="60">
        <f t="shared" si="30"/>
        <v>51.249300000000005</v>
      </c>
    </row>
    <row r="733" spans="1:8" ht="20.100000000000001" customHeight="1">
      <c r="A733" s="277">
        <v>300</v>
      </c>
      <c r="B733" s="277" t="str">
        <f t="shared" si="28"/>
        <v>MOOS300a</v>
      </c>
      <c r="C733" s="182">
        <v>11.858499999999999</v>
      </c>
      <c r="D733" s="182">
        <v>11.860099999999999</v>
      </c>
      <c r="E733" s="182">
        <v>62.883200000000002</v>
      </c>
      <c r="G733" s="60">
        <f t="shared" si="29"/>
        <v>1.5999999999998238E-3</v>
      </c>
      <c r="H733" s="60">
        <f t="shared" si="30"/>
        <v>51.024700000000003</v>
      </c>
    </row>
    <row r="734" spans="1:8" ht="20.100000000000001" customHeight="1">
      <c r="A734" s="277">
        <v>301</v>
      </c>
      <c r="B734" s="277" t="str">
        <f t="shared" si="28"/>
        <v>MOOS301a</v>
      </c>
      <c r="C734" s="182">
        <v>11.8515</v>
      </c>
      <c r="D734" s="182">
        <v>11.857699999999999</v>
      </c>
      <c r="E734" s="182">
        <v>63.508600000000001</v>
      </c>
      <c r="G734" s="60">
        <f t="shared" si="29"/>
        <v>6.1999999999997613E-3</v>
      </c>
      <c r="H734" s="60">
        <f t="shared" si="30"/>
        <v>51.6571</v>
      </c>
    </row>
    <row r="735" spans="1:8" ht="20.100000000000001" customHeight="1">
      <c r="A735" s="277">
        <v>302</v>
      </c>
      <c r="B735" s="277" t="str">
        <f t="shared" si="28"/>
        <v>MOOS302a</v>
      </c>
      <c r="C735" s="182">
        <v>11.8085</v>
      </c>
      <c r="D735" s="182">
        <v>11.8131</v>
      </c>
      <c r="E735" s="182">
        <v>62.564799999999998</v>
      </c>
      <c r="G735" s="60">
        <f t="shared" si="29"/>
        <v>4.5999999999999375E-3</v>
      </c>
      <c r="H735" s="60">
        <f t="shared" si="30"/>
        <v>50.756299999999996</v>
      </c>
    </row>
    <row r="736" spans="1:8" ht="20.100000000000001" customHeight="1">
      <c r="A736" s="277">
        <v>303</v>
      </c>
      <c r="B736" s="277" t="str">
        <f t="shared" si="28"/>
        <v>MOOS303a</v>
      </c>
      <c r="C736" s="182">
        <v>11.836499999999999</v>
      </c>
      <c r="D736" s="182">
        <v>11.838900000000001</v>
      </c>
      <c r="E736" s="182">
        <v>63.8551</v>
      </c>
      <c r="G736" s="60">
        <f t="shared" si="29"/>
        <v>2.400000000001512E-3</v>
      </c>
      <c r="H736" s="60">
        <f t="shared" si="30"/>
        <v>52.018599999999999</v>
      </c>
    </row>
    <row r="737" spans="1:8" ht="20.100000000000001" customHeight="1">
      <c r="A737" s="277">
        <v>304</v>
      </c>
      <c r="B737" s="277" t="str">
        <f t="shared" si="28"/>
        <v>MOOS304a</v>
      </c>
      <c r="C737" s="182">
        <v>11.819800000000001</v>
      </c>
      <c r="D737" s="182">
        <v>11.8215</v>
      </c>
      <c r="E737" s="182">
        <v>64.878600000000006</v>
      </c>
      <c r="G737" s="60">
        <f t="shared" si="29"/>
        <v>1.6999999999995907E-3</v>
      </c>
      <c r="H737" s="60">
        <f t="shared" si="30"/>
        <v>53.058800000000005</v>
      </c>
    </row>
    <row r="738" spans="1:8" ht="20.100000000000001" customHeight="1">
      <c r="A738" s="277">
        <v>305</v>
      </c>
      <c r="B738" s="277" t="str">
        <f t="shared" si="28"/>
        <v>MOOS305a</v>
      </c>
      <c r="C738" s="182">
        <v>11.8409</v>
      </c>
      <c r="D738" s="182">
        <v>11.8438</v>
      </c>
      <c r="E738" s="182">
        <v>65.760400000000004</v>
      </c>
      <c r="G738" s="60">
        <f t="shared" si="29"/>
        <v>2.9000000000003467E-3</v>
      </c>
      <c r="H738" s="60">
        <f t="shared" si="30"/>
        <v>53.919500000000006</v>
      </c>
    </row>
    <row r="739" spans="1:8" ht="20.100000000000001" customHeight="1">
      <c r="A739" s="277">
        <v>306</v>
      </c>
      <c r="B739" s="277" t="str">
        <f t="shared" si="28"/>
        <v>MOOS306a</v>
      </c>
      <c r="C739" s="182">
        <v>11.840299999999999</v>
      </c>
      <c r="D739" s="182">
        <v>11.8477</v>
      </c>
      <c r="E739" s="182">
        <v>63.840200000000003</v>
      </c>
      <c r="G739" s="60">
        <f t="shared" si="29"/>
        <v>7.4000000000005173E-3</v>
      </c>
      <c r="H739" s="60">
        <f t="shared" si="30"/>
        <v>51.999900000000004</v>
      </c>
    </row>
    <row r="740" spans="1:8" ht="20.100000000000001" customHeight="1">
      <c r="A740" s="277">
        <v>307</v>
      </c>
      <c r="B740" s="277" t="str">
        <f t="shared" si="28"/>
        <v>MOOS307a</v>
      </c>
      <c r="C740" s="182">
        <v>11.826599999999999</v>
      </c>
      <c r="D740" s="182">
        <v>11.8287</v>
      </c>
      <c r="E740" s="182">
        <v>63.368600000000001</v>
      </c>
      <c r="G740" s="60">
        <f t="shared" si="29"/>
        <v>2.1000000000004349E-3</v>
      </c>
      <c r="H740" s="60">
        <f t="shared" si="30"/>
        <v>51.542000000000002</v>
      </c>
    </row>
    <row r="741" spans="1:8" ht="20.100000000000001" customHeight="1">
      <c r="A741" s="277">
        <v>308</v>
      </c>
      <c r="B741" s="277" t="str">
        <f t="shared" si="28"/>
        <v>MOOS308a</v>
      </c>
      <c r="C741" s="182">
        <v>11.820600000000001</v>
      </c>
      <c r="D741" s="182">
        <v>11.8225</v>
      </c>
      <c r="E741" s="182">
        <v>61.612299999999998</v>
      </c>
      <c r="G741" s="60">
        <f t="shared" si="29"/>
        <v>1.8999999999991246E-3</v>
      </c>
      <c r="H741" s="60">
        <f t="shared" si="30"/>
        <v>49.791699999999999</v>
      </c>
    </row>
    <row r="742" spans="1:8" ht="20.100000000000001" customHeight="1">
      <c r="A742" s="277">
        <v>309</v>
      </c>
      <c r="B742" s="277" t="str">
        <f t="shared" si="28"/>
        <v>MOOS309a</v>
      </c>
      <c r="C742" s="182">
        <v>11.781499999999999</v>
      </c>
      <c r="D742" s="182">
        <v>11.783799999999999</v>
      </c>
      <c r="E742" s="182">
        <v>63.363</v>
      </c>
      <c r="G742" s="60">
        <f t="shared" si="29"/>
        <v>2.2999999999999687E-3</v>
      </c>
      <c r="H742" s="60">
        <f t="shared" si="30"/>
        <v>51.581499999999998</v>
      </c>
    </row>
    <row r="743" spans="1:8" ht="20.100000000000001" customHeight="1">
      <c r="A743" s="277">
        <v>310</v>
      </c>
      <c r="B743" s="277" t="str">
        <f t="shared" si="28"/>
        <v>MOOS310a</v>
      </c>
      <c r="C743" s="182">
        <v>11.842499999999999</v>
      </c>
      <c r="D743" s="182">
        <v>11.8444</v>
      </c>
      <c r="E743" s="182">
        <v>63.305</v>
      </c>
      <c r="G743" s="60">
        <f t="shared" si="29"/>
        <v>1.900000000000901E-3</v>
      </c>
      <c r="H743" s="60">
        <f t="shared" si="30"/>
        <v>51.462499999999999</v>
      </c>
    </row>
    <row r="744" spans="1:8" ht="20.100000000000001" customHeight="1">
      <c r="A744" s="277">
        <v>311</v>
      </c>
      <c r="B744" s="277" t="str">
        <f t="shared" si="28"/>
        <v>MOOS311a</v>
      </c>
      <c r="C744" s="182">
        <v>11.8246</v>
      </c>
      <c r="D744" s="182">
        <v>11.8294</v>
      </c>
      <c r="E744" s="182">
        <v>62.985900000000001</v>
      </c>
      <c r="G744" s="60">
        <f t="shared" si="29"/>
        <v>4.7999999999994714E-3</v>
      </c>
      <c r="H744" s="60">
        <f t="shared" si="30"/>
        <v>51.161299999999997</v>
      </c>
    </row>
    <row r="745" spans="1:8" ht="20.100000000000001" customHeight="1">
      <c r="A745" s="277">
        <v>312</v>
      </c>
      <c r="B745" s="277" t="str">
        <f t="shared" si="28"/>
        <v>MOOS312a</v>
      </c>
      <c r="C745" s="182">
        <v>11.821099999999999</v>
      </c>
      <c r="D745" s="182">
        <v>11.8253</v>
      </c>
      <c r="E745" s="182">
        <v>63.308</v>
      </c>
      <c r="G745" s="60">
        <f t="shared" si="29"/>
        <v>4.2000000000008697E-3</v>
      </c>
      <c r="H745" s="60">
        <f t="shared" si="30"/>
        <v>51.486899999999999</v>
      </c>
    </row>
    <row r="746" spans="1:8" ht="20.100000000000001" customHeight="1">
      <c r="A746" s="277">
        <v>313</v>
      </c>
      <c r="B746" s="277" t="str">
        <f t="shared" si="28"/>
        <v>MOOS313a</v>
      </c>
      <c r="C746" s="182">
        <v>11.845599999999999</v>
      </c>
      <c r="D746" s="182">
        <v>11.8485</v>
      </c>
      <c r="E746" s="182">
        <v>63.452300000000001</v>
      </c>
      <c r="G746" s="60">
        <f t="shared" si="29"/>
        <v>2.9000000000003467E-3</v>
      </c>
      <c r="H746" s="60">
        <f t="shared" si="30"/>
        <v>51.606700000000004</v>
      </c>
    </row>
    <row r="747" spans="1:8" ht="20.100000000000001" customHeight="1">
      <c r="A747" s="277">
        <v>314</v>
      </c>
      <c r="B747" s="277" t="str">
        <f t="shared" si="28"/>
        <v>MOOS314a</v>
      </c>
      <c r="C747" s="182">
        <v>11.856299999999999</v>
      </c>
      <c r="D747" s="182">
        <v>11.8584</v>
      </c>
      <c r="E747" s="182">
        <v>62.372799999999998</v>
      </c>
      <c r="G747" s="60">
        <f t="shared" si="29"/>
        <v>2.1000000000004349E-3</v>
      </c>
      <c r="H747" s="60">
        <f t="shared" si="30"/>
        <v>50.516500000000001</v>
      </c>
    </row>
    <row r="748" spans="1:8" ht="20.100000000000001" customHeight="1">
      <c r="A748" s="277">
        <v>315</v>
      </c>
      <c r="B748" s="277" t="str">
        <f t="shared" si="28"/>
        <v>MOOS315a</v>
      </c>
      <c r="C748" s="182">
        <v>11.8772</v>
      </c>
      <c r="D748" s="182">
        <v>11.88</v>
      </c>
      <c r="E748" s="182">
        <v>65.359700000000004</v>
      </c>
      <c r="G748" s="60">
        <f t="shared" si="29"/>
        <v>2.8000000000005798E-3</v>
      </c>
      <c r="H748" s="60">
        <f t="shared" si="30"/>
        <v>53.482500000000002</v>
      </c>
    </row>
    <row r="749" spans="1:8" ht="20.100000000000001" customHeight="1">
      <c r="A749" s="277">
        <v>316</v>
      </c>
      <c r="B749" s="277" t="str">
        <f t="shared" si="28"/>
        <v>MOOS316a</v>
      </c>
      <c r="C749" s="182">
        <v>11.836</v>
      </c>
      <c r="D749" s="182">
        <v>11.837300000000001</v>
      </c>
      <c r="E749" s="182">
        <v>64.008899999999997</v>
      </c>
      <c r="G749" s="60">
        <f t="shared" si="29"/>
        <v>1.300000000000523E-3</v>
      </c>
      <c r="H749" s="60">
        <f t="shared" si="30"/>
        <v>52.172899999999998</v>
      </c>
    </row>
    <row r="750" spans="1:8" ht="20.100000000000001" customHeight="1">
      <c r="A750" s="277">
        <v>317</v>
      </c>
      <c r="B750" s="277" t="str">
        <f t="shared" si="28"/>
        <v>MOOS317a</v>
      </c>
      <c r="C750" s="182">
        <v>11.8375</v>
      </c>
      <c r="D750" s="182">
        <v>11.844900000000001</v>
      </c>
      <c r="E750" s="182">
        <v>63.819499999999998</v>
      </c>
      <c r="G750" s="60">
        <f t="shared" si="29"/>
        <v>7.4000000000005173E-3</v>
      </c>
      <c r="H750" s="60">
        <f t="shared" si="30"/>
        <v>51.981999999999999</v>
      </c>
    </row>
    <row r="751" spans="1:8" ht="20.100000000000001" customHeight="1">
      <c r="A751" s="277">
        <v>318</v>
      </c>
      <c r="B751" s="277" t="str">
        <f t="shared" si="28"/>
        <v>MOOS318a</v>
      </c>
      <c r="C751" s="182">
        <v>11.8049</v>
      </c>
      <c r="D751" s="182">
        <v>11.8087</v>
      </c>
      <c r="E751" s="182">
        <v>63.806399999999996</v>
      </c>
      <c r="G751" s="60">
        <f t="shared" si="29"/>
        <v>3.8000000000000256E-3</v>
      </c>
      <c r="H751" s="60">
        <f t="shared" si="30"/>
        <v>52.001499999999993</v>
      </c>
    </row>
    <row r="752" spans="1:8" ht="20.100000000000001" customHeight="1">
      <c r="A752" s="277">
        <v>319</v>
      </c>
      <c r="B752" s="277" t="str">
        <f t="shared" si="28"/>
        <v>MOOS319a</v>
      </c>
      <c r="C752" s="182">
        <v>11.8887</v>
      </c>
      <c r="D752" s="182">
        <v>11.890700000000001</v>
      </c>
      <c r="E752" s="182">
        <v>64.375500000000002</v>
      </c>
      <c r="G752" s="60">
        <f t="shared" si="29"/>
        <v>2.0000000000006679E-3</v>
      </c>
      <c r="H752" s="60">
        <f t="shared" si="30"/>
        <v>52.486800000000002</v>
      </c>
    </row>
    <row r="753" spans="1:8" ht="20.100000000000001" customHeight="1">
      <c r="A753" s="277">
        <v>320</v>
      </c>
      <c r="B753" s="277" t="str">
        <f t="shared" si="28"/>
        <v>MOOS320a</v>
      </c>
      <c r="C753" s="182">
        <v>11.8002</v>
      </c>
      <c r="D753" s="182">
        <v>11.809900000000001</v>
      </c>
      <c r="E753" s="182">
        <v>64.200699999999998</v>
      </c>
      <c r="G753" s="60">
        <f t="shared" si="29"/>
        <v>9.700000000000486E-3</v>
      </c>
      <c r="H753" s="60">
        <f t="shared" si="30"/>
        <v>52.400499999999994</v>
      </c>
    </row>
    <row r="754" spans="1:8" ht="20.100000000000001" customHeight="1">
      <c r="A754" s="277">
        <v>321</v>
      </c>
      <c r="B754" s="277" t="str">
        <f t="shared" si="28"/>
        <v>MOOS321a</v>
      </c>
      <c r="C754" s="182">
        <v>11.827</v>
      </c>
      <c r="D754" s="182">
        <v>11.834</v>
      </c>
      <c r="E754" s="182">
        <v>64.0441</v>
      </c>
      <c r="G754" s="60">
        <f t="shared" si="29"/>
        <v>6.9999999999996732E-3</v>
      </c>
      <c r="H754" s="60">
        <f t="shared" si="30"/>
        <v>52.217100000000002</v>
      </c>
    </row>
    <row r="755" spans="1:8" ht="20.100000000000001" customHeight="1">
      <c r="A755" s="277">
        <v>322</v>
      </c>
      <c r="B755" s="277" t="str">
        <f t="shared" ref="B755:B793" si="31">"MOOS"&amp;TEXT(A755,"000")&amp;"a"</f>
        <v>MOOS322a</v>
      </c>
      <c r="C755" s="182">
        <v>11.839</v>
      </c>
      <c r="D755" s="182">
        <v>11.842700000000001</v>
      </c>
      <c r="E755" s="182">
        <v>63.78</v>
      </c>
      <c r="G755" s="60">
        <f t="shared" ref="G755:G793" si="32">D755-C755</f>
        <v>3.7000000000002586E-3</v>
      </c>
      <c r="H755" s="60">
        <f t="shared" ref="H755:H793" si="33">E755-C755</f>
        <v>51.941000000000003</v>
      </c>
    </row>
    <row r="756" spans="1:8" ht="20.100000000000001" customHeight="1">
      <c r="A756" s="277">
        <v>323</v>
      </c>
      <c r="B756" s="277" t="str">
        <f t="shared" si="31"/>
        <v>MOOS323a</v>
      </c>
      <c r="C756" s="182">
        <v>11.8413</v>
      </c>
      <c r="D756" s="182">
        <v>11.8469</v>
      </c>
      <c r="E756" s="182">
        <v>64.025099999999995</v>
      </c>
      <c r="G756" s="60">
        <f t="shared" si="32"/>
        <v>5.5999999999993832E-3</v>
      </c>
      <c r="H756" s="60">
        <f t="shared" si="33"/>
        <v>52.183799999999991</v>
      </c>
    </row>
    <row r="757" spans="1:8" ht="20.100000000000001" customHeight="1">
      <c r="A757" s="277">
        <v>324</v>
      </c>
      <c r="B757" s="277" t="str">
        <f t="shared" si="31"/>
        <v>MOOS324a</v>
      </c>
      <c r="C757" s="182">
        <v>11.809900000000001</v>
      </c>
      <c r="D757" s="182">
        <v>11.811999999999999</v>
      </c>
      <c r="E757" s="182">
        <v>65.551299999999998</v>
      </c>
      <c r="G757" s="60">
        <f t="shared" si="32"/>
        <v>2.0999999999986585E-3</v>
      </c>
      <c r="H757" s="60">
        <f t="shared" si="33"/>
        <v>53.741399999999999</v>
      </c>
    </row>
    <row r="758" spans="1:8" ht="20.100000000000001" customHeight="1">
      <c r="A758" s="277">
        <v>325</v>
      </c>
      <c r="B758" s="277" t="str">
        <f t="shared" si="31"/>
        <v>MOOS325a</v>
      </c>
      <c r="C758" s="182">
        <v>11.787800000000001</v>
      </c>
      <c r="D758" s="182">
        <v>11.790800000000001</v>
      </c>
      <c r="E758" s="182">
        <v>65.587400000000002</v>
      </c>
      <c r="G758" s="60">
        <f t="shared" si="32"/>
        <v>3.0000000000001137E-3</v>
      </c>
      <c r="H758" s="60">
        <f t="shared" si="33"/>
        <v>53.799599999999998</v>
      </c>
    </row>
    <row r="759" spans="1:8" ht="20.100000000000001" customHeight="1">
      <c r="A759" s="277">
        <v>326</v>
      </c>
      <c r="B759" s="277" t="str">
        <f t="shared" si="31"/>
        <v>MOOS326a</v>
      </c>
      <c r="C759" s="182">
        <v>11.819000000000001</v>
      </c>
      <c r="D759" s="182">
        <v>11.821199999999999</v>
      </c>
      <c r="E759" s="182">
        <v>62.371400000000001</v>
      </c>
      <c r="G759" s="60">
        <f t="shared" si="32"/>
        <v>2.1999999999984254E-3</v>
      </c>
      <c r="H759" s="60">
        <f t="shared" si="33"/>
        <v>50.552399999999999</v>
      </c>
    </row>
    <row r="760" spans="1:8" ht="20.100000000000001" customHeight="1">
      <c r="A760" s="277">
        <v>327</v>
      </c>
      <c r="B760" s="277" t="str">
        <f t="shared" si="31"/>
        <v>MOOS327a</v>
      </c>
      <c r="C760" s="182">
        <v>11.883800000000001</v>
      </c>
      <c r="D760" s="182">
        <v>11.885199999999999</v>
      </c>
      <c r="E760" s="182">
        <v>63.168900000000001</v>
      </c>
      <c r="G760" s="60">
        <f t="shared" si="32"/>
        <v>1.3999999999985135E-3</v>
      </c>
      <c r="H760" s="60">
        <f t="shared" si="33"/>
        <v>51.2851</v>
      </c>
    </row>
    <row r="761" spans="1:8" ht="20.100000000000001" customHeight="1">
      <c r="A761" s="277">
        <v>328</v>
      </c>
      <c r="B761" s="277" t="str">
        <f t="shared" si="31"/>
        <v>MOOS328a</v>
      </c>
      <c r="C761" s="182">
        <v>11.812200000000001</v>
      </c>
      <c r="D761" s="182">
        <v>11.8142</v>
      </c>
      <c r="E761" s="182">
        <v>62.310099999999998</v>
      </c>
      <c r="G761" s="60">
        <f t="shared" si="32"/>
        <v>1.9999999999988916E-3</v>
      </c>
      <c r="H761" s="60">
        <f t="shared" si="33"/>
        <v>50.497900000000001</v>
      </c>
    </row>
    <row r="762" spans="1:8" ht="20.100000000000001" customHeight="1">
      <c r="A762" s="277">
        <v>329</v>
      </c>
      <c r="B762" s="277" t="str">
        <f t="shared" si="31"/>
        <v>MOOS329a</v>
      </c>
      <c r="C762" s="182">
        <v>11.839700000000001</v>
      </c>
      <c r="D762" s="182">
        <v>11.841100000000001</v>
      </c>
      <c r="E762" s="182">
        <v>63.721400000000003</v>
      </c>
      <c r="G762" s="60">
        <f t="shared" si="32"/>
        <v>1.4000000000002899E-3</v>
      </c>
      <c r="H762" s="60">
        <f t="shared" si="33"/>
        <v>51.881700000000002</v>
      </c>
    </row>
    <row r="763" spans="1:8" ht="20.100000000000001" customHeight="1">
      <c r="A763" s="277">
        <v>330</v>
      </c>
      <c r="B763" s="277" t="str">
        <f t="shared" si="31"/>
        <v>MOOS330a</v>
      </c>
      <c r="C763" s="182">
        <v>11.7735</v>
      </c>
      <c r="D763" s="182">
        <v>11.7767</v>
      </c>
      <c r="E763" s="182">
        <v>63.935600000000001</v>
      </c>
      <c r="G763" s="60">
        <f t="shared" si="32"/>
        <v>3.1999999999996476E-3</v>
      </c>
      <c r="H763" s="60">
        <f t="shared" si="33"/>
        <v>52.162100000000002</v>
      </c>
    </row>
    <row r="764" spans="1:8" ht="20.100000000000001" customHeight="1">
      <c r="A764" s="277">
        <v>331</v>
      </c>
      <c r="B764" s="277" t="str">
        <f t="shared" si="31"/>
        <v>MOOS331a</v>
      </c>
      <c r="C764" s="182">
        <v>11.8581</v>
      </c>
      <c r="D764" s="182">
        <v>11.861599999999999</v>
      </c>
      <c r="E764" s="182">
        <v>63.3322</v>
      </c>
      <c r="G764" s="60">
        <f t="shared" si="32"/>
        <v>3.4999999999989484E-3</v>
      </c>
      <c r="H764" s="60">
        <f t="shared" si="33"/>
        <v>51.4741</v>
      </c>
    </row>
    <row r="765" spans="1:8" ht="20.100000000000001" customHeight="1">
      <c r="A765" s="277">
        <v>332</v>
      </c>
      <c r="B765" s="277" t="str">
        <f t="shared" si="31"/>
        <v>MOOS332a</v>
      </c>
      <c r="C765" s="182">
        <v>11.7836</v>
      </c>
      <c r="D765" s="182">
        <v>11.7857</v>
      </c>
      <c r="E765" s="182">
        <v>65.649500000000003</v>
      </c>
      <c r="G765" s="60">
        <f t="shared" si="32"/>
        <v>2.1000000000004349E-3</v>
      </c>
      <c r="H765" s="60">
        <f t="shared" si="33"/>
        <v>53.865900000000003</v>
      </c>
    </row>
    <row r="766" spans="1:8" ht="20.100000000000001" customHeight="1">
      <c r="A766" s="277">
        <v>333</v>
      </c>
      <c r="B766" s="277" t="str">
        <f t="shared" si="31"/>
        <v>MOOS333a</v>
      </c>
      <c r="C766" s="182">
        <v>11.8238</v>
      </c>
      <c r="D766" s="182">
        <v>11.8254</v>
      </c>
      <c r="E766" s="182">
        <v>63.080599999999997</v>
      </c>
      <c r="G766" s="60">
        <f t="shared" si="32"/>
        <v>1.5999999999998238E-3</v>
      </c>
      <c r="H766" s="60">
        <f t="shared" si="33"/>
        <v>51.256799999999998</v>
      </c>
    </row>
    <row r="767" spans="1:8" ht="20.100000000000001" customHeight="1">
      <c r="A767" s="277">
        <v>334</v>
      </c>
      <c r="B767" s="277" t="str">
        <f t="shared" si="31"/>
        <v>MOOS334a</v>
      </c>
      <c r="C767" s="182">
        <v>11.794600000000001</v>
      </c>
      <c r="D767" s="182">
        <v>11.797000000000001</v>
      </c>
      <c r="E767" s="182">
        <v>64.114400000000003</v>
      </c>
      <c r="G767" s="60">
        <f t="shared" si="32"/>
        <v>2.3999999999997357E-3</v>
      </c>
      <c r="H767" s="60">
        <f t="shared" si="33"/>
        <v>52.319800000000001</v>
      </c>
    </row>
    <row r="768" spans="1:8" ht="20.100000000000001" customHeight="1">
      <c r="A768" s="277">
        <v>335</v>
      </c>
      <c r="B768" s="277" t="str">
        <f t="shared" si="31"/>
        <v>MOOS335a</v>
      </c>
      <c r="C768" s="182">
        <v>11.8573</v>
      </c>
      <c r="D768" s="182">
        <v>11.862399999999999</v>
      </c>
      <c r="E768" s="182">
        <v>64.686499999999995</v>
      </c>
      <c r="G768" s="60">
        <f t="shared" si="32"/>
        <v>5.0999999999987722E-3</v>
      </c>
      <c r="H768" s="60">
        <f t="shared" si="33"/>
        <v>52.829199999999993</v>
      </c>
    </row>
    <row r="769" spans="1:8" ht="20.100000000000001" customHeight="1">
      <c r="A769" s="277">
        <v>336</v>
      </c>
      <c r="B769" s="277" t="str">
        <f t="shared" si="31"/>
        <v>MOOS336a</v>
      </c>
      <c r="C769" s="182">
        <v>11.8239</v>
      </c>
      <c r="D769" s="182">
        <v>11.8256</v>
      </c>
      <c r="E769" s="182">
        <v>63.657699999999998</v>
      </c>
      <c r="G769" s="60">
        <f t="shared" si="32"/>
        <v>1.6999999999995907E-3</v>
      </c>
      <c r="H769" s="60">
        <f t="shared" si="33"/>
        <v>51.833799999999997</v>
      </c>
    </row>
    <row r="770" spans="1:8" ht="20.100000000000001" customHeight="1">
      <c r="A770" s="277">
        <v>337</v>
      </c>
      <c r="B770" s="277" t="str">
        <f t="shared" si="31"/>
        <v>MOOS337a</v>
      </c>
      <c r="C770" s="182">
        <v>11.8056</v>
      </c>
      <c r="D770" s="182">
        <v>11.808</v>
      </c>
      <c r="E770" s="182">
        <v>64.117900000000006</v>
      </c>
      <c r="G770" s="60">
        <f t="shared" si="32"/>
        <v>2.3999999999997357E-3</v>
      </c>
      <c r="H770" s="60">
        <f t="shared" si="33"/>
        <v>52.312300000000008</v>
      </c>
    </row>
    <row r="771" spans="1:8" ht="20.100000000000001" customHeight="1">
      <c r="A771" s="277">
        <v>338</v>
      </c>
      <c r="B771" s="277" t="str">
        <f t="shared" si="31"/>
        <v>MOOS338a</v>
      </c>
      <c r="C771" s="182">
        <v>11.796799999999999</v>
      </c>
      <c r="D771" s="182">
        <v>11.8002</v>
      </c>
      <c r="E771" s="182">
        <v>64.408299999999997</v>
      </c>
      <c r="G771" s="60">
        <f t="shared" si="32"/>
        <v>3.4000000000009578E-3</v>
      </c>
      <c r="H771" s="60">
        <f t="shared" si="33"/>
        <v>52.611499999999999</v>
      </c>
    </row>
    <row r="772" spans="1:8" ht="20.100000000000001" customHeight="1">
      <c r="A772" s="277">
        <v>339</v>
      </c>
      <c r="B772" s="277" t="str">
        <f t="shared" si="31"/>
        <v>MOOS339a</v>
      </c>
      <c r="C772" s="182">
        <v>11.808</v>
      </c>
      <c r="D772" s="182">
        <v>11.8102</v>
      </c>
      <c r="E772" s="182">
        <v>63.1648</v>
      </c>
      <c r="G772" s="60">
        <f t="shared" si="32"/>
        <v>2.2000000000002018E-3</v>
      </c>
      <c r="H772" s="60">
        <f t="shared" si="33"/>
        <v>51.3568</v>
      </c>
    </row>
    <row r="773" spans="1:8" ht="20.100000000000001" customHeight="1">
      <c r="A773" s="277">
        <v>340</v>
      </c>
      <c r="B773" s="277" t="str">
        <f t="shared" si="31"/>
        <v>MOOS340a</v>
      </c>
      <c r="C773" s="182">
        <v>11.816800000000001</v>
      </c>
      <c r="D773" s="182">
        <v>11.818</v>
      </c>
      <c r="E773" s="182">
        <v>64.250900000000001</v>
      </c>
      <c r="G773" s="60">
        <f t="shared" si="32"/>
        <v>1.1999999999989797E-3</v>
      </c>
      <c r="H773" s="60">
        <f t="shared" si="33"/>
        <v>52.434100000000001</v>
      </c>
    </row>
    <row r="774" spans="1:8" ht="20.100000000000001" customHeight="1">
      <c r="A774" s="277">
        <v>341</v>
      </c>
      <c r="B774" s="277" t="str">
        <f t="shared" si="31"/>
        <v>MOOS341a</v>
      </c>
      <c r="C774" s="182">
        <v>11.8431</v>
      </c>
      <c r="D774" s="182">
        <v>11.8439</v>
      </c>
      <c r="E774" s="182">
        <v>62.365600000000001</v>
      </c>
      <c r="G774" s="60">
        <f t="shared" si="32"/>
        <v>7.9999999999991189E-4</v>
      </c>
      <c r="H774" s="60">
        <f t="shared" si="33"/>
        <v>50.522500000000001</v>
      </c>
    </row>
    <row r="775" spans="1:8" ht="20.100000000000001" customHeight="1">
      <c r="A775" s="277">
        <v>342</v>
      </c>
      <c r="B775" s="277" t="str">
        <f t="shared" si="31"/>
        <v>MOOS342a</v>
      </c>
      <c r="C775" s="182">
        <v>11.8003</v>
      </c>
      <c r="D775" s="182">
        <v>11.8025</v>
      </c>
      <c r="E775" s="182">
        <v>65.489599999999996</v>
      </c>
      <c r="G775" s="60">
        <f t="shared" si="32"/>
        <v>2.2000000000002018E-3</v>
      </c>
      <c r="H775" s="60">
        <f t="shared" si="33"/>
        <v>53.689299999999996</v>
      </c>
    </row>
    <row r="776" spans="1:8" ht="20.100000000000001" customHeight="1">
      <c r="A776" s="277">
        <v>343</v>
      </c>
      <c r="B776" s="277" t="str">
        <f t="shared" si="31"/>
        <v>MOOS343a</v>
      </c>
      <c r="C776" s="182">
        <v>11.842000000000001</v>
      </c>
      <c r="D776" s="182">
        <v>11.845700000000001</v>
      </c>
      <c r="E776" s="182">
        <v>64.018500000000003</v>
      </c>
      <c r="G776" s="60">
        <f t="shared" si="32"/>
        <v>3.7000000000002586E-3</v>
      </c>
      <c r="H776" s="60">
        <f t="shared" si="33"/>
        <v>52.176500000000004</v>
      </c>
    </row>
    <row r="777" spans="1:8" ht="20.100000000000001" customHeight="1">
      <c r="A777" s="277">
        <v>344</v>
      </c>
      <c r="B777" s="277" t="str">
        <f t="shared" si="31"/>
        <v>MOOS344a</v>
      </c>
      <c r="C777" s="182">
        <v>11.8566</v>
      </c>
      <c r="D777" s="182">
        <v>11.859500000000001</v>
      </c>
      <c r="E777" s="182">
        <v>63.604300000000002</v>
      </c>
      <c r="G777" s="60">
        <f t="shared" si="32"/>
        <v>2.9000000000003467E-3</v>
      </c>
      <c r="H777" s="60">
        <f t="shared" si="33"/>
        <v>51.747700000000002</v>
      </c>
    </row>
    <row r="778" spans="1:8" ht="20.100000000000001" customHeight="1">
      <c r="A778" s="277">
        <v>345</v>
      </c>
      <c r="B778" s="277" t="str">
        <f t="shared" si="31"/>
        <v>MOOS345a</v>
      </c>
      <c r="C778" s="182">
        <v>11.819599999999999</v>
      </c>
      <c r="D778" s="182">
        <v>11.823499999999999</v>
      </c>
      <c r="E778" s="182">
        <v>66.222800000000007</v>
      </c>
      <c r="G778" s="60">
        <f t="shared" si="32"/>
        <v>3.8999999999997925E-3</v>
      </c>
      <c r="H778" s="60">
        <f t="shared" si="33"/>
        <v>54.403200000000005</v>
      </c>
    </row>
    <row r="779" spans="1:8" ht="20.100000000000001" customHeight="1">
      <c r="A779" s="277">
        <v>346</v>
      </c>
      <c r="B779" s="277" t="str">
        <f t="shared" si="31"/>
        <v>MOOS346a</v>
      </c>
      <c r="C779" s="182">
        <v>11.851100000000001</v>
      </c>
      <c r="D779" s="182">
        <v>11.852499999999999</v>
      </c>
      <c r="E779" s="182">
        <v>65.478099999999998</v>
      </c>
      <c r="G779" s="60">
        <f t="shared" si="32"/>
        <v>1.3999999999985135E-3</v>
      </c>
      <c r="H779" s="60">
        <f t="shared" si="33"/>
        <v>53.626999999999995</v>
      </c>
    </row>
    <row r="780" spans="1:8" ht="20.100000000000001" customHeight="1">
      <c r="A780" s="277">
        <v>347</v>
      </c>
      <c r="B780" s="277" t="str">
        <f t="shared" si="31"/>
        <v>MOOS347a</v>
      </c>
      <c r="C780" s="182">
        <v>11.8271</v>
      </c>
      <c r="D780" s="182">
        <v>11.829700000000001</v>
      </c>
      <c r="E780" s="182">
        <v>63.835299999999997</v>
      </c>
      <c r="G780" s="60">
        <f t="shared" si="32"/>
        <v>2.6000000000010459E-3</v>
      </c>
      <c r="H780" s="60">
        <f t="shared" si="33"/>
        <v>52.008199999999995</v>
      </c>
    </row>
    <row r="781" spans="1:8" ht="20.100000000000001" customHeight="1">
      <c r="A781" s="277">
        <v>348</v>
      </c>
      <c r="B781" s="277" t="str">
        <f t="shared" si="31"/>
        <v>MOOS348a</v>
      </c>
      <c r="C781" s="182">
        <v>11.8462</v>
      </c>
      <c r="D781" s="182">
        <v>11.8477</v>
      </c>
      <c r="E781" s="182">
        <v>65.819000000000003</v>
      </c>
      <c r="G781" s="60">
        <f t="shared" si="32"/>
        <v>1.5000000000000568E-3</v>
      </c>
      <c r="H781" s="60">
        <f t="shared" si="33"/>
        <v>53.972800000000007</v>
      </c>
    </row>
    <row r="782" spans="1:8" ht="20.100000000000001" customHeight="1">
      <c r="A782" s="277">
        <v>349</v>
      </c>
      <c r="B782" s="277" t="str">
        <f t="shared" si="31"/>
        <v>MOOS349a</v>
      </c>
      <c r="C782" s="182">
        <v>11.805899999999999</v>
      </c>
      <c r="D782" s="182">
        <v>11.8071</v>
      </c>
      <c r="E782" s="182">
        <v>65.916899999999998</v>
      </c>
      <c r="G782" s="60">
        <f t="shared" si="32"/>
        <v>1.200000000000756E-3</v>
      </c>
      <c r="H782" s="60">
        <f t="shared" si="33"/>
        <v>54.110999999999997</v>
      </c>
    </row>
    <row r="783" spans="1:8" ht="20.100000000000001" customHeight="1">
      <c r="A783" s="277">
        <v>350</v>
      </c>
      <c r="B783" s="277" t="str">
        <f t="shared" si="31"/>
        <v>MOOS350a</v>
      </c>
      <c r="C783" s="182">
        <v>11.838900000000001</v>
      </c>
      <c r="D783" s="182">
        <v>11.846500000000001</v>
      </c>
      <c r="E783" s="182">
        <v>65.882000000000005</v>
      </c>
      <c r="G783" s="60">
        <f t="shared" si="32"/>
        <v>7.6000000000000512E-3</v>
      </c>
      <c r="H783" s="60">
        <f t="shared" si="33"/>
        <v>54.043100000000003</v>
      </c>
    </row>
    <row r="784" spans="1:8" ht="20.100000000000001" customHeight="1">
      <c r="A784" s="277">
        <v>351</v>
      </c>
      <c r="B784" s="277" t="str">
        <f t="shared" si="31"/>
        <v>MOOS351a</v>
      </c>
      <c r="C784" s="182">
        <v>11.819900000000001</v>
      </c>
      <c r="D784" s="182">
        <v>11.823399999999999</v>
      </c>
      <c r="E784" s="182">
        <v>64.170100000000005</v>
      </c>
      <c r="G784" s="60">
        <f t="shared" si="32"/>
        <v>3.4999999999989484E-3</v>
      </c>
      <c r="H784" s="60">
        <f t="shared" si="33"/>
        <v>52.350200000000001</v>
      </c>
    </row>
    <row r="785" spans="1:8" ht="20.100000000000001" customHeight="1">
      <c r="A785" s="277">
        <v>352</v>
      </c>
      <c r="B785" s="277" t="str">
        <f t="shared" si="31"/>
        <v>MOOS352a</v>
      </c>
      <c r="C785" s="182">
        <v>11.8146</v>
      </c>
      <c r="D785" s="182">
        <v>11.8169</v>
      </c>
      <c r="E785" s="182">
        <v>66.099299999999999</v>
      </c>
      <c r="G785" s="60">
        <f t="shared" si="32"/>
        <v>2.2999999999999687E-3</v>
      </c>
      <c r="H785" s="60">
        <f t="shared" si="33"/>
        <v>54.284700000000001</v>
      </c>
    </row>
    <row r="786" spans="1:8" ht="20.100000000000001" customHeight="1">
      <c r="A786" s="277">
        <v>353</v>
      </c>
      <c r="B786" s="277" t="str">
        <f t="shared" si="31"/>
        <v>MOOS353a</v>
      </c>
      <c r="C786" s="182">
        <v>11.830399999999999</v>
      </c>
      <c r="D786" s="182">
        <v>11.837199999999999</v>
      </c>
      <c r="E786" s="182">
        <v>70.457099999999997</v>
      </c>
      <c r="G786" s="60">
        <f t="shared" si="32"/>
        <v>6.8000000000001393E-3</v>
      </c>
      <c r="H786" s="60">
        <f t="shared" si="33"/>
        <v>58.6267</v>
      </c>
    </row>
    <row r="787" spans="1:8" ht="20.100000000000001" customHeight="1">
      <c r="A787" s="277">
        <v>354</v>
      </c>
      <c r="B787" s="277" t="str">
        <f t="shared" si="31"/>
        <v>MOOS354a</v>
      </c>
      <c r="C787" s="182">
        <v>11.7804</v>
      </c>
      <c r="D787" s="182">
        <v>11.782400000000001</v>
      </c>
      <c r="E787" s="182">
        <v>64.987499999999997</v>
      </c>
      <c r="G787" s="60">
        <f t="shared" si="32"/>
        <v>2.0000000000006679E-3</v>
      </c>
      <c r="H787" s="60">
        <f t="shared" si="33"/>
        <v>53.207099999999997</v>
      </c>
    </row>
    <row r="788" spans="1:8" ht="20.100000000000001" customHeight="1">
      <c r="A788" s="277">
        <v>355</v>
      </c>
      <c r="B788" s="277" t="str">
        <f t="shared" si="31"/>
        <v>MOOS355a</v>
      </c>
      <c r="C788" s="182">
        <v>11.7979</v>
      </c>
      <c r="D788" s="182">
        <v>11.8005</v>
      </c>
      <c r="E788" s="182">
        <v>62.9985</v>
      </c>
      <c r="G788" s="60">
        <f t="shared" si="32"/>
        <v>2.5999999999992696E-3</v>
      </c>
      <c r="H788" s="60">
        <f t="shared" si="33"/>
        <v>51.200600000000001</v>
      </c>
    </row>
    <row r="789" spans="1:8" ht="20.100000000000001" customHeight="1">
      <c r="A789" s="277">
        <v>356</v>
      </c>
      <c r="B789" s="277" t="str">
        <f t="shared" si="31"/>
        <v>MOOS356a</v>
      </c>
      <c r="C789" s="182">
        <v>11.813700000000001</v>
      </c>
      <c r="D789" s="182">
        <v>11.817600000000001</v>
      </c>
      <c r="E789" s="182">
        <v>63.366300000000003</v>
      </c>
      <c r="G789" s="60">
        <f t="shared" si="32"/>
        <v>3.8999999999997925E-3</v>
      </c>
      <c r="H789" s="60">
        <f t="shared" si="33"/>
        <v>51.552599999999998</v>
      </c>
    </row>
    <row r="790" spans="1:8" ht="20.100000000000001" customHeight="1">
      <c r="A790" s="277">
        <v>357</v>
      </c>
      <c r="B790" s="277" t="str">
        <f t="shared" si="31"/>
        <v>MOOS357a</v>
      </c>
      <c r="C790" s="182">
        <v>11.8095</v>
      </c>
      <c r="D790" s="182">
        <v>11.8139</v>
      </c>
      <c r="E790" s="182">
        <v>64.486800000000002</v>
      </c>
      <c r="G790" s="60">
        <f t="shared" si="32"/>
        <v>4.4000000000004036E-3</v>
      </c>
      <c r="H790" s="60">
        <f t="shared" si="33"/>
        <v>52.677300000000002</v>
      </c>
    </row>
    <row r="791" spans="1:8" ht="20.100000000000001" customHeight="1">
      <c r="A791" s="277">
        <v>358</v>
      </c>
      <c r="B791" s="277" t="str">
        <f t="shared" si="31"/>
        <v>MOOS358a</v>
      </c>
      <c r="C791" s="182">
        <v>11.8062</v>
      </c>
      <c r="D791" s="182">
        <v>11.812900000000001</v>
      </c>
      <c r="E791" s="182">
        <v>63.332599999999999</v>
      </c>
      <c r="G791" s="60">
        <f t="shared" si="32"/>
        <v>6.7000000000003723E-3</v>
      </c>
      <c r="H791" s="60">
        <f t="shared" si="33"/>
        <v>51.526399999999995</v>
      </c>
    </row>
    <row r="792" spans="1:8" ht="20.100000000000001" customHeight="1">
      <c r="A792" s="277">
        <v>359</v>
      </c>
      <c r="B792" s="277" t="str">
        <f t="shared" si="31"/>
        <v>MOOS359a</v>
      </c>
      <c r="C792" s="182">
        <v>11.831099999999999</v>
      </c>
      <c r="D792" s="182">
        <v>11.8332</v>
      </c>
      <c r="E792" s="182">
        <v>65.044600000000003</v>
      </c>
      <c r="G792" s="60">
        <f t="shared" si="32"/>
        <v>2.1000000000004349E-3</v>
      </c>
      <c r="H792" s="60">
        <f t="shared" si="33"/>
        <v>53.213500000000003</v>
      </c>
    </row>
    <row r="793" spans="1:8" ht="20.100000000000001" customHeight="1">
      <c r="A793" s="278">
        <v>360</v>
      </c>
      <c r="B793" s="278" t="str">
        <f t="shared" si="31"/>
        <v>MOOS360a</v>
      </c>
      <c r="C793" s="141">
        <v>11.8424</v>
      </c>
      <c r="D793" s="141">
        <v>11.844200000000001</v>
      </c>
      <c r="E793" s="141">
        <v>66.400099999999995</v>
      </c>
      <c r="G793" s="81">
        <f t="shared" si="32"/>
        <v>1.800000000001134E-3</v>
      </c>
      <c r="H793" s="81">
        <f t="shared" si="33"/>
        <v>54.557699999999997</v>
      </c>
    </row>
    <row r="794" spans="1:8" ht="20.100000000000001" customHeight="1">
      <c r="A794" s="295"/>
      <c r="B794" s="296" t="s">
        <v>260</v>
      </c>
      <c r="C794" s="82">
        <f>AVERAGE(C434:C793)</f>
        <v>11.823746388888894</v>
      </c>
      <c r="D794" s="295"/>
      <c r="E794" s="295"/>
      <c r="G794" s="82">
        <f>AVERAGE(G434:G793)</f>
        <v>2.4625000000000046E-3</v>
      </c>
      <c r="H794" s="82">
        <f>AVERAGE(H434:H793)</f>
        <v>52.405701944444445</v>
      </c>
    </row>
    <row r="795" spans="1:8" ht="20.100000000000001" customHeight="1">
      <c r="A795" s="294"/>
      <c r="B795" s="297" t="s">
        <v>429</v>
      </c>
      <c r="C795" s="294">
        <f>STDEV(C434:C793)</f>
        <v>2.7552235288172324E-2</v>
      </c>
      <c r="D795" s="294"/>
      <c r="E795" s="294"/>
      <c r="G795" s="157">
        <f>STDEV(G434:G793)</f>
        <v>1.6782931291339444E-3</v>
      </c>
      <c r="H795" s="157">
        <f>STDEV(H434:H793)</f>
        <v>1.16798231533603</v>
      </c>
    </row>
    <row r="796" spans="1:8" ht="20.100000000000001" customHeight="1">
      <c r="A796" s="294"/>
      <c r="B796" s="297" t="s">
        <v>262</v>
      </c>
      <c r="C796" s="206">
        <f>C795/C794</f>
        <v>2.3302457936736475E-3</v>
      </c>
      <c r="D796" s="294"/>
      <c r="E796" s="294"/>
      <c r="G796" s="206">
        <f>G795/G794</f>
        <v>0.68154035700870708</v>
      </c>
      <c r="H796" s="206">
        <f>H795/H794</f>
        <v>2.2287313631906201E-2</v>
      </c>
    </row>
    <row r="797" spans="1:8" ht="20.100000000000001" customHeight="1">
      <c r="A797" s="294"/>
      <c r="B797" s="297" t="s">
        <v>267</v>
      </c>
      <c r="C797" s="80">
        <f>MAX(C434:C793)</f>
        <v>11.8964</v>
      </c>
      <c r="D797" s="294"/>
      <c r="E797" s="294"/>
      <c r="G797" s="80">
        <f>MAX(G434:G793)</f>
        <v>1.0900000000001242E-2</v>
      </c>
      <c r="H797" s="80">
        <f>MAX(H434:H793)</f>
        <v>58.6267</v>
      </c>
    </row>
    <row r="798" spans="1:8" ht="20.100000000000001" customHeight="1">
      <c r="A798" s="292"/>
      <c r="B798" s="293" t="s">
        <v>268</v>
      </c>
      <c r="C798" s="81">
        <f>MIN(C434:C793)</f>
        <v>11.7349</v>
      </c>
      <c r="D798" s="292"/>
      <c r="E798" s="292"/>
      <c r="G798" s="81">
        <f>MIN(G434:G793)</f>
        <v>-1.9999999999953388E-4</v>
      </c>
      <c r="H798" s="81">
        <f>MIN(H434:H793)</f>
        <v>47.563899999999997</v>
      </c>
    </row>
    <row r="800" spans="1:8" ht="20.100000000000001" customHeight="1">
      <c r="A800" s="174" t="s">
        <v>935</v>
      </c>
      <c r="G800" s="161"/>
    </row>
    <row r="801" spans="1:7" ht="20.100000000000001" customHeight="1">
      <c r="A801" s="174" t="s">
        <v>936</v>
      </c>
      <c r="G801" s="356"/>
    </row>
    <row r="802" spans="1:7" ht="20.100000000000001" customHeight="1">
      <c r="A802" s="174" t="s">
        <v>937</v>
      </c>
    </row>
    <row r="803" spans="1:7" s="358" customFormat="1" ht="20.100000000000001" customHeight="1">
      <c r="A803" s="358" t="s">
        <v>938</v>
      </c>
    </row>
    <row r="804" spans="1:7" s="358" customFormat="1" ht="20.100000000000001" customHeight="1"/>
    <row r="805" spans="1:7" s="358" customFormat="1" ht="20.100000000000001" customHeight="1">
      <c r="A805" s="358" t="s">
        <v>939</v>
      </c>
    </row>
    <row r="806" spans="1:7" s="358" customFormat="1" ht="20.100000000000001" customHeight="1">
      <c r="A806" s="358" t="s">
        <v>941</v>
      </c>
    </row>
    <row r="807" spans="1:7" s="358" customFormat="1" ht="20.100000000000001" customHeight="1">
      <c r="A807" s="358" t="s">
        <v>940</v>
      </c>
    </row>
    <row r="808" spans="1:7" s="358" customFormat="1" ht="20.100000000000001" customHeight="1">
      <c r="A808" s="358" t="s">
        <v>942</v>
      </c>
    </row>
    <row r="809" spans="1:7" s="358" customFormat="1" ht="20.100000000000001" customHeight="1">
      <c r="A809" s="358" t="s">
        <v>944</v>
      </c>
    </row>
    <row r="810" spans="1:7" s="358" customFormat="1" ht="20.100000000000001" customHeight="1">
      <c r="A810" s="358" t="s">
        <v>943</v>
      </c>
    </row>
    <row r="811" spans="1:7" s="358" customFormat="1" ht="20.100000000000001" customHeight="1">
      <c r="A811" s="358" t="s">
        <v>945</v>
      </c>
    </row>
    <row r="812" spans="1:7" s="358" customFormat="1" ht="20.100000000000001" customHeight="1">
      <c r="A812" s="358" t="s">
        <v>946</v>
      </c>
    </row>
    <row r="814" spans="1:7" s="149" customFormat="1" ht="20.100000000000001" customHeight="1"/>
  </sheetData>
  <sheetProtection sheet="1" objects="1" scenarios="1"/>
  <conditionalFormatting sqref="A1">
    <cfRule type="duplicateValues" dxfId="34" priority="2"/>
  </conditionalFormatting>
  <conditionalFormatting sqref="G434:G793">
    <cfRule type="cellIs" dxfId="33" priority="1" operator="greaterThan">
      <formula>0.03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2B38D-908E-4023-9266-9E160DEB5563}">
  <sheetPr codeName="Sheet10">
    <tabColor theme="5" tint="0.59999389629810485"/>
    <pageSetUpPr fitToPage="1"/>
  </sheetPr>
  <dimension ref="A1:AD674"/>
  <sheetViews>
    <sheetView zoomScaleNormal="100" workbookViewId="0">
      <selection activeCell="A3" sqref="A3"/>
    </sheetView>
  </sheetViews>
  <sheetFormatPr defaultColWidth="12.77734375" defaultRowHeight="19.95" customHeight="1"/>
  <cols>
    <col min="1" max="1" width="12.77734375" style="365"/>
    <col min="2" max="2" width="12.77734375" style="365" customWidth="1"/>
    <col min="3" max="11" width="12.77734375" style="365"/>
    <col min="12" max="12" width="12.77734375" style="365" customWidth="1"/>
    <col min="13" max="16384" width="12.77734375" style="365"/>
  </cols>
  <sheetData>
    <row r="1" spans="1:18" s="148" customFormat="1" ht="19.95" customHeight="1">
      <c r="A1" s="1010"/>
      <c r="O1" s="1011"/>
      <c r="R1" s="1012"/>
    </row>
    <row r="3" spans="1:18" ht="19.95" customHeight="1">
      <c r="A3" s="369" t="s">
        <v>314</v>
      </c>
      <c r="B3" s="368"/>
    </row>
    <row r="4" spans="1:18" ht="19.95" customHeight="1">
      <c r="A4" s="368"/>
      <c r="B4" s="368"/>
    </row>
    <row r="5" spans="1:18" ht="19.95" customHeight="1">
      <c r="A5" s="369" t="s">
        <v>315</v>
      </c>
      <c r="B5" s="369" t="s">
        <v>185</v>
      </c>
    </row>
    <row r="6" spans="1:18" ht="19.95" customHeight="1">
      <c r="A6" s="368">
        <f>ROW(A17)</f>
        <v>17</v>
      </c>
      <c r="B6" s="368" t="str">
        <f>A17</f>
        <v>Weight of the units and transpiration loss</v>
      </c>
    </row>
    <row r="7" spans="1:18" s="432" customFormat="1" ht="19.95" customHeight="1">
      <c r="A7" s="432">
        <f>ROW(A35)</f>
        <v>35</v>
      </c>
      <c r="B7" s="432" t="str">
        <f>A35</f>
        <v>Testing the transpiration loss at 40 °C in a trilaminate bag</v>
      </c>
    </row>
    <row r="8" spans="1:18" s="374" customFormat="1" ht="19.95" customHeight="1">
      <c r="A8" s="382">
        <f>ROW(A59)</f>
        <v>59</v>
      </c>
      <c r="B8" s="382" t="str">
        <f>A59</f>
        <v>Randomization of injection order</v>
      </c>
    </row>
    <row r="9" spans="1:18" s="371" customFormat="1" ht="19.95" customHeight="1">
      <c r="A9" s="371">
        <f>ROW(A90)</f>
        <v>90</v>
      </c>
      <c r="B9" s="371" t="str">
        <f>A90</f>
        <v>Short term stability nitrate by HS ID GC-MS (verified on 2024-04-10)</v>
      </c>
    </row>
    <row r="10" spans="1:18" s="382" customFormat="1" ht="19.95" customHeight="1">
      <c r="A10" s="382">
        <f>ROW(A165)</f>
        <v>165</v>
      </c>
      <c r="B10" s="382" t="str">
        <f>A165</f>
        <v>Homogeneity of nitrate on the base of the stability data by ID HS GC-MS (verified on 2024-04-10)</v>
      </c>
    </row>
    <row r="11" spans="1:18" s="371" customFormat="1" ht="19.95" customHeight="1">
      <c r="A11" s="371">
        <f>ROW(A233)</f>
        <v>233</v>
      </c>
      <c r="B11" s="371" t="str">
        <f>A233</f>
        <v>Short term stability nitrite by UV-Vis (verified 2024-04-10)</v>
      </c>
    </row>
    <row r="12" spans="1:18" s="382" customFormat="1" ht="19.95" customHeight="1">
      <c r="A12" s="382">
        <f>ROW(A308)</f>
        <v>308</v>
      </c>
      <c r="B12" s="382" t="str">
        <f>A308</f>
        <v>Homogeneity of nitrite on the base of the stability data by UV-vis (verified on 2024-04-10)</v>
      </c>
    </row>
    <row r="13" spans="1:18" s="371" customFormat="1" ht="19.95" customHeight="1">
      <c r="A13" s="371">
        <f>ROW(A376)</f>
        <v>376</v>
      </c>
      <c r="B13" s="371" t="str">
        <f>A376</f>
        <v>Short term stability phosphate by UV-Vis (verified on 2024-04-10)</v>
      </c>
    </row>
    <row r="14" spans="1:18" s="395" customFormat="1" ht="19.95" customHeight="1">
      <c r="A14" s="395">
        <f>ROW(A456)</f>
        <v>456</v>
      </c>
      <c r="B14" s="395" t="str">
        <f>A456</f>
        <v>Homogeneity of phosphate on the base of the stability data by UV-vis (verified on 2024-04-10)</v>
      </c>
    </row>
    <row r="15" spans="1:18" s="371" customFormat="1" ht="19.95" customHeight="1">
      <c r="A15" s="371">
        <f>ROW(A531)</f>
        <v>531</v>
      </c>
      <c r="B15" s="371" t="str">
        <f>A531</f>
        <v>Short term stability silicate by UV-Vis (verified on 2024-04-10)</v>
      </c>
    </row>
    <row r="17" spans="1:8" s="149" customFormat="1" ht="19.95" customHeight="1">
      <c r="A17" s="150" t="s">
        <v>1015</v>
      </c>
    </row>
    <row r="19" spans="1:8" ht="19.95" customHeight="1">
      <c r="A19" s="370" t="s">
        <v>2</v>
      </c>
      <c r="B19" s="235">
        <v>45306</v>
      </c>
    </row>
    <row r="21" spans="1:8" ht="19.95" customHeight="1">
      <c r="A21" s="390" t="s">
        <v>4</v>
      </c>
      <c r="B21" s="390" t="s">
        <v>925</v>
      </c>
      <c r="C21" s="390" t="s">
        <v>930</v>
      </c>
      <c r="D21" s="390" t="s">
        <v>979</v>
      </c>
      <c r="E21" s="390" t="s">
        <v>979</v>
      </c>
      <c r="F21" s="388" t="s">
        <v>1016</v>
      </c>
      <c r="G21" s="388" t="s">
        <v>1016</v>
      </c>
      <c r="H21" s="388" t="s">
        <v>1016</v>
      </c>
    </row>
    <row r="22" spans="1:8" ht="19.95" customHeight="1">
      <c r="A22" s="385" t="s">
        <v>96</v>
      </c>
      <c r="B22" s="385" t="s">
        <v>92</v>
      </c>
      <c r="C22" s="385" t="s">
        <v>931</v>
      </c>
      <c r="D22" s="385" t="s">
        <v>64</v>
      </c>
      <c r="E22" s="385" t="s">
        <v>64</v>
      </c>
      <c r="F22" s="365" t="s">
        <v>64</v>
      </c>
      <c r="G22" s="382" t="s">
        <v>64</v>
      </c>
      <c r="H22" s="382" t="s">
        <v>74</v>
      </c>
    </row>
    <row r="23" spans="1:8" s="382" customFormat="1" ht="19.95" customHeight="1">
      <c r="A23" s="383"/>
      <c r="B23" s="383"/>
      <c r="C23" s="383"/>
      <c r="D23" s="400">
        <v>20240115</v>
      </c>
      <c r="E23" s="400">
        <f>UNITS!E432</f>
        <v>20230503</v>
      </c>
      <c r="F23" s="383"/>
      <c r="G23" s="383" t="s">
        <v>1041</v>
      </c>
      <c r="H23" s="383"/>
    </row>
    <row r="24" spans="1:8" ht="19.95" customHeight="1">
      <c r="A24" s="285" t="str">
        <f>UNITS!B37</f>
        <v>MOOS009a</v>
      </c>
      <c r="B24" s="382">
        <f>UNITS!C37</f>
        <v>21</v>
      </c>
      <c r="C24" s="144">
        <f>UNITS!F37</f>
        <v>12</v>
      </c>
      <c r="D24" s="182">
        <v>63.379800000000003</v>
      </c>
      <c r="E24" s="365">
        <f>UNITS!E442</f>
        <v>63.389800000000001</v>
      </c>
      <c r="F24" s="60">
        <f>D24-E24</f>
        <v>-9.9999999999980105E-3</v>
      </c>
      <c r="G24" s="60">
        <f>UNITS!H442</f>
        <v>51.582900000000002</v>
      </c>
      <c r="H24" s="356">
        <f>F24/G24</f>
        <v>-1.9386269480773687E-4</v>
      </c>
    </row>
    <row r="25" spans="1:8" ht="19.95" customHeight="1">
      <c r="A25" s="285" t="str">
        <f>UNITS!B38</f>
        <v>MOOS047a</v>
      </c>
      <c r="B25" s="382">
        <f>UNITS!C38</f>
        <v>21</v>
      </c>
      <c r="C25" s="144">
        <f>UNITS!F38</f>
        <v>27</v>
      </c>
      <c r="D25" s="182">
        <v>64.465199999999996</v>
      </c>
      <c r="E25" s="365">
        <f>UNITS!E480</f>
        <v>64.478399999999993</v>
      </c>
      <c r="F25" s="60">
        <f t="shared" ref="F25:F33" si="0">D25-E25</f>
        <v>-1.3199999999997658E-2</v>
      </c>
      <c r="G25" s="60">
        <f>UNITS!H480</f>
        <v>52.690499999999993</v>
      </c>
      <c r="H25" s="356">
        <f t="shared" ref="H25:H33" si="1">F25/G25</f>
        <v>-2.5051954337115156E-4</v>
      </c>
    </row>
    <row r="26" spans="1:8" ht="19.95" customHeight="1">
      <c r="A26" s="285" t="str">
        <f>UNITS!B39</f>
        <v>MOOS085a</v>
      </c>
      <c r="B26" s="382">
        <f>UNITS!C39</f>
        <v>4</v>
      </c>
      <c r="C26" s="382" t="str">
        <f>UNITS!F39</f>
        <v># ref</v>
      </c>
      <c r="D26" s="182">
        <v>63.768000000000001</v>
      </c>
      <c r="E26" s="365">
        <f>UNITS!E518</f>
        <v>63.775799999999997</v>
      </c>
      <c r="F26" s="60">
        <f t="shared" si="0"/>
        <v>-7.7999999999960323E-3</v>
      </c>
      <c r="G26" s="60">
        <f>UNITS!H518</f>
        <v>51.958999999999996</v>
      </c>
      <c r="H26" s="356">
        <f t="shared" si="1"/>
        <v>-1.5011836255501517E-4</v>
      </c>
    </row>
    <row r="27" spans="1:8" ht="19.95" customHeight="1">
      <c r="A27" s="285" t="str">
        <f>UNITS!B40</f>
        <v>MOOS123a</v>
      </c>
      <c r="B27" s="382">
        <f>UNITS!C40</f>
        <v>40</v>
      </c>
      <c r="C27" s="144">
        <f>UNITS!F40</f>
        <v>12</v>
      </c>
      <c r="D27" s="182">
        <v>63.473500000000001</v>
      </c>
      <c r="E27" s="365">
        <f>UNITS!E556</f>
        <v>63.503100000000003</v>
      </c>
      <c r="F27" s="60">
        <f t="shared" si="0"/>
        <v>-2.9600000000002069E-2</v>
      </c>
      <c r="G27" s="60">
        <f>UNITS!H556</f>
        <v>51.664300000000004</v>
      </c>
      <c r="H27" s="356">
        <f t="shared" si="1"/>
        <v>-5.7292946967252181E-4</v>
      </c>
    </row>
    <row r="28" spans="1:8" ht="19.95" customHeight="1">
      <c r="A28" s="285" t="str">
        <f>UNITS!B41</f>
        <v>MOOS161a</v>
      </c>
      <c r="B28" s="382">
        <f>UNITS!C41</f>
        <v>40</v>
      </c>
      <c r="C28" s="144">
        <f>UNITS!F41</f>
        <v>27</v>
      </c>
      <c r="D28" s="182">
        <v>65.388099999999994</v>
      </c>
      <c r="E28" s="365">
        <f>UNITS!E594</f>
        <v>65.449399999999997</v>
      </c>
      <c r="F28" s="60">
        <f t="shared" si="0"/>
        <v>-6.1300000000002797E-2</v>
      </c>
      <c r="G28" s="60">
        <f>UNITS!H594</f>
        <v>53.674299999999995</v>
      </c>
      <c r="H28" s="356">
        <f t="shared" si="1"/>
        <v>-1.1420735808385541E-3</v>
      </c>
    </row>
    <row r="29" spans="1:8" ht="19.95" customHeight="1">
      <c r="A29" s="285" t="str">
        <f>UNITS!B42</f>
        <v>MOOS199a</v>
      </c>
      <c r="B29" s="382">
        <f>UNITS!C42</f>
        <v>21</v>
      </c>
      <c r="C29" s="144">
        <f>UNITS!F42</f>
        <v>35</v>
      </c>
      <c r="D29" s="182">
        <v>64.6096</v>
      </c>
      <c r="E29" s="365">
        <f>UNITS!E632</f>
        <v>64.624300000000005</v>
      </c>
      <c r="F29" s="60">
        <f t="shared" si="0"/>
        <v>-1.470000000000482E-2</v>
      </c>
      <c r="G29" s="60">
        <f>UNITS!H632</f>
        <v>52.796700000000001</v>
      </c>
      <c r="H29" s="356">
        <f t="shared" si="1"/>
        <v>-2.7842649256496751E-4</v>
      </c>
    </row>
    <row r="30" spans="1:8" ht="19.95" customHeight="1">
      <c r="A30" s="285" t="str">
        <f>UNITS!B43</f>
        <v>MOOS237a</v>
      </c>
      <c r="B30" s="382">
        <f>UNITS!C43</f>
        <v>4</v>
      </c>
      <c r="C30" s="382" t="str">
        <f>UNITS!F43</f>
        <v># ref</v>
      </c>
      <c r="D30" s="182">
        <v>63.879800000000003</v>
      </c>
      <c r="E30" s="365">
        <f>UNITS!E670</f>
        <v>63.887700000000002</v>
      </c>
      <c r="F30" s="60">
        <f t="shared" si="0"/>
        <v>-7.899999999999352E-3</v>
      </c>
      <c r="G30" s="60">
        <f>UNITS!H670</f>
        <v>52.068000000000005</v>
      </c>
      <c r="H30" s="356">
        <f t="shared" si="1"/>
        <v>-1.5172466774217083E-4</v>
      </c>
    </row>
    <row r="31" spans="1:8" ht="19.95" customHeight="1">
      <c r="A31" s="285" t="str">
        <f>UNITS!B44</f>
        <v>MOOS275a</v>
      </c>
      <c r="B31" s="382">
        <f>UNITS!C44</f>
        <v>21</v>
      </c>
      <c r="C31" s="144">
        <f>UNITS!F44</f>
        <v>43</v>
      </c>
      <c r="D31" s="182">
        <v>63.109099999999998</v>
      </c>
      <c r="E31" s="365">
        <f>UNITS!E708</f>
        <v>63.123800000000003</v>
      </c>
      <c r="F31" s="60">
        <f t="shared" si="0"/>
        <v>-1.470000000000482E-2</v>
      </c>
      <c r="G31" s="60">
        <f>UNITS!H708</f>
        <v>51.306800000000003</v>
      </c>
      <c r="H31" s="356">
        <f t="shared" si="1"/>
        <v>-2.8651172943946649E-4</v>
      </c>
    </row>
    <row r="32" spans="1:8" ht="19.95" customHeight="1">
      <c r="A32" s="285" t="str">
        <f>UNITS!B45</f>
        <v>MOOS313a</v>
      </c>
      <c r="B32" s="382">
        <f>UNITS!C45</f>
        <v>40</v>
      </c>
      <c r="C32" s="144">
        <f>UNITS!F45</f>
        <v>35</v>
      </c>
      <c r="D32" s="182">
        <v>63.386800000000001</v>
      </c>
      <c r="E32" s="365">
        <f>UNITS!E746</f>
        <v>63.452300000000001</v>
      </c>
      <c r="F32" s="60">
        <f t="shared" si="0"/>
        <v>-6.5500000000000114E-2</v>
      </c>
      <c r="G32" s="60">
        <f>UNITS!H746</f>
        <v>51.606700000000004</v>
      </c>
      <c r="H32" s="356">
        <f t="shared" si="1"/>
        <v>-1.2692150437830767E-3</v>
      </c>
    </row>
    <row r="33" spans="1:11" ht="19.95" customHeight="1">
      <c r="A33" s="286" t="str">
        <f>UNITS!B46</f>
        <v>MOOS351a</v>
      </c>
      <c r="B33" s="383">
        <f>UNITS!C46</f>
        <v>40</v>
      </c>
      <c r="C33" s="146">
        <f>UNITS!F46</f>
        <v>43</v>
      </c>
      <c r="D33" s="141">
        <v>64.091300000000004</v>
      </c>
      <c r="E33" s="383">
        <f>UNITS!E784</f>
        <v>64.170100000000005</v>
      </c>
      <c r="F33" s="81">
        <f t="shared" si="0"/>
        <v>-7.8800000000001091E-2</v>
      </c>
      <c r="G33" s="81">
        <f>UNITS!H784</f>
        <v>52.350200000000001</v>
      </c>
      <c r="H33" s="216">
        <f t="shared" si="1"/>
        <v>-1.5052473534007719E-3</v>
      </c>
    </row>
    <row r="34" spans="1:11" s="148" customFormat="1" ht="19.95" customHeight="1">
      <c r="A34" s="230"/>
      <c r="B34" s="230"/>
      <c r="C34" s="438"/>
      <c r="D34" s="379"/>
      <c r="E34" s="230"/>
      <c r="F34" s="379"/>
      <c r="G34" s="379"/>
      <c r="H34" s="439"/>
    </row>
    <row r="35" spans="1:11" s="149" customFormat="1" ht="19.95" customHeight="1">
      <c r="A35" s="150" t="s">
        <v>1203</v>
      </c>
    </row>
    <row r="36" spans="1:11" s="148" customFormat="1" ht="19.95" customHeight="1">
      <c r="A36" s="230"/>
      <c r="B36" s="230"/>
      <c r="C36" s="438"/>
      <c r="D36" s="379"/>
      <c r="E36" s="230"/>
      <c r="F36" s="379"/>
      <c r="G36" s="379"/>
      <c r="H36" s="439"/>
    </row>
    <row r="37" spans="1:11" s="148" customFormat="1" ht="19.95" customHeight="1">
      <c r="A37" s="434" t="s">
        <v>2</v>
      </c>
      <c r="B37" s="235">
        <v>45314</v>
      </c>
      <c r="C37" s="438" t="s">
        <v>1200</v>
      </c>
      <c r="D37" s="379"/>
      <c r="E37" s="230"/>
      <c r="F37" s="379"/>
      <c r="G37" s="379"/>
      <c r="H37" s="439"/>
    </row>
    <row r="38" spans="1:11" s="148" customFormat="1" ht="19.95" customHeight="1">
      <c r="A38" s="434" t="s">
        <v>2</v>
      </c>
      <c r="B38" s="235">
        <v>45377</v>
      </c>
      <c r="C38" s="438" t="s">
        <v>1201</v>
      </c>
      <c r="D38" s="379"/>
      <c r="E38" s="230"/>
      <c r="F38" s="379"/>
      <c r="G38" s="379"/>
      <c r="H38" s="439"/>
    </row>
    <row r="39" spans="1:11" s="148" customFormat="1" ht="19.95" customHeight="1">
      <c r="A39" s="434"/>
      <c r="B39" s="170">
        <f>B38-B37</f>
        <v>63</v>
      </c>
      <c r="C39" s="438" t="s">
        <v>1202</v>
      </c>
      <c r="D39" s="379"/>
      <c r="E39" s="230"/>
      <c r="F39" s="379"/>
      <c r="G39" s="379"/>
      <c r="H39" s="439"/>
    </row>
    <row r="40" spans="1:11" s="148" customFormat="1" ht="19.95" customHeight="1">
      <c r="A40" s="230"/>
      <c r="B40" s="230"/>
      <c r="C40" s="438"/>
      <c r="D40" s="379"/>
      <c r="E40" s="230"/>
      <c r="F40" s="379"/>
      <c r="G40" s="379"/>
      <c r="H40" s="439"/>
    </row>
    <row r="41" spans="1:11" s="148" customFormat="1" ht="19.95" customHeight="1">
      <c r="A41" s="230"/>
      <c r="B41" s="230"/>
      <c r="C41" s="438"/>
      <c r="D41" s="378">
        <f>B37</f>
        <v>45314</v>
      </c>
      <c r="E41" s="378">
        <f>B37</f>
        <v>45314</v>
      </c>
      <c r="F41" s="378">
        <f>B37</f>
        <v>45314</v>
      </c>
      <c r="G41" s="378">
        <f>B38</f>
        <v>45377</v>
      </c>
      <c r="H41" s="378">
        <f>B38</f>
        <v>45377</v>
      </c>
      <c r="I41" s="378">
        <f>B38</f>
        <v>45377</v>
      </c>
    </row>
    <row r="42" spans="1:11" s="148" customFormat="1" ht="19.95" customHeight="1">
      <c r="A42" s="314" t="s">
        <v>100</v>
      </c>
      <c r="B42" s="435" t="s">
        <v>925</v>
      </c>
      <c r="C42" s="314" t="s">
        <v>1196</v>
      </c>
      <c r="D42" s="380" t="s">
        <v>1194</v>
      </c>
      <c r="E42" s="314" t="s">
        <v>1195</v>
      </c>
      <c r="F42" s="440" t="s">
        <v>1204</v>
      </c>
      <c r="G42" s="380" t="s">
        <v>1194</v>
      </c>
      <c r="H42" s="314" t="s">
        <v>1195</v>
      </c>
      <c r="I42" s="440" t="s">
        <v>1205</v>
      </c>
      <c r="J42" s="233" t="s">
        <v>328</v>
      </c>
      <c r="K42" s="314" t="s">
        <v>1960</v>
      </c>
    </row>
    <row r="43" spans="1:11" s="148" customFormat="1" ht="19.95" customHeight="1">
      <c r="A43" s="231" t="s">
        <v>96</v>
      </c>
      <c r="B43" s="433" t="s">
        <v>92</v>
      </c>
      <c r="C43" s="315" t="s">
        <v>1197</v>
      </c>
      <c r="D43" s="231" t="s">
        <v>64</v>
      </c>
      <c r="E43" s="315" t="s">
        <v>64</v>
      </c>
      <c r="F43" s="441" t="s">
        <v>64</v>
      </c>
      <c r="G43" s="231" t="s">
        <v>64</v>
      </c>
      <c r="H43" s="315" t="s">
        <v>64</v>
      </c>
      <c r="I43" s="441" t="s">
        <v>64</v>
      </c>
      <c r="J43" s="315" t="s">
        <v>64</v>
      </c>
      <c r="K43" s="315" t="s">
        <v>1961</v>
      </c>
    </row>
    <row r="44" spans="1:11" s="148" customFormat="1" ht="19.95" customHeight="1">
      <c r="A44" s="230">
        <v>1</v>
      </c>
      <c r="B44" s="438" t="s">
        <v>1193</v>
      </c>
      <c r="C44" s="148" t="s">
        <v>1198</v>
      </c>
      <c r="D44" s="139">
        <v>68.061400000000006</v>
      </c>
      <c r="E44" s="182">
        <v>0</v>
      </c>
      <c r="F44" s="379">
        <f>D44-E44/2</f>
        <v>68.061400000000006</v>
      </c>
      <c r="G44" s="139">
        <v>67.927400000000006</v>
      </c>
      <c r="H44" s="182">
        <v>1E-4</v>
      </c>
      <c r="I44" s="379">
        <f>G44-H44/2</f>
        <v>67.927350000000004</v>
      </c>
      <c r="J44" s="317">
        <f>I44-F44</f>
        <v>-0.134050000000002</v>
      </c>
      <c r="K44" s="629">
        <f>J44/50</f>
        <v>-2.6810000000000401E-3</v>
      </c>
    </row>
    <row r="45" spans="1:11" s="148" customFormat="1" ht="19.95" customHeight="1">
      <c r="A45" s="230">
        <v>2</v>
      </c>
      <c r="B45" s="438" t="s">
        <v>1193</v>
      </c>
      <c r="C45" s="148" t="s">
        <v>1198</v>
      </c>
      <c r="D45" s="139">
        <v>66.025999999999996</v>
      </c>
      <c r="E45" s="182">
        <v>1E-4</v>
      </c>
      <c r="F45" s="379">
        <f t="shared" ref="F45:F49" si="2">D45-E45/2</f>
        <v>66.025949999999995</v>
      </c>
      <c r="G45" s="139">
        <v>65.877899999999997</v>
      </c>
      <c r="H45" s="182">
        <v>1E-4</v>
      </c>
      <c r="I45" s="379">
        <f t="shared" ref="I45:I49" si="3">G45-H45/2</f>
        <v>65.877849999999995</v>
      </c>
      <c r="J45" s="317">
        <f t="shared" ref="J45:J49" si="4">I45-F45</f>
        <v>-0.14809999999999945</v>
      </c>
      <c r="K45" s="629">
        <f t="shared" ref="K45:K49" si="5">J45/50</f>
        <v>-2.9619999999999889E-3</v>
      </c>
    </row>
    <row r="46" spans="1:11" s="148" customFormat="1" ht="19.95" customHeight="1">
      <c r="A46" s="230">
        <v>3</v>
      </c>
      <c r="B46" s="438" t="s">
        <v>1193</v>
      </c>
      <c r="C46" s="148" t="s">
        <v>1198</v>
      </c>
      <c r="D46" s="139">
        <v>66.126900000000006</v>
      </c>
      <c r="E46" s="182">
        <v>-1E-4</v>
      </c>
      <c r="F46" s="379">
        <f t="shared" si="2"/>
        <v>66.126950000000008</v>
      </c>
      <c r="G46" s="139">
        <v>65.972800000000007</v>
      </c>
      <c r="H46" s="182">
        <v>-1E-4</v>
      </c>
      <c r="I46" s="379">
        <f t="shared" si="3"/>
        <v>65.972850000000008</v>
      </c>
      <c r="J46" s="317">
        <f t="shared" si="4"/>
        <v>-0.15409999999999968</v>
      </c>
      <c r="K46" s="629">
        <f t="shared" si="5"/>
        <v>-3.0819999999999936E-3</v>
      </c>
    </row>
    <row r="47" spans="1:11" s="148" customFormat="1" ht="19.95" customHeight="1">
      <c r="A47" s="230">
        <v>4</v>
      </c>
      <c r="B47" s="438" t="s">
        <v>1193</v>
      </c>
      <c r="C47" s="148" t="s">
        <v>1199</v>
      </c>
      <c r="D47" s="139">
        <v>66.353700000000003</v>
      </c>
      <c r="E47" s="182">
        <v>0</v>
      </c>
      <c r="F47" s="379">
        <f t="shared" si="2"/>
        <v>66.353700000000003</v>
      </c>
      <c r="G47" s="139">
        <v>66.332400000000007</v>
      </c>
      <c r="H47" s="182">
        <v>1E-4</v>
      </c>
      <c r="I47" s="379">
        <f t="shared" si="3"/>
        <v>66.332350000000005</v>
      </c>
      <c r="J47" s="317">
        <f t="shared" si="4"/>
        <v>-2.1349999999998204E-2</v>
      </c>
      <c r="K47" s="629">
        <f t="shared" si="5"/>
        <v>-4.2699999999996408E-4</v>
      </c>
    </row>
    <row r="48" spans="1:11" s="148" customFormat="1" ht="19.95" customHeight="1">
      <c r="A48" s="230">
        <v>5</v>
      </c>
      <c r="B48" s="438" t="s">
        <v>1193</v>
      </c>
      <c r="C48" s="148" t="s">
        <v>1199</v>
      </c>
      <c r="D48" s="139">
        <v>64.740499999999997</v>
      </c>
      <c r="E48" s="182">
        <v>-1E-4</v>
      </c>
      <c r="F48" s="379">
        <f t="shared" si="2"/>
        <v>64.740549999999999</v>
      </c>
      <c r="G48" s="139">
        <v>64.723200000000006</v>
      </c>
      <c r="H48" s="182">
        <v>1E-4</v>
      </c>
      <c r="I48" s="379">
        <f t="shared" si="3"/>
        <v>64.723150000000004</v>
      </c>
      <c r="J48" s="317">
        <f t="shared" si="4"/>
        <v>-1.7399999999994975E-2</v>
      </c>
      <c r="K48" s="629">
        <f t="shared" si="5"/>
        <v>-3.479999999998995E-4</v>
      </c>
    </row>
    <row r="49" spans="1:11" s="148" customFormat="1" ht="19.95" customHeight="1">
      <c r="A49" s="231">
        <v>6</v>
      </c>
      <c r="B49" s="442" t="s">
        <v>1193</v>
      </c>
      <c r="C49" s="315" t="s">
        <v>1199</v>
      </c>
      <c r="D49" s="141">
        <v>65.796099999999996</v>
      </c>
      <c r="E49" s="141">
        <v>1E-4</v>
      </c>
      <c r="F49" s="441">
        <f t="shared" si="2"/>
        <v>65.796049999999994</v>
      </c>
      <c r="G49" s="141">
        <v>65.777799999999999</v>
      </c>
      <c r="H49" s="141">
        <v>0</v>
      </c>
      <c r="I49" s="441">
        <f t="shared" si="3"/>
        <v>65.777799999999999</v>
      </c>
      <c r="J49" s="319">
        <f t="shared" si="4"/>
        <v>-1.824999999999477E-2</v>
      </c>
      <c r="K49" s="638">
        <f t="shared" si="5"/>
        <v>-3.6499999999989541E-4</v>
      </c>
    </row>
    <row r="50" spans="1:11" s="148" customFormat="1" ht="19.95" customHeight="1">
      <c r="A50" s="230"/>
      <c r="B50" s="230"/>
      <c r="C50" s="438"/>
      <c r="D50" s="379"/>
      <c r="E50" s="230"/>
      <c r="F50" s="379"/>
      <c r="G50" s="379"/>
      <c r="H50" s="439"/>
    </row>
    <row r="51" spans="1:11" s="148" customFormat="1" ht="19.95" customHeight="1">
      <c r="A51" s="230" t="s">
        <v>1962</v>
      </c>
      <c r="B51" s="230"/>
      <c r="C51" s="438"/>
      <c r="D51" s="379"/>
      <c r="E51" s="230"/>
      <c r="F51" s="379"/>
      <c r="G51" s="379"/>
      <c r="H51" s="439"/>
    </row>
    <row r="52" spans="1:11" s="148" customFormat="1" ht="19.95" customHeight="1">
      <c r="A52" s="639">
        <f>AVERAGE(K44:K46)</f>
        <v>-2.9083333333333409E-3</v>
      </c>
      <c r="B52" s="230"/>
      <c r="C52" s="438"/>
      <c r="D52" s="379"/>
      <c r="E52" s="230"/>
      <c r="F52" s="379"/>
      <c r="G52" s="379"/>
      <c r="H52" s="439"/>
    </row>
    <row r="53" spans="1:11" s="148" customFormat="1" ht="19.95" customHeight="1">
      <c r="A53" s="230"/>
      <c r="B53" s="230"/>
      <c r="C53" s="438"/>
      <c r="D53" s="379"/>
      <c r="E53" s="230"/>
      <c r="F53" s="379"/>
      <c r="G53" s="379"/>
      <c r="H53" s="439"/>
    </row>
    <row r="54" spans="1:11" s="148" customFormat="1" ht="19.95" customHeight="1">
      <c r="A54" s="230" t="s">
        <v>1963</v>
      </c>
      <c r="B54" s="230"/>
      <c r="C54" s="438"/>
      <c r="D54" s="379"/>
      <c r="E54" s="230"/>
      <c r="F54" s="379"/>
      <c r="G54" s="379"/>
      <c r="H54" s="439"/>
    </row>
    <row r="55" spans="1:11" s="148" customFormat="1" ht="19.95" customHeight="1">
      <c r="A55" s="640">
        <f>AVERAGE(K47:K49)</f>
        <v>-3.7999999999991968E-4</v>
      </c>
      <c r="B55" s="230"/>
      <c r="C55" s="438"/>
      <c r="D55" s="379"/>
      <c r="E55" s="230"/>
      <c r="F55" s="379"/>
      <c r="G55" s="379"/>
      <c r="H55" s="439"/>
    </row>
    <row r="56" spans="1:11" s="148" customFormat="1" ht="19.95" customHeight="1">
      <c r="A56" s="230"/>
      <c r="B56" s="230"/>
      <c r="C56" s="438"/>
      <c r="D56" s="379"/>
      <c r="E56" s="230"/>
      <c r="F56" s="379"/>
      <c r="G56" s="379"/>
      <c r="H56" s="439"/>
    </row>
    <row r="57" spans="1:11" s="148" customFormat="1" ht="19.95" customHeight="1">
      <c r="A57" s="641" t="s">
        <v>2114</v>
      </c>
      <c r="B57" s="230"/>
      <c r="C57" s="438"/>
      <c r="D57" s="379"/>
      <c r="E57" s="230"/>
      <c r="F57" s="379"/>
      <c r="G57" s="379"/>
      <c r="H57" s="439"/>
    </row>
    <row r="58" spans="1:11" s="374" customFormat="1" ht="19.95" customHeight="1">
      <c r="A58" s="404"/>
      <c r="B58" s="379"/>
      <c r="C58" s="426"/>
      <c r="D58" s="426"/>
      <c r="E58" s="426"/>
      <c r="F58" s="426"/>
      <c r="G58" s="426"/>
      <c r="H58" s="426"/>
    </row>
    <row r="59" spans="1:11" s="149" customFormat="1" ht="19.95" customHeight="1">
      <c r="A59" s="150" t="s">
        <v>1013</v>
      </c>
    </row>
    <row r="60" spans="1:11" s="374" customFormat="1" ht="19.95" customHeight="1">
      <c r="A60" s="363"/>
      <c r="B60" s="183"/>
    </row>
    <row r="61" spans="1:11" s="374" customFormat="1" ht="19.95" customHeight="1">
      <c r="A61" s="380" t="s">
        <v>2</v>
      </c>
      <c r="B61" s="378">
        <v>45302</v>
      </c>
      <c r="C61" s="355"/>
    </row>
    <row r="62" spans="1:11" s="374" customFormat="1" ht="19.95" customHeight="1">
      <c r="A62" s="230"/>
      <c r="B62" s="379"/>
      <c r="C62" s="355"/>
    </row>
    <row r="63" spans="1:11" s="374" customFormat="1" ht="19.95" customHeight="1">
      <c r="A63" s="230" t="s">
        <v>1014</v>
      </c>
      <c r="B63" s="379"/>
      <c r="C63" s="355"/>
    </row>
    <row r="64" spans="1:11" s="374" customFormat="1" ht="19.95" customHeight="1">
      <c r="A64" s="230"/>
      <c r="B64" s="379"/>
      <c r="C64" s="355"/>
    </row>
    <row r="65" spans="1:4" s="374" customFormat="1" ht="19.95" customHeight="1">
      <c r="A65" s="376" t="str">
        <f>I94</f>
        <v>Random</v>
      </c>
      <c r="B65" s="376" t="str">
        <f>I237</f>
        <v>Random</v>
      </c>
      <c r="C65" s="376" t="str">
        <f>I380</f>
        <v>Random</v>
      </c>
      <c r="D65" s="376" t="str">
        <f>I535</f>
        <v>Random</v>
      </c>
    </row>
    <row r="66" spans="1:4" s="374" customFormat="1" ht="19.95" customHeight="1">
      <c r="A66" s="375" t="str">
        <f t="shared" ref="A66:A88" si="6">I95</f>
        <v>nitrate</v>
      </c>
      <c r="B66" s="375" t="str">
        <f t="shared" ref="B66:B88" si="7">I238</f>
        <v>nitrite</v>
      </c>
      <c r="C66" s="375" t="str">
        <f t="shared" ref="C66:C88" si="8">I381</f>
        <v>phosphate</v>
      </c>
      <c r="D66" s="375" t="str">
        <f t="shared" ref="D66:D88" si="9">I536</f>
        <v>silicate</v>
      </c>
    </row>
    <row r="67" spans="1:4" s="374" customFormat="1" ht="19.95" customHeight="1">
      <c r="A67" s="374" t="str">
        <f t="shared" si="6"/>
        <v>BLK</v>
      </c>
      <c r="B67" s="374" t="str">
        <f t="shared" si="7"/>
        <v>BLK</v>
      </c>
      <c r="C67" s="374" t="str">
        <f t="shared" si="8"/>
        <v>BLK</v>
      </c>
      <c r="D67" s="374" t="str">
        <f t="shared" si="9"/>
        <v>BLK</v>
      </c>
    </row>
    <row r="68" spans="1:4" s="374" customFormat="1" ht="19.95" customHeight="1">
      <c r="A68" s="374" t="str">
        <f t="shared" si="6"/>
        <v>BLK-IS</v>
      </c>
      <c r="B68" s="374" t="str">
        <f t="shared" si="7"/>
        <v>BLK-IS</v>
      </c>
      <c r="C68" s="374" t="str">
        <f t="shared" si="8"/>
        <v>BLK-IS</v>
      </c>
      <c r="D68" s="374" t="str">
        <f t="shared" si="9"/>
        <v>BLK-IS</v>
      </c>
    </row>
    <row r="69" spans="1:4" s="374" customFormat="1" ht="19.95" customHeight="1">
      <c r="A69" s="374" t="str">
        <f t="shared" si="6"/>
        <v>MOOS237a1</v>
      </c>
      <c r="B69" s="374" t="str">
        <f t="shared" si="7"/>
        <v>MOOS351a1</v>
      </c>
      <c r="C69" s="374" t="str">
        <f t="shared" si="8"/>
        <v>MOOS199a2</v>
      </c>
      <c r="D69" s="374" t="str">
        <f t="shared" si="9"/>
        <v>MOOS313a1</v>
      </c>
    </row>
    <row r="70" spans="1:4" s="374" customFormat="1" ht="19.95" customHeight="1">
      <c r="A70" s="374" t="str">
        <f t="shared" si="6"/>
        <v>MOOS351a2</v>
      </c>
      <c r="B70" s="374" t="str">
        <f t="shared" si="7"/>
        <v>MOOS313a2</v>
      </c>
      <c r="C70" s="374" t="str">
        <f t="shared" si="8"/>
        <v>MOOS085a1</v>
      </c>
      <c r="D70" s="374" t="str">
        <f t="shared" si="9"/>
        <v>MOOS009a2</v>
      </c>
    </row>
    <row r="71" spans="1:4" s="374" customFormat="1" ht="19.95" customHeight="1">
      <c r="A71" s="374" t="str">
        <f t="shared" si="6"/>
        <v>MOOS161a1</v>
      </c>
      <c r="B71" s="374" t="str">
        <f t="shared" si="7"/>
        <v>MOOS085a1</v>
      </c>
      <c r="C71" s="374" t="str">
        <f t="shared" si="8"/>
        <v>MOOS085a2</v>
      </c>
      <c r="D71" s="374" t="str">
        <f t="shared" si="9"/>
        <v>MOOS199a2</v>
      </c>
    </row>
    <row r="72" spans="1:4" s="374" customFormat="1" ht="19.95" customHeight="1">
      <c r="A72" s="374" t="str">
        <f t="shared" si="6"/>
        <v>MOOS123a2</v>
      </c>
      <c r="B72" s="374" t="str">
        <f t="shared" si="7"/>
        <v>MOOS237a2</v>
      </c>
      <c r="C72" s="374" t="str">
        <f t="shared" si="8"/>
        <v>MOOS313a1</v>
      </c>
      <c r="D72" s="374" t="str">
        <f t="shared" si="9"/>
        <v>MOOS047a2</v>
      </c>
    </row>
    <row r="73" spans="1:4" s="374" customFormat="1" ht="19.95" customHeight="1">
      <c r="A73" s="374" t="str">
        <f t="shared" si="6"/>
        <v>MOOS161a2</v>
      </c>
      <c r="B73" s="374" t="str">
        <f t="shared" si="7"/>
        <v>MOOS351a2</v>
      </c>
      <c r="C73" s="374" t="str">
        <f t="shared" si="8"/>
        <v>MOOS047a2</v>
      </c>
      <c r="D73" s="374" t="str">
        <f t="shared" si="9"/>
        <v>MOOS085a2</v>
      </c>
    </row>
    <row r="74" spans="1:4" s="374" customFormat="1" ht="19.95" customHeight="1">
      <c r="A74" s="374" t="str">
        <f t="shared" si="6"/>
        <v>MOOS275a1</v>
      </c>
      <c r="B74" s="374" t="str">
        <f t="shared" si="7"/>
        <v>MOOS047a2</v>
      </c>
      <c r="C74" s="374" t="str">
        <f t="shared" si="8"/>
        <v>MOOS047a1</v>
      </c>
      <c r="D74" s="374" t="str">
        <f t="shared" si="9"/>
        <v>MOOS085a1</v>
      </c>
    </row>
    <row r="75" spans="1:4" s="374" customFormat="1" ht="19.95" customHeight="1">
      <c r="A75" s="374" t="str">
        <f t="shared" si="6"/>
        <v>MOOS009a2</v>
      </c>
      <c r="B75" s="374" t="str">
        <f t="shared" si="7"/>
        <v>MOOS275a1</v>
      </c>
      <c r="C75" s="374" t="str">
        <f t="shared" si="8"/>
        <v>MOOS351a1</v>
      </c>
      <c r="D75" s="374" t="str">
        <f t="shared" si="9"/>
        <v>MOOS009a1</v>
      </c>
    </row>
    <row r="76" spans="1:4" s="374" customFormat="1" ht="19.95" customHeight="1">
      <c r="A76" s="374" t="str">
        <f t="shared" si="6"/>
        <v>MOOS313a2</v>
      </c>
      <c r="B76" s="374" t="str">
        <f t="shared" si="7"/>
        <v>MOOS009a2</v>
      </c>
      <c r="C76" s="374" t="str">
        <f t="shared" si="8"/>
        <v>MOOS237a2</v>
      </c>
      <c r="D76" s="374" t="str">
        <f t="shared" si="9"/>
        <v>MOOS161a1</v>
      </c>
    </row>
    <row r="77" spans="1:4" s="374" customFormat="1" ht="19.95" customHeight="1">
      <c r="A77" s="374" t="str">
        <f t="shared" si="6"/>
        <v>MOOS199a1</v>
      </c>
      <c r="B77" s="374" t="str">
        <f t="shared" si="7"/>
        <v>MOOS161a2</v>
      </c>
      <c r="C77" s="374" t="str">
        <f t="shared" si="8"/>
        <v>MOOS313a2</v>
      </c>
      <c r="D77" s="374" t="str">
        <f t="shared" si="9"/>
        <v>MOOS123a2</v>
      </c>
    </row>
    <row r="78" spans="1:4" s="374" customFormat="1" ht="19.95" customHeight="1">
      <c r="A78" s="374" t="str">
        <f t="shared" si="6"/>
        <v>MOOS237a2</v>
      </c>
      <c r="B78" s="374" t="str">
        <f t="shared" si="7"/>
        <v>MOOS313a1</v>
      </c>
      <c r="C78" s="374" t="str">
        <f t="shared" si="8"/>
        <v>MOOS351a2</v>
      </c>
      <c r="D78" s="374" t="str">
        <f t="shared" si="9"/>
        <v>MOOS275a2</v>
      </c>
    </row>
    <row r="79" spans="1:4" s="374" customFormat="1" ht="19.95" customHeight="1">
      <c r="A79" s="374" t="str">
        <f t="shared" si="6"/>
        <v>MOOS047a2</v>
      </c>
      <c r="B79" s="374" t="str">
        <f t="shared" si="7"/>
        <v>MOOS123a2</v>
      </c>
      <c r="C79" s="374" t="str">
        <f t="shared" si="8"/>
        <v>MOOS275a2</v>
      </c>
      <c r="D79" s="374" t="str">
        <f t="shared" si="9"/>
        <v>MOOS161a2</v>
      </c>
    </row>
    <row r="80" spans="1:4" s="374" customFormat="1" ht="19.95" customHeight="1">
      <c r="A80" s="374" t="str">
        <f t="shared" si="6"/>
        <v>MOOS085a1</v>
      </c>
      <c r="B80" s="374" t="str">
        <f t="shared" si="7"/>
        <v>MOOS199a1</v>
      </c>
      <c r="C80" s="374" t="str">
        <f t="shared" si="8"/>
        <v>MOOS199a1</v>
      </c>
      <c r="D80" s="374" t="str">
        <f t="shared" si="9"/>
        <v>MOOS237a2</v>
      </c>
    </row>
    <row r="81" spans="1:10" s="374" customFormat="1" ht="19.95" customHeight="1">
      <c r="A81" s="374" t="str">
        <f t="shared" si="6"/>
        <v>MOOS199a2</v>
      </c>
      <c r="B81" s="374" t="str">
        <f t="shared" si="7"/>
        <v>MOOS275a2</v>
      </c>
      <c r="C81" s="374" t="str">
        <f t="shared" si="8"/>
        <v>MOOS237a1</v>
      </c>
      <c r="D81" s="374" t="str">
        <f t="shared" si="9"/>
        <v>MOOS199a1</v>
      </c>
    </row>
    <row r="82" spans="1:10" s="374" customFormat="1" ht="19.95" customHeight="1">
      <c r="A82" s="374" t="str">
        <f t="shared" si="6"/>
        <v>MOOS123a1</v>
      </c>
      <c r="B82" s="374" t="str">
        <f t="shared" si="7"/>
        <v>MOOS123a1</v>
      </c>
      <c r="C82" s="374" t="str">
        <f t="shared" si="8"/>
        <v>MOOS161a1</v>
      </c>
      <c r="D82" s="374" t="str">
        <f t="shared" si="9"/>
        <v>MOOS351a2</v>
      </c>
    </row>
    <row r="83" spans="1:10" s="374" customFormat="1" ht="19.95" customHeight="1">
      <c r="A83" s="374" t="str">
        <f t="shared" si="6"/>
        <v>MOOS009a1</v>
      </c>
      <c r="B83" s="374" t="str">
        <f t="shared" si="7"/>
        <v>MOOS009a1</v>
      </c>
      <c r="C83" s="374" t="str">
        <f t="shared" si="8"/>
        <v>MOOS123a1</v>
      </c>
      <c r="D83" s="374" t="str">
        <f t="shared" si="9"/>
        <v>MOOS275a1</v>
      </c>
    </row>
    <row r="84" spans="1:10" s="374" customFormat="1" ht="19.95" customHeight="1">
      <c r="A84" s="374" t="str">
        <f t="shared" si="6"/>
        <v>MOOS313a1</v>
      </c>
      <c r="B84" s="374" t="str">
        <f t="shared" si="7"/>
        <v>MOOS085a2</v>
      </c>
      <c r="C84" s="374" t="str">
        <f t="shared" si="8"/>
        <v>MOOS009a2</v>
      </c>
      <c r="D84" s="374" t="str">
        <f t="shared" si="9"/>
        <v>MOOS237a1</v>
      </c>
    </row>
    <row r="85" spans="1:10" s="374" customFormat="1" ht="19.95" customHeight="1">
      <c r="A85" s="374" t="str">
        <f t="shared" si="6"/>
        <v>MOOS275a2</v>
      </c>
      <c r="B85" s="374" t="str">
        <f t="shared" si="7"/>
        <v>MOOS237a1</v>
      </c>
      <c r="C85" s="374" t="str">
        <f t="shared" si="8"/>
        <v>MOOS009a1</v>
      </c>
      <c r="D85" s="374" t="str">
        <f t="shared" si="9"/>
        <v>MOOS313a2</v>
      </c>
    </row>
    <row r="86" spans="1:10" s="374" customFormat="1" ht="19.95" customHeight="1">
      <c r="A86" s="374" t="str">
        <f t="shared" si="6"/>
        <v>MOOS047a1</v>
      </c>
      <c r="B86" s="374" t="str">
        <f t="shared" si="7"/>
        <v>MOOS161a1</v>
      </c>
      <c r="C86" s="374" t="str">
        <f t="shared" si="8"/>
        <v>MOOS123a2</v>
      </c>
      <c r="D86" s="374" t="str">
        <f t="shared" si="9"/>
        <v>MOOS351a1</v>
      </c>
    </row>
    <row r="87" spans="1:10" s="374" customFormat="1" ht="19.95" customHeight="1">
      <c r="A87" s="374" t="str">
        <f t="shared" si="6"/>
        <v>MOOS351a1</v>
      </c>
      <c r="B87" s="374" t="str">
        <f t="shared" si="7"/>
        <v>MOOS199a2</v>
      </c>
      <c r="C87" s="374" t="str">
        <f t="shared" si="8"/>
        <v>MOOS161a2</v>
      </c>
      <c r="D87" s="374" t="str">
        <f t="shared" si="9"/>
        <v>MOOS047a1</v>
      </c>
    </row>
    <row r="88" spans="1:10" s="374" customFormat="1" ht="19.95" customHeight="1">
      <c r="A88" s="375" t="str">
        <f t="shared" si="6"/>
        <v>MOOS085a2</v>
      </c>
      <c r="B88" s="375" t="str">
        <f t="shared" si="7"/>
        <v>MOOS047a1</v>
      </c>
      <c r="C88" s="375" t="str">
        <f t="shared" si="8"/>
        <v>MOOS275a1</v>
      </c>
      <c r="D88" s="375" t="str">
        <f t="shared" si="9"/>
        <v>MOOS123a1</v>
      </c>
    </row>
    <row r="89" spans="1:10" s="374" customFormat="1" ht="19.95" customHeight="1">
      <c r="A89" s="355"/>
      <c r="B89" s="355"/>
      <c r="C89" s="355"/>
    </row>
    <row r="90" spans="1:10" s="149" customFormat="1" ht="19.95" customHeight="1">
      <c r="A90" s="150" t="s">
        <v>2693</v>
      </c>
    </row>
    <row r="92" spans="1:10" ht="19.95" customHeight="1">
      <c r="A92" s="370" t="s">
        <v>2</v>
      </c>
      <c r="B92" s="235">
        <v>45306</v>
      </c>
    </row>
    <row r="94" spans="1:10" s="371" customFormat="1" ht="19.95" customHeight="1">
      <c r="A94" s="373" t="s">
        <v>100</v>
      </c>
      <c r="B94" s="373" t="s">
        <v>99</v>
      </c>
      <c r="C94" s="373" t="s">
        <v>100</v>
      </c>
      <c r="D94" s="373" t="s">
        <v>435</v>
      </c>
      <c r="E94" s="373" t="s">
        <v>116</v>
      </c>
      <c r="F94" s="373" t="s">
        <v>117</v>
      </c>
      <c r="G94" s="373" t="s">
        <v>115</v>
      </c>
      <c r="H94" s="373" t="s">
        <v>1003</v>
      </c>
      <c r="I94" s="370" t="s">
        <v>1009</v>
      </c>
      <c r="J94" s="390" t="s">
        <v>1003</v>
      </c>
    </row>
    <row r="95" spans="1:10" ht="19.95" customHeight="1">
      <c r="A95" s="372" t="s">
        <v>96</v>
      </c>
      <c r="B95" s="372" t="s">
        <v>64</v>
      </c>
      <c r="C95" s="372" t="s">
        <v>64</v>
      </c>
      <c r="D95" s="372" t="s">
        <v>64</v>
      </c>
      <c r="E95" s="372" t="s">
        <v>64</v>
      </c>
      <c r="F95" s="372" t="s">
        <v>64</v>
      </c>
      <c r="G95" s="372"/>
      <c r="H95" s="372"/>
      <c r="I95" s="372" t="s">
        <v>1010</v>
      </c>
      <c r="J95" s="383" t="s">
        <v>429</v>
      </c>
    </row>
    <row r="96" spans="1:10" ht="19.95" customHeight="1">
      <c r="A96" s="365" t="s">
        <v>110</v>
      </c>
      <c r="B96" s="182">
        <v>11.624700000000001</v>
      </c>
      <c r="C96" s="182">
        <v>13.6158</v>
      </c>
      <c r="D96" s="182">
        <v>13.6159</v>
      </c>
      <c r="E96" s="60">
        <f>C96-B96</f>
        <v>1.9910999999999994</v>
      </c>
      <c r="F96" s="60">
        <f>D96-C96</f>
        <v>9.9999999999766942E-5</v>
      </c>
      <c r="I96" s="365" t="s">
        <v>110</v>
      </c>
    </row>
    <row r="97" spans="1:13" ht="19.95" customHeight="1">
      <c r="A97" s="383" t="s">
        <v>980</v>
      </c>
      <c r="B97" s="141">
        <v>11.2155</v>
      </c>
      <c r="C97" s="141">
        <v>13.184200000000001</v>
      </c>
      <c r="D97" s="141">
        <v>13.3835</v>
      </c>
      <c r="E97" s="81">
        <f t="shared" ref="E97:E117" si="10">C97-B97</f>
        <v>1.9687000000000001</v>
      </c>
      <c r="F97" s="81">
        <f t="shared" ref="F97:F117" si="11">D97-C97</f>
        <v>0.19929999999999914</v>
      </c>
      <c r="G97" s="383"/>
      <c r="H97" s="383"/>
      <c r="I97" s="383" t="s">
        <v>980</v>
      </c>
      <c r="J97" s="383"/>
    </row>
    <row r="98" spans="1:13" ht="19.95" customHeight="1">
      <c r="A98" s="365" t="s">
        <v>981</v>
      </c>
      <c r="B98" s="182">
        <v>11.4625</v>
      </c>
      <c r="C98" s="182">
        <v>13.5021</v>
      </c>
      <c r="D98" s="182">
        <v>13.7004</v>
      </c>
      <c r="E98" s="60">
        <f t="shared" si="10"/>
        <v>2.0396000000000001</v>
      </c>
      <c r="F98" s="60">
        <f t="shared" si="11"/>
        <v>0.1982999999999997</v>
      </c>
      <c r="G98" s="197">
        <f>RAW_DATA!K38</f>
        <v>0.98799036366700588</v>
      </c>
      <c r="H98" s="154">
        <f t="shared" ref="H98:H117" si="12">G98*F98/E98</f>
        <v>9.605730982308637E-2</v>
      </c>
      <c r="I98" s="365" t="s">
        <v>993</v>
      </c>
      <c r="J98" s="161">
        <f>STDEV(H98:H99)/AVERAGE(H98:H99)</f>
        <v>6.6775885273940227E-4</v>
      </c>
    </row>
    <row r="99" spans="1:13" ht="19.95" customHeight="1">
      <c r="A99" s="371" t="s">
        <v>982</v>
      </c>
      <c r="B99" s="182">
        <v>11.482699999999999</v>
      </c>
      <c r="C99" s="182">
        <v>13.478899999999999</v>
      </c>
      <c r="D99" s="182">
        <v>13.6778</v>
      </c>
      <c r="E99" s="60">
        <f t="shared" si="10"/>
        <v>1.9962</v>
      </c>
      <c r="F99" s="60">
        <f t="shared" si="11"/>
        <v>0.19890000000000008</v>
      </c>
      <c r="G99" s="197">
        <f>RAW_DATA!K39</f>
        <v>0.96314031120263444</v>
      </c>
      <c r="H99" s="154">
        <f t="shared" si="12"/>
        <v>9.5966640566177777E-2</v>
      </c>
      <c r="I99" s="365" t="s">
        <v>1000</v>
      </c>
      <c r="J99" s="371"/>
      <c r="L99" s="588"/>
      <c r="M99" s="382"/>
    </row>
    <row r="100" spans="1:13" ht="19.95" customHeight="1">
      <c r="A100" s="371" t="s">
        <v>983</v>
      </c>
      <c r="B100" s="182">
        <v>11.450799999999999</v>
      </c>
      <c r="C100" s="182">
        <v>13.472</v>
      </c>
      <c r="D100" s="182">
        <v>13.670400000000001</v>
      </c>
      <c r="E100" s="60">
        <f t="shared" si="10"/>
        <v>2.0212000000000003</v>
      </c>
      <c r="F100" s="60">
        <f t="shared" si="11"/>
        <v>0.19840000000000124</v>
      </c>
      <c r="G100" s="197">
        <f>RAW_DATA!K40</f>
        <v>0.97973547498740898</v>
      </c>
      <c r="H100" s="154">
        <f t="shared" si="12"/>
        <v>9.6170353372997786E-2</v>
      </c>
      <c r="I100" s="365" t="s">
        <v>989</v>
      </c>
      <c r="J100" s="161">
        <f>STDEV(H100:H101)/AVERAGE(H100:H101)</f>
        <v>1.3647665133447405E-3</v>
      </c>
      <c r="L100" s="588"/>
      <c r="M100" s="382"/>
    </row>
    <row r="101" spans="1:13" ht="19.95" customHeight="1">
      <c r="A101" s="371" t="s">
        <v>984</v>
      </c>
      <c r="B101" s="182">
        <v>11.490500000000001</v>
      </c>
      <c r="C101" s="182">
        <v>13.4834</v>
      </c>
      <c r="D101" s="182">
        <v>13.6813</v>
      </c>
      <c r="E101" s="60">
        <f t="shared" si="10"/>
        <v>1.9928999999999988</v>
      </c>
      <c r="F101" s="60">
        <f t="shared" si="11"/>
        <v>0.19790000000000063</v>
      </c>
      <c r="G101" s="197">
        <f>RAW_DATA!K41</f>
        <v>0.96659090683785398</v>
      </c>
      <c r="H101" s="154">
        <f t="shared" si="12"/>
        <v>9.5984916685840749E-2</v>
      </c>
      <c r="I101" s="365" t="s">
        <v>988</v>
      </c>
      <c r="J101" s="371"/>
      <c r="L101" s="588"/>
      <c r="M101" s="382"/>
    </row>
    <row r="102" spans="1:13" ht="19.95" customHeight="1">
      <c r="A102" s="371" t="s">
        <v>985</v>
      </c>
      <c r="B102" s="182">
        <v>11.4681</v>
      </c>
      <c r="C102" s="182">
        <v>13.4846</v>
      </c>
      <c r="D102" s="182">
        <v>13.683400000000001</v>
      </c>
      <c r="E102" s="60">
        <f t="shared" si="10"/>
        <v>2.0165000000000006</v>
      </c>
      <c r="F102" s="60">
        <f t="shared" si="11"/>
        <v>0.19880000000000031</v>
      </c>
      <c r="G102" s="197">
        <f>RAW_DATA!K42</f>
        <v>0.97654902813210986</v>
      </c>
      <c r="H102" s="154">
        <f t="shared" si="12"/>
        <v>9.6274707063061585E-2</v>
      </c>
      <c r="I102" s="365" t="s">
        <v>990</v>
      </c>
      <c r="J102" s="161">
        <f>STDEV(H102:H103)/AVERAGE(H102:H103)</f>
        <v>9.6774853659269394E-4</v>
      </c>
      <c r="L102" s="588"/>
      <c r="M102" s="382"/>
    </row>
    <row r="103" spans="1:13" ht="19.95" customHeight="1">
      <c r="A103" s="371" t="s">
        <v>986</v>
      </c>
      <c r="B103" s="182">
        <v>11.385300000000001</v>
      </c>
      <c r="C103" s="182">
        <v>13.3794</v>
      </c>
      <c r="D103" s="182">
        <v>13.5779</v>
      </c>
      <c r="E103" s="60">
        <f t="shared" si="10"/>
        <v>1.9940999999999995</v>
      </c>
      <c r="F103" s="60">
        <f t="shared" si="11"/>
        <v>0.19849999999999923</v>
      </c>
      <c r="G103" s="197">
        <f>RAW_DATA!K43</f>
        <v>0.96848523731194602</v>
      </c>
      <c r="H103" s="154">
        <f t="shared" si="12"/>
        <v>9.6406559152710791E-2</v>
      </c>
      <c r="I103" s="365" t="s">
        <v>995</v>
      </c>
      <c r="J103" s="371"/>
      <c r="L103" s="588"/>
      <c r="M103" s="382"/>
    </row>
    <row r="104" spans="1:13" ht="19.95" customHeight="1">
      <c r="A104" s="371" t="s">
        <v>987</v>
      </c>
      <c r="B104" s="182">
        <v>11.4635</v>
      </c>
      <c r="C104" s="182">
        <v>13.480499999999999</v>
      </c>
      <c r="D104" s="182">
        <v>13.679399999999999</v>
      </c>
      <c r="E104" s="60">
        <f t="shared" si="10"/>
        <v>2.0169999999999995</v>
      </c>
      <c r="F104" s="60">
        <f t="shared" si="11"/>
        <v>0.19890000000000008</v>
      </c>
      <c r="G104" s="197">
        <f>RAW_DATA!K44</f>
        <v>0.97737955929256559</v>
      </c>
      <c r="H104" s="154">
        <f t="shared" si="12"/>
        <v>9.6381157334304135E-2</v>
      </c>
      <c r="I104" s="365" t="s">
        <v>982</v>
      </c>
      <c r="J104" s="161">
        <f>STDEV(H104:H105)/AVERAGE(H104:H105)</f>
        <v>1.7425071099880936E-3</v>
      </c>
      <c r="L104" s="588"/>
      <c r="M104" s="382"/>
    </row>
    <row r="105" spans="1:13" ht="19.95" customHeight="1">
      <c r="A105" s="371" t="s">
        <v>988</v>
      </c>
      <c r="B105" s="182">
        <v>11.5206</v>
      </c>
      <c r="C105" s="182">
        <v>13.517300000000001</v>
      </c>
      <c r="D105" s="182">
        <v>13.715199999999999</v>
      </c>
      <c r="E105" s="60">
        <f t="shared" si="10"/>
        <v>1.9967000000000006</v>
      </c>
      <c r="F105" s="60">
        <f t="shared" si="11"/>
        <v>0.19789999999999885</v>
      </c>
      <c r="G105" s="197">
        <f>RAW_DATA!K45</f>
        <v>0.97483111615334195</v>
      </c>
      <c r="H105" s="154">
        <f t="shared" si="12"/>
        <v>9.6618960227748379E-2</v>
      </c>
      <c r="I105" s="365" t="s">
        <v>998</v>
      </c>
      <c r="J105" s="371"/>
      <c r="L105" s="588"/>
      <c r="M105" s="382"/>
    </row>
    <row r="106" spans="1:13" ht="19.95" customHeight="1">
      <c r="A106" s="371" t="s">
        <v>989</v>
      </c>
      <c r="B106" s="182">
        <v>11.543900000000001</v>
      </c>
      <c r="C106" s="182">
        <v>13.5604</v>
      </c>
      <c r="D106" s="182">
        <v>13.759399999999999</v>
      </c>
      <c r="E106" s="60">
        <f t="shared" si="10"/>
        <v>2.0164999999999988</v>
      </c>
      <c r="F106" s="60">
        <f t="shared" si="11"/>
        <v>0.19899999999999984</v>
      </c>
      <c r="G106" s="197">
        <f>RAW_DATA!K46</f>
        <v>0.97581682191032082</v>
      </c>
      <c r="H106" s="154">
        <f t="shared" si="12"/>
        <v>9.6299304517805009E-2</v>
      </c>
      <c r="I106" s="365" t="s">
        <v>991</v>
      </c>
      <c r="J106" s="161">
        <f>STDEV(H106:H107)/AVERAGE(H106:H107)</f>
        <v>3.3791282638483296E-4</v>
      </c>
      <c r="L106" s="588"/>
      <c r="M106" s="382"/>
    </row>
    <row r="107" spans="1:13" ht="19.95" customHeight="1">
      <c r="A107" s="371" t="s">
        <v>990</v>
      </c>
      <c r="B107" s="182">
        <v>11.499499999999999</v>
      </c>
      <c r="C107" s="182">
        <v>13.4925</v>
      </c>
      <c r="D107" s="182">
        <v>13.690899999999999</v>
      </c>
      <c r="E107" s="60">
        <f t="shared" si="10"/>
        <v>1.9930000000000003</v>
      </c>
      <c r="F107" s="60">
        <f t="shared" si="11"/>
        <v>0.19839999999999947</v>
      </c>
      <c r="G107" s="197">
        <f>RAW_DATA!K47</f>
        <v>0.96782385526186687</v>
      </c>
      <c r="H107" s="154">
        <f t="shared" si="12"/>
        <v>9.6345335114878999E-2</v>
      </c>
      <c r="I107" s="365" t="s">
        <v>994</v>
      </c>
      <c r="J107" s="371"/>
      <c r="L107" s="588"/>
      <c r="M107" s="382"/>
    </row>
    <row r="108" spans="1:13" ht="19.95" customHeight="1">
      <c r="A108" s="371" t="s">
        <v>991</v>
      </c>
      <c r="B108" s="182">
        <v>11.5023</v>
      </c>
      <c r="C108" s="182">
        <v>13.515000000000001</v>
      </c>
      <c r="D108" s="182">
        <v>13.7134</v>
      </c>
      <c r="E108" s="60">
        <f t="shared" si="10"/>
        <v>2.0127000000000006</v>
      </c>
      <c r="F108" s="60">
        <f t="shared" si="11"/>
        <v>0.19839999999999947</v>
      </c>
      <c r="G108" s="197">
        <f>RAW_DATA!K48</f>
        <v>0.97105375135233174</v>
      </c>
      <c r="H108" s="154">
        <f t="shared" si="12"/>
        <v>9.5720705653252858E-2</v>
      </c>
      <c r="I108" s="365" t="s">
        <v>984</v>
      </c>
      <c r="J108" s="161">
        <f>STDEV(H108:H109)/AVERAGE(H108:H109)</f>
        <v>2.7676757510782801E-3</v>
      </c>
      <c r="L108" s="588"/>
      <c r="M108" s="382"/>
    </row>
    <row r="109" spans="1:13" ht="19.95" customHeight="1">
      <c r="A109" s="371" t="s">
        <v>992</v>
      </c>
      <c r="B109" s="182">
        <v>11.9895</v>
      </c>
      <c r="C109" s="182">
        <v>13.9887</v>
      </c>
      <c r="D109" s="182">
        <v>14.1877</v>
      </c>
      <c r="E109" s="60">
        <f t="shared" si="10"/>
        <v>1.9992000000000001</v>
      </c>
      <c r="F109" s="60">
        <f t="shared" si="11"/>
        <v>0.19899999999999984</v>
      </c>
      <c r="G109" s="197">
        <f>RAW_DATA!K49</f>
        <v>0.96540362626144827</v>
      </c>
      <c r="H109" s="154">
        <f t="shared" si="12"/>
        <v>9.6096099252715103E-2</v>
      </c>
      <c r="I109" s="365" t="s">
        <v>985</v>
      </c>
      <c r="J109" s="371"/>
      <c r="L109" s="588"/>
      <c r="M109" s="382"/>
    </row>
    <row r="110" spans="1:13" ht="19.95" customHeight="1">
      <c r="A110" s="371" t="s">
        <v>993</v>
      </c>
      <c r="B110" s="182">
        <v>11.451700000000001</v>
      </c>
      <c r="C110" s="182">
        <v>13.4695</v>
      </c>
      <c r="D110" s="182">
        <v>13.668699999999999</v>
      </c>
      <c r="E110" s="60">
        <f t="shared" si="10"/>
        <v>2.0177999999999994</v>
      </c>
      <c r="F110" s="60">
        <f t="shared" si="11"/>
        <v>0.19919999999999938</v>
      </c>
      <c r="G110" s="197">
        <f>RAW_DATA!K50</f>
        <v>0.97655828555019175</v>
      </c>
      <c r="H110" s="154">
        <f t="shared" si="12"/>
        <v>9.6407181326988625E-2</v>
      </c>
      <c r="I110" s="365" t="s">
        <v>992</v>
      </c>
      <c r="J110" s="161">
        <f>STDEV(H110:H111)/AVERAGE(H110:H111)</f>
        <v>2.5269650278744627E-3</v>
      </c>
      <c r="L110" s="588"/>
      <c r="M110" s="382"/>
    </row>
    <row r="111" spans="1:13" ht="19.95" customHeight="1">
      <c r="A111" s="371" t="s">
        <v>994</v>
      </c>
      <c r="B111" s="182">
        <v>11.460100000000001</v>
      </c>
      <c r="C111" s="182">
        <v>13.4535</v>
      </c>
      <c r="D111" s="182">
        <v>13.6525</v>
      </c>
      <c r="E111" s="60">
        <f t="shared" si="10"/>
        <v>1.9933999999999994</v>
      </c>
      <c r="F111" s="60">
        <f t="shared" si="11"/>
        <v>0.19899999999999984</v>
      </c>
      <c r="G111" s="197">
        <f>RAW_DATA!K51</f>
        <v>0.96227396760074457</v>
      </c>
      <c r="H111" s="154">
        <f t="shared" si="12"/>
        <v>9.6063268562530377E-2</v>
      </c>
      <c r="I111" s="365" t="s">
        <v>987</v>
      </c>
      <c r="J111" s="371"/>
      <c r="L111" s="588"/>
      <c r="M111" s="382"/>
    </row>
    <row r="112" spans="1:13" ht="19.95" customHeight="1">
      <c r="A112" s="371" t="s">
        <v>995</v>
      </c>
      <c r="B112" s="182">
        <v>11.5154</v>
      </c>
      <c r="C112" s="182">
        <v>13.5405</v>
      </c>
      <c r="D112" s="182">
        <v>13.739699999999999</v>
      </c>
      <c r="E112" s="60">
        <f t="shared" si="10"/>
        <v>2.0251000000000001</v>
      </c>
      <c r="F112" s="60">
        <f t="shared" si="11"/>
        <v>0.19919999999999938</v>
      </c>
      <c r="G112" s="197">
        <f>RAW_DATA!K52</f>
        <v>0.97685370758330814</v>
      </c>
      <c r="H112" s="154">
        <f t="shared" si="12"/>
        <v>9.6088715890866802E-2</v>
      </c>
      <c r="I112" s="365" t="s">
        <v>981</v>
      </c>
      <c r="J112" s="161">
        <f>STDEV(H112:H113)/AVERAGE(H112:H113)</f>
        <v>2.1447683133940092E-4</v>
      </c>
      <c r="L112" s="588"/>
      <c r="M112" s="382"/>
    </row>
    <row r="113" spans="1:13" ht="19.95" customHeight="1">
      <c r="A113" s="371" t="s">
        <v>996</v>
      </c>
      <c r="B113" s="182">
        <v>11.8887</v>
      </c>
      <c r="C113" s="182">
        <v>13.879300000000001</v>
      </c>
      <c r="D113" s="182">
        <v>14.077999999999999</v>
      </c>
      <c r="E113" s="60">
        <f t="shared" si="10"/>
        <v>1.9906000000000006</v>
      </c>
      <c r="F113" s="60">
        <f t="shared" si="11"/>
        <v>0.19869999999999877</v>
      </c>
      <c r="G113" s="197">
        <f>RAW_DATA!K53</f>
        <v>0.96233613546424568</v>
      </c>
      <c r="H113" s="154">
        <f t="shared" si="12"/>
        <v>9.6059575061159641E-2</v>
      </c>
      <c r="I113" s="365" t="s">
        <v>997</v>
      </c>
      <c r="J113" s="371"/>
      <c r="L113" s="588"/>
      <c r="M113" s="382"/>
    </row>
    <row r="114" spans="1:13" ht="19.95" customHeight="1">
      <c r="A114" s="371" t="s">
        <v>997</v>
      </c>
      <c r="B114" s="182">
        <v>11.523300000000001</v>
      </c>
      <c r="C114" s="182">
        <v>13.5402</v>
      </c>
      <c r="D114" s="182">
        <v>13.738799999999999</v>
      </c>
      <c r="E114" s="60">
        <f t="shared" si="10"/>
        <v>2.0168999999999997</v>
      </c>
      <c r="F114" s="60">
        <f t="shared" si="11"/>
        <v>0.198599999999999</v>
      </c>
      <c r="G114" s="197">
        <f>RAW_DATA!K54</f>
        <v>0.9796641748565118</v>
      </c>
      <c r="H114" s="154">
        <f t="shared" si="12"/>
        <v>9.6465518928306959E-2</v>
      </c>
      <c r="I114" s="365" t="s">
        <v>996</v>
      </c>
      <c r="J114" s="161">
        <f>STDEV(H114:H115)/AVERAGE(H114:H115)</f>
        <v>1.8672746387262758E-3</v>
      </c>
      <c r="L114" s="588"/>
      <c r="M114" s="382"/>
    </row>
    <row r="115" spans="1:13" ht="19.95" customHeight="1">
      <c r="A115" s="371" t="s">
        <v>998</v>
      </c>
      <c r="B115" s="182">
        <v>11.4922</v>
      </c>
      <c r="C115" s="182">
        <v>13.491</v>
      </c>
      <c r="D115" s="182">
        <v>13.6897</v>
      </c>
      <c r="E115" s="60">
        <f t="shared" si="10"/>
        <v>1.9987999999999992</v>
      </c>
      <c r="F115" s="60">
        <f t="shared" si="11"/>
        <v>0.19870000000000054</v>
      </c>
      <c r="G115" s="197">
        <f>RAW_DATA!K55</f>
        <v>0.96782475333714879</v>
      </c>
      <c r="H115" s="154">
        <f t="shared" si="12"/>
        <v>9.6211115913594186E-2</v>
      </c>
      <c r="I115" s="365" t="s">
        <v>983</v>
      </c>
      <c r="J115" s="371"/>
      <c r="L115" s="588"/>
      <c r="M115" s="382"/>
    </row>
    <row r="116" spans="1:13" ht="19.95" customHeight="1">
      <c r="A116" s="371" t="s">
        <v>999</v>
      </c>
      <c r="B116" s="182">
        <v>11.431900000000001</v>
      </c>
      <c r="C116" s="182">
        <v>13.4467</v>
      </c>
      <c r="D116" s="182">
        <v>13.6456</v>
      </c>
      <c r="E116" s="60">
        <f t="shared" si="10"/>
        <v>2.0147999999999993</v>
      </c>
      <c r="F116" s="60">
        <f t="shared" si="11"/>
        <v>0.19890000000000008</v>
      </c>
      <c r="G116" s="197">
        <f>RAW_DATA!K56</f>
        <v>0.97912904904827436</v>
      </c>
      <c r="H116" s="154">
        <f t="shared" si="12"/>
        <v>9.6659106539458958E-2</v>
      </c>
      <c r="I116" s="365" t="s">
        <v>999</v>
      </c>
      <c r="J116" s="161">
        <f>STDEV(H116:H117)/AVERAGE(H116:H117)</f>
        <v>1.0577349923083096E-3</v>
      </c>
      <c r="L116" s="588"/>
      <c r="M116" s="382"/>
    </row>
    <row r="117" spans="1:13" ht="19.95" customHeight="1">
      <c r="A117" s="372" t="s">
        <v>1000</v>
      </c>
      <c r="B117" s="141">
        <v>11.5062</v>
      </c>
      <c r="C117" s="141">
        <v>13.5059</v>
      </c>
      <c r="D117" s="141">
        <v>13.704499999999999</v>
      </c>
      <c r="E117" s="81">
        <f t="shared" si="10"/>
        <v>1.9997000000000007</v>
      </c>
      <c r="F117" s="81">
        <f t="shared" si="11"/>
        <v>0.198599999999999</v>
      </c>
      <c r="G117" s="143">
        <f>RAW_DATA!K57</f>
        <v>0.97180411490061025</v>
      </c>
      <c r="H117" s="155">
        <f t="shared" si="12"/>
        <v>9.6514625803500606E-2</v>
      </c>
      <c r="I117" s="372" t="s">
        <v>986</v>
      </c>
      <c r="J117" s="383"/>
      <c r="L117" s="588"/>
      <c r="M117" s="382"/>
    </row>
    <row r="118" spans="1:13" ht="19.95" customHeight="1">
      <c r="A118" s="365" t="s">
        <v>1001</v>
      </c>
      <c r="J118" s="226"/>
    </row>
    <row r="119" spans="1:13" ht="19.95" customHeight="1">
      <c r="A119" s="365" t="str">
        <f>"IS = internal standard prepared 2024-01-09 see RND Line " &amp; ROW(RND!A664)</f>
        <v>IS = internal standard prepared 2024-01-09 see RND Line 664</v>
      </c>
      <c r="K119" s="142"/>
    </row>
    <row r="120" spans="1:13" ht="19.95" customHeight="1">
      <c r="A120" s="371" t="s">
        <v>1002</v>
      </c>
    </row>
    <row r="121" spans="1:13" s="382" customFormat="1" ht="19.95" customHeight="1"/>
    <row r="122" spans="1:13" s="382" customFormat="1" ht="19.95" customHeight="1">
      <c r="A122" s="388" t="s">
        <v>1045</v>
      </c>
    </row>
    <row r="123" spans="1:13" s="382" customFormat="1" ht="19.95" customHeight="1">
      <c r="A123" s="161">
        <f>STDEV(H98:H117)/AVERAGE(H98:H117)</f>
        <v>2.4920343832449494E-3</v>
      </c>
      <c r="B123" s="382" t="s">
        <v>1079</v>
      </c>
    </row>
    <row r="124" spans="1:13" s="382" customFormat="1" ht="19.95" customHeight="1">
      <c r="A124" s="161">
        <f>MEDIAN(STDEV(H98:H99),STDEV(H100:H101),STDEV(H104:H105),STDEV(H102:H103),STDEV(H106:H107),STDEV(H108:H109),STDEV(H110:H111),STDEV(H112:H113),STDEV(H114:H115),STDEV(H116:H117))/AVERAGE(H98:H117)</f>
        <v>1.2120112163514878E-3</v>
      </c>
      <c r="B124" s="382" t="s">
        <v>1080</v>
      </c>
    </row>
    <row r="125" spans="1:13" s="382" customFormat="1" ht="19.95" customHeight="1">
      <c r="A125" s="161">
        <f>B197</f>
        <v>1.5831863307617282E-3</v>
      </c>
      <c r="B125" s="382" t="s">
        <v>1081</v>
      </c>
    </row>
    <row r="126" spans="1:13" s="382" customFormat="1" ht="19.95" customHeight="1"/>
    <row r="127" spans="1:13" s="382" customFormat="1" ht="19.95" customHeight="1">
      <c r="A127" s="389" t="s">
        <v>4</v>
      </c>
      <c r="B127" s="389" t="s">
        <v>925</v>
      </c>
      <c r="C127" s="389" t="s">
        <v>930</v>
      </c>
      <c r="D127" s="389" t="s">
        <v>1003</v>
      </c>
      <c r="E127" s="389" t="s">
        <v>1003</v>
      </c>
      <c r="F127" s="389" t="s">
        <v>1047</v>
      </c>
      <c r="G127" s="389" t="s">
        <v>1047</v>
      </c>
    </row>
    <row r="128" spans="1:13" s="382" customFormat="1" ht="19.95" customHeight="1">
      <c r="A128" s="383" t="s">
        <v>96</v>
      </c>
      <c r="B128" s="383" t="s">
        <v>92</v>
      </c>
      <c r="C128" s="383" t="s">
        <v>931</v>
      </c>
      <c r="D128" s="383" t="s">
        <v>241</v>
      </c>
      <c r="E128" s="383" t="s">
        <v>1046</v>
      </c>
      <c r="F128" s="383" t="s">
        <v>241</v>
      </c>
      <c r="G128" s="383" t="s">
        <v>1046</v>
      </c>
    </row>
    <row r="129" spans="1:8" s="382" customFormat="1" ht="19.95" customHeight="1">
      <c r="A129" s="363" t="str">
        <f t="shared" ref="A129:C138" si="13">A24</f>
        <v>MOOS009a</v>
      </c>
      <c r="B129" s="385">
        <f t="shared" si="13"/>
        <v>21</v>
      </c>
      <c r="C129" s="145">
        <f t="shared" si="13"/>
        <v>12</v>
      </c>
      <c r="D129" s="154">
        <f>AVERAGE(H98:H99)</f>
        <v>9.6011975194632074E-2</v>
      </c>
      <c r="E129" s="156">
        <f>D129*$A$125</f>
        <v>1.5200484671757563E-4</v>
      </c>
      <c r="F129" s="60">
        <f>D129/AVERAGE($D$131,$D$135)</f>
        <v>0.99713407657137032</v>
      </c>
      <c r="G129" s="60">
        <f>F129*SQRT((E129/D129)^2+((SQRT($E$131^2+$E$135^2)/2)/AVERAGE($D$131,$D$135))^2)</f>
        <v>1.9334424119676755E-3</v>
      </c>
    </row>
    <row r="130" spans="1:8" s="382" customFormat="1" ht="19.95" customHeight="1">
      <c r="A130" s="363" t="str">
        <f t="shared" si="13"/>
        <v>MOOS047a</v>
      </c>
      <c r="B130" s="385">
        <f t="shared" si="13"/>
        <v>21</v>
      </c>
      <c r="C130" s="145">
        <f t="shared" si="13"/>
        <v>27</v>
      </c>
      <c r="D130" s="154">
        <f>AVERAGE(H100:H101)</f>
        <v>9.6077635029419267E-2</v>
      </c>
      <c r="E130" s="157">
        <f t="shared" ref="E130:E138" si="14">D130*$A$125</f>
        <v>1.5210879847049079E-4</v>
      </c>
      <c r="F130" s="60">
        <f t="shared" ref="F130:F138" si="15">D130/AVERAGE($D$131,$D$135)</f>
        <v>0.99781598795373316</v>
      </c>
      <c r="G130" s="60">
        <f t="shared" ref="G130:G138" si="16">F130*SQRT((E130/D130)^2+((SQRT($E$131^2+$E$135^2)/2)/AVERAGE($D$131,$D$135))^2)</f>
        <v>1.9347646377533968E-3</v>
      </c>
    </row>
    <row r="131" spans="1:8" s="382" customFormat="1" ht="19.95" customHeight="1">
      <c r="A131" s="402" t="str">
        <f t="shared" si="13"/>
        <v>MOOS085a</v>
      </c>
      <c r="B131" s="390">
        <f t="shared" si="13"/>
        <v>4</v>
      </c>
      <c r="C131" s="390" t="str">
        <f t="shared" si="13"/>
        <v># ref</v>
      </c>
      <c r="D131" s="207">
        <f>AVERAGE(H102:H103)</f>
        <v>9.6340633107886181E-2</v>
      </c>
      <c r="E131" s="403">
        <f t="shared" si="14"/>
        <v>1.525251734333362E-4</v>
      </c>
      <c r="F131" s="165">
        <f t="shared" si="15"/>
        <v>1.0005473591767555</v>
      </c>
      <c r="G131" s="165">
        <f t="shared" si="16"/>
        <v>1.9400607650140133E-3</v>
      </c>
    </row>
    <row r="132" spans="1:8" s="382" customFormat="1" ht="19.95" customHeight="1">
      <c r="A132" s="363" t="str">
        <f t="shared" si="13"/>
        <v>MOOS123a</v>
      </c>
      <c r="B132" s="385">
        <f t="shared" si="13"/>
        <v>40</v>
      </c>
      <c r="C132" s="145">
        <f t="shared" si="13"/>
        <v>12</v>
      </c>
      <c r="D132" s="154">
        <f>AVERAGE(H104:H105)</f>
        <v>9.6500058781026257E-2</v>
      </c>
      <c r="E132" s="157">
        <f t="shared" si="14"/>
        <v>1.5277757397982406E-4</v>
      </c>
      <c r="F132" s="60">
        <f t="shared" si="15"/>
        <v>1.0022030773415578</v>
      </c>
      <c r="G132" s="60">
        <f t="shared" si="16"/>
        <v>1.9432712016015394E-3</v>
      </c>
    </row>
    <row r="133" spans="1:8" s="382" customFormat="1" ht="19.95" customHeight="1">
      <c r="A133" s="363" t="str">
        <f t="shared" si="13"/>
        <v>MOOS161a</v>
      </c>
      <c r="B133" s="385">
        <f t="shared" si="13"/>
        <v>40</v>
      </c>
      <c r="C133" s="145">
        <f t="shared" si="13"/>
        <v>27</v>
      </c>
      <c r="D133" s="154">
        <f>AVERAGE(H106:H107)</f>
        <v>9.6322319816342011E-2</v>
      </c>
      <c r="E133" s="157">
        <f t="shared" si="14"/>
        <v>1.5249618008049222E-4</v>
      </c>
      <c r="F133" s="60">
        <f t="shared" si="15"/>
        <v>1.0003571661616044</v>
      </c>
      <c r="G133" s="60">
        <f t="shared" si="16"/>
        <v>1.9396919808649272E-3</v>
      </c>
    </row>
    <row r="134" spans="1:8" s="382" customFormat="1" ht="19.95" customHeight="1">
      <c r="A134" s="363" t="str">
        <f t="shared" si="13"/>
        <v>MOOS199a</v>
      </c>
      <c r="B134" s="385">
        <f t="shared" si="13"/>
        <v>21</v>
      </c>
      <c r="C134" s="145">
        <f t="shared" si="13"/>
        <v>35</v>
      </c>
      <c r="D134" s="154">
        <f>AVERAGE(H108:H109)</f>
        <v>9.5908402452983987E-2</v>
      </c>
      <c r="E134" s="157">
        <f t="shared" si="14"/>
        <v>1.5184087176875886E-4</v>
      </c>
      <c r="F134" s="60">
        <f t="shared" si="15"/>
        <v>0.99605842002028</v>
      </c>
      <c r="G134" s="60">
        <f t="shared" si="16"/>
        <v>1.9313567145219116E-3</v>
      </c>
    </row>
    <row r="135" spans="1:8" s="382" customFormat="1" ht="19.95" customHeight="1">
      <c r="A135" s="402" t="str">
        <f t="shared" si="13"/>
        <v>MOOS237a</v>
      </c>
      <c r="B135" s="390">
        <f t="shared" si="13"/>
        <v>4</v>
      </c>
      <c r="C135" s="390" t="str">
        <f t="shared" si="13"/>
        <v># ref</v>
      </c>
      <c r="D135" s="207">
        <f>AVERAGE(H110:H111)</f>
        <v>9.6235224944759501E-2</v>
      </c>
      <c r="E135" s="403">
        <f t="shared" si="14"/>
        <v>1.5235829267032334E-4</v>
      </c>
      <c r="F135" s="165">
        <f t="shared" si="15"/>
        <v>0.99945264082324448</v>
      </c>
      <c r="G135" s="165">
        <f t="shared" si="16"/>
        <v>1.9379381067441087E-3</v>
      </c>
    </row>
    <row r="136" spans="1:8" s="382" customFormat="1" ht="19.95" customHeight="1">
      <c r="A136" s="363" t="str">
        <f t="shared" si="13"/>
        <v>MOOS275a</v>
      </c>
      <c r="B136" s="385">
        <f t="shared" si="13"/>
        <v>21</v>
      </c>
      <c r="C136" s="145">
        <f t="shared" si="13"/>
        <v>43</v>
      </c>
      <c r="D136" s="154">
        <f>AVERAGE(H112:H113)</f>
        <v>9.6074145476013229E-2</v>
      </c>
      <c r="E136" s="157">
        <f t="shared" si="14"/>
        <v>1.5210327385723786E-4</v>
      </c>
      <c r="F136" s="60">
        <f t="shared" si="15"/>
        <v>0.99777974713475071</v>
      </c>
      <c r="G136" s="60">
        <f t="shared" si="16"/>
        <v>1.9346943668258334E-3</v>
      </c>
    </row>
    <row r="137" spans="1:8" s="382" customFormat="1" ht="19.95" customHeight="1">
      <c r="A137" s="363" t="str">
        <f t="shared" si="13"/>
        <v>MOOS313a</v>
      </c>
      <c r="B137" s="385">
        <f t="shared" si="13"/>
        <v>40</v>
      </c>
      <c r="C137" s="145">
        <f t="shared" si="13"/>
        <v>35</v>
      </c>
      <c r="D137" s="154">
        <f>AVERAGE(H114:H115)</f>
        <v>9.6338317420950573E-2</v>
      </c>
      <c r="E137" s="157">
        <f t="shared" si="14"/>
        <v>1.5252150726943341E-4</v>
      </c>
      <c r="F137" s="60">
        <f t="shared" si="15"/>
        <v>1.0005233095688864</v>
      </c>
      <c r="G137" s="60">
        <f t="shared" si="16"/>
        <v>1.9400141328379218E-3</v>
      </c>
    </row>
    <row r="138" spans="1:8" s="382" customFormat="1" ht="19.95" customHeight="1">
      <c r="A138" s="286" t="str">
        <f t="shared" si="13"/>
        <v>MOOS351a</v>
      </c>
      <c r="B138" s="383">
        <f t="shared" si="13"/>
        <v>40</v>
      </c>
      <c r="C138" s="146">
        <f t="shared" si="13"/>
        <v>43</v>
      </c>
      <c r="D138" s="155">
        <f>AVERAGE(H116:H117)</f>
        <v>9.6586866171479782E-2</v>
      </c>
      <c r="E138" s="155">
        <f t="shared" si="14"/>
        <v>1.5291500625379918E-4</v>
      </c>
      <c r="F138" s="81">
        <f t="shared" si="15"/>
        <v>1.0031046170395379</v>
      </c>
      <c r="G138" s="81">
        <f t="shared" si="16"/>
        <v>1.9450192865673455E-3</v>
      </c>
    </row>
    <row r="139" spans="1:8" s="382" customFormat="1" ht="19.95" customHeight="1">
      <c r="A139" s="363"/>
      <c r="B139" s="385"/>
      <c r="C139" s="145"/>
      <c r="D139" s="157"/>
      <c r="E139" s="157"/>
      <c r="F139" s="80"/>
      <c r="G139" s="80"/>
    </row>
    <row r="140" spans="1:8" s="382" customFormat="1" ht="19.95" customHeight="1">
      <c r="A140" s="88" t="s">
        <v>1048</v>
      </c>
      <c r="B140" s="385"/>
      <c r="C140" s="145"/>
      <c r="D140" s="157"/>
      <c r="E140" s="157"/>
      <c r="F140" s="88" t="s">
        <v>1049</v>
      </c>
      <c r="G140" s="385"/>
    </row>
    <row r="141" spans="1:8" s="382" customFormat="1" ht="19.95" customHeight="1">
      <c r="A141" s="689" t="s">
        <v>0</v>
      </c>
      <c r="B141" s="591" t="s">
        <v>1047</v>
      </c>
      <c r="C141" s="591" t="s">
        <v>1047</v>
      </c>
      <c r="D141" s="96"/>
      <c r="E141" s="96"/>
      <c r="F141" s="689" t="s">
        <v>0</v>
      </c>
      <c r="G141" s="591" t="s">
        <v>1047</v>
      </c>
      <c r="H141" s="591" t="s">
        <v>1047</v>
      </c>
    </row>
    <row r="142" spans="1:8" s="588" customFormat="1" ht="19.95" customHeight="1">
      <c r="A142" s="690" t="s">
        <v>88</v>
      </c>
      <c r="B142" s="589" t="s">
        <v>241</v>
      </c>
      <c r="C142" s="589" t="s">
        <v>1046</v>
      </c>
      <c r="D142" s="96"/>
      <c r="E142" s="96"/>
      <c r="F142" s="690" t="s">
        <v>88</v>
      </c>
      <c r="G142" s="589" t="s">
        <v>241</v>
      </c>
      <c r="H142" s="589" t="s">
        <v>1046</v>
      </c>
    </row>
    <row r="143" spans="1:8" s="382" customFormat="1" ht="19.95" customHeight="1">
      <c r="A143" s="382">
        <v>0</v>
      </c>
      <c r="B143" s="60">
        <f>AVERAGE(F131,F135)</f>
        <v>1</v>
      </c>
      <c r="C143" s="60">
        <f>MEDIAN(G131,G135)</f>
        <v>1.938999435879061E-3</v>
      </c>
      <c r="D143" s="96"/>
      <c r="E143" s="96"/>
      <c r="F143" s="382">
        <v>0</v>
      </c>
      <c r="G143" s="60">
        <f>B143</f>
        <v>1</v>
      </c>
      <c r="H143" s="60">
        <f>C143</f>
        <v>1.938999435879061E-3</v>
      </c>
    </row>
    <row r="144" spans="1:8" s="382" customFormat="1" ht="19.95" customHeight="1">
      <c r="A144" s="405">
        <f>C129</f>
        <v>12</v>
      </c>
      <c r="B144" s="138">
        <f>F129</f>
        <v>0.99713407657137032</v>
      </c>
      <c r="C144" s="138">
        <f>G129</f>
        <v>1.9334424119676755E-3</v>
      </c>
      <c r="D144" s="96"/>
      <c r="E144" s="96"/>
      <c r="F144" s="405">
        <f>C132</f>
        <v>12</v>
      </c>
      <c r="G144" s="138">
        <f>F132</f>
        <v>1.0022030773415578</v>
      </c>
      <c r="H144" s="138">
        <f>G132</f>
        <v>1.9432712016015394E-3</v>
      </c>
    </row>
    <row r="145" spans="1:8" s="382" customFormat="1" ht="19.95" customHeight="1">
      <c r="A145" s="405">
        <f>C130</f>
        <v>27</v>
      </c>
      <c r="B145" s="138">
        <f>F130</f>
        <v>0.99781598795373316</v>
      </c>
      <c r="C145" s="138">
        <f>G130</f>
        <v>1.9347646377533968E-3</v>
      </c>
      <c r="D145" s="96"/>
      <c r="E145" s="96"/>
      <c r="F145" s="405">
        <f>C133</f>
        <v>27</v>
      </c>
      <c r="G145" s="138">
        <f>F133</f>
        <v>1.0003571661616044</v>
      </c>
      <c r="H145" s="138">
        <f>G133</f>
        <v>1.9396919808649272E-3</v>
      </c>
    </row>
    <row r="146" spans="1:8" s="382" customFormat="1" ht="19.95" customHeight="1">
      <c r="A146" s="405">
        <f>C134</f>
        <v>35</v>
      </c>
      <c r="B146" s="138">
        <f>F134</f>
        <v>0.99605842002028</v>
      </c>
      <c r="C146" s="138">
        <f>G134</f>
        <v>1.9313567145219116E-3</v>
      </c>
      <c r="D146" s="96"/>
      <c r="E146" s="96"/>
      <c r="F146" s="405">
        <f>C137</f>
        <v>35</v>
      </c>
      <c r="G146" s="138">
        <f>F137</f>
        <v>1.0005233095688864</v>
      </c>
      <c r="H146" s="138">
        <f>G137</f>
        <v>1.9400141328379218E-3</v>
      </c>
    </row>
    <row r="147" spans="1:8" s="382" customFormat="1" ht="19.95" customHeight="1">
      <c r="A147" s="406">
        <f>C136</f>
        <v>43</v>
      </c>
      <c r="B147" s="140">
        <f>F136</f>
        <v>0.99777974713475071</v>
      </c>
      <c r="C147" s="140">
        <f>G136</f>
        <v>1.9346943668258334E-3</v>
      </c>
      <c r="D147" s="96"/>
      <c r="E147" s="96"/>
      <c r="F147" s="406">
        <f>C138</f>
        <v>43</v>
      </c>
      <c r="G147" s="140">
        <f>F138</f>
        <v>1.0031046170395379</v>
      </c>
      <c r="H147" s="140">
        <f>G138</f>
        <v>1.9450192865673455E-3</v>
      </c>
    </row>
    <row r="148" spans="1:8" s="382" customFormat="1" ht="19.95" customHeight="1">
      <c r="A148" s="404"/>
      <c r="B148" s="404"/>
      <c r="C148" s="405"/>
      <c r="D148" s="96"/>
      <c r="E148" s="96"/>
      <c r="F148" s="138"/>
      <c r="G148" s="80"/>
    </row>
    <row r="149" spans="1:8" s="382" customFormat="1" ht="19.95" customHeight="1">
      <c r="A149" s="404"/>
      <c r="B149" s="404"/>
      <c r="C149" s="405"/>
      <c r="D149" s="96"/>
      <c r="E149" s="96"/>
      <c r="F149" s="138"/>
      <c r="G149" s="80"/>
    </row>
    <row r="150" spans="1:8" s="382" customFormat="1" ht="19.95" customHeight="1">
      <c r="A150" s="404"/>
      <c r="B150" s="404"/>
      <c r="C150" s="405"/>
      <c r="D150" s="96"/>
      <c r="E150" s="96"/>
      <c r="F150" s="138"/>
      <c r="G150" s="80"/>
    </row>
    <row r="151" spans="1:8" s="382" customFormat="1" ht="19.95" customHeight="1">
      <c r="A151" s="404"/>
      <c r="B151" s="404"/>
      <c r="C151" s="405"/>
      <c r="D151" s="96"/>
      <c r="E151" s="96"/>
      <c r="F151" s="138"/>
      <c r="G151" s="80"/>
    </row>
    <row r="152" spans="1:8" s="382" customFormat="1" ht="19.95" customHeight="1">
      <c r="A152" s="404"/>
      <c r="B152" s="404"/>
      <c r="C152" s="405"/>
      <c r="D152" s="96"/>
      <c r="E152" s="96"/>
      <c r="F152" s="138"/>
      <c r="G152" s="80"/>
    </row>
    <row r="153" spans="1:8" s="382" customFormat="1" ht="19.95" customHeight="1">
      <c r="A153" s="404"/>
      <c r="B153" s="404"/>
      <c r="C153" s="405"/>
      <c r="D153" s="96"/>
      <c r="E153" s="96"/>
      <c r="F153" s="138"/>
      <c r="G153" s="80"/>
    </row>
    <row r="154" spans="1:8" s="382" customFormat="1" ht="19.95" customHeight="1">
      <c r="A154" s="404"/>
      <c r="B154" s="404"/>
      <c r="C154" s="405"/>
      <c r="D154" s="96"/>
      <c r="E154" s="96"/>
      <c r="F154" s="138"/>
      <c r="G154" s="80"/>
    </row>
    <row r="155" spans="1:8" s="382" customFormat="1" ht="19.95" customHeight="1">
      <c r="A155" s="404"/>
      <c r="B155" s="404"/>
      <c r="C155" s="405"/>
      <c r="D155" s="96"/>
      <c r="E155" s="96"/>
      <c r="F155" s="138"/>
      <c r="G155" s="80"/>
    </row>
    <row r="156" spans="1:8" s="382" customFormat="1" ht="19.95" customHeight="1">
      <c r="A156" s="404"/>
      <c r="B156" s="404"/>
      <c r="C156" s="405"/>
      <c r="D156" s="96"/>
      <c r="E156" s="96"/>
      <c r="F156" s="138"/>
      <c r="G156" s="80"/>
    </row>
    <row r="157" spans="1:8" s="382" customFormat="1" ht="19.95" customHeight="1">
      <c r="A157" s="404"/>
      <c r="B157" s="404"/>
      <c r="C157" s="405"/>
      <c r="D157" s="96"/>
      <c r="E157" s="96"/>
      <c r="F157" s="138"/>
      <c r="G157" s="80"/>
    </row>
    <row r="158" spans="1:8" s="382" customFormat="1" ht="19.95" customHeight="1">
      <c r="A158" s="404"/>
      <c r="B158" s="404"/>
      <c r="C158" s="405"/>
      <c r="D158" s="96"/>
      <c r="E158" s="96"/>
      <c r="F158" s="138"/>
      <c r="G158" s="80"/>
    </row>
    <row r="159" spans="1:8" s="382" customFormat="1" ht="19.95" customHeight="1">
      <c r="A159" s="404"/>
      <c r="B159" s="404"/>
      <c r="C159" s="405"/>
      <c r="D159" s="96"/>
      <c r="E159" s="96"/>
      <c r="F159" s="138"/>
      <c r="G159" s="80"/>
    </row>
    <row r="160" spans="1:8" s="382" customFormat="1" ht="19.95" customHeight="1">
      <c r="A160" s="388" t="s">
        <v>1050</v>
      </c>
      <c r="C160" s="145"/>
      <c r="D160" s="157"/>
      <c r="E160" s="157"/>
      <c r="F160" s="80"/>
      <c r="G160" s="80"/>
    </row>
    <row r="161" spans="1:26" s="382" customFormat="1" ht="19.95" customHeight="1">
      <c r="A161" s="386" t="s">
        <v>1051</v>
      </c>
      <c r="C161" s="405"/>
      <c r="D161" s="96"/>
      <c r="E161" s="96"/>
      <c r="F161" s="138"/>
      <c r="G161" s="80"/>
    </row>
    <row r="162" spans="1:26" s="382" customFormat="1" ht="19.95" customHeight="1">
      <c r="A162" s="386" t="s">
        <v>1052</v>
      </c>
      <c r="C162" s="138"/>
      <c r="D162" s="96"/>
      <c r="E162" s="96"/>
      <c r="F162" s="138"/>
      <c r="G162" s="80"/>
    </row>
    <row r="163" spans="1:26" s="382" customFormat="1" ht="19.95" customHeight="1">
      <c r="A163" s="386" t="s">
        <v>1053</v>
      </c>
      <c r="C163" s="138"/>
      <c r="D163" s="96"/>
      <c r="E163" s="96"/>
      <c r="F163" s="138"/>
      <c r="G163" s="80"/>
    </row>
    <row r="164" spans="1:26" s="382" customFormat="1" ht="19.95" customHeight="1">
      <c r="C164" s="138"/>
      <c r="D164" s="96"/>
      <c r="E164" s="96"/>
      <c r="F164" s="138"/>
      <c r="G164" s="80"/>
    </row>
    <row r="165" spans="1:26" s="149" customFormat="1" ht="19.95" customHeight="1">
      <c r="A165" s="150" t="s">
        <v>2115</v>
      </c>
    </row>
    <row r="166" spans="1:26" s="382" customFormat="1" ht="19.95" customHeight="1">
      <c r="C166" s="138"/>
      <c r="D166" s="96"/>
      <c r="E166" s="96"/>
      <c r="F166" s="138"/>
      <c r="G166" s="80"/>
    </row>
    <row r="167" spans="1:26" s="382" customFormat="1" ht="19.95" customHeight="1">
      <c r="A167" s="388" t="s">
        <v>1054</v>
      </c>
      <c r="C167" s="138"/>
      <c r="D167" s="96"/>
      <c r="E167" t="s">
        <v>1057</v>
      </c>
      <c r="F167"/>
      <c r="G167"/>
      <c r="H167"/>
      <c r="I167"/>
      <c r="J167"/>
      <c r="K167"/>
    </row>
    <row r="168" spans="1:26" s="382" customFormat="1" ht="19.95" customHeight="1">
      <c r="C168" s="138"/>
      <c r="D168" s="96"/>
      <c r="E168"/>
      <c r="F168"/>
      <c r="G168"/>
      <c r="H168"/>
      <c r="I168"/>
      <c r="J168"/>
      <c r="K168"/>
      <c r="N168" s="691"/>
      <c r="O168" s="691"/>
      <c r="P168" s="691"/>
      <c r="Q168" s="691"/>
      <c r="R168" s="691"/>
      <c r="S168" s="691"/>
      <c r="T168" s="691"/>
      <c r="W168" s="588"/>
      <c r="X168" s="588"/>
      <c r="Y168" s="588"/>
      <c r="Z168" s="588"/>
    </row>
    <row r="169" spans="1:26" s="382" customFormat="1" ht="19.95" customHeight="1" thickBot="1">
      <c r="A169" s="389" t="s">
        <v>4</v>
      </c>
      <c r="B169" s="389" t="s">
        <v>1055</v>
      </c>
      <c r="C169" s="389" t="s">
        <v>1056</v>
      </c>
      <c r="D169" s="96"/>
      <c r="E169" t="s">
        <v>1058</v>
      </c>
      <c r="F169"/>
      <c r="G169"/>
      <c r="H169"/>
      <c r="I169"/>
      <c r="J169"/>
      <c r="N169" s="691"/>
      <c r="O169" s="691"/>
      <c r="P169" s="691"/>
      <c r="Q169" s="691"/>
      <c r="R169" s="691"/>
      <c r="S169" s="691"/>
      <c r="T169" s="691"/>
      <c r="V169" s="588"/>
      <c r="W169" s="588"/>
      <c r="X169" s="588"/>
      <c r="Y169" s="588"/>
      <c r="Z169" s="588"/>
    </row>
    <row r="170" spans="1:26" s="382" customFormat="1" ht="19.95" customHeight="1">
      <c r="A170" s="383" t="s">
        <v>96</v>
      </c>
      <c r="B170" s="383"/>
      <c r="C170" s="140"/>
      <c r="D170" s="96"/>
      <c r="E170" s="409" t="s">
        <v>1059</v>
      </c>
      <c r="F170" s="409" t="s">
        <v>1060</v>
      </c>
      <c r="G170" s="409" t="s">
        <v>1061</v>
      </c>
      <c r="H170" s="409" t="s">
        <v>260</v>
      </c>
      <c r="I170" s="409" t="s">
        <v>233</v>
      </c>
      <c r="J170"/>
      <c r="N170" s="691"/>
      <c r="O170" s="691"/>
      <c r="P170" s="691"/>
      <c r="Q170" s="691"/>
      <c r="R170" s="691"/>
      <c r="S170" s="691"/>
      <c r="T170" s="691"/>
      <c r="V170" s="588"/>
      <c r="W170" s="588"/>
      <c r="X170" s="588"/>
      <c r="Y170" s="588"/>
      <c r="Z170" s="588"/>
    </row>
    <row r="171" spans="1:26" s="382" customFormat="1" ht="19.95" customHeight="1">
      <c r="A171" s="363" t="str">
        <f t="shared" ref="A171:A180" si="17">A129</f>
        <v>MOOS009a</v>
      </c>
      <c r="B171" s="154">
        <f>H98</f>
        <v>9.605730982308637E-2</v>
      </c>
      <c r="C171" s="138">
        <f>H99</f>
        <v>9.5966640566177777E-2</v>
      </c>
      <c r="D171" s="96"/>
      <c r="E171" s="407" t="s">
        <v>969</v>
      </c>
      <c r="F171" s="407">
        <v>2</v>
      </c>
      <c r="G171" s="407">
        <v>0.19202395038926415</v>
      </c>
      <c r="H171" s="407">
        <v>9.6011975194632074E-2</v>
      </c>
      <c r="I171" s="407">
        <v>4.1104570741782355E-9</v>
      </c>
      <c r="J171"/>
      <c r="K171"/>
      <c r="N171" s="692"/>
      <c r="O171" s="692"/>
      <c r="P171" s="692"/>
      <c r="Q171" s="692"/>
      <c r="R171" s="692"/>
      <c r="S171" s="691"/>
      <c r="T171" s="691"/>
      <c r="V171" s="588"/>
      <c r="W171" s="588"/>
      <c r="X171" s="588"/>
      <c r="Y171" s="588"/>
      <c r="Z171" s="588"/>
    </row>
    <row r="172" spans="1:26" s="382" customFormat="1" ht="19.95" customHeight="1">
      <c r="A172" s="363" t="str">
        <f t="shared" si="17"/>
        <v>MOOS047a</v>
      </c>
      <c r="B172" s="154">
        <f>H100</f>
        <v>9.6170353372997786E-2</v>
      </c>
      <c r="C172" s="138">
        <f>H101</f>
        <v>9.5984916685840749E-2</v>
      </c>
      <c r="D172" s="96"/>
      <c r="E172" s="407" t="s">
        <v>970</v>
      </c>
      <c r="F172" s="407">
        <v>2</v>
      </c>
      <c r="G172" s="407">
        <v>0.19215527005883853</v>
      </c>
      <c r="H172" s="407">
        <v>9.6077635029419267E-2</v>
      </c>
      <c r="I172" s="407">
        <v>1.7193382471888361E-8</v>
      </c>
      <c r="J172"/>
      <c r="K172" s="388"/>
      <c r="L172" s="60"/>
      <c r="N172" s="407"/>
      <c r="O172" s="407"/>
      <c r="P172" s="407"/>
      <c r="Q172" s="407"/>
      <c r="R172" s="407"/>
      <c r="S172" s="691"/>
      <c r="T172" s="691"/>
      <c r="V172" s="588"/>
      <c r="W172" s="588"/>
      <c r="X172" s="588"/>
      <c r="Y172" s="588"/>
      <c r="Z172" s="588"/>
    </row>
    <row r="173" spans="1:26" s="382" customFormat="1" ht="19.95" customHeight="1">
      <c r="A173" s="363" t="str">
        <f t="shared" si="17"/>
        <v>MOOS085a</v>
      </c>
      <c r="B173" s="154">
        <f>H102</f>
        <v>9.6274707063061585E-2</v>
      </c>
      <c r="C173" s="138">
        <f>H103</f>
        <v>9.6406559152710791E-2</v>
      </c>
      <c r="D173" s="96"/>
      <c r="E173" s="407" t="s">
        <v>971</v>
      </c>
      <c r="F173" s="407">
        <v>2</v>
      </c>
      <c r="G173" s="407">
        <v>0.19268126621577236</v>
      </c>
      <c r="H173" s="407">
        <v>9.6340633107886181E-2</v>
      </c>
      <c r="I173" s="407">
        <v>8.6924867724311909E-9</v>
      </c>
      <c r="J173"/>
      <c r="K173" s="388"/>
      <c r="L173" s="60"/>
      <c r="N173" s="407"/>
      <c r="O173" s="407"/>
      <c r="P173" s="407"/>
      <c r="Q173" s="407"/>
      <c r="R173" s="407"/>
      <c r="S173" s="691"/>
      <c r="T173" s="691"/>
      <c r="V173" s="588"/>
      <c r="W173" s="588"/>
      <c r="X173" s="588"/>
      <c r="Y173" s="588"/>
      <c r="Z173" s="588"/>
    </row>
    <row r="174" spans="1:26" s="382" customFormat="1" ht="19.95" customHeight="1">
      <c r="A174" s="363" t="str">
        <f t="shared" si="17"/>
        <v>MOOS123a</v>
      </c>
      <c r="B174" s="154">
        <f>H104</f>
        <v>9.6381157334304135E-2</v>
      </c>
      <c r="C174" s="138">
        <f>H105</f>
        <v>9.6618960227748379E-2</v>
      </c>
      <c r="D174" s="96"/>
      <c r="E174" s="407" t="s">
        <v>972</v>
      </c>
      <c r="F174" s="407">
        <v>2</v>
      </c>
      <c r="G174" s="407">
        <v>0.19300011756205251</v>
      </c>
      <c r="H174" s="407">
        <v>9.6500058781026257E-2</v>
      </c>
      <c r="I174" s="407">
        <v>2.8275108065227335E-8</v>
      </c>
      <c r="J174"/>
      <c r="K174" s="388"/>
      <c r="L174" s="142"/>
      <c r="N174" s="407"/>
      <c r="O174" s="407"/>
      <c r="P174" s="407"/>
      <c r="Q174" s="407"/>
      <c r="R174" s="407"/>
      <c r="S174" s="691"/>
      <c r="T174" s="691"/>
      <c r="V174" s="588"/>
      <c r="W174" s="588"/>
      <c r="X174" s="588"/>
      <c r="Y174" s="588"/>
      <c r="Z174" s="588"/>
    </row>
    <row r="175" spans="1:26" s="382" customFormat="1" ht="19.95" customHeight="1">
      <c r="A175" s="363" t="str">
        <f t="shared" si="17"/>
        <v>MOOS161a</v>
      </c>
      <c r="B175" s="154">
        <f>H106</f>
        <v>9.6299304517805009E-2</v>
      </c>
      <c r="C175" s="138">
        <f>H107</f>
        <v>9.6345335114878999E-2</v>
      </c>
      <c r="D175" s="96"/>
      <c r="E175" s="407" t="s">
        <v>973</v>
      </c>
      <c r="F175" s="407">
        <v>2</v>
      </c>
      <c r="G175" s="407">
        <v>0.19264463963268402</v>
      </c>
      <c r="H175" s="407">
        <v>9.6322319816342011E-2</v>
      </c>
      <c r="I175" s="407">
        <v>1.0594079334940052E-9</v>
      </c>
      <c r="J175"/>
      <c r="K175" s="388"/>
      <c r="L175" s="60"/>
      <c r="N175" s="407"/>
      <c r="O175" s="407"/>
      <c r="P175" s="407"/>
      <c r="Q175" s="407"/>
      <c r="R175" s="407"/>
      <c r="S175" s="691"/>
      <c r="T175" s="691"/>
      <c r="V175" s="588"/>
      <c r="W175" s="588"/>
      <c r="X175" s="588"/>
      <c r="Y175" s="588"/>
      <c r="Z175" s="588"/>
    </row>
    <row r="176" spans="1:26" s="382" customFormat="1" ht="19.95" customHeight="1">
      <c r="A176" s="363" t="str">
        <f t="shared" si="17"/>
        <v>MOOS199a</v>
      </c>
      <c r="B176" s="154">
        <f>H108</f>
        <v>9.5720705653252858E-2</v>
      </c>
      <c r="C176" s="138">
        <f>H109</f>
        <v>9.6096099252715103E-2</v>
      </c>
      <c r="D176" s="96"/>
      <c r="E176" s="407" t="s">
        <v>974</v>
      </c>
      <c r="F176" s="407">
        <v>2</v>
      </c>
      <c r="G176" s="407">
        <v>0.19181680490596797</v>
      </c>
      <c r="H176" s="407">
        <v>9.5908402452983987E-2</v>
      </c>
      <c r="I176" s="407">
        <v>7.0460177258610346E-8</v>
      </c>
      <c r="J176"/>
      <c r="K176" s="388"/>
      <c r="L176" s="60"/>
      <c r="N176" s="407"/>
      <c r="O176" s="407"/>
      <c r="P176" s="407"/>
      <c r="Q176" s="407"/>
      <c r="R176" s="407"/>
      <c r="S176" s="691"/>
      <c r="T176" s="691"/>
      <c r="V176" s="588"/>
      <c r="W176" s="588"/>
      <c r="X176" s="588"/>
      <c r="Y176" s="588"/>
      <c r="Z176" s="588"/>
    </row>
    <row r="177" spans="1:26" s="382" customFormat="1" ht="19.95" customHeight="1">
      <c r="A177" s="363" t="str">
        <f t="shared" si="17"/>
        <v>MOOS237a</v>
      </c>
      <c r="B177" s="154">
        <f>H110</f>
        <v>9.6407181326988625E-2</v>
      </c>
      <c r="C177" s="138">
        <f>H111</f>
        <v>9.6063268562530377E-2</v>
      </c>
      <c r="D177" s="96"/>
      <c r="E177" s="407" t="s">
        <v>975</v>
      </c>
      <c r="F177" s="407">
        <v>2</v>
      </c>
      <c r="G177" s="407">
        <v>0.192470449889519</v>
      </c>
      <c r="H177" s="407">
        <v>9.6235224944759501E-2</v>
      </c>
      <c r="I177" s="407">
        <v>5.9137994778657345E-8</v>
      </c>
      <c r="J177"/>
      <c r="K177" s="388"/>
      <c r="L177" s="161"/>
      <c r="N177" s="407"/>
      <c r="O177" s="407"/>
      <c r="P177" s="407"/>
      <c r="Q177" s="407"/>
      <c r="R177" s="407"/>
      <c r="S177" s="691"/>
      <c r="T177" s="691"/>
      <c r="V177" s="588"/>
      <c r="W177" s="588"/>
      <c r="X177" s="588"/>
      <c r="Y177" s="588"/>
      <c r="Z177" s="588"/>
    </row>
    <row r="178" spans="1:26" s="382" customFormat="1" ht="19.95" customHeight="1">
      <c r="A178" s="363" t="str">
        <f t="shared" si="17"/>
        <v>MOOS275a</v>
      </c>
      <c r="B178" s="154">
        <f>H112</f>
        <v>9.6088715890866802E-2</v>
      </c>
      <c r="C178" s="138">
        <f>H113</f>
        <v>9.6059575061159641E-2</v>
      </c>
      <c r="D178" s="96"/>
      <c r="E178" s="407" t="s">
        <v>976</v>
      </c>
      <c r="F178" s="407">
        <v>2</v>
      </c>
      <c r="G178" s="407">
        <v>0.19214829095202646</v>
      </c>
      <c r="H178" s="407">
        <v>9.6074145476013229E-2</v>
      </c>
      <c r="I178" s="407">
        <v>4.2459397801087943E-10</v>
      </c>
      <c r="J178"/>
      <c r="K178"/>
      <c r="L178" s="410"/>
      <c r="N178" s="407"/>
      <c r="O178" s="407"/>
      <c r="P178" s="407"/>
      <c r="Q178" s="407"/>
      <c r="R178" s="407"/>
      <c r="S178" s="691"/>
      <c r="T178" s="691"/>
      <c r="V178" s="588"/>
      <c r="W178" s="588"/>
      <c r="X178" s="588"/>
      <c r="Y178" s="588"/>
      <c r="Z178" s="588"/>
    </row>
    <row r="179" spans="1:26" s="382" customFormat="1" ht="19.95" customHeight="1">
      <c r="A179" s="363" t="str">
        <f t="shared" si="17"/>
        <v>MOOS313a</v>
      </c>
      <c r="B179" s="154">
        <f>H114</f>
        <v>9.6465518928306959E-2</v>
      </c>
      <c r="C179" s="138">
        <f>H115</f>
        <v>9.6211115913594186E-2</v>
      </c>
      <c r="D179" s="96"/>
      <c r="E179" s="407" t="s">
        <v>977</v>
      </c>
      <c r="F179" s="407">
        <v>2</v>
      </c>
      <c r="G179" s="407">
        <v>0.19267663484190115</v>
      </c>
      <c r="H179" s="407">
        <v>9.6338317420950573E-2</v>
      </c>
      <c r="I179" s="407">
        <v>3.2360446947473681E-8</v>
      </c>
      <c r="J179"/>
      <c r="K179"/>
      <c r="L179" s="410"/>
      <c r="N179" s="407"/>
      <c r="O179" s="407"/>
      <c r="P179" s="407"/>
      <c r="Q179" s="407"/>
      <c r="R179" s="407"/>
      <c r="S179" s="691"/>
      <c r="T179" s="691"/>
      <c r="V179" s="588"/>
      <c r="W179" s="588"/>
      <c r="X179" s="588"/>
      <c r="Y179" s="588"/>
      <c r="Z179" s="588"/>
    </row>
    <row r="180" spans="1:26" s="382" customFormat="1" ht="19.95" customHeight="1" thickBot="1">
      <c r="A180" s="286" t="str">
        <f t="shared" si="17"/>
        <v>MOOS351a</v>
      </c>
      <c r="B180" s="155">
        <f>H116</f>
        <v>9.6659106539458958E-2</v>
      </c>
      <c r="C180" s="140">
        <f>H117</f>
        <v>9.6514625803500606E-2</v>
      </c>
      <c r="D180" s="96"/>
      <c r="E180" s="408" t="s">
        <v>978</v>
      </c>
      <c r="F180" s="408">
        <v>2</v>
      </c>
      <c r="G180" s="408">
        <v>0.19317373234295956</v>
      </c>
      <c r="H180" s="408">
        <v>9.6586866171479782E-2</v>
      </c>
      <c r="I180" s="408">
        <v>1.0437341531533543E-8</v>
      </c>
      <c r="J180"/>
      <c r="K180"/>
      <c r="L180" s="411"/>
      <c r="N180" s="407"/>
      <c r="O180" s="407"/>
      <c r="P180" s="407"/>
      <c r="Q180" s="407"/>
      <c r="R180" s="407"/>
      <c r="S180" s="691"/>
      <c r="T180" s="691"/>
      <c r="V180" s="588"/>
      <c r="W180" s="588"/>
      <c r="X180" s="588"/>
      <c r="Y180" s="588"/>
      <c r="Z180" s="588"/>
    </row>
    <row r="181" spans="1:26" s="382" customFormat="1" ht="19.95" customHeight="1">
      <c r="C181" s="138"/>
      <c r="D181" s="96"/>
      <c r="E181"/>
      <c r="F181"/>
      <c r="G181"/>
      <c r="H181"/>
      <c r="I181"/>
      <c r="J181"/>
      <c r="K181"/>
      <c r="L181" s="411"/>
      <c r="M181"/>
      <c r="N181" s="407"/>
      <c r="O181" s="407"/>
      <c r="P181" s="407"/>
      <c r="Q181" s="407"/>
      <c r="R181" s="407"/>
      <c r="S181" s="691"/>
      <c r="T181" s="691"/>
      <c r="V181" s="588"/>
      <c r="W181" s="588"/>
      <c r="X181" s="588"/>
      <c r="Y181" s="588"/>
      <c r="Z181" s="588"/>
    </row>
    <row r="182" spans="1:26" s="382" customFormat="1" ht="19.95" customHeight="1">
      <c r="C182" s="138"/>
      <c r="D182" s="96"/>
      <c r="E182"/>
      <c r="F182"/>
      <c r="G182"/>
      <c r="H182"/>
      <c r="I182"/>
      <c r="J182"/>
      <c r="K182"/>
      <c r="L182" s="411"/>
      <c r="N182" s="691"/>
      <c r="O182" s="691"/>
      <c r="P182" s="691"/>
      <c r="Q182" s="691"/>
      <c r="R182" s="691"/>
      <c r="S182" s="691"/>
      <c r="T182" s="691"/>
      <c r="V182" s="588"/>
      <c r="W182" s="588"/>
      <c r="X182" s="588"/>
      <c r="Y182" s="588"/>
      <c r="Z182" s="588"/>
    </row>
    <row r="183" spans="1:26" s="382" customFormat="1" ht="19.95" customHeight="1" thickBot="1">
      <c r="C183" s="138"/>
      <c r="D183" s="96"/>
      <c r="E183" t="s">
        <v>1062</v>
      </c>
      <c r="F183"/>
      <c r="G183"/>
      <c r="H183"/>
      <c r="I183"/>
      <c r="J183"/>
      <c r="K183"/>
      <c r="L183" s="411"/>
      <c r="M183"/>
      <c r="N183" s="691"/>
      <c r="O183" s="691"/>
      <c r="P183" s="691"/>
      <c r="Q183" s="691"/>
      <c r="R183" s="691"/>
      <c r="S183" s="691"/>
      <c r="T183" s="691"/>
      <c r="V183" s="588"/>
      <c r="W183" s="588"/>
      <c r="X183" s="588"/>
      <c r="Y183" s="588"/>
      <c r="Z183" s="588"/>
    </row>
    <row r="184" spans="1:26" s="412" customFormat="1" ht="40.200000000000003" customHeight="1">
      <c r="C184" s="413"/>
      <c r="D184" s="414"/>
      <c r="E184" s="415" t="s">
        <v>1063</v>
      </c>
      <c r="F184" s="415" t="s">
        <v>1064</v>
      </c>
      <c r="G184" s="415" t="s">
        <v>234</v>
      </c>
      <c r="H184" s="415" t="s">
        <v>1065</v>
      </c>
      <c r="I184" s="415" t="s">
        <v>1066</v>
      </c>
      <c r="J184" s="415" t="s">
        <v>1067</v>
      </c>
      <c r="K184" s="415" t="s">
        <v>1068</v>
      </c>
      <c r="L184" s="416"/>
      <c r="N184" s="691"/>
      <c r="O184" s="691"/>
      <c r="P184" s="691"/>
      <c r="Q184" s="691"/>
      <c r="R184" s="691"/>
      <c r="S184" s="691"/>
      <c r="T184" s="691"/>
      <c r="V184" s="588"/>
      <c r="W184" s="588"/>
      <c r="X184" s="588"/>
      <c r="Y184" s="588"/>
      <c r="Z184" s="588"/>
    </row>
    <row r="185" spans="1:26" s="382" customFormat="1" ht="19.95" customHeight="1">
      <c r="A185" s="382" t="s">
        <v>1072</v>
      </c>
      <c r="C185" s="138"/>
      <c r="D185" s="96"/>
      <c r="E185" s="407" t="s">
        <v>1069</v>
      </c>
      <c r="F185" s="407">
        <v>8.6071959655256831E-7</v>
      </c>
      <c r="G185" s="407">
        <v>9</v>
      </c>
      <c r="H185" s="407">
        <v>9.5635510728063139E-8</v>
      </c>
      <c r="I185" s="407">
        <v>4.1195319968595445</v>
      </c>
      <c r="J185" s="407">
        <v>1.8802771131913743E-2</v>
      </c>
      <c r="K185" s="407">
        <v>3.0203829470213761</v>
      </c>
      <c r="L185" s="411"/>
      <c r="N185" s="692"/>
      <c r="O185" s="692"/>
      <c r="P185" s="692"/>
      <c r="Q185" s="692"/>
      <c r="R185" s="692"/>
      <c r="S185" s="692"/>
      <c r="T185" s="692"/>
      <c r="V185" s="588"/>
      <c r="W185" s="588"/>
      <c r="X185" s="588"/>
      <c r="Y185" s="588"/>
      <c r="Z185" s="588"/>
    </row>
    <row r="186" spans="1:26" s="382" customFormat="1" ht="19.95" customHeight="1">
      <c r="A186" s="382" t="s">
        <v>1073</v>
      </c>
      <c r="C186" s="138"/>
      <c r="D186" s="96"/>
      <c r="E186" s="407" t="s">
        <v>1070</v>
      </c>
      <c r="F186" s="407">
        <v>2.3215139681150492E-7</v>
      </c>
      <c r="G186" s="407">
        <v>10</v>
      </c>
      <c r="H186" s="407">
        <v>2.3215139681150492E-8</v>
      </c>
      <c r="I186" s="407"/>
      <c r="J186" s="407"/>
      <c r="K186" s="407"/>
      <c r="L186" s="411"/>
      <c r="M186" s="411"/>
      <c r="N186" s="407"/>
      <c r="O186" s="407"/>
      <c r="P186" s="407"/>
      <c r="Q186" s="407"/>
      <c r="R186" s="407"/>
      <c r="S186" s="407"/>
      <c r="T186" s="407"/>
      <c r="V186" s="588"/>
      <c r="W186" s="588"/>
      <c r="X186" s="588"/>
      <c r="Y186" s="588"/>
      <c r="Z186" s="588"/>
    </row>
    <row r="187" spans="1:26" s="382" customFormat="1" ht="19.95" customHeight="1">
      <c r="C187" s="138"/>
      <c r="D187" s="96"/>
      <c r="E187" s="407"/>
      <c r="F187" s="407"/>
      <c r="G187" s="407"/>
      <c r="H187" s="407"/>
      <c r="I187" s="407"/>
      <c r="J187" s="407"/>
      <c r="K187" s="407"/>
      <c r="L187" s="411"/>
      <c r="M187" s="411"/>
      <c r="N187" s="407"/>
      <c r="O187" s="407"/>
      <c r="P187" s="407"/>
      <c r="Q187" s="407"/>
      <c r="R187" s="407"/>
      <c r="S187" s="407"/>
      <c r="T187" s="407"/>
      <c r="V187" s="588"/>
      <c r="W187" s="588"/>
      <c r="X187" s="588"/>
      <c r="Y187" s="588"/>
      <c r="Z187" s="588"/>
    </row>
    <row r="188" spans="1:26" s="382" customFormat="1" ht="19.95" customHeight="1" thickBot="1">
      <c r="C188" s="138"/>
      <c r="D188" s="96"/>
      <c r="E188" s="408" t="s">
        <v>1071</v>
      </c>
      <c r="F188" s="408">
        <v>1.0928709933640733E-6</v>
      </c>
      <c r="G188" s="408">
        <v>19</v>
      </c>
      <c r="H188" s="408"/>
      <c r="I188" s="408"/>
      <c r="J188" s="408"/>
      <c r="K188" s="408"/>
      <c r="L188" s="411"/>
      <c r="M188" s="411"/>
      <c r="N188" s="407"/>
      <c r="O188" s="407"/>
      <c r="P188" s="407"/>
      <c r="Q188" s="407"/>
      <c r="R188" s="407"/>
      <c r="S188" s="407"/>
      <c r="T188" s="407"/>
      <c r="V188" s="588"/>
      <c r="W188" s="588"/>
      <c r="X188" s="588"/>
      <c r="Y188" s="588"/>
      <c r="Z188" s="588"/>
    </row>
    <row r="189" spans="1:26" s="382" customFormat="1" ht="19.95" customHeight="1">
      <c r="C189" s="138"/>
      <c r="D189" s="96"/>
      <c r="E189"/>
      <c r="F189"/>
      <c r="G189"/>
      <c r="H189"/>
      <c r="I189"/>
      <c r="J189"/>
      <c r="K189"/>
      <c r="L189" s="411"/>
      <c r="M189" s="411"/>
      <c r="N189" s="407"/>
      <c r="O189" s="407"/>
      <c r="P189" s="407"/>
      <c r="Q189" s="407"/>
      <c r="R189" s="407"/>
      <c r="S189" s="407"/>
      <c r="T189" s="407"/>
      <c r="V189" s="588"/>
      <c r="W189" s="588"/>
      <c r="X189" s="588"/>
      <c r="Y189" s="588"/>
      <c r="Z189" s="588"/>
    </row>
    <row r="190" spans="1:26" s="382" customFormat="1" ht="19.95" customHeight="1">
      <c r="A190" s="382" t="s">
        <v>1078</v>
      </c>
      <c r="C190" s="138"/>
      <c r="D190" s="96"/>
      <c r="E190"/>
      <c r="F190"/>
      <c r="G190"/>
      <c r="H190"/>
      <c r="I190"/>
      <c r="J190"/>
      <c r="K190"/>
      <c r="L190" s="411"/>
      <c r="M190" s="411"/>
      <c r="N190" s="411"/>
    </row>
    <row r="191" spans="1:26" s="382" customFormat="1" ht="19.95" customHeight="1">
      <c r="A191" s="382" t="s">
        <v>1082</v>
      </c>
      <c r="D191" s="96"/>
      <c r="E191"/>
      <c r="F191"/>
      <c r="G191"/>
      <c r="H191"/>
      <c r="I191"/>
      <c r="J191"/>
      <c r="K191"/>
      <c r="L191" s="411"/>
      <c r="M191" s="411"/>
      <c r="N191" s="411"/>
    </row>
    <row r="192" spans="1:26" s="382" customFormat="1" ht="19.95" customHeight="1">
      <c r="D192" s="96"/>
      <c r="E192" s="96"/>
      <c r="F192" s="138"/>
      <c r="G192" s="80"/>
    </row>
    <row r="193" spans="1:7" s="382" customFormat="1" ht="19.95" customHeight="1">
      <c r="A193" s="388" t="s">
        <v>1074</v>
      </c>
      <c r="D193" s="96"/>
      <c r="E193" s="96"/>
      <c r="F193" s="138"/>
      <c r="G193" s="80"/>
    </row>
    <row r="194" spans="1:7" s="382" customFormat="1" ht="19.95" customHeight="1">
      <c r="A194" s="388" t="s">
        <v>1075</v>
      </c>
      <c r="B194" s="417">
        <f>SQRT((H185-H186)/2)/AVERAGE(H171:H180)</f>
        <v>1.9772507818506305E-3</v>
      </c>
      <c r="C194" s="388" t="s">
        <v>1076</v>
      </c>
      <c r="D194" s="96"/>
      <c r="E194" s="96"/>
      <c r="F194" s="138"/>
      <c r="G194" s="80"/>
    </row>
    <row r="195" spans="1:7" s="382" customFormat="1" ht="19.95" customHeight="1">
      <c r="C195" s="138"/>
      <c r="D195" s="96"/>
      <c r="E195" s="96"/>
      <c r="F195" s="138"/>
      <c r="G195" s="80"/>
    </row>
    <row r="196" spans="1:7" s="382" customFormat="1" ht="19.95" customHeight="1">
      <c r="A196" s="388" t="s">
        <v>1077</v>
      </c>
      <c r="B196" s="404"/>
      <c r="C196" s="405"/>
      <c r="D196" s="96"/>
      <c r="E196" s="96"/>
      <c r="F196" s="138"/>
      <c r="G196" s="80"/>
    </row>
    <row r="197" spans="1:7" s="382" customFormat="1" ht="19.95" customHeight="1">
      <c r="A197" s="388" t="s">
        <v>1075</v>
      </c>
      <c r="B197" s="417">
        <f>SQRT(H186)/AVERAGE(H171:H180)</f>
        <v>1.5831863307617282E-3</v>
      </c>
      <c r="C197" s="388" t="s">
        <v>1076</v>
      </c>
      <c r="D197" s="96"/>
      <c r="E197" s="96"/>
      <c r="F197" s="138"/>
      <c r="G197" s="80"/>
    </row>
    <row r="198" spans="1:7" s="395" customFormat="1" ht="19.95" customHeight="1">
      <c r="A198" s="393"/>
      <c r="B198" s="417"/>
      <c r="C198" s="393"/>
      <c r="D198" s="96"/>
      <c r="E198" s="96"/>
      <c r="F198" s="138"/>
      <c r="G198" s="80"/>
    </row>
    <row r="199" spans="1:7" s="395" customFormat="1" ht="19.95" customHeight="1">
      <c r="A199" s="393" t="s">
        <v>2694</v>
      </c>
      <c r="B199" s="417"/>
      <c r="C199" s="393"/>
      <c r="D199" s="96"/>
      <c r="E199" s="96"/>
      <c r="F199" s="138"/>
      <c r="G199" s="80"/>
    </row>
    <row r="200" spans="1:7" s="395" customFormat="1" ht="19.95" customHeight="1">
      <c r="C200" s="138"/>
      <c r="D200" s="96"/>
      <c r="E200" s="96"/>
      <c r="F200" s="138"/>
      <c r="G200" s="80"/>
    </row>
    <row r="201" spans="1:7" s="395" customFormat="1" ht="19.95" customHeight="1">
      <c r="A201" s="398" t="s">
        <v>4</v>
      </c>
      <c r="B201" s="398" t="s">
        <v>1055</v>
      </c>
      <c r="C201" s="398" t="s">
        <v>1056</v>
      </c>
      <c r="D201" s="421" t="s">
        <v>260</v>
      </c>
      <c r="E201" s="421" t="s">
        <v>270</v>
      </c>
      <c r="F201" s="138"/>
      <c r="G201" s="80"/>
    </row>
    <row r="202" spans="1:7" s="395" customFormat="1" ht="19.95" customHeight="1">
      <c r="A202" s="396" t="s">
        <v>96</v>
      </c>
      <c r="B202" s="396"/>
      <c r="C202" s="140"/>
      <c r="D202" s="100"/>
      <c r="E202" s="100"/>
      <c r="F202" s="138"/>
      <c r="G202" s="80"/>
    </row>
    <row r="203" spans="1:7" s="395" customFormat="1" ht="19.95" customHeight="1">
      <c r="A203" s="363" t="str">
        <f>A171</f>
        <v>MOOS009a</v>
      </c>
      <c r="B203" s="154">
        <f t="shared" ref="B203:C203" si="18">B171</f>
        <v>9.605730982308637E-2</v>
      </c>
      <c r="C203" s="138">
        <f t="shared" si="18"/>
        <v>9.5966640566177777E-2</v>
      </c>
      <c r="D203" s="96">
        <f>AVERAGE(B203:C203)</f>
        <v>9.6011975194632074E-2</v>
      </c>
      <c r="E203" s="96">
        <f>D203*$B$197</f>
        <v>1.5200484671757563E-4</v>
      </c>
      <c r="F203" s="138"/>
      <c r="G203" s="80"/>
    </row>
    <row r="204" spans="1:7" s="395" customFormat="1" ht="19.95" customHeight="1">
      <c r="A204" s="363" t="str">
        <f t="shared" ref="A204:C204" si="19">A172</f>
        <v>MOOS047a</v>
      </c>
      <c r="B204" s="154">
        <f t="shared" si="19"/>
        <v>9.6170353372997786E-2</v>
      </c>
      <c r="C204" s="138">
        <f t="shared" si="19"/>
        <v>9.5984916685840749E-2</v>
      </c>
      <c r="D204" s="96">
        <f t="shared" ref="D204:D212" si="20">AVERAGE(B204:C204)</f>
        <v>9.6077635029419267E-2</v>
      </c>
      <c r="E204" s="96">
        <f t="shared" ref="E204:E212" si="21">D204*$B$197</f>
        <v>1.5210879847049079E-4</v>
      </c>
      <c r="F204" s="138"/>
      <c r="G204" s="80"/>
    </row>
    <row r="205" spans="1:7" s="395" customFormat="1" ht="19.95" customHeight="1">
      <c r="A205" s="363" t="str">
        <f t="shared" ref="A205:C205" si="22">A173</f>
        <v>MOOS085a</v>
      </c>
      <c r="B205" s="154">
        <f t="shared" si="22"/>
        <v>9.6274707063061585E-2</v>
      </c>
      <c r="C205" s="138">
        <f t="shared" si="22"/>
        <v>9.6406559152710791E-2</v>
      </c>
      <c r="D205" s="96">
        <f t="shared" si="20"/>
        <v>9.6340633107886181E-2</v>
      </c>
      <c r="E205" s="96">
        <f t="shared" si="21"/>
        <v>1.525251734333362E-4</v>
      </c>
      <c r="F205" s="138"/>
      <c r="G205" s="80"/>
    </row>
    <row r="206" spans="1:7" s="395" customFormat="1" ht="19.95" customHeight="1">
      <c r="A206" s="363" t="str">
        <f t="shared" ref="A206:C206" si="23">A174</f>
        <v>MOOS123a</v>
      </c>
      <c r="B206" s="154">
        <f t="shared" si="23"/>
        <v>9.6381157334304135E-2</v>
      </c>
      <c r="C206" s="138">
        <f t="shared" si="23"/>
        <v>9.6618960227748379E-2</v>
      </c>
      <c r="D206" s="96">
        <f t="shared" si="20"/>
        <v>9.6500058781026257E-2</v>
      </c>
      <c r="E206" s="96">
        <f t="shared" si="21"/>
        <v>1.5277757397982406E-4</v>
      </c>
      <c r="F206" s="138"/>
      <c r="G206" s="80"/>
    </row>
    <row r="207" spans="1:7" s="395" customFormat="1" ht="19.95" customHeight="1">
      <c r="A207" s="363" t="str">
        <f t="shared" ref="A207:C207" si="24">A175</f>
        <v>MOOS161a</v>
      </c>
      <c r="B207" s="154">
        <f t="shared" si="24"/>
        <v>9.6299304517805009E-2</v>
      </c>
      <c r="C207" s="138">
        <f t="shared" si="24"/>
        <v>9.6345335114878999E-2</v>
      </c>
      <c r="D207" s="96">
        <f t="shared" si="20"/>
        <v>9.6322319816342011E-2</v>
      </c>
      <c r="E207" s="96">
        <f t="shared" si="21"/>
        <v>1.5249618008049222E-4</v>
      </c>
      <c r="F207" s="138"/>
      <c r="G207" s="80"/>
    </row>
    <row r="208" spans="1:7" s="395" customFormat="1" ht="19.95" customHeight="1">
      <c r="A208" s="363" t="str">
        <f t="shared" ref="A208:C208" si="25">A176</f>
        <v>MOOS199a</v>
      </c>
      <c r="B208" s="154">
        <f t="shared" si="25"/>
        <v>9.5720705653252858E-2</v>
      </c>
      <c r="C208" s="138">
        <f t="shared" si="25"/>
        <v>9.6096099252715103E-2</v>
      </c>
      <c r="D208" s="96">
        <f t="shared" si="20"/>
        <v>9.5908402452983987E-2</v>
      </c>
      <c r="E208" s="96">
        <f t="shared" si="21"/>
        <v>1.5184087176875886E-4</v>
      </c>
      <c r="F208" s="138"/>
      <c r="G208" s="80"/>
    </row>
    <row r="209" spans="1:7" s="395" customFormat="1" ht="19.95" customHeight="1">
      <c r="A209" s="363" t="str">
        <f t="shared" ref="A209:C209" si="26">A177</f>
        <v>MOOS237a</v>
      </c>
      <c r="B209" s="154">
        <f t="shared" si="26"/>
        <v>9.6407181326988625E-2</v>
      </c>
      <c r="C209" s="138">
        <f t="shared" si="26"/>
        <v>9.6063268562530377E-2</v>
      </c>
      <c r="D209" s="96">
        <f t="shared" si="20"/>
        <v>9.6235224944759501E-2</v>
      </c>
      <c r="E209" s="96">
        <f t="shared" si="21"/>
        <v>1.5235829267032334E-4</v>
      </c>
      <c r="F209" s="138"/>
      <c r="G209" s="80"/>
    </row>
    <row r="210" spans="1:7" s="395" customFormat="1" ht="19.95" customHeight="1">
      <c r="A210" s="363" t="str">
        <f t="shared" ref="A210:C210" si="27">A178</f>
        <v>MOOS275a</v>
      </c>
      <c r="B210" s="154">
        <f t="shared" si="27"/>
        <v>9.6088715890866802E-2</v>
      </c>
      <c r="C210" s="138">
        <f t="shared" si="27"/>
        <v>9.6059575061159641E-2</v>
      </c>
      <c r="D210" s="96">
        <f t="shared" si="20"/>
        <v>9.6074145476013229E-2</v>
      </c>
      <c r="E210" s="96">
        <f t="shared" si="21"/>
        <v>1.5210327385723786E-4</v>
      </c>
      <c r="F210" s="138"/>
      <c r="G210" s="80"/>
    </row>
    <row r="211" spans="1:7" s="395" customFormat="1" ht="19.95" customHeight="1">
      <c r="A211" s="363" t="str">
        <f t="shared" ref="A211:C211" si="28">A179</f>
        <v>MOOS313a</v>
      </c>
      <c r="B211" s="154">
        <f t="shared" si="28"/>
        <v>9.6465518928306959E-2</v>
      </c>
      <c r="C211" s="138">
        <f t="shared" si="28"/>
        <v>9.6211115913594186E-2</v>
      </c>
      <c r="D211" s="96">
        <f t="shared" si="20"/>
        <v>9.6338317420950573E-2</v>
      </c>
      <c r="E211" s="96">
        <f t="shared" si="21"/>
        <v>1.5252150726943341E-4</v>
      </c>
      <c r="F211" s="138"/>
      <c r="G211" s="80"/>
    </row>
    <row r="212" spans="1:7" s="395" customFormat="1" ht="19.95" customHeight="1">
      <c r="A212" s="286" t="str">
        <f t="shared" ref="A212:C212" si="29">A180</f>
        <v>MOOS351a</v>
      </c>
      <c r="B212" s="155">
        <f t="shared" si="29"/>
        <v>9.6659106539458958E-2</v>
      </c>
      <c r="C212" s="140">
        <f t="shared" si="29"/>
        <v>9.6514625803500606E-2</v>
      </c>
      <c r="D212" s="100">
        <f t="shared" si="20"/>
        <v>9.6586866171479782E-2</v>
      </c>
      <c r="E212" s="100">
        <f t="shared" si="21"/>
        <v>1.5291500625379918E-4</v>
      </c>
      <c r="F212" s="138"/>
      <c r="G212" s="80"/>
    </row>
    <row r="213" spans="1:7" s="395" customFormat="1" ht="19.95" customHeight="1">
      <c r="A213" s="363"/>
      <c r="B213" s="157"/>
      <c r="C213" s="138"/>
      <c r="D213" s="96"/>
      <c r="E213" s="96"/>
      <c r="F213" s="138"/>
      <c r="G213" s="80"/>
    </row>
    <row r="214" spans="1:7" s="395" customFormat="1" ht="19.95" customHeight="1">
      <c r="A214" s="88" t="s">
        <v>1175</v>
      </c>
      <c r="B214" s="157"/>
      <c r="C214" s="138"/>
      <c r="D214" s="96"/>
      <c r="E214" s="96"/>
      <c r="F214" s="138"/>
      <c r="G214" s="80"/>
    </row>
    <row r="215" spans="1:7" s="395" customFormat="1" ht="19.95" customHeight="1">
      <c r="A215" s="363"/>
      <c r="B215" s="157"/>
      <c r="C215" s="138"/>
      <c r="D215" s="96"/>
      <c r="E215" s="96"/>
      <c r="F215" s="138"/>
      <c r="G215" s="80"/>
    </row>
    <row r="216" spans="1:7" s="395" customFormat="1" ht="19.95" customHeight="1">
      <c r="A216" s="423" t="s">
        <v>229</v>
      </c>
      <c r="B216" s="157" t="s">
        <v>1174</v>
      </c>
      <c r="C216" s="138"/>
      <c r="D216" s="96"/>
      <c r="E216" s="96"/>
      <c r="F216" s="138"/>
      <c r="G216" s="80"/>
    </row>
    <row r="217" spans="1:7" s="395" customFormat="1" ht="19.95" customHeight="1">
      <c r="A217" s="424" t="s">
        <v>1171</v>
      </c>
      <c r="B217" s="161" t="s">
        <v>1173</v>
      </c>
      <c r="C217" s="393"/>
      <c r="D217" s="96"/>
      <c r="E217" s="96"/>
      <c r="F217" s="138"/>
      <c r="G217" s="80"/>
    </row>
    <row r="218" spans="1:7" s="395" customFormat="1" ht="19.95" customHeight="1">
      <c r="A218" s="424" t="s">
        <v>1172</v>
      </c>
      <c r="B218" s="425">
        <v>2</v>
      </c>
      <c r="C218" s="393"/>
      <c r="D218" s="96"/>
      <c r="E218" s="96"/>
      <c r="F218" s="138"/>
      <c r="G218" s="80"/>
    </row>
    <row r="219" spans="1:7" s="395" customFormat="1" ht="19.95" customHeight="1">
      <c r="A219" s="424"/>
      <c r="B219" s="422"/>
      <c r="C219" s="393"/>
      <c r="D219" s="96"/>
      <c r="E219" s="96"/>
      <c r="F219" s="138"/>
      <c r="G219" s="80"/>
    </row>
    <row r="220" spans="1:7" s="395" customFormat="1" ht="19.95" customHeight="1">
      <c r="A220" s="426" t="s">
        <v>299</v>
      </c>
      <c r="B220" s="422"/>
      <c r="C220" s="393"/>
      <c r="D220" s="96"/>
      <c r="E220" s="96"/>
      <c r="F220" s="138"/>
      <c r="G220" s="80"/>
    </row>
    <row r="221" spans="1:7" s="395" customFormat="1" ht="19.95" customHeight="1">
      <c r="A221" s="426">
        <v>9.6239340000000007E-2</v>
      </c>
      <c r="B221" s="422"/>
      <c r="C221" s="393"/>
      <c r="D221" s="96"/>
      <c r="E221" s="96"/>
      <c r="F221" s="138"/>
      <c r="G221" s="80"/>
    </row>
    <row r="222" spans="1:7" s="395" customFormat="1" ht="19.95" customHeight="1">
      <c r="A222" s="426"/>
      <c r="B222" s="422"/>
      <c r="C222" s="393"/>
      <c r="D222" s="96"/>
      <c r="E222" s="96"/>
      <c r="F222" s="138"/>
      <c r="G222" s="80"/>
    </row>
    <row r="223" spans="1:7" s="395" customFormat="1" ht="19.95" customHeight="1">
      <c r="A223" s="426" t="s">
        <v>300</v>
      </c>
      <c r="B223" s="422"/>
      <c r="C223" s="393"/>
      <c r="D223" s="96"/>
      <c r="E223" s="96"/>
      <c r="F223" s="138"/>
      <c r="G223" s="80"/>
    </row>
    <row r="224" spans="1:7" s="395" customFormat="1" ht="19.95" customHeight="1">
      <c r="A224" s="427">
        <v>6.9141569999999993E-5</v>
      </c>
      <c r="B224" s="422"/>
      <c r="C224" s="417"/>
      <c r="D224" s="96"/>
      <c r="E224" s="96"/>
      <c r="F224" s="138"/>
      <c r="G224" s="80"/>
    </row>
    <row r="225" spans="1:10" s="395" customFormat="1" ht="19.95" customHeight="1">
      <c r="A225" s="426"/>
      <c r="B225" s="422"/>
      <c r="C225" s="393"/>
      <c r="D225" s="96"/>
      <c r="E225" s="96"/>
      <c r="F225" s="138"/>
      <c r="G225" s="80"/>
    </row>
    <row r="226" spans="1:10" s="395" customFormat="1" ht="19.95" customHeight="1">
      <c r="A226" s="426" t="s">
        <v>301</v>
      </c>
      <c r="B226" s="422"/>
      <c r="C226" s="393"/>
      <c r="D226" s="96"/>
      <c r="E226" s="96"/>
      <c r="F226" s="138"/>
      <c r="G226" s="80"/>
    </row>
    <row r="227" spans="1:10" s="395" customFormat="1" ht="19.95" customHeight="1">
      <c r="A227" s="426">
        <v>1.9025770000000001E-4</v>
      </c>
      <c r="B227" s="422"/>
      <c r="C227" s="393"/>
      <c r="D227" s="96"/>
      <c r="E227" s="96"/>
      <c r="F227" s="138"/>
      <c r="G227" s="80"/>
    </row>
    <row r="228" spans="1:10" s="395" customFormat="1" ht="19.95" customHeight="1">
      <c r="A228" s="426"/>
      <c r="B228" s="422"/>
      <c r="C228" s="393"/>
      <c r="D228" s="96"/>
      <c r="E228" s="96"/>
      <c r="F228" s="138"/>
      <c r="G228" s="80"/>
    </row>
    <row r="229" spans="1:10" s="395" customFormat="1" ht="19.95" customHeight="1">
      <c r="A229" s="393" t="s">
        <v>1074</v>
      </c>
      <c r="B229" s="422"/>
      <c r="C229" s="393"/>
      <c r="D229" s="96"/>
      <c r="E229" s="96"/>
      <c r="F229" s="138"/>
      <c r="G229" s="80"/>
    </row>
    <row r="230" spans="1:10" s="395" customFormat="1" ht="19.95" customHeight="1">
      <c r="A230" s="426" t="s">
        <v>1176</v>
      </c>
      <c r="B230" s="422"/>
      <c r="C230" s="393"/>
      <c r="D230" s="96"/>
      <c r="E230" s="96"/>
      <c r="F230" s="138"/>
      <c r="G230" s="80"/>
    </row>
    <row r="231" spans="1:10" s="395" customFormat="1" ht="19.95" customHeight="1">
      <c r="A231" s="428">
        <v>1.9769229999999998E-3</v>
      </c>
      <c r="B231" s="422"/>
      <c r="C231" s="393"/>
      <c r="D231" s="96"/>
      <c r="E231" s="96"/>
      <c r="F231" s="138"/>
      <c r="G231" s="80"/>
    </row>
    <row r="232" spans="1:10" s="395" customFormat="1" ht="19.95" customHeight="1">
      <c r="A232" s="428"/>
      <c r="B232" s="422"/>
      <c r="C232" s="393"/>
      <c r="D232" s="96"/>
      <c r="E232" s="96"/>
      <c r="F232" s="138"/>
      <c r="G232" s="80"/>
    </row>
    <row r="233" spans="1:10" s="149" customFormat="1" ht="19.95" customHeight="1">
      <c r="A233" s="150" t="s">
        <v>2116</v>
      </c>
    </row>
    <row r="235" spans="1:10" ht="19.95" customHeight="1">
      <c r="A235" s="370" t="s">
        <v>2</v>
      </c>
      <c r="B235" s="235">
        <v>45306</v>
      </c>
      <c r="C235" s="371"/>
      <c r="D235" s="371"/>
      <c r="E235" s="371"/>
      <c r="F235" s="371"/>
      <c r="G235" s="371"/>
      <c r="H235" s="371"/>
    </row>
    <row r="236" spans="1:10" ht="19.95" customHeight="1">
      <c r="A236" s="371"/>
      <c r="B236" s="371"/>
      <c r="C236" s="371"/>
      <c r="D236" s="371"/>
      <c r="E236" s="371"/>
      <c r="F236" s="371"/>
      <c r="G236" s="371"/>
      <c r="H236" s="371"/>
    </row>
    <row r="237" spans="1:10" ht="19.95" customHeight="1">
      <c r="A237" s="373" t="s">
        <v>100</v>
      </c>
      <c r="B237" s="373" t="s">
        <v>99</v>
      </c>
      <c r="C237" s="373" t="s">
        <v>100</v>
      </c>
      <c r="D237" s="373" t="s">
        <v>275</v>
      </c>
      <c r="E237" s="373" t="s">
        <v>113</v>
      </c>
      <c r="F237" s="373" t="s">
        <v>114</v>
      </c>
      <c r="G237" s="377" t="s">
        <v>259</v>
      </c>
      <c r="H237" s="373" t="s">
        <v>1008</v>
      </c>
      <c r="I237" s="370" t="s">
        <v>1009</v>
      </c>
      <c r="J237" s="399" t="s">
        <v>1008</v>
      </c>
    </row>
    <row r="238" spans="1:10" ht="19.95" customHeight="1">
      <c r="A238" s="372" t="s">
        <v>96</v>
      </c>
      <c r="B238" s="372" t="s">
        <v>64</v>
      </c>
      <c r="C238" s="372" t="s">
        <v>64</v>
      </c>
      <c r="D238" s="372" t="s">
        <v>64</v>
      </c>
      <c r="E238" s="372" t="s">
        <v>64</v>
      </c>
      <c r="F238" s="372" t="s">
        <v>64</v>
      </c>
      <c r="G238" s="372"/>
      <c r="H238" s="372"/>
      <c r="I238" s="372" t="s">
        <v>1011</v>
      </c>
      <c r="J238" s="383" t="s">
        <v>429</v>
      </c>
    </row>
    <row r="239" spans="1:10" ht="19.95" customHeight="1">
      <c r="A239" s="387" t="s">
        <v>1004</v>
      </c>
      <c r="B239" s="137">
        <v>6.1215999999999999</v>
      </c>
      <c r="C239" s="137">
        <v>11.2235</v>
      </c>
      <c r="D239" s="137">
        <v>11.427300000000001</v>
      </c>
      <c r="E239" s="82">
        <f>C239-B239</f>
        <v>5.1018999999999997</v>
      </c>
      <c r="F239" s="82">
        <f>D239-B239</f>
        <v>5.3057000000000007</v>
      </c>
      <c r="G239" s="387"/>
      <c r="H239" s="387">
        <f>G239*F239/E239</f>
        <v>0</v>
      </c>
      <c r="I239" s="387" t="s">
        <v>110</v>
      </c>
      <c r="J239" s="387"/>
    </row>
    <row r="240" spans="1:10" ht="19.95" customHeight="1">
      <c r="A240" s="383" t="s">
        <v>1005</v>
      </c>
      <c r="B240" s="141">
        <v>6.1492000000000004</v>
      </c>
      <c r="C240" s="141">
        <v>11.261900000000001</v>
      </c>
      <c r="D240" s="141">
        <v>11.4627</v>
      </c>
      <c r="E240" s="81">
        <f t="shared" ref="E240:E260" si="30">C240-B240</f>
        <v>5.1127000000000002</v>
      </c>
      <c r="F240" s="81">
        <f t="shared" ref="F240:F260" si="31">D240-B240</f>
        <v>5.3134999999999994</v>
      </c>
      <c r="G240" s="383"/>
      <c r="H240" s="383">
        <f t="shared" ref="H240:H260" si="32">G240*F240/E240</f>
        <v>0</v>
      </c>
      <c r="I240" s="383" t="s">
        <v>980</v>
      </c>
      <c r="J240" s="383"/>
    </row>
    <row r="241" spans="1:13" ht="19.95" customHeight="1">
      <c r="A241" s="371" t="s">
        <v>981</v>
      </c>
      <c r="B241" s="182">
        <v>6.1372</v>
      </c>
      <c r="C241" s="182">
        <v>11.2325</v>
      </c>
      <c r="D241" s="182">
        <v>11.4335</v>
      </c>
      <c r="E241" s="60">
        <f t="shared" si="30"/>
        <v>5.0952999999999999</v>
      </c>
      <c r="F241" s="60">
        <f t="shared" si="31"/>
        <v>5.2963000000000005</v>
      </c>
      <c r="G241" s="371">
        <f>RAW_DATA!F66</f>
        <v>8.5948999999999998E-2</v>
      </c>
      <c r="H241" s="371">
        <f t="shared" si="32"/>
        <v>8.9339526367436653E-2</v>
      </c>
      <c r="I241" s="371" t="s">
        <v>999</v>
      </c>
      <c r="J241" s="161">
        <f>STDEV(H241:H242)/AVERAGE(H241:H242)</f>
        <v>1.3906195056295524E-3</v>
      </c>
    </row>
    <row r="242" spans="1:13" ht="19.95" customHeight="1">
      <c r="A242" s="371" t="s">
        <v>982</v>
      </c>
      <c r="B242" s="182">
        <v>6.1356000000000002</v>
      </c>
      <c r="C242" s="182">
        <v>11.2302</v>
      </c>
      <c r="D242" s="182">
        <v>11.430999999999999</v>
      </c>
      <c r="E242" s="60">
        <f t="shared" si="30"/>
        <v>5.0945999999999998</v>
      </c>
      <c r="F242" s="60">
        <f t="shared" si="31"/>
        <v>5.295399999999999</v>
      </c>
      <c r="G242" s="371">
        <f>RAW_DATA!F67</f>
        <v>8.6121000000000003E-2</v>
      </c>
      <c r="H242" s="371">
        <f t="shared" si="32"/>
        <v>8.9515397361912594E-2</v>
      </c>
      <c r="I242" s="371" t="s">
        <v>998</v>
      </c>
      <c r="J242" s="382"/>
      <c r="M242" s="588"/>
    </row>
    <row r="243" spans="1:13" ht="19.95" customHeight="1">
      <c r="A243" s="371" t="s">
        <v>983</v>
      </c>
      <c r="B243" s="182">
        <v>6.1212999999999997</v>
      </c>
      <c r="C243" s="182">
        <v>11.218500000000001</v>
      </c>
      <c r="D243" s="182">
        <v>11.420199999999999</v>
      </c>
      <c r="E243" s="60">
        <f t="shared" si="30"/>
        <v>5.0972000000000008</v>
      </c>
      <c r="F243" s="60">
        <f t="shared" si="31"/>
        <v>5.2988999999999997</v>
      </c>
      <c r="G243" s="371">
        <f>RAW_DATA!F68</f>
        <v>8.5612999999999995E-2</v>
      </c>
      <c r="H243" s="371">
        <f t="shared" si="32"/>
        <v>8.9000770167935311E-2</v>
      </c>
      <c r="I243" s="371" t="s">
        <v>985</v>
      </c>
      <c r="J243" s="161">
        <f>STDEV(H243:H244)/AVERAGE(H243:H244)</f>
        <v>1.1217252059443417E-3</v>
      </c>
      <c r="M243" s="588"/>
    </row>
    <row r="244" spans="1:13" ht="19.95" customHeight="1">
      <c r="A244" s="371" t="s">
        <v>984</v>
      </c>
      <c r="B244" s="182">
        <v>6.1227</v>
      </c>
      <c r="C244" s="182">
        <v>11.2094</v>
      </c>
      <c r="D244" s="182">
        <v>11.4092</v>
      </c>
      <c r="E244" s="60">
        <f t="shared" si="30"/>
        <v>5.0867000000000004</v>
      </c>
      <c r="F244" s="60">
        <f t="shared" si="31"/>
        <v>5.2865000000000002</v>
      </c>
      <c r="G244" s="371">
        <f>RAW_DATA!F69</f>
        <v>8.5773000000000002E-2</v>
      </c>
      <c r="H244" s="371">
        <f t="shared" si="32"/>
        <v>8.9142069416320996E-2</v>
      </c>
      <c r="I244" s="371" t="s">
        <v>994</v>
      </c>
      <c r="J244" s="382"/>
      <c r="M244" s="588"/>
    </row>
    <row r="245" spans="1:13" ht="19.95" customHeight="1">
      <c r="A245" s="371" t="s">
        <v>985</v>
      </c>
      <c r="B245" s="182">
        <v>6.1416000000000004</v>
      </c>
      <c r="C245" s="182">
        <v>11.2356</v>
      </c>
      <c r="D245" s="182">
        <v>11.436199999999999</v>
      </c>
      <c r="E245" s="60">
        <f t="shared" si="30"/>
        <v>5.0939999999999994</v>
      </c>
      <c r="F245" s="60">
        <f t="shared" si="31"/>
        <v>5.2945999999999991</v>
      </c>
      <c r="G245" s="371">
        <f>RAW_DATA!F70</f>
        <v>8.4193000000000004E-2</v>
      </c>
      <c r="H245" s="371">
        <f t="shared" si="32"/>
        <v>8.7508491912053399E-2</v>
      </c>
      <c r="I245" s="371" t="s">
        <v>1000</v>
      </c>
      <c r="J245" s="161">
        <f>STDEV(H245:H246)/AVERAGE(H245:H246)</f>
        <v>9.1072730240016747E-3</v>
      </c>
      <c r="M245" s="588"/>
    </row>
    <row r="246" spans="1:13" ht="19.95" customHeight="1">
      <c r="A246" s="371" t="s">
        <v>986</v>
      </c>
      <c r="B246" s="182">
        <v>6.15</v>
      </c>
      <c r="C246" s="182">
        <v>11.2538</v>
      </c>
      <c r="D246" s="182">
        <v>11.454499999999999</v>
      </c>
      <c r="E246" s="60">
        <f t="shared" si="30"/>
        <v>5.1037999999999997</v>
      </c>
      <c r="F246" s="60">
        <f t="shared" si="31"/>
        <v>5.3044999999999991</v>
      </c>
      <c r="G246" s="371">
        <f>RAW_DATA!F71</f>
        <v>8.5289000000000004E-2</v>
      </c>
      <c r="H246" s="371">
        <f t="shared" si="32"/>
        <v>8.8642874035032723E-2</v>
      </c>
      <c r="I246" s="371" t="s">
        <v>984</v>
      </c>
      <c r="J246" s="382"/>
      <c r="M246" s="588"/>
    </row>
    <row r="247" spans="1:13" ht="19.95" customHeight="1">
      <c r="A247" s="371" t="s">
        <v>987</v>
      </c>
      <c r="B247" s="182">
        <v>6.1193999999999997</v>
      </c>
      <c r="C247" s="182">
        <v>11.2103</v>
      </c>
      <c r="D247" s="182">
        <v>11.4114</v>
      </c>
      <c r="E247" s="60">
        <f t="shared" si="30"/>
        <v>5.0909000000000004</v>
      </c>
      <c r="F247" s="60">
        <f t="shared" si="31"/>
        <v>5.2920000000000007</v>
      </c>
      <c r="G247" s="371">
        <f>RAW_DATA!F72</f>
        <v>8.6719000000000004E-2</v>
      </c>
      <c r="H247" s="371">
        <f t="shared" si="32"/>
        <v>9.0144561472431217E-2</v>
      </c>
      <c r="I247" s="371" t="s">
        <v>995</v>
      </c>
      <c r="J247" s="161">
        <f>STDEV(H247:H248)/AVERAGE(H247:H248)</f>
        <v>6.5349564089096411E-3</v>
      </c>
      <c r="M247" s="588"/>
    </row>
    <row r="248" spans="1:13" ht="19.95" customHeight="1">
      <c r="A248" s="371" t="s">
        <v>988</v>
      </c>
      <c r="B248" s="182">
        <v>6.1525999999999996</v>
      </c>
      <c r="C248" s="182">
        <v>11.250500000000001</v>
      </c>
      <c r="D248" s="182">
        <v>11.452199999999999</v>
      </c>
      <c r="E248" s="60">
        <f t="shared" si="30"/>
        <v>5.097900000000001</v>
      </c>
      <c r="F248" s="60">
        <f t="shared" si="31"/>
        <v>5.2995999999999999</v>
      </c>
      <c r="G248" s="371">
        <f>RAW_DATA!F73</f>
        <v>8.5916000000000006E-2</v>
      </c>
      <c r="H248" s="371">
        <f t="shared" si="32"/>
        <v>8.9315293277624108E-2</v>
      </c>
      <c r="I248" s="371" t="s">
        <v>982</v>
      </c>
      <c r="J248" s="382"/>
      <c r="M248" s="588"/>
    </row>
    <row r="249" spans="1:13" ht="19.95" customHeight="1">
      <c r="A249" s="371" t="s">
        <v>989</v>
      </c>
      <c r="B249" s="182">
        <v>6.1158999999999999</v>
      </c>
      <c r="C249" s="182">
        <v>11.2166</v>
      </c>
      <c r="D249" s="182">
        <v>11.417400000000001</v>
      </c>
      <c r="E249" s="60">
        <f t="shared" si="30"/>
        <v>5.1006999999999998</v>
      </c>
      <c r="F249" s="60">
        <f t="shared" si="31"/>
        <v>5.3015000000000008</v>
      </c>
      <c r="G249" s="371">
        <f>RAW_DATA!F74</f>
        <v>8.6470000000000005E-2</v>
      </c>
      <c r="H249" s="371">
        <f t="shared" si="32"/>
        <v>8.9874077087458606E-2</v>
      </c>
      <c r="I249" s="371" t="s">
        <v>990</v>
      </c>
      <c r="J249" s="161">
        <f>STDEV(H249:H250)/AVERAGE(H249:H250)</f>
        <v>2.7579230131921807E-3</v>
      </c>
      <c r="M249" s="588"/>
    </row>
    <row r="250" spans="1:13" ht="19.95" customHeight="1">
      <c r="A250" s="371" t="s">
        <v>990</v>
      </c>
      <c r="B250" s="182">
        <v>6.0978000000000003</v>
      </c>
      <c r="C250" s="182">
        <v>11.186199999999999</v>
      </c>
      <c r="D250" s="182">
        <v>11.3874</v>
      </c>
      <c r="E250" s="60">
        <f t="shared" si="30"/>
        <v>5.0883999999999991</v>
      </c>
      <c r="F250" s="60">
        <f t="shared" si="31"/>
        <v>5.2895999999999992</v>
      </c>
      <c r="G250" s="371">
        <f>RAW_DATA!F75</f>
        <v>8.6119000000000001E-2</v>
      </c>
      <c r="H250" s="371">
        <f t="shared" si="32"/>
        <v>8.9524224196210991E-2</v>
      </c>
      <c r="I250" s="371" t="s">
        <v>997</v>
      </c>
      <c r="J250" s="382"/>
      <c r="M250" s="588"/>
    </row>
    <row r="251" spans="1:13" ht="19.95" customHeight="1">
      <c r="A251" s="371" t="s">
        <v>991</v>
      </c>
      <c r="B251" s="182">
        <v>6.1394000000000002</v>
      </c>
      <c r="C251" s="182">
        <v>11.2445</v>
      </c>
      <c r="D251" s="182">
        <v>11.4457</v>
      </c>
      <c r="E251" s="60">
        <f t="shared" si="30"/>
        <v>5.1051000000000002</v>
      </c>
      <c r="F251" s="60">
        <f t="shared" si="31"/>
        <v>5.3063000000000002</v>
      </c>
      <c r="G251" s="371">
        <f>RAW_DATA!F76</f>
        <v>8.6315000000000003E-2</v>
      </c>
      <c r="H251" s="371">
        <f t="shared" si="32"/>
        <v>8.9716809562986041E-2</v>
      </c>
      <c r="I251" s="371" t="s">
        <v>988</v>
      </c>
      <c r="J251" s="161">
        <f>STDEV(H251:H252)/AVERAGE(H251:H252)</f>
        <v>6.4751428873840782E-3</v>
      </c>
      <c r="M251" s="588"/>
    </row>
    <row r="252" spans="1:13" ht="19.95" customHeight="1">
      <c r="A252" s="371" t="s">
        <v>992</v>
      </c>
      <c r="B252" s="182">
        <v>6.1634000000000002</v>
      </c>
      <c r="C252" s="182">
        <v>11.2654</v>
      </c>
      <c r="D252" s="182">
        <v>11.466799999999999</v>
      </c>
      <c r="E252" s="60">
        <f t="shared" si="30"/>
        <v>5.1019999999999994</v>
      </c>
      <c r="F252" s="60">
        <f t="shared" si="31"/>
        <v>5.303399999999999</v>
      </c>
      <c r="G252" s="371">
        <f>RAW_DATA!F77</f>
        <v>8.5523000000000002E-2</v>
      </c>
      <c r="H252" s="371">
        <f t="shared" si="32"/>
        <v>8.8898996119168947E-2</v>
      </c>
      <c r="I252" s="371" t="s">
        <v>991</v>
      </c>
      <c r="J252" s="382"/>
      <c r="M252" s="588"/>
    </row>
    <row r="253" spans="1:13" ht="19.95" customHeight="1">
      <c r="A253" s="371" t="s">
        <v>993</v>
      </c>
      <c r="B253" s="182">
        <v>6.1512000000000002</v>
      </c>
      <c r="C253" s="182">
        <v>11.254200000000001</v>
      </c>
      <c r="D253" s="182">
        <v>11.4557</v>
      </c>
      <c r="E253" s="60">
        <f t="shared" si="30"/>
        <v>5.1030000000000006</v>
      </c>
      <c r="F253" s="60">
        <f t="shared" si="31"/>
        <v>5.3045</v>
      </c>
      <c r="G253" s="371">
        <f>RAW_DATA!F78</f>
        <v>8.5775000000000004E-2</v>
      </c>
      <c r="H253" s="371">
        <f t="shared" si="32"/>
        <v>8.9161961101312942E-2</v>
      </c>
      <c r="I253" s="371" t="s">
        <v>996</v>
      </c>
      <c r="J253" s="161">
        <f>STDEV(H253:H254)/AVERAGE(H253:H254)</f>
        <v>8.9085642292794295E-3</v>
      </c>
      <c r="M253" s="588"/>
    </row>
    <row r="254" spans="1:13" ht="19.95" customHeight="1">
      <c r="A254" s="371" t="s">
        <v>994</v>
      </c>
      <c r="B254" s="182">
        <v>6.12</v>
      </c>
      <c r="C254" s="182">
        <v>11.207000000000001</v>
      </c>
      <c r="D254" s="182">
        <v>11.4085</v>
      </c>
      <c r="E254" s="60">
        <f t="shared" si="30"/>
        <v>5.0870000000000006</v>
      </c>
      <c r="F254" s="60">
        <f t="shared" si="31"/>
        <v>5.2885</v>
      </c>
      <c r="G254" s="371">
        <f>RAW_DATA!F79</f>
        <v>8.4691000000000002E-2</v>
      </c>
      <c r="H254" s="371">
        <f t="shared" si="32"/>
        <v>8.8045675938667176E-2</v>
      </c>
      <c r="I254" s="371" t="s">
        <v>987</v>
      </c>
      <c r="J254" s="382"/>
      <c r="M254" s="588"/>
    </row>
    <row r="255" spans="1:13" ht="19.95" customHeight="1">
      <c r="A255" s="371" t="s">
        <v>995</v>
      </c>
      <c r="B255" s="182">
        <v>6.1323999999999996</v>
      </c>
      <c r="C255" s="182">
        <v>11.243499999999999</v>
      </c>
      <c r="D255" s="182">
        <v>11.444800000000001</v>
      </c>
      <c r="E255" s="60">
        <f t="shared" si="30"/>
        <v>5.1110999999999995</v>
      </c>
      <c r="F255" s="60">
        <f t="shared" si="31"/>
        <v>5.3124000000000011</v>
      </c>
      <c r="G255" s="371">
        <f>RAW_DATA!F80</f>
        <v>8.6173E-2</v>
      </c>
      <c r="H255" s="371">
        <f t="shared" si="32"/>
        <v>8.9566912249809269E-2</v>
      </c>
      <c r="I255" s="371" t="s">
        <v>981</v>
      </c>
      <c r="J255" s="161">
        <f>STDEV(H255:H256)/AVERAGE(H255:H256)</f>
        <v>1.3848621201637426E-3</v>
      </c>
      <c r="M255" s="588"/>
    </row>
    <row r="256" spans="1:13" ht="19.95" customHeight="1">
      <c r="A256" s="371" t="s">
        <v>996</v>
      </c>
      <c r="B256" s="182">
        <v>6.1383000000000001</v>
      </c>
      <c r="C256" s="182">
        <v>11.2462</v>
      </c>
      <c r="D256" s="182">
        <v>11.448600000000001</v>
      </c>
      <c r="E256" s="60">
        <f t="shared" si="30"/>
        <v>5.1078999999999999</v>
      </c>
      <c r="F256" s="60">
        <f t="shared" si="31"/>
        <v>5.3103000000000007</v>
      </c>
      <c r="G256" s="371">
        <f>RAW_DATA!F81</f>
        <v>8.6321999999999996E-2</v>
      </c>
      <c r="H256" s="371">
        <f t="shared" si="32"/>
        <v>8.9742500166408903E-2</v>
      </c>
      <c r="I256" s="371" t="s">
        <v>986</v>
      </c>
      <c r="J256" s="382"/>
      <c r="M256" s="588"/>
    </row>
    <row r="257" spans="1:13" ht="19.95" customHeight="1">
      <c r="A257" s="371" t="s">
        <v>997</v>
      </c>
      <c r="B257" s="182">
        <v>6.1219000000000001</v>
      </c>
      <c r="C257" s="182">
        <v>11.2111</v>
      </c>
      <c r="D257" s="182">
        <v>11.411300000000001</v>
      </c>
      <c r="E257" s="60">
        <f t="shared" si="30"/>
        <v>5.0891999999999999</v>
      </c>
      <c r="F257" s="60">
        <f t="shared" si="31"/>
        <v>5.2894000000000005</v>
      </c>
      <c r="G257" s="371">
        <f>RAW_DATA!F82</f>
        <v>8.6039000000000004E-2</v>
      </c>
      <c r="H257" s="371">
        <f t="shared" si="32"/>
        <v>8.9423619940265681E-2</v>
      </c>
      <c r="I257" s="371" t="s">
        <v>993</v>
      </c>
      <c r="J257" s="161">
        <f>STDEV(H257:H258)/AVERAGE(H257:H258)</f>
        <v>9.8225591450733125E-3</v>
      </c>
      <c r="M257" s="588"/>
    </row>
    <row r="258" spans="1:13" ht="19.95" customHeight="1">
      <c r="A258" s="371" t="s">
        <v>998</v>
      </c>
      <c r="B258" s="182">
        <v>6.1231999999999998</v>
      </c>
      <c r="C258" s="182">
        <v>11.2301</v>
      </c>
      <c r="D258" s="182">
        <v>11.430999999999999</v>
      </c>
      <c r="E258" s="60">
        <f t="shared" si="30"/>
        <v>5.1069000000000004</v>
      </c>
      <c r="F258" s="60">
        <f t="shared" si="31"/>
        <v>5.3077999999999994</v>
      </c>
      <c r="G258" s="371">
        <f>RAW_DATA!F83</f>
        <v>8.4851999999999997E-2</v>
      </c>
      <c r="H258" s="371">
        <f t="shared" si="32"/>
        <v>8.8189987193796601E-2</v>
      </c>
      <c r="I258" s="371" t="s">
        <v>989</v>
      </c>
      <c r="J258" s="382"/>
      <c r="M258" s="588"/>
    </row>
    <row r="259" spans="1:13" ht="19.95" customHeight="1">
      <c r="A259" s="371" t="s">
        <v>999</v>
      </c>
      <c r="B259" s="182">
        <v>6.1193999999999997</v>
      </c>
      <c r="C259" s="182">
        <v>11.218500000000001</v>
      </c>
      <c r="D259" s="182">
        <v>11.418900000000001</v>
      </c>
      <c r="E259" s="60">
        <f t="shared" si="30"/>
        <v>5.0991000000000009</v>
      </c>
      <c r="F259" s="60">
        <f t="shared" si="31"/>
        <v>5.299500000000001</v>
      </c>
      <c r="G259" s="371">
        <f>RAW_DATA!F84</f>
        <v>8.4748000000000004E-2</v>
      </c>
      <c r="H259" s="371">
        <f t="shared" si="32"/>
        <v>8.8078685650408911E-2</v>
      </c>
      <c r="I259" s="371" t="s">
        <v>992</v>
      </c>
      <c r="J259" s="161">
        <f>STDEV(H259:H260)/AVERAGE(H259:H260)</f>
        <v>4.6631362711862983E-3</v>
      </c>
      <c r="M259" s="588"/>
    </row>
    <row r="260" spans="1:13" ht="19.95" customHeight="1">
      <c r="A260" s="372" t="s">
        <v>1000</v>
      </c>
      <c r="B260" s="141">
        <v>6.1304999999999996</v>
      </c>
      <c r="C260" s="141">
        <v>11.2447</v>
      </c>
      <c r="D260" s="141">
        <v>11.446300000000001</v>
      </c>
      <c r="E260" s="81">
        <f t="shared" si="30"/>
        <v>5.1142000000000003</v>
      </c>
      <c r="F260" s="81">
        <f t="shared" si="31"/>
        <v>5.3158000000000012</v>
      </c>
      <c r="G260" s="372">
        <f>RAW_DATA!F85</f>
        <v>8.5299E-2</v>
      </c>
      <c r="H260" s="372">
        <f t="shared" si="32"/>
        <v>8.8661457158499879E-2</v>
      </c>
      <c r="I260" s="372" t="s">
        <v>983</v>
      </c>
      <c r="J260" s="383"/>
      <c r="M260" s="588"/>
    </row>
    <row r="261" spans="1:13" ht="19.95" customHeight="1">
      <c r="A261" s="371" t="s">
        <v>1006</v>
      </c>
      <c r="B261" s="371"/>
      <c r="C261" s="371"/>
      <c r="D261" s="371"/>
      <c r="E261" s="371"/>
      <c r="F261" s="371"/>
      <c r="G261" s="371"/>
      <c r="H261" s="371"/>
      <c r="J261" s="226"/>
    </row>
    <row r="262" spans="1:13" ht="19.95" customHeight="1">
      <c r="A262" s="371" t="s">
        <v>1007</v>
      </c>
      <c r="B262" s="371"/>
      <c r="C262" s="371"/>
      <c r="D262" s="371"/>
      <c r="E262" s="371"/>
      <c r="F262" s="371"/>
      <c r="G262" s="371"/>
      <c r="H262" s="371"/>
    </row>
    <row r="263" spans="1:13" s="382" customFormat="1" ht="19.95" customHeight="1"/>
    <row r="264" spans="1:13" s="382" customFormat="1" ht="19.95" customHeight="1"/>
    <row r="265" spans="1:13" s="382" customFormat="1" ht="19.95" customHeight="1">
      <c r="A265" s="388" t="s">
        <v>1045</v>
      </c>
    </row>
    <row r="266" spans="1:13" s="382" customFormat="1" ht="19.95" customHeight="1">
      <c r="A266" s="161">
        <f>STDEV(H241:H260)/AVERAGE(H241:H260)</f>
        <v>7.8215925652581168E-3</v>
      </c>
      <c r="B266" s="382" t="s">
        <v>1079</v>
      </c>
    </row>
    <row r="267" spans="1:13" s="382" customFormat="1" ht="19.95" customHeight="1">
      <c r="A267" s="161">
        <f>MEDIAN(STDEV(H241:H242),STDEV(H243:H244),STDEV(H247:H248),STDEV(H245:H246),STDEV(H249:H250),STDEV(H251:H252),STDEV(H253:H254),STDEV(H255:H256),STDEV(H257:H258),STDEV(H259:H260))/AVERAGE(H241:H260)</f>
        <v>5.5591721221853012E-3</v>
      </c>
      <c r="B267" s="382" t="s">
        <v>1080</v>
      </c>
    </row>
    <row r="268" spans="1:13" s="382" customFormat="1" ht="19.95" customHeight="1">
      <c r="A268" s="161">
        <f>B340</f>
        <v>6.1259316580277948E-3</v>
      </c>
      <c r="B268" s="382" t="s">
        <v>1081</v>
      </c>
    </row>
    <row r="269" spans="1:13" s="382" customFormat="1" ht="19.95" customHeight="1">
      <c r="A269" s="390"/>
      <c r="B269" s="390"/>
      <c r="C269" s="390"/>
      <c r="D269" s="390"/>
      <c r="E269" s="390"/>
      <c r="F269" s="390"/>
      <c r="G269" s="390"/>
    </row>
    <row r="270" spans="1:13" s="382" customFormat="1" ht="19.95" customHeight="1">
      <c r="A270" s="389" t="s">
        <v>4</v>
      </c>
      <c r="B270" s="389" t="s">
        <v>925</v>
      </c>
      <c r="C270" s="389" t="s">
        <v>930</v>
      </c>
      <c r="D270" s="389" t="s">
        <v>1008</v>
      </c>
      <c r="E270" s="389" t="s">
        <v>1008</v>
      </c>
      <c r="F270" s="389" t="s">
        <v>1133</v>
      </c>
      <c r="G270" s="389" t="s">
        <v>1133</v>
      </c>
    </row>
    <row r="271" spans="1:13" s="382" customFormat="1" ht="19.95" customHeight="1">
      <c r="A271" s="383" t="s">
        <v>96</v>
      </c>
      <c r="B271" s="383" t="s">
        <v>92</v>
      </c>
      <c r="C271" s="383" t="s">
        <v>931</v>
      </c>
      <c r="D271" s="383" t="s">
        <v>241</v>
      </c>
      <c r="E271" s="383" t="s">
        <v>1046</v>
      </c>
      <c r="F271" s="383" t="s">
        <v>241</v>
      </c>
      <c r="G271" s="383" t="s">
        <v>1046</v>
      </c>
    </row>
    <row r="272" spans="1:13" s="382" customFormat="1" ht="19.95" customHeight="1">
      <c r="A272" s="363" t="str">
        <f t="shared" ref="A272:C281" si="33">A24</f>
        <v>MOOS009a</v>
      </c>
      <c r="B272" s="385">
        <f t="shared" si="33"/>
        <v>21</v>
      </c>
      <c r="C272" s="145">
        <f t="shared" si="33"/>
        <v>12</v>
      </c>
      <c r="D272" s="154">
        <f>AVERAGE(H241:H242)</f>
        <v>8.9427461864674623E-2</v>
      </c>
      <c r="E272" s="156">
        <f>D272*$A$268</f>
        <v>5.478265197338836E-4</v>
      </c>
      <c r="F272" s="60">
        <f>D272/AVERAGE($D$274,$D$278)</f>
        <v>1.0123128162431212</v>
      </c>
      <c r="G272" s="60">
        <f>F272*SQRT((E272/D272)^2+((SQRT($E$274^2+$E$278^2)/2)/AVERAGE($D$274,$D$278))^2)</f>
        <v>7.5950940996761026E-3</v>
      </c>
    </row>
    <row r="273" spans="1:8" s="382" customFormat="1" ht="19.95" customHeight="1">
      <c r="A273" s="363" t="str">
        <f t="shared" si="33"/>
        <v>MOOS047a</v>
      </c>
      <c r="B273" s="385">
        <f t="shared" si="33"/>
        <v>21</v>
      </c>
      <c r="C273" s="145">
        <f t="shared" si="33"/>
        <v>27</v>
      </c>
      <c r="D273" s="154">
        <f>AVERAGE(H243:H244)</f>
        <v>8.9071419792128154E-2</v>
      </c>
      <c r="E273" s="157">
        <f t="shared" ref="E273:E281" si="34">D273*$A$268</f>
        <v>5.4564543033008134E-4</v>
      </c>
      <c r="F273" s="60">
        <f t="shared" ref="F273:F281" si="35">D273/AVERAGE($D$274,$D$278)</f>
        <v>1.0082824440772873</v>
      </c>
      <c r="G273" s="60">
        <f t="shared" ref="G273:G281" si="36">F273*SQRT((E273/D273)^2+((SQRT($E$274^2+$E$278^2)/2)/AVERAGE($D$274,$D$278))^2)</f>
        <v>7.564855367769273E-3</v>
      </c>
    </row>
    <row r="274" spans="1:8" s="382" customFormat="1" ht="19.95" customHeight="1">
      <c r="A274" s="402" t="str">
        <f t="shared" si="33"/>
        <v>MOOS085a</v>
      </c>
      <c r="B274" s="390">
        <f t="shared" si="33"/>
        <v>4</v>
      </c>
      <c r="C274" s="390" t="str">
        <f t="shared" si="33"/>
        <v># ref</v>
      </c>
      <c r="D274" s="207">
        <f>AVERAGE(H245:H246)</f>
        <v>8.8075682973543068E-2</v>
      </c>
      <c r="E274" s="403">
        <f t="shared" si="34"/>
        <v>5.3954561463004705E-4</v>
      </c>
      <c r="F274" s="165">
        <f t="shared" si="35"/>
        <v>0.99701077067807831</v>
      </c>
      <c r="G274" s="165">
        <f t="shared" si="36"/>
        <v>7.4802872197085573E-3</v>
      </c>
    </row>
    <row r="275" spans="1:8" s="382" customFormat="1" ht="19.95" customHeight="1">
      <c r="A275" s="363" t="str">
        <f t="shared" si="33"/>
        <v>MOOS123a</v>
      </c>
      <c r="B275" s="385">
        <f t="shared" si="33"/>
        <v>40</v>
      </c>
      <c r="C275" s="145">
        <f t="shared" si="33"/>
        <v>12</v>
      </c>
      <c r="D275" s="154">
        <f>AVERAGE(H247:H248)</f>
        <v>8.9729927375027663E-2</v>
      </c>
      <c r="E275" s="157">
        <f t="shared" si="34"/>
        <v>5.4967940277921685E-4</v>
      </c>
      <c r="F275" s="60">
        <f t="shared" si="35"/>
        <v>1.0157367053507562</v>
      </c>
      <c r="G275" s="60">
        <f t="shared" si="36"/>
        <v>7.6207825623154013E-3</v>
      </c>
    </row>
    <row r="276" spans="1:8" s="382" customFormat="1" ht="19.95" customHeight="1">
      <c r="A276" s="363" t="str">
        <f t="shared" si="33"/>
        <v>MOOS161a</v>
      </c>
      <c r="B276" s="385">
        <f t="shared" si="33"/>
        <v>40</v>
      </c>
      <c r="C276" s="145">
        <f t="shared" si="33"/>
        <v>27</v>
      </c>
      <c r="D276" s="154">
        <f>AVERAGE(H249:H250)</f>
        <v>8.9699150641834799E-2</v>
      </c>
      <c r="E276" s="157">
        <f t="shared" si="34"/>
        <v>5.4949086661502001E-4</v>
      </c>
      <c r="F276" s="60">
        <f t="shared" si="35"/>
        <v>1.0153883148138494</v>
      </c>
      <c r="G276" s="60">
        <f t="shared" si="36"/>
        <v>7.6181686875636577E-3</v>
      </c>
    </row>
    <row r="277" spans="1:8" s="382" customFormat="1" ht="19.95" customHeight="1">
      <c r="A277" s="363" t="str">
        <f t="shared" si="33"/>
        <v>MOOS199a</v>
      </c>
      <c r="B277" s="385">
        <f t="shared" si="33"/>
        <v>21</v>
      </c>
      <c r="C277" s="145">
        <f t="shared" si="33"/>
        <v>35</v>
      </c>
      <c r="D277" s="154">
        <f>AVERAGE(H251:H252)</f>
        <v>8.9307902841077494E-2</v>
      </c>
      <c r="E277" s="157">
        <f t="shared" si="34"/>
        <v>5.4709410932622703E-4</v>
      </c>
      <c r="F277" s="60">
        <f t="shared" si="35"/>
        <v>1.0109594161872408</v>
      </c>
      <c r="G277" s="60">
        <f t="shared" si="36"/>
        <v>7.5849399253794005E-3</v>
      </c>
    </row>
    <row r="278" spans="1:8" s="382" customFormat="1" ht="19.95" customHeight="1">
      <c r="A278" s="402" t="str">
        <f t="shared" si="33"/>
        <v>MOOS237a</v>
      </c>
      <c r="B278" s="390">
        <f t="shared" si="33"/>
        <v>4</v>
      </c>
      <c r="C278" s="390" t="str">
        <f t="shared" si="33"/>
        <v># ref</v>
      </c>
      <c r="D278" s="207">
        <f>AVERAGE(H253:H254)</f>
        <v>8.8603818519990052E-2</v>
      </c>
      <c r="E278" s="403">
        <f t="shared" si="34"/>
        <v>5.4278093689375645E-4</v>
      </c>
      <c r="F278" s="165">
        <f t="shared" si="35"/>
        <v>1.0029892293219218</v>
      </c>
      <c r="G278" s="165">
        <f t="shared" si="36"/>
        <v>7.5251418883864928E-3</v>
      </c>
    </row>
    <row r="279" spans="1:8" s="382" customFormat="1" ht="19.95" customHeight="1">
      <c r="A279" s="363" t="str">
        <f t="shared" si="33"/>
        <v>MOOS275a</v>
      </c>
      <c r="B279" s="385">
        <f t="shared" si="33"/>
        <v>21</v>
      </c>
      <c r="C279" s="145">
        <f t="shared" si="33"/>
        <v>43</v>
      </c>
      <c r="D279" s="154">
        <f>AVERAGE(H255:H256)</f>
        <v>8.9654706208109086E-2</v>
      </c>
      <c r="E279" s="157">
        <f t="shared" si="34"/>
        <v>5.4921860305143656E-4</v>
      </c>
      <c r="F279" s="60">
        <f t="shared" si="35"/>
        <v>1.0148852068318821</v>
      </c>
      <c r="G279" s="60">
        <f t="shared" si="36"/>
        <v>7.6143940119850944E-3</v>
      </c>
    </row>
    <row r="280" spans="1:8" s="382" customFormat="1" ht="19.95" customHeight="1">
      <c r="A280" s="363" t="str">
        <f t="shared" si="33"/>
        <v>MOOS313a</v>
      </c>
      <c r="B280" s="385">
        <f t="shared" si="33"/>
        <v>40</v>
      </c>
      <c r="C280" s="145">
        <f t="shared" si="33"/>
        <v>35</v>
      </c>
      <c r="D280" s="154">
        <f>AVERAGE(H257:H258)</f>
        <v>8.8806803567031134E-2</v>
      </c>
      <c r="E280" s="157">
        <f t="shared" si="34"/>
        <v>5.4402440941953175E-4</v>
      </c>
      <c r="F280" s="60">
        <f t="shared" si="35"/>
        <v>1.0052870063172741</v>
      </c>
      <c r="G280" s="60">
        <f t="shared" si="36"/>
        <v>7.542381453291478E-3</v>
      </c>
    </row>
    <row r="281" spans="1:8" s="382" customFormat="1" ht="19.95" customHeight="1">
      <c r="A281" s="286" t="str">
        <f t="shared" si="33"/>
        <v>MOOS351a</v>
      </c>
      <c r="B281" s="383">
        <f t="shared" si="33"/>
        <v>40</v>
      </c>
      <c r="C281" s="146">
        <f t="shared" si="33"/>
        <v>43</v>
      </c>
      <c r="D281" s="155">
        <f>AVERAGE(H259:H260)</f>
        <v>8.8370071404454395E-2</v>
      </c>
      <c r="E281" s="155">
        <f t="shared" si="34"/>
        <v>5.4134901803872394E-4</v>
      </c>
      <c r="F281" s="81">
        <f t="shared" si="35"/>
        <v>1.0003432277930548</v>
      </c>
      <c r="G281" s="81">
        <f t="shared" si="36"/>
        <v>7.5052896942058309E-3</v>
      </c>
    </row>
    <row r="282" spans="1:8" s="382" customFormat="1" ht="19.95" customHeight="1"/>
    <row r="283" spans="1:8" s="382" customFormat="1" ht="19.95" customHeight="1">
      <c r="A283" s="88" t="s">
        <v>1106</v>
      </c>
      <c r="B283" s="385"/>
      <c r="C283" s="145"/>
      <c r="D283" s="157"/>
      <c r="E283" s="157"/>
      <c r="F283" s="88" t="s">
        <v>1107</v>
      </c>
      <c r="G283" s="385"/>
    </row>
    <row r="284" spans="1:8" s="382" customFormat="1" ht="19.95" customHeight="1">
      <c r="A284" s="689" t="s">
        <v>0</v>
      </c>
      <c r="B284" s="591" t="s">
        <v>1133</v>
      </c>
      <c r="C284" s="591" t="s">
        <v>1133</v>
      </c>
      <c r="D284" s="96"/>
      <c r="E284" s="96"/>
      <c r="F284" s="689" t="s">
        <v>0</v>
      </c>
      <c r="G284" s="591" t="s">
        <v>1133</v>
      </c>
      <c r="H284" s="591" t="s">
        <v>1133</v>
      </c>
    </row>
    <row r="285" spans="1:8" s="588" customFormat="1" ht="19.95" customHeight="1">
      <c r="A285" s="690" t="s">
        <v>88</v>
      </c>
      <c r="B285" s="589" t="s">
        <v>241</v>
      </c>
      <c r="C285" s="589" t="s">
        <v>1046</v>
      </c>
      <c r="D285" s="96"/>
      <c r="E285" s="96"/>
      <c r="F285" s="690" t="s">
        <v>88</v>
      </c>
      <c r="G285" s="589" t="s">
        <v>241</v>
      </c>
      <c r="H285" s="589" t="s">
        <v>1046</v>
      </c>
    </row>
    <row r="286" spans="1:8" s="382" customFormat="1" ht="19.95" customHeight="1">
      <c r="A286" s="382">
        <v>0</v>
      </c>
      <c r="B286" s="60">
        <f>AVERAGE(F274,F278)</f>
        <v>1</v>
      </c>
      <c r="C286" s="60">
        <f>MEDIAN(G274,G278)</f>
        <v>7.5027145540475255E-3</v>
      </c>
      <c r="D286" s="96"/>
      <c r="E286" s="96"/>
      <c r="F286" s="382">
        <v>0</v>
      </c>
      <c r="G286" s="60">
        <f>B286</f>
        <v>1</v>
      </c>
      <c r="H286" s="60">
        <f>C286</f>
        <v>7.5027145540475255E-3</v>
      </c>
    </row>
    <row r="287" spans="1:8" s="382" customFormat="1" ht="19.95" customHeight="1">
      <c r="A287" s="405">
        <f>C272</f>
        <v>12</v>
      </c>
      <c r="B287" s="138">
        <f>F272</f>
        <v>1.0123128162431212</v>
      </c>
      <c r="C287" s="138">
        <f>G272</f>
        <v>7.5950940996761026E-3</v>
      </c>
      <c r="D287" s="96"/>
      <c r="E287" s="96"/>
      <c r="F287" s="405">
        <f>C275</f>
        <v>12</v>
      </c>
      <c r="G287" s="138">
        <f>F275</f>
        <v>1.0157367053507562</v>
      </c>
      <c r="H287" s="138">
        <f>G275</f>
        <v>7.6207825623154013E-3</v>
      </c>
    </row>
    <row r="288" spans="1:8" s="382" customFormat="1" ht="19.95" customHeight="1">
      <c r="A288" s="405">
        <f>C273</f>
        <v>27</v>
      </c>
      <c r="B288" s="138">
        <f>F273</f>
        <v>1.0082824440772873</v>
      </c>
      <c r="C288" s="138">
        <f>G273</f>
        <v>7.564855367769273E-3</v>
      </c>
      <c r="D288" s="96"/>
      <c r="E288" s="96"/>
      <c r="F288" s="405">
        <f>C276</f>
        <v>27</v>
      </c>
      <c r="G288" s="138">
        <f>F276</f>
        <v>1.0153883148138494</v>
      </c>
      <c r="H288" s="138">
        <f>G276</f>
        <v>7.6181686875636577E-3</v>
      </c>
    </row>
    <row r="289" spans="1:8" s="382" customFormat="1" ht="19.95" customHeight="1">
      <c r="A289" s="405">
        <f>C277</f>
        <v>35</v>
      </c>
      <c r="B289" s="138">
        <f>F277</f>
        <v>1.0109594161872408</v>
      </c>
      <c r="C289" s="138">
        <f>G277</f>
        <v>7.5849399253794005E-3</v>
      </c>
      <c r="D289" s="96"/>
      <c r="E289" s="96"/>
      <c r="F289" s="405">
        <f>C280</f>
        <v>35</v>
      </c>
      <c r="G289" s="138">
        <f>F280</f>
        <v>1.0052870063172741</v>
      </c>
      <c r="H289" s="138">
        <f>G280</f>
        <v>7.542381453291478E-3</v>
      </c>
    </row>
    <row r="290" spans="1:8" s="382" customFormat="1" ht="19.95" customHeight="1">
      <c r="A290" s="406">
        <f>C279</f>
        <v>43</v>
      </c>
      <c r="B290" s="140">
        <f>F279</f>
        <v>1.0148852068318821</v>
      </c>
      <c r="C290" s="140">
        <f>G279</f>
        <v>7.6143940119850944E-3</v>
      </c>
      <c r="D290" s="96"/>
      <c r="E290" s="96"/>
      <c r="F290" s="406">
        <f>C281</f>
        <v>43</v>
      </c>
      <c r="G290" s="140">
        <f>F281</f>
        <v>1.0003432277930548</v>
      </c>
      <c r="H290" s="140">
        <f>G281</f>
        <v>7.5052896942058309E-3</v>
      </c>
    </row>
    <row r="291" spans="1:8" s="382" customFormat="1" ht="19.95" customHeight="1"/>
    <row r="292" spans="1:8" s="382" customFormat="1" ht="19.95" customHeight="1"/>
    <row r="293" spans="1:8" s="382" customFormat="1" ht="19.95" customHeight="1"/>
    <row r="294" spans="1:8" s="382" customFormat="1" ht="19.95" customHeight="1"/>
    <row r="295" spans="1:8" s="382" customFormat="1" ht="19.95" customHeight="1"/>
    <row r="296" spans="1:8" s="382" customFormat="1" ht="19.95" customHeight="1"/>
    <row r="297" spans="1:8" s="382" customFormat="1" ht="19.95" customHeight="1"/>
    <row r="298" spans="1:8" s="382" customFormat="1" ht="19.95" customHeight="1"/>
    <row r="299" spans="1:8" s="382" customFormat="1" ht="19.95" customHeight="1"/>
    <row r="300" spans="1:8" s="382" customFormat="1" ht="19.95" customHeight="1"/>
    <row r="301" spans="1:8" s="382" customFormat="1" ht="19.95" customHeight="1"/>
    <row r="302" spans="1:8" s="382" customFormat="1" ht="19.95" customHeight="1"/>
    <row r="303" spans="1:8" s="382" customFormat="1" ht="19.95" customHeight="1">
      <c r="A303" s="388" t="s">
        <v>1050</v>
      </c>
    </row>
    <row r="304" spans="1:8" s="382" customFormat="1" ht="19.95" customHeight="1">
      <c r="A304" s="386" t="s">
        <v>1136</v>
      </c>
    </row>
    <row r="305" spans="1:27" s="382" customFormat="1" ht="19.95" customHeight="1">
      <c r="A305" s="386" t="s">
        <v>1052</v>
      </c>
    </row>
    <row r="306" spans="1:27" s="382" customFormat="1" ht="19.95" customHeight="1">
      <c r="A306" s="386"/>
    </row>
    <row r="307" spans="1:27" s="382" customFormat="1" ht="19.95" customHeight="1">
      <c r="A307" s="386"/>
    </row>
    <row r="308" spans="1:27" s="149" customFormat="1" ht="19.95" customHeight="1">
      <c r="A308" s="150" t="s">
        <v>2117</v>
      </c>
    </row>
    <row r="309" spans="1:27" s="382" customFormat="1" ht="19.95" customHeight="1">
      <c r="A309" s="386"/>
    </row>
    <row r="310" spans="1:27" s="382" customFormat="1" ht="19.95" customHeight="1">
      <c r="A310" s="388" t="s">
        <v>1185</v>
      </c>
      <c r="C310" s="138"/>
      <c r="E310" t="s">
        <v>1057</v>
      </c>
      <c r="F310"/>
      <c r="G310"/>
      <c r="H310"/>
      <c r="I310"/>
      <c r="J310"/>
      <c r="K310"/>
      <c r="M310" s="691"/>
      <c r="N310" s="691"/>
      <c r="O310" s="691"/>
      <c r="P310" s="691"/>
      <c r="Q310" s="691"/>
      <c r="R310" s="691"/>
      <c r="S310" s="691"/>
      <c r="V310" s="588"/>
      <c r="W310" s="588"/>
      <c r="X310" s="588"/>
      <c r="Y310" s="588"/>
      <c r="Z310" s="588"/>
      <c r="AA310" s="588"/>
    </row>
    <row r="311" spans="1:27" s="382" customFormat="1" ht="19.95" customHeight="1">
      <c r="B311" s="385"/>
      <c r="C311" s="138"/>
      <c r="E311"/>
      <c r="F311"/>
      <c r="G311"/>
      <c r="H311"/>
      <c r="I311"/>
      <c r="J311"/>
      <c r="K311"/>
      <c r="M311" s="691"/>
      <c r="N311" s="691"/>
      <c r="O311" s="691"/>
      <c r="P311" s="691"/>
      <c r="Q311" s="691"/>
      <c r="R311" s="691"/>
      <c r="S311" s="691"/>
      <c r="U311" s="588"/>
      <c r="V311" s="588"/>
      <c r="W311" s="588"/>
      <c r="X311" s="588"/>
      <c r="Y311" s="588"/>
      <c r="Z311" s="588"/>
      <c r="AA311" s="588"/>
    </row>
    <row r="312" spans="1:27" s="382" customFormat="1" ht="19.95" customHeight="1" thickBot="1">
      <c r="A312" s="389" t="s">
        <v>4</v>
      </c>
      <c r="B312" s="389" t="s">
        <v>1134</v>
      </c>
      <c r="C312" s="389" t="s">
        <v>1135</v>
      </c>
      <c r="E312" t="s">
        <v>1058</v>
      </c>
      <c r="F312"/>
      <c r="G312"/>
      <c r="H312"/>
      <c r="I312"/>
      <c r="J312"/>
      <c r="K312"/>
      <c r="M312" s="691"/>
      <c r="N312" s="691"/>
      <c r="O312" s="691"/>
      <c r="P312" s="691"/>
      <c r="Q312" s="691"/>
      <c r="R312" s="691"/>
      <c r="S312" s="691"/>
      <c r="U312" s="588"/>
      <c r="V312" s="588"/>
      <c r="W312" s="588"/>
      <c r="X312" s="588"/>
      <c r="Y312" s="588"/>
      <c r="Z312" s="588"/>
      <c r="AA312" s="588"/>
    </row>
    <row r="313" spans="1:27" s="382" customFormat="1" ht="19.95" customHeight="1">
      <c r="A313" s="383" t="s">
        <v>96</v>
      </c>
      <c r="B313" s="383"/>
      <c r="C313" s="140"/>
      <c r="E313" s="409" t="s">
        <v>1059</v>
      </c>
      <c r="F313" s="409" t="s">
        <v>1060</v>
      </c>
      <c r="G313" s="409" t="s">
        <v>1061</v>
      </c>
      <c r="H313" s="409" t="s">
        <v>260</v>
      </c>
      <c r="I313" s="409" t="s">
        <v>233</v>
      </c>
      <c r="J313"/>
      <c r="K313"/>
      <c r="M313" s="692"/>
      <c r="N313" s="692"/>
      <c r="O313" s="692"/>
      <c r="P313" s="692"/>
      <c r="Q313" s="692"/>
      <c r="R313" s="691"/>
      <c r="S313" s="691"/>
      <c r="U313" s="588"/>
      <c r="V313" s="588"/>
      <c r="W313" s="588"/>
      <c r="X313" s="588"/>
      <c r="Y313" s="588"/>
      <c r="Z313" s="588"/>
      <c r="AA313" s="588"/>
    </row>
    <row r="314" spans="1:27" s="382" customFormat="1" ht="19.95" customHeight="1">
      <c r="A314" s="363" t="str">
        <f t="shared" ref="A314:A323" si="37">A272</f>
        <v>MOOS009a</v>
      </c>
      <c r="B314" s="154">
        <f>H241</f>
        <v>8.9339526367436653E-2</v>
      </c>
      <c r="C314" s="138">
        <f>H242</f>
        <v>8.9515397361912594E-2</v>
      </c>
      <c r="E314" s="407" t="s">
        <v>969</v>
      </c>
      <c r="F314" s="407">
        <v>2</v>
      </c>
      <c r="G314" s="407">
        <v>0.17885492372934925</v>
      </c>
      <c r="H314" s="407">
        <v>8.9427461864674623E-2</v>
      </c>
      <c r="I314" s="407">
        <v>1.5465303348978177E-8</v>
      </c>
      <c r="J314"/>
      <c r="K314"/>
      <c r="M314" s="407"/>
      <c r="N314" s="407"/>
      <c r="O314" s="407"/>
      <c r="P314" s="407"/>
      <c r="Q314" s="407"/>
      <c r="R314" s="691"/>
      <c r="S314" s="691"/>
      <c r="U314" s="588"/>
      <c r="V314" s="588"/>
      <c r="W314" s="588"/>
      <c r="X314" s="588"/>
      <c r="Y314" s="588"/>
      <c r="Z314" s="588"/>
      <c r="AA314" s="588"/>
    </row>
    <row r="315" spans="1:27" s="382" customFormat="1" ht="19.95" customHeight="1">
      <c r="A315" s="363" t="str">
        <f t="shared" si="37"/>
        <v>MOOS047a</v>
      </c>
      <c r="B315" s="154">
        <f>H243</f>
        <v>8.9000770167935311E-2</v>
      </c>
      <c r="C315" s="138">
        <f>H244</f>
        <v>8.9142069416320996E-2</v>
      </c>
      <c r="E315" s="407" t="s">
        <v>970</v>
      </c>
      <c r="F315" s="407">
        <v>2</v>
      </c>
      <c r="G315" s="407">
        <v>0.17814283958425631</v>
      </c>
      <c r="H315" s="407">
        <v>8.9071419792128154E-2</v>
      </c>
      <c r="I315" s="407">
        <v>9.9827387971796866E-9</v>
      </c>
      <c r="J315"/>
      <c r="K315"/>
      <c r="M315" s="407"/>
      <c r="N315" s="407"/>
      <c r="O315" s="407"/>
      <c r="P315" s="407"/>
      <c r="Q315" s="407"/>
      <c r="R315" s="691"/>
      <c r="S315" s="691"/>
      <c r="U315" s="588"/>
      <c r="V315" s="588"/>
      <c r="W315" s="588"/>
      <c r="X315" s="588"/>
      <c r="Y315" s="588"/>
      <c r="Z315" s="588"/>
      <c r="AA315" s="588"/>
    </row>
    <row r="316" spans="1:27" s="382" customFormat="1" ht="19.95" customHeight="1">
      <c r="A316" s="363" t="str">
        <f t="shared" si="37"/>
        <v>MOOS085a</v>
      </c>
      <c r="B316" s="154">
        <f>H245</f>
        <v>8.7508491912053399E-2</v>
      </c>
      <c r="C316" s="138">
        <f>H246</f>
        <v>8.8642874035032723E-2</v>
      </c>
      <c r="E316" s="407" t="s">
        <v>971</v>
      </c>
      <c r="F316" s="407">
        <v>2</v>
      </c>
      <c r="G316" s="407">
        <v>0.17615136594708614</v>
      </c>
      <c r="H316" s="407">
        <v>8.8075682973543068E-2</v>
      </c>
      <c r="I316" s="407">
        <v>6.4341140046753954E-7</v>
      </c>
      <c r="J316"/>
      <c r="K316"/>
      <c r="M316" s="407"/>
      <c r="N316" s="407"/>
      <c r="O316" s="407"/>
      <c r="P316" s="407"/>
      <c r="Q316" s="407"/>
      <c r="R316" s="691"/>
      <c r="S316" s="691"/>
      <c r="U316" s="588"/>
      <c r="V316" s="588"/>
      <c r="W316" s="588"/>
      <c r="X316" s="588"/>
      <c r="Y316" s="588"/>
      <c r="Z316" s="588"/>
      <c r="AA316" s="588"/>
    </row>
    <row r="317" spans="1:27" s="382" customFormat="1" ht="19.95" customHeight="1">
      <c r="A317" s="363" t="str">
        <f t="shared" si="37"/>
        <v>MOOS123a</v>
      </c>
      <c r="B317" s="154">
        <f>H247</f>
        <v>9.0144561472431217E-2</v>
      </c>
      <c r="C317" s="138">
        <f>H248</f>
        <v>8.9315293277624108E-2</v>
      </c>
      <c r="E317" s="407" t="s">
        <v>972</v>
      </c>
      <c r="F317" s="407">
        <v>2</v>
      </c>
      <c r="G317" s="407">
        <v>0.17945985475005533</v>
      </c>
      <c r="H317" s="407">
        <v>8.9729927375027663E-2</v>
      </c>
      <c r="I317" s="407">
        <v>3.4384286945932063E-7</v>
      </c>
      <c r="J317"/>
      <c r="K317"/>
      <c r="M317" s="407"/>
      <c r="N317" s="407"/>
      <c r="O317" s="407"/>
      <c r="P317" s="407"/>
      <c r="Q317" s="407"/>
      <c r="R317" s="691"/>
      <c r="S317" s="691"/>
      <c r="U317" s="588"/>
      <c r="V317" s="588"/>
      <c r="W317" s="588"/>
      <c r="X317" s="588"/>
      <c r="Y317" s="588"/>
      <c r="Z317" s="588"/>
      <c r="AA317" s="588"/>
    </row>
    <row r="318" spans="1:27" s="382" customFormat="1" ht="19.95" customHeight="1">
      <c r="A318" s="363" t="str">
        <f t="shared" si="37"/>
        <v>MOOS161a</v>
      </c>
      <c r="B318" s="154">
        <f>H249</f>
        <v>8.9874077087458606E-2</v>
      </c>
      <c r="C318" s="138">
        <f>H250</f>
        <v>8.9524224196210991E-2</v>
      </c>
      <c r="E318" s="407" t="s">
        <v>973</v>
      </c>
      <c r="F318" s="407">
        <v>2</v>
      </c>
      <c r="G318" s="407">
        <v>0.1793983012836696</v>
      </c>
      <c r="H318" s="407">
        <v>8.9699150641834799E-2</v>
      </c>
      <c r="I318" s="407">
        <v>6.1198522757157793E-8</v>
      </c>
      <c r="J318"/>
      <c r="K318"/>
      <c r="M318" s="407"/>
      <c r="N318" s="407"/>
      <c r="O318" s="407"/>
      <c r="P318" s="407"/>
      <c r="Q318" s="407"/>
      <c r="R318" s="691"/>
      <c r="S318" s="691"/>
      <c r="U318" s="588"/>
      <c r="V318" s="588"/>
      <c r="W318" s="588"/>
      <c r="X318" s="588"/>
      <c r="Y318" s="588"/>
      <c r="Z318" s="588"/>
      <c r="AA318" s="588"/>
    </row>
    <row r="319" spans="1:27" s="382" customFormat="1" ht="19.95" customHeight="1">
      <c r="A319" s="363" t="str">
        <f t="shared" si="37"/>
        <v>MOOS199a</v>
      </c>
      <c r="B319" s="154">
        <f>H251</f>
        <v>8.9716809562986041E-2</v>
      </c>
      <c r="C319" s="138">
        <f>H252</f>
        <v>8.8898996119168947E-2</v>
      </c>
      <c r="E319" s="407" t="s">
        <v>974</v>
      </c>
      <c r="F319" s="407">
        <v>2</v>
      </c>
      <c r="G319" s="407">
        <v>0.17861580568215499</v>
      </c>
      <c r="H319" s="407">
        <v>8.9307902841077494E-2</v>
      </c>
      <c r="I319" s="407">
        <v>3.3440941444398818E-7</v>
      </c>
      <c r="J319"/>
      <c r="K319"/>
      <c r="M319" s="407"/>
      <c r="N319" s="407"/>
      <c r="O319" s="407"/>
      <c r="P319" s="407"/>
      <c r="Q319" s="407"/>
      <c r="R319" s="691"/>
      <c r="S319" s="691"/>
      <c r="U319" s="588"/>
      <c r="V319" s="588"/>
      <c r="W319" s="588"/>
      <c r="X319" s="588"/>
      <c r="Y319" s="588"/>
      <c r="Z319" s="588"/>
      <c r="AA319" s="588"/>
    </row>
    <row r="320" spans="1:27" s="382" customFormat="1" ht="19.95" customHeight="1">
      <c r="A320" s="363" t="str">
        <f t="shared" si="37"/>
        <v>MOOS237a</v>
      </c>
      <c r="B320" s="154">
        <f>H253</f>
        <v>8.9161961101312942E-2</v>
      </c>
      <c r="C320" s="138">
        <f>H254</f>
        <v>8.8045675938667176E-2</v>
      </c>
      <c r="E320" s="407" t="s">
        <v>975</v>
      </c>
      <c r="F320" s="407">
        <v>2</v>
      </c>
      <c r="G320" s="407">
        <v>0.1772076370399801</v>
      </c>
      <c r="H320" s="407">
        <v>8.8603818519990052E-2</v>
      </c>
      <c r="I320" s="407">
        <v>6.2304628217154267E-7</v>
      </c>
      <c r="J320"/>
      <c r="K320"/>
      <c r="M320" s="407"/>
      <c r="N320" s="407"/>
      <c r="O320" s="407"/>
      <c r="P320" s="407"/>
      <c r="Q320" s="407"/>
      <c r="R320" s="691"/>
      <c r="S320" s="691"/>
      <c r="U320" s="588"/>
      <c r="V320" s="588"/>
      <c r="W320" s="588"/>
      <c r="X320" s="588"/>
      <c r="Y320" s="588"/>
      <c r="Z320" s="588"/>
      <c r="AA320" s="588"/>
    </row>
    <row r="321" spans="1:27" s="382" customFormat="1" ht="19.95" customHeight="1">
      <c r="A321" s="363" t="str">
        <f t="shared" si="37"/>
        <v>MOOS275a</v>
      </c>
      <c r="B321" s="154">
        <f>H255</f>
        <v>8.9566912249809269E-2</v>
      </c>
      <c r="C321" s="138">
        <f>H256</f>
        <v>8.9742500166408903E-2</v>
      </c>
      <c r="E321" s="407" t="s">
        <v>976</v>
      </c>
      <c r="F321" s="407">
        <v>2</v>
      </c>
      <c r="G321" s="407">
        <v>0.17930941241621817</v>
      </c>
      <c r="H321" s="407">
        <v>8.9654706208109086E-2</v>
      </c>
      <c r="I321" s="407">
        <v>1.5415558227900076E-8</v>
      </c>
      <c r="J321"/>
      <c r="K321"/>
      <c r="M321" s="407"/>
      <c r="N321" s="407"/>
      <c r="O321" s="407"/>
      <c r="P321" s="407"/>
      <c r="Q321" s="407"/>
      <c r="R321" s="691"/>
      <c r="S321" s="691"/>
      <c r="U321" s="588"/>
      <c r="V321" s="588"/>
      <c r="W321" s="588"/>
      <c r="X321" s="588"/>
      <c r="Y321" s="588"/>
      <c r="Z321" s="588"/>
      <c r="AA321" s="588"/>
    </row>
    <row r="322" spans="1:27" s="382" customFormat="1" ht="19.95" customHeight="1">
      <c r="A322" s="363" t="str">
        <f t="shared" si="37"/>
        <v>MOOS313a</v>
      </c>
      <c r="B322" s="154">
        <f>H257</f>
        <v>8.9423619940265681E-2</v>
      </c>
      <c r="C322" s="138">
        <f>H258</f>
        <v>8.8189987193796601E-2</v>
      </c>
      <c r="E322" s="407" t="s">
        <v>977</v>
      </c>
      <c r="F322" s="407">
        <v>2</v>
      </c>
      <c r="G322" s="407">
        <v>0.17761360713406227</v>
      </c>
      <c r="H322" s="407">
        <v>8.8806803567031134E-2</v>
      </c>
      <c r="I322" s="407">
        <v>7.6092487658042193E-7</v>
      </c>
      <c r="J322"/>
      <c r="K322"/>
      <c r="M322" s="407"/>
      <c r="N322" s="407"/>
      <c r="O322" s="407"/>
      <c r="P322" s="407"/>
      <c r="Q322" s="407"/>
      <c r="R322" s="691"/>
      <c r="S322" s="691"/>
      <c r="U322" s="588"/>
      <c r="V322" s="588"/>
      <c r="W322" s="588"/>
      <c r="X322" s="588"/>
      <c r="Y322" s="588"/>
      <c r="Z322" s="588"/>
      <c r="AA322" s="588"/>
    </row>
    <row r="323" spans="1:27" s="382" customFormat="1" ht="19.95" customHeight="1" thickBot="1">
      <c r="A323" s="286" t="str">
        <f t="shared" si="37"/>
        <v>MOOS351a</v>
      </c>
      <c r="B323" s="155">
        <f>H259</f>
        <v>8.8078685650408911E-2</v>
      </c>
      <c r="C323" s="140">
        <f>H260</f>
        <v>8.8661457158499879E-2</v>
      </c>
      <c r="E323" s="408" t="s">
        <v>978</v>
      </c>
      <c r="F323" s="408">
        <v>2</v>
      </c>
      <c r="G323" s="408">
        <v>0.17674014280890879</v>
      </c>
      <c r="H323" s="408">
        <v>8.8370071404454395E-2</v>
      </c>
      <c r="I323" s="408">
        <v>1.6981131532131053E-7</v>
      </c>
      <c r="J323"/>
      <c r="K323"/>
      <c r="M323" s="407"/>
      <c r="N323" s="407"/>
      <c r="O323" s="407"/>
      <c r="P323" s="407"/>
      <c r="Q323" s="407"/>
      <c r="R323" s="691"/>
      <c r="S323" s="691"/>
      <c r="U323" s="588"/>
      <c r="V323" s="588"/>
      <c r="W323" s="588"/>
      <c r="X323" s="588"/>
      <c r="Y323" s="588"/>
      <c r="Z323" s="588"/>
      <c r="AA323" s="588"/>
    </row>
    <row r="324" spans="1:27" s="382" customFormat="1" ht="19.95" customHeight="1">
      <c r="A324" s="386"/>
      <c r="E324"/>
      <c r="F324"/>
      <c r="G324"/>
      <c r="H324"/>
      <c r="I324"/>
      <c r="J324"/>
      <c r="K324"/>
      <c r="M324" s="691"/>
      <c r="N324" s="691"/>
      <c r="O324" s="691"/>
      <c r="P324" s="691"/>
      <c r="Q324" s="691"/>
      <c r="R324" s="691"/>
      <c r="S324" s="691"/>
      <c r="U324" s="588"/>
      <c r="V324" s="588"/>
      <c r="W324" s="588"/>
      <c r="X324" s="588"/>
      <c r="Y324" s="588"/>
      <c r="Z324" s="588"/>
      <c r="AA324" s="588"/>
    </row>
    <row r="325" spans="1:27" s="382" customFormat="1" ht="19.95" customHeight="1">
      <c r="A325" s="386"/>
      <c r="E325"/>
      <c r="F325"/>
      <c r="G325"/>
      <c r="H325"/>
      <c r="I325"/>
      <c r="J325"/>
      <c r="K325"/>
      <c r="M325" s="691"/>
      <c r="N325" s="691"/>
      <c r="O325" s="691"/>
      <c r="P325" s="691"/>
      <c r="Q325" s="691"/>
      <c r="R325" s="691"/>
      <c r="S325" s="691"/>
      <c r="U325" s="588"/>
      <c r="V325" s="588"/>
      <c r="W325" s="588"/>
      <c r="X325" s="588"/>
      <c r="Y325" s="588"/>
      <c r="Z325" s="588"/>
      <c r="AA325" s="588"/>
    </row>
    <row r="326" spans="1:27" s="382" customFormat="1" ht="19.95" customHeight="1" thickBot="1">
      <c r="A326" s="386"/>
      <c r="E326" t="s">
        <v>1062</v>
      </c>
      <c r="F326"/>
      <c r="G326"/>
      <c r="H326"/>
      <c r="I326"/>
      <c r="J326"/>
      <c r="K326"/>
      <c r="M326" s="691"/>
      <c r="N326" s="691"/>
      <c r="O326" s="691"/>
      <c r="P326" s="691"/>
      <c r="Q326" s="691"/>
      <c r="R326" s="691"/>
      <c r="S326" s="691"/>
      <c r="U326" s="588"/>
      <c r="V326" s="588"/>
      <c r="W326" s="588"/>
      <c r="X326" s="588"/>
      <c r="Y326" s="588"/>
      <c r="Z326" s="588"/>
      <c r="AA326" s="588"/>
    </row>
    <row r="327" spans="1:27" s="412" customFormat="1" ht="40.200000000000003" customHeight="1">
      <c r="A327" s="418"/>
      <c r="E327" s="415" t="s">
        <v>1063</v>
      </c>
      <c r="F327" s="415" t="s">
        <v>1064</v>
      </c>
      <c r="G327" s="415" t="s">
        <v>234</v>
      </c>
      <c r="H327" s="415" t="s">
        <v>1065</v>
      </c>
      <c r="I327" s="415" t="s">
        <v>1066</v>
      </c>
      <c r="J327" s="415" t="s">
        <v>1067</v>
      </c>
      <c r="K327" s="415" t="s">
        <v>1068</v>
      </c>
      <c r="M327" s="692"/>
      <c r="N327" s="692"/>
      <c r="O327" s="692"/>
      <c r="P327" s="692"/>
      <c r="Q327" s="692"/>
      <c r="R327" s="692"/>
      <c r="S327" s="692"/>
      <c r="U327" s="588"/>
      <c r="V327" s="588"/>
      <c r="W327" s="588"/>
      <c r="X327" s="588"/>
      <c r="Y327" s="588"/>
      <c r="Z327" s="588"/>
      <c r="AA327" s="588"/>
    </row>
    <row r="328" spans="1:27" s="382" customFormat="1" ht="19.95" customHeight="1">
      <c r="A328" s="382" t="s">
        <v>1072</v>
      </c>
      <c r="C328" s="138"/>
      <c r="E328" s="407" t="s">
        <v>1069</v>
      </c>
      <c r="F328" s="407">
        <v>6.2450766401248379E-6</v>
      </c>
      <c r="G328" s="407">
        <v>9</v>
      </c>
      <c r="H328" s="407">
        <v>6.9389740445831528E-7</v>
      </c>
      <c r="I328" s="407">
        <v>2.3304633903190632</v>
      </c>
      <c r="J328" s="407">
        <v>0.10185445125326847</v>
      </c>
      <c r="K328" s="407">
        <v>3.0203829470213761</v>
      </c>
      <c r="M328" s="407"/>
      <c r="N328" s="407"/>
      <c r="O328" s="407"/>
      <c r="P328" s="407"/>
      <c r="Q328" s="407"/>
      <c r="R328" s="407"/>
      <c r="S328" s="407"/>
      <c r="U328" s="588"/>
      <c r="V328" s="588"/>
      <c r="W328" s="588"/>
      <c r="X328" s="588"/>
      <c r="Y328" s="588"/>
      <c r="Z328" s="588"/>
      <c r="AA328" s="588"/>
    </row>
    <row r="329" spans="1:27" s="382" customFormat="1" ht="19.95" customHeight="1">
      <c r="A329" s="382" t="s">
        <v>1073</v>
      </c>
      <c r="C329" s="138"/>
      <c r="E329" s="407" t="s">
        <v>1070</v>
      </c>
      <c r="F329" s="407">
        <v>2.9775082815753392E-6</v>
      </c>
      <c r="G329" s="407">
        <v>10</v>
      </c>
      <c r="H329" s="407">
        <v>2.977508281575339E-7</v>
      </c>
      <c r="I329" s="407"/>
      <c r="J329" s="407"/>
      <c r="K329" s="407"/>
      <c r="M329" s="407"/>
      <c r="N329" s="407"/>
      <c r="O329" s="407"/>
      <c r="P329" s="407"/>
      <c r="Q329" s="407"/>
      <c r="R329" s="407"/>
      <c r="S329" s="407"/>
      <c r="U329" s="588"/>
      <c r="V329" s="588"/>
      <c r="W329" s="588"/>
      <c r="X329" s="588"/>
      <c r="Y329" s="588"/>
      <c r="Z329" s="588"/>
      <c r="AA329" s="588"/>
    </row>
    <row r="330" spans="1:27" s="382" customFormat="1" ht="19.95" customHeight="1">
      <c r="C330" s="138"/>
      <c r="E330" s="407"/>
      <c r="F330" s="407"/>
      <c r="G330" s="407"/>
      <c r="H330" s="407"/>
      <c r="I330" s="407"/>
      <c r="J330" s="407"/>
      <c r="K330" s="407"/>
      <c r="M330" s="407"/>
      <c r="N330" s="407"/>
      <c r="O330" s="407"/>
      <c r="P330" s="407"/>
      <c r="Q330" s="407"/>
      <c r="R330" s="407"/>
      <c r="S330" s="407"/>
      <c r="U330" s="588"/>
      <c r="V330" s="588"/>
      <c r="W330" s="588"/>
      <c r="X330" s="588"/>
      <c r="Y330" s="588"/>
      <c r="Z330" s="588"/>
      <c r="AA330" s="588"/>
    </row>
    <row r="331" spans="1:27" s="382" customFormat="1" ht="19.95" customHeight="1" thickBot="1">
      <c r="C331" s="138"/>
      <c r="E331" s="408" t="s">
        <v>1071</v>
      </c>
      <c r="F331" s="408">
        <v>9.2225849217001772E-6</v>
      </c>
      <c r="G331" s="408">
        <v>19</v>
      </c>
      <c r="H331" s="408"/>
      <c r="I331" s="408"/>
      <c r="J331" s="408"/>
      <c r="K331" s="408"/>
      <c r="M331" s="407"/>
      <c r="N331" s="407"/>
      <c r="O331" s="407"/>
      <c r="P331" s="407"/>
      <c r="Q331" s="407"/>
      <c r="R331" s="407"/>
      <c r="S331" s="407"/>
      <c r="U331" s="588"/>
      <c r="V331" s="588"/>
      <c r="W331" s="588"/>
      <c r="X331" s="588"/>
      <c r="Y331" s="588"/>
      <c r="Z331" s="588"/>
      <c r="AA331" s="588"/>
    </row>
    <row r="332" spans="1:27" s="382" customFormat="1" ht="19.95" customHeight="1">
      <c r="C332" s="138"/>
    </row>
    <row r="333" spans="1:27" s="382" customFormat="1" ht="19.95" customHeight="1">
      <c r="A333" s="382" t="s">
        <v>1078</v>
      </c>
      <c r="C333" s="138"/>
    </row>
    <row r="334" spans="1:27" s="382" customFormat="1" ht="19.95" customHeight="1">
      <c r="A334" s="382" t="s">
        <v>1108</v>
      </c>
    </row>
    <row r="335" spans="1:27" s="382" customFormat="1" ht="19.95" customHeight="1"/>
    <row r="336" spans="1:27" s="382" customFormat="1" ht="19.95" customHeight="1">
      <c r="A336" s="388" t="s">
        <v>1140</v>
      </c>
    </row>
    <row r="337" spans="1:5" s="382" customFormat="1" ht="19.95" customHeight="1">
      <c r="A337" s="388" t="s">
        <v>1075</v>
      </c>
      <c r="B337" s="429">
        <f>SQRT((H328-H329)/2)/AVERAGE(H314:H323)</f>
        <v>4.996416271152106E-3</v>
      </c>
      <c r="C337" s="388" t="s">
        <v>1076</v>
      </c>
    </row>
    <row r="338" spans="1:5" s="382" customFormat="1" ht="19.95" customHeight="1">
      <c r="C338" s="138"/>
    </row>
    <row r="339" spans="1:5" s="382" customFormat="1" ht="19.95" customHeight="1">
      <c r="A339" s="388" t="s">
        <v>1141</v>
      </c>
      <c r="B339" s="404"/>
      <c r="C339" s="405"/>
    </row>
    <row r="340" spans="1:5" s="382" customFormat="1" ht="19.95" customHeight="1">
      <c r="A340" s="388" t="s">
        <v>1075</v>
      </c>
      <c r="B340" s="417">
        <f>SQRT(H329)/AVERAGE(H314:H323)</f>
        <v>6.1259316580277948E-3</v>
      </c>
      <c r="C340" s="388" t="s">
        <v>1076</v>
      </c>
    </row>
    <row r="341" spans="1:5" s="395" customFormat="1" ht="19.95" customHeight="1">
      <c r="A341" s="393"/>
      <c r="B341" s="417"/>
      <c r="C341" s="393"/>
    </row>
    <row r="342" spans="1:5" s="395" customFormat="1" ht="19.95" customHeight="1">
      <c r="A342" s="393" t="s">
        <v>2695</v>
      </c>
      <c r="B342" s="417"/>
      <c r="C342" s="393"/>
      <c r="D342" s="96"/>
      <c r="E342" s="96"/>
    </row>
    <row r="343" spans="1:5" s="395" customFormat="1" ht="19.95" customHeight="1">
      <c r="C343" s="138"/>
      <c r="D343" s="96"/>
      <c r="E343" s="96"/>
    </row>
    <row r="344" spans="1:5" s="395" customFormat="1" ht="19.95" customHeight="1">
      <c r="A344" s="398" t="s">
        <v>4</v>
      </c>
      <c r="B344" s="398" t="s">
        <v>1134</v>
      </c>
      <c r="C344" s="398" t="s">
        <v>1135</v>
      </c>
      <c r="D344" s="421" t="s">
        <v>260</v>
      </c>
      <c r="E344" s="421" t="s">
        <v>270</v>
      </c>
    </row>
    <row r="345" spans="1:5" s="395" customFormat="1" ht="19.95" customHeight="1">
      <c r="A345" s="396" t="s">
        <v>96</v>
      </c>
      <c r="B345" s="396"/>
      <c r="C345" s="140"/>
      <c r="D345" s="100"/>
      <c r="E345" s="100"/>
    </row>
    <row r="346" spans="1:5" s="395" customFormat="1" ht="19.95" customHeight="1">
      <c r="A346" s="363" t="str">
        <f>A314</f>
        <v>MOOS009a</v>
      </c>
      <c r="B346" s="154">
        <f t="shared" ref="B346:C346" si="38">B314</f>
        <v>8.9339526367436653E-2</v>
      </c>
      <c r="C346" s="138">
        <f t="shared" si="38"/>
        <v>8.9515397361912594E-2</v>
      </c>
      <c r="D346" s="96">
        <f>AVERAGE(B346:C346)</f>
        <v>8.9427461864674623E-2</v>
      </c>
      <c r="E346" s="96">
        <f>D346*$B$340</f>
        <v>5.478265197338836E-4</v>
      </c>
    </row>
    <row r="347" spans="1:5" s="395" customFormat="1" ht="19.95" customHeight="1">
      <c r="A347" s="363" t="str">
        <f t="shared" ref="A347:C347" si="39">A315</f>
        <v>MOOS047a</v>
      </c>
      <c r="B347" s="154">
        <f t="shared" si="39"/>
        <v>8.9000770167935311E-2</v>
      </c>
      <c r="C347" s="138">
        <f t="shared" si="39"/>
        <v>8.9142069416320996E-2</v>
      </c>
      <c r="D347" s="96">
        <f t="shared" ref="D347:D355" si="40">AVERAGE(B347:C347)</f>
        <v>8.9071419792128154E-2</v>
      </c>
      <c r="E347" s="96">
        <f t="shared" ref="E347:E355" si="41">D347*$B$340</f>
        <v>5.4564543033008134E-4</v>
      </c>
    </row>
    <row r="348" spans="1:5" s="395" customFormat="1" ht="19.95" customHeight="1">
      <c r="A348" s="363" t="str">
        <f t="shared" ref="A348:C348" si="42">A316</f>
        <v>MOOS085a</v>
      </c>
      <c r="B348" s="154">
        <f t="shared" si="42"/>
        <v>8.7508491912053399E-2</v>
      </c>
      <c r="C348" s="138">
        <f t="shared" si="42"/>
        <v>8.8642874035032723E-2</v>
      </c>
      <c r="D348" s="96">
        <f t="shared" si="40"/>
        <v>8.8075682973543068E-2</v>
      </c>
      <c r="E348" s="96">
        <f t="shared" si="41"/>
        <v>5.3954561463004705E-4</v>
      </c>
    </row>
    <row r="349" spans="1:5" s="395" customFormat="1" ht="19.95" customHeight="1">
      <c r="A349" s="363" t="str">
        <f t="shared" ref="A349:C349" si="43">A317</f>
        <v>MOOS123a</v>
      </c>
      <c r="B349" s="154">
        <f t="shared" si="43"/>
        <v>9.0144561472431217E-2</v>
      </c>
      <c r="C349" s="138">
        <f t="shared" si="43"/>
        <v>8.9315293277624108E-2</v>
      </c>
      <c r="D349" s="96">
        <f t="shared" si="40"/>
        <v>8.9729927375027663E-2</v>
      </c>
      <c r="E349" s="96">
        <f t="shared" si="41"/>
        <v>5.4967940277921685E-4</v>
      </c>
    </row>
    <row r="350" spans="1:5" s="395" customFormat="1" ht="19.95" customHeight="1">
      <c r="A350" s="363" t="str">
        <f t="shared" ref="A350:C350" si="44">A318</f>
        <v>MOOS161a</v>
      </c>
      <c r="B350" s="154">
        <f t="shared" si="44"/>
        <v>8.9874077087458606E-2</v>
      </c>
      <c r="C350" s="138">
        <f t="shared" si="44"/>
        <v>8.9524224196210991E-2</v>
      </c>
      <c r="D350" s="96">
        <f t="shared" si="40"/>
        <v>8.9699150641834799E-2</v>
      </c>
      <c r="E350" s="96">
        <f t="shared" si="41"/>
        <v>5.4949086661502001E-4</v>
      </c>
    </row>
    <row r="351" spans="1:5" s="395" customFormat="1" ht="19.95" customHeight="1">
      <c r="A351" s="363" t="str">
        <f t="shared" ref="A351:C351" si="45">A319</f>
        <v>MOOS199a</v>
      </c>
      <c r="B351" s="154">
        <f t="shared" si="45"/>
        <v>8.9716809562986041E-2</v>
      </c>
      <c r="C351" s="138">
        <f t="shared" si="45"/>
        <v>8.8898996119168947E-2</v>
      </c>
      <c r="D351" s="96">
        <f t="shared" si="40"/>
        <v>8.9307902841077494E-2</v>
      </c>
      <c r="E351" s="96">
        <f t="shared" si="41"/>
        <v>5.4709410932622703E-4</v>
      </c>
    </row>
    <row r="352" spans="1:5" s="395" customFormat="1" ht="19.95" customHeight="1">
      <c r="A352" s="363" t="str">
        <f t="shared" ref="A352:C352" si="46">A320</f>
        <v>MOOS237a</v>
      </c>
      <c r="B352" s="154">
        <f t="shared" si="46"/>
        <v>8.9161961101312942E-2</v>
      </c>
      <c r="C352" s="138">
        <f t="shared" si="46"/>
        <v>8.8045675938667176E-2</v>
      </c>
      <c r="D352" s="96">
        <f t="shared" si="40"/>
        <v>8.8603818519990052E-2</v>
      </c>
      <c r="E352" s="96">
        <f t="shared" si="41"/>
        <v>5.4278093689375645E-4</v>
      </c>
    </row>
    <row r="353" spans="1:5" s="395" customFormat="1" ht="19.95" customHeight="1">
      <c r="A353" s="363" t="str">
        <f t="shared" ref="A353:C353" si="47">A321</f>
        <v>MOOS275a</v>
      </c>
      <c r="B353" s="154">
        <f t="shared" si="47"/>
        <v>8.9566912249809269E-2</v>
      </c>
      <c r="C353" s="138">
        <f t="shared" si="47"/>
        <v>8.9742500166408903E-2</v>
      </c>
      <c r="D353" s="96">
        <f t="shared" si="40"/>
        <v>8.9654706208109086E-2</v>
      </c>
      <c r="E353" s="96">
        <f t="shared" si="41"/>
        <v>5.4921860305143656E-4</v>
      </c>
    </row>
    <row r="354" spans="1:5" s="395" customFormat="1" ht="19.95" customHeight="1">
      <c r="A354" s="363" t="str">
        <f t="shared" ref="A354:C354" si="48">A322</f>
        <v>MOOS313a</v>
      </c>
      <c r="B354" s="154">
        <f t="shared" si="48"/>
        <v>8.9423619940265681E-2</v>
      </c>
      <c r="C354" s="138">
        <f t="shared" si="48"/>
        <v>8.8189987193796601E-2</v>
      </c>
      <c r="D354" s="96">
        <f t="shared" si="40"/>
        <v>8.8806803567031134E-2</v>
      </c>
      <c r="E354" s="96">
        <f t="shared" si="41"/>
        <v>5.4402440941953175E-4</v>
      </c>
    </row>
    <row r="355" spans="1:5" s="395" customFormat="1" ht="19.95" customHeight="1">
      <c r="A355" s="286" t="str">
        <f t="shared" ref="A355:C355" si="49">A323</f>
        <v>MOOS351a</v>
      </c>
      <c r="B355" s="155">
        <f t="shared" si="49"/>
        <v>8.8078685650408911E-2</v>
      </c>
      <c r="C355" s="140">
        <f t="shared" si="49"/>
        <v>8.8661457158499879E-2</v>
      </c>
      <c r="D355" s="100">
        <f t="shared" si="40"/>
        <v>8.8370071404454395E-2</v>
      </c>
      <c r="E355" s="100">
        <f t="shared" si="41"/>
        <v>5.4134901803872394E-4</v>
      </c>
    </row>
    <row r="356" spans="1:5" s="395" customFormat="1" ht="19.95" customHeight="1">
      <c r="A356" s="363"/>
      <c r="B356" s="157"/>
      <c r="C356" s="138"/>
      <c r="D356" s="96"/>
      <c r="E356" s="96"/>
    </row>
    <row r="357" spans="1:5" s="395" customFormat="1" ht="19.95" customHeight="1">
      <c r="A357" s="88" t="s">
        <v>1175</v>
      </c>
      <c r="B357" s="157"/>
      <c r="C357" s="138"/>
      <c r="D357" s="96"/>
      <c r="E357" s="96"/>
    </row>
    <row r="358" spans="1:5" s="395" customFormat="1" ht="19.95" customHeight="1">
      <c r="A358" s="363"/>
      <c r="B358" s="157"/>
      <c r="C358" s="138"/>
      <c r="D358" s="96"/>
      <c r="E358" s="96"/>
    </row>
    <row r="359" spans="1:5" s="395" customFormat="1" ht="19.95" customHeight="1">
      <c r="A359" s="423" t="s">
        <v>229</v>
      </c>
      <c r="B359" s="157" t="s">
        <v>1177</v>
      </c>
      <c r="C359" s="138"/>
      <c r="D359" s="96"/>
      <c r="E359" s="96"/>
    </row>
    <row r="360" spans="1:5" s="395" customFormat="1" ht="19.95" customHeight="1">
      <c r="A360" s="424" t="s">
        <v>1171</v>
      </c>
      <c r="B360" s="161" t="s">
        <v>1178</v>
      </c>
      <c r="C360" s="393"/>
      <c r="D360" s="96"/>
      <c r="E360" s="96"/>
    </row>
    <row r="361" spans="1:5" s="395" customFormat="1" ht="19.95" customHeight="1">
      <c r="A361" s="424" t="s">
        <v>1172</v>
      </c>
      <c r="B361" s="425">
        <v>2</v>
      </c>
      <c r="C361" s="393"/>
      <c r="D361" s="96"/>
      <c r="E361" s="96"/>
    </row>
    <row r="362" spans="1:5" s="395" customFormat="1" ht="19.95" customHeight="1">
      <c r="A362" s="424"/>
      <c r="B362" s="422"/>
      <c r="C362" s="393"/>
      <c r="D362" s="96"/>
      <c r="E362" s="96"/>
    </row>
    <row r="363" spans="1:5" s="395" customFormat="1" ht="19.95" customHeight="1">
      <c r="A363" s="426" t="s">
        <v>299</v>
      </c>
      <c r="B363" s="422"/>
      <c r="C363" s="393"/>
      <c r="D363" s="96"/>
      <c r="E363" s="96"/>
    </row>
    <row r="364" spans="1:5" s="395" customFormat="1" ht="19.95" customHeight="1">
      <c r="A364" s="395">
        <v>8.9071700000000004E-2</v>
      </c>
      <c r="B364" s="422"/>
      <c r="C364" s="393"/>
      <c r="D364" s="96"/>
      <c r="E364" s="96"/>
    </row>
    <row r="365" spans="1:5" s="395" customFormat="1" ht="19.95" customHeight="1">
      <c r="A365" s="426"/>
      <c r="B365" s="422"/>
      <c r="C365" s="393"/>
      <c r="D365" s="96"/>
      <c r="E365" s="96"/>
    </row>
    <row r="366" spans="1:5" s="395" customFormat="1" ht="19.95" customHeight="1">
      <c r="A366" s="426" t="s">
        <v>300</v>
      </c>
      <c r="B366" s="422"/>
      <c r="C366" s="393"/>
      <c r="D366" s="96"/>
      <c r="E366" s="96"/>
    </row>
    <row r="367" spans="1:5" s="395" customFormat="1" ht="19.95" customHeight="1">
      <c r="A367" s="395">
        <v>1.867285E-4</v>
      </c>
      <c r="B367" s="422"/>
      <c r="C367" s="393"/>
      <c r="D367" s="96"/>
      <c r="E367" s="96"/>
    </row>
    <row r="368" spans="1:5" s="395" customFormat="1" ht="19.95" customHeight="1">
      <c r="A368" s="426"/>
      <c r="B368" s="422"/>
      <c r="C368" s="393"/>
      <c r="D368" s="96"/>
      <c r="E368" s="96"/>
    </row>
    <row r="369" spans="1:13" s="395" customFormat="1" ht="19.95" customHeight="1">
      <c r="A369" s="426" t="s">
        <v>301</v>
      </c>
      <c r="B369" s="422"/>
      <c r="C369" s="393"/>
      <c r="D369" s="96"/>
      <c r="E369" s="96"/>
    </row>
    <row r="370" spans="1:13" s="395" customFormat="1" ht="19.95" customHeight="1">
      <c r="A370" s="395">
        <v>4.4699460000000002E-4</v>
      </c>
      <c r="B370" s="422"/>
      <c r="C370" s="393"/>
      <c r="D370" s="96"/>
      <c r="E370" s="96"/>
    </row>
    <row r="371" spans="1:13" s="395" customFormat="1" ht="19.95" customHeight="1">
      <c r="A371" s="426"/>
      <c r="B371" s="422"/>
      <c r="C371" s="393"/>
      <c r="D371" s="96"/>
      <c r="E371" s="96"/>
    </row>
    <row r="372" spans="1:13" s="395" customFormat="1" ht="19.95" customHeight="1">
      <c r="A372" s="393" t="s">
        <v>1140</v>
      </c>
      <c r="B372" s="422"/>
      <c r="C372" s="393"/>
      <c r="D372" s="96"/>
      <c r="E372" s="96"/>
    </row>
    <row r="373" spans="1:13" s="395" customFormat="1" ht="19.95" customHeight="1">
      <c r="A373" s="426" t="s">
        <v>1176</v>
      </c>
      <c r="B373" s="422"/>
      <c r="C373" s="393"/>
      <c r="D373" s="96"/>
      <c r="E373" s="96"/>
    </row>
    <row r="374" spans="1:13" s="395" customFormat="1" ht="19.95" customHeight="1">
      <c r="A374" s="429">
        <v>5.0183679999999996E-3</v>
      </c>
      <c r="B374" s="422"/>
      <c r="C374" s="393"/>
      <c r="D374" s="96"/>
      <c r="E374" s="96"/>
    </row>
    <row r="375" spans="1:13" s="395" customFormat="1" ht="19.95" customHeight="1">
      <c r="A375" s="393"/>
      <c r="B375" s="417"/>
      <c r="C375" s="393"/>
    </row>
    <row r="376" spans="1:13" s="149" customFormat="1" ht="19.95" customHeight="1">
      <c r="A376" s="150" t="s">
        <v>2118</v>
      </c>
    </row>
    <row r="377" spans="1:13" s="371" customFormat="1" ht="19.95" customHeight="1"/>
    <row r="378" spans="1:13" s="371" customFormat="1" ht="19.95" customHeight="1">
      <c r="A378" s="370" t="s">
        <v>2</v>
      </c>
      <c r="B378" s="235">
        <v>45306</v>
      </c>
    </row>
    <row r="379" spans="1:13" s="371" customFormat="1" ht="19.95" customHeight="1"/>
    <row r="380" spans="1:13" s="371" customFormat="1" ht="19.95" customHeight="1">
      <c r="A380" s="373" t="s">
        <v>100</v>
      </c>
      <c r="B380" s="373" t="s">
        <v>99</v>
      </c>
      <c r="C380" s="373" t="s">
        <v>100</v>
      </c>
      <c r="D380" s="373" t="s">
        <v>275</v>
      </c>
      <c r="E380" s="373" t="s">
        <v>113</v>
      </c>
      <c r="F380" s="373" t="s">
        <v>114</v>
      </c>
      <c r="G380" s="377" t="s">
        <v>259</v>
      </c>
      <c r="H380" s="373" t="s">
        <v>1008</v>
      </c>
      <c r="I380" s="370" t="s">
        <v>1009</v>
      </c>
      <c r="J380" s="399" t="s">
        <v>1008</v>
      </c>
    </row>
    <row r="381" spans="1:13" s="371" customFormat="1" ht="19.95" customHeight="1">
      <c r="A381" s="372" t="s">
        <v>96</v>
      </c>
      <c r="B381" s="372" t="s">
        <v>64</v>
      </c>
      <c r="C381" s="372" t="s">
        <v>64</v>
      </c>
      <c r="D381" s="372" t="s">
        <v>64</v>
      </c>
      <c r="E381" s="372" t="s">
        <v>64</v>
      </c>
      <c r="F381" s="372" t="s">
        <v>64</v>
      </c>
      <c r="G381" s="372"/>
      <c r="H381" s="372"/>
      <c r="I381" s="372" t="s">
        <v>297</v>
      </c>
      <c r="J381" s="383" t="s">
        <v>429</v>
      </c>
    </row>
    <row r="382" spans="1:13" s="371" customFormat="1" ht="19.95" customHeight="1">
      <c r="A382" s="371" t="s">
        <v>1004</v>
      </c>
      <c r="B382" s="182">
        <v>6.1173000000000002</v>
      </c>
      <c r="C382" s="182">
        <v>12.2803</v>
      </c>
      <c r="D382" s="182">
        <v>13.0634</v>
      </c>
      <c r="E382" s="60">
        <f>C382-B382</f>
        <v>6.1630000000000003</v>
      </c>
      <c r="F382" s="60">
        <f>D382-B382</f>
        <v>6.9460999999999995</v>
      </c>
      <c r="H382" s="371">
        <f>G382*F382/E382</f>
        <v>0</v>
      </c>
      <c r="I382" s="371" t="s">
        <v>110</v>
      </c>
      <c r="J382" s="387"/>
    </row>
    <row r="383" spans="1:13" s="371" customFormat="1" ht="19.95" customHeight="1">
      <c r="A383" s="383" t="s">
        <v>1005</v>
      </c>
      <c r="B383" s="141">
        <v>6.1120999999999999</v>
      </c>
      <c r="C383" s="141">
        <v>12.281000000000001</v>
      </c>
      <c r="D383" s="141">
        <v>13.0669</v>
      </c>
      <c r="E383" s="81">
        <f t="shared" ref="E383:E403" si="50">C383-B383</f>
        <v>6.1689000000000007</v>
      </c>
      <c r="F383" s="81">
        <f t="shared" ref="F383:F403" si="51">D383-B383</f>
        <v>6.9548000000000005</v>
      </c>
      <c r="G383" s="383"/>
      <c r="H383" s="383">
        <f t="shared" ref="H383:H403" si="52">G383*F383/E383</f>
        <v>0</v>
      </c>
      <c r="I383" s="383" t="s">
        <v>980</v>
      </c>
      <c r="J383" s="383"/>
      <c r="M383" s="381"/>
    </row>
    <row r="384" spans="1:13" s="371" customFormat="1" ht="19.95" customHeight="1">
      <c r="A384" s="371" t="s">
        <v>981</v>
      </c>
      <c r="B384" s="182">
        <v>6.1238000000000001</v>
      </c>
      <c r="C384" s="182">
        <v>12.2575</v>
      </c>
      <c r="D384" s="182">
        <v>13.041700000000001</v>
      </c>
      <c r="E384" s="60">
        <f t="shared" si="50"/>
        <v>6.1337000000000002</v>
      </c>
      <c r="F384" s="60">
        <f t="shared" si="51"/>
        <v>6.9179000000000004</v>
      </c>
      <c r="G384" s="157">
        <f>RAW_DATA!F93</f>
        <v>0.26947700000000002</v>
      </c>
      <c r="H384" s="154">
        <f t="shared" si="52"/>
        <v>0.30392991804294311</v>
      </c>
      <c r="I384" s="371" t="s">
        <v>992</v>
      </c>
      <c r="J384" s="161">
        <f>STDEV(H384:H385)/AVERAGE(H384:H385)</f>
        <v>3.3670954941038126E-3</v>
      </c>
      <c r="M384" s="381"/>
    </row>
    <row r="385" spans="1:13" s="371" customFormat="1" ht="19.95" customHeight="1">
      <c r="A385" s="371" t="s">
        <v>982</v>
      </c>
      <c r="B385" s="182">
        <v>6.1337000000000002</v>
      </c>
      <c r="C385" s="182">
        <v>12.277100000000001</v>
      </c>
      <c r="D385" s="182">
        <v>13.0616</v>
      </c>
      <c r="E385" s="60">
        <f t="shared" si="50"/>
        <v>6.1434000000000006</v>
      </c>
      <c r="F385" s="60">
        <f t="shared" si="51"/>
        <v>6.9279000000000002</v>
      </c>
      <c r="G385" s="157">
        <f>RAW_DATA!F94</f>
        <v>0.27079999999999999</v>
      </c>
      <c r="H385" s="154">
        <f t="shared" si="52"/>
        <v>0.30538062310772535</v>
      </c>
      <c r="I385" s="371" t="s">
        <v>985</v>
      </c>
      <c r="J385" s="382"/>
      <c r="M385" s="588"/>
    </row>
    <row r="386" spans="1:13" s="371" customFormat="1" ht="19.95" customHeight="1">
      <c r="A386" s="371" t="s">
        <v>983</v>
      </c>
      <c r="B386" s="182">
        <v>6.1306000000000003</v>
      </c>
      <c r="C386" s="182">
        <v>12.275399999999999</v>
      </c>
      <c r="D386" s="182">
        <v>13.0601</v>
      </c>
      <c r="E386" s="60">
        <f t="shared" si="50"/>
        <v>6.1447999999999992</v>
      </c>
      <c r="F386" s="60">
        <f t="shared" si="51"/>
        <v>6.9295</v>
      </c>
      <c r="G386" s="157">
        <f>RAW_DATA!F95</f>
        <v>0.270706</v>
      </c>
      <c r="H386" s="154">
        <f t="shared" si="52"/>
        <v>0.30527555445254528</v>
      </c>
      <c r="I386" s="371" t="s">
        <v>986</v>
      </c>
      <c r="J386" s="161">
        <f>STDEV(H386:H387)/AVERAGE(H386:H387)</f>
        <v>5.6362941495070843E-5</v>
      </c>
      <c r="M386" s="588"/>
    </row>
    <row r="387" spans="1:13" s="371" customFormat="1" ht="19.95" customHeight="1">
      <c r="A387" s="371" t="s">
        <v>984</v>
      </c>
      <c r="B387" s="182">
        <v>6.1397000000000004</v>
      </c>
      <c r="C387" s="182">
        <v>12.2957</v>
      </c>
      <c r="D387" s="182">
        <v>13.081200000000001</v>
      </c>
      <c r="E387" s="60">
        <f t="shared" si="50"/>
        <v>6.1559999999999997</v>
      </c>
      <c r="F387" s="60">
        <f t="shared" si="51"/>
        <v>6.9415000000000004</v>
      </c>
      <c r="G387" s="157">
        <f>RAW_DATA!F96</f>
        <v>0.27070899999999998</v>
      </c>
      <c r="H387" s="154">
        <f t="shared" si="52"/>
        <v>0.30525122214100064</v>
      </c>
      <c r="I387" s="371" t="s">
        <v>997</v>
      </c>
      <c r="J387" s="382"/>
      <c r="M387" s="588"/>
    </row>
    <row r="388" spans="1:13" s="371" customFormat="1" ht="19.95" customHeight="1">
      <c r="A388" s="371" t="s">
        <v>985</v>
      </c>
      <c r="B388" s="182">
        <v>6.1233000000000004</v>
      </c>
      <c r="C388" s="182">
        <v>12.2804</v>
      </c>
      <c r="D388" s="182">
        <v>13.0661</v>
      </c>
      <c r="E388" s="60">
        <f t="shared" si="50"/>
        <v>6.1570999999999998</v>
      </c>
      <c r="F388" s="60">
        <f t="shared" si="51"/>
        <v>6.9428000000000001</v>
      </c>
      <c r="G388" s="157">
        <f>RAW_DATA!F97</f>
        <v>0.27005899999999999</v>
      </c>
      <c r="H388" s="154">
        <f t="shared" si="52"/>
        <v>0.30452089866982834</v>
      </c>
      <c r="I388" s="371" t="s">
        <v>984</v>
      </c>
      <c r="J388" s="161">
        <f>STDEV(H388:H389)/AVERAGE(H388:H389)</f>
        <v>1.3584339476934762E-3</v>
      </c>
      <c r="M388" s="588"/>
    </row>
    <row r="389" spans="1:13" s="371" customFormat="1" ht="19.95" customHeight="1">
      <c r="A389" s="371" t="s">
        <v>986</v>
      </c>
      <c r="B389" s="182">
        <v>6.1397000000000004</v>
      </c>
      <c r="C389" s="182">
        <v>12.297000000000001</v>
      </c>
      <c r="D389" s="182">
        <v>13.0824</v>
      </c>
      <c r="E389" s="60">
        <f t="shared" si="50"/>
        <v>6.1573000000000002</v>
      </c>
      <c r="F389" s="60">
        <f t="shared" si="51"/>
        <v>6.9426999999999994</v>
      </c>
      <c r="G389" s="157">
        <f>RAW_DATA!F98</f>
        <v>0.27059100000000003</v>
      </c>
      <c r="H389" s="154">
        <f t="shared" si="52"/>
        <v>0.30510648103876697</v>
      </c>
      <c r="I389" s="371" t="s">
        <v>983</v>
      </c>
      <c r="J389" s="382"/>
      <c r="M389" s="588"/>
    </row>
    <row r="390" spans="1:13" s="371" customFormat="1" ht="19.95" customHeight="1">
      <c r="A390" s="371" t="s">
        <v>987</v>
      </c>
      <c r="B390" s="182">
        <v>6.1281999999999996</v>
      </c>
      <c r="C390" s="182">
        <v>12.270099999999999</v>
      </c>
      <c r="D390" s="182">
        <v>13.0558</v>
      </c>
      <c r="E390" s="60">
        <f t="shared" si="50"/>
        <v>6.1418999999999997</v>
      </c>
      <c r="F390" s="60">
        <f t="shared" si="51"/>
        <v>6.9276</v>
      </c>
      <c r="G390" s="157">
        <f>RAW_DATA!F99</f>
        <v>0.27002999999999999</v>
      </c>
      <c r="H390" s="154">
        <f t="shared" si="52"/>
        <v>0.30457347530894352</v>
      </c>
      <c r="I390" s="371" t="s">
        <v>999</v>
      </c>
      <c r="J390" s="161">
        <f>STDEV(H390:H391)/AVERAGE(H390:H391)</f>
        <v>1.6201213099022701E-3</v>
      </c>
      <c r="M390" s="588"/>
    </row>
    <row r="391" spans="1:13" s="371" customFormat="1" ht="19.95" customHeight="1">
      <c r="A391" s="371" t="s">
        <v>988</v>
      </c>
      <c r="B391" s="182">
        <v>6.1351000000000004</v>
      </c>
      <c r="C391" s="182">
        <v>12.2805</v>
      </c>
      <c r="D391" s="182">
        <v>13.0684</v>
      </c>
      <c r="E391" s="60">
        <f t="shared" si="50"/>
        <v>6.1453999999999995</v>
      </c>
      <c r="F391" s="60">
        <f t="shared" si="51"/>
        <v>6.9333</v>
      </c>
      <c r="G391" s="157">
        <f>RAW_DATA!F100</f>
        <v>0.27058100000000002</v>
      </c>
      <c r="H391" s="154">
        <f t="shared" si="52"/>
        <v>0.30527211366225149</v>
      </c>
      <c r="I391" s="371" t="s">
        <v>994</v>
      </c>
      <c r="J391" s="382"/>
      <c r="M391" s="588"/>
    </row>
    <row r="392" spans="1:13" s="371" customFormat="1" ht="19.95" customHeight="1">
      <c r="A392" s="371" t="s">
        <v>989</v>
      </c>
      <c r="B392" s="182">
        <v>6.1082000000000001</v>
      </c>
      <c r="C392" s="182">
        <v>12.261799999999999</v>
      </c>
      <c r="D392" s="182">
        <v>13.0403</v>
      </c>
      <c r="E392" s="60">
        <f t="shared" si="50"/>
        <v>6.1535999999999991</v>
      </c>
      <c r="F392" s="60">
        <f t="shared" si="51"/>
        <v>6.9321000000000002</v>
      </c>
      <c r="G392" s="157">
        <f>RAW_DATA!F101</f>
        <v>0.27256200000000003</v>
      </c>
      <c r="H392" s="154">
        <f t="shared" si="52"/>
        <v>0.30704417579953208</v>
      </c>
      <c r="I392" s="371" t="s">
        <v>998</v>
      </c>
      <c r="J392" s="161">
        <f>STDEV(H392:H393)/AVERAGE(H392:H393)</f>
        <v>1.5603948929961144E-3</v>
      </c>
      <c r="M392" s="588"/>
    </row>
    <row r="393" spans="1:13" s="371" customFormat="1" ht="19.95" customHeight="1">
      <c r="A393" s="371" t="s">
        <v>990</v>
      </c>
      <c r="B393" s="182">
        <v>6.1276999999999999</v>
      </c>
      <c r="C393" s="182">
        <v>12.2744</v>
      </c>
      <c r="D393" s="182">
        <v>13.0595</v>
      </c>
      <c r="E393" s="60">
        <f t="shared" si="50"/>
        <v>6.1467000000000001</v>
      </c>
      <c r="F393" s="60">
        <f t="shared" si="51"/>
        <v>6.9318</v>
      </c>
      <c r="G393" s="157">
        <f>RAW_DATA!F102</f>
        <v>0.27166800000000002</v>
      </c>
      <c r="H393" s="154">
        <f t="shared" si="52"/>
        <v>0.30636735848504076</v>
      </c>
      <c r="I393" s="371" t="s">
        <v>1000</v>
      </c>
      <c r="J393" s="382"/>
      <c r="M393" s="588"/>
    </row>
    <row r="394" spans="1:13" s="371" customFormat="1" ht="19.95" customHeight="1">
      <c r="A394" s="371" t="s">
        <v>991</v>
      </c>
      <c r="B394" s="182">
        <v>6.1593</v>
      </c>
      <c r="C394" s="182">
        <v>12.302899999999999</v>
      </c>
      <c r="D394" s="182">
        <v>13.0876</v>
      </c>
      <c r="E394" s="60">
        <f t="shared" si="50"/>
        <v>6.1435999999999993</v>
      </c>
      <c r="F394" s="60">
        <f t="shared" si="51"/>
        <v>6.9283000000000001</v>
      </c>
      <c r="G394" s="157">
        <f>RAW_DATA!F103</f>
        <v>0.27052799999999999</v>
      </c>
      <c r="H394" s="154">
        <f t="shared" si="52"/>
        <v>0.30508157145647508</v>
      </c>
      <c r="I394" s="371" t="s">
        <v>996</v>
      </c>
      <c r="J394" s="161">
        <f>STDEV(H394:H395)/AVERAGE(H394:H395)</f>
        <v>9.0173394283905959E-4</v>
      </c>
      <c r="M394" s="588"/>
    </row>
    <row r="395" spans="1:13" s="371" customFormat="1" ht="19.95" customHeight="1">
      <c r="A395" s="371" t="s">
        <v>992</v>
      </c>
      <c r="B395" s="182">
        <v>6.1482999999999999</v>
      </c>
      <c r="C395" s="182">
        <v>12.2875</v>
      </c>
      <c r="D395" s="182">
        <v>13.0708</v>
      </c>
      <c r="E395" s="60">
        <f t="shared" si="50"/>
        <v>6.1391999999999998</v>
      </c>
      <c r="F395" s="60">
        <f t="shared" si="51"/>
        <v>6.9225000000000003</v>
      </c>
      <c r="G395" s="157">
        <f>RAW_DATA!F104</f>
        <v>0.27090599999999998</v>
      </c>
      <c r="H395" s="154">
        <f t="shared" si="52"/>
        <v>0.30547087324081312</v>
      </c>
      <c r="I395" s="371" t="s">
        <v>991</v>
      </c>
      <c r="J395" s="382"/>
      <c r="M395" s="588"/>
    </row>
    <row r="396" spans="1:13" s="371" customFormat="1" ht="19.95" customHeight="1">
      <c r="A396" s="371" t="s">
        <v>993</v>
      </c>
      <c r="B396" s="182">
        <v>6.1473000000000004</v>
      </c>
      <c r="C396" s="182">
        <v>12.302</v>
      </c>
      <c r="D396" s="182">
        <v>13.086600000000001</v>
      </c>
      <c r="E396" s="60">
        <f t="shared" si="50"/>
        <v>6.1546999999999992</v>
      </c>
      <c r="F396" s="60">
        <f t="shared" si="51"/>
        <v>6.9393000000000002</v>
      </c>
      <c r="G396" s="157">
        <f>RAW_DATA!F105</f>
        <v>0.27093600000000001</v>
      </c>
      <c r="H396" s="154">
        <f t="shared" si="52"/>
        <v>0.30547487039173321</v>
      </c>
      <c r="I396" s="371" t="s">
        <v>993</v>
      </c>
      <c r="J396" s="161">
        <f>STDEV(H396:H397)/AVERAGE(H396:H397)</f>
        <v>3.4853358767917365E-4</v>
      </c>
      <c r="M396" s="588"/>
    </row>
    <row r="397" spans="1:13" s="371" customFormat="1" ht="19.95" customHeight="1">
      <c r="A397" s="371" t="s">
        <v>994</v>
      </c>
      <c r="B397" s="182">
        <v>6.1475999999999997</v>
      </c>
      <c r="C397" s="182">
        <v>12.305400000000001</v>
      </c>
      <c r="D397" s="182">
        <v>13.091100000000001</v>
      </c>
      <c r="E397" s="60">
        <f t="shared" si="50"/>
        <v>6.1578000000000008</v>
      </c>
      <c r="F397" s="60">
        <f t="shared" si="51"/>
        <v>6.9435000000000011</v>
      </c>
      <c r="G397" s="157">
        <f>RAW_DATA!F106</f>
        <v>0.27077499999999999</v>
      </c>
      <c r="H397" s="154">
        <f t="shared" si="52"/>
        <v>0.30532433864367142</v>
      </c>
      <c r="I397" s="371" t="s">
        <v>989</v>
      </c>
      <c r="J397" s="382"/>
      <c r="M397" s="588"/>
    </row>
    <row r="398" spans="1:13" s="371" customFormat="1" ht="19.95" customHeight="1">
      <c r="A398" s="371" t="s">
        <v>995</v>
      </c>
      <c r="B398" s="182">
        <v>6.1418999999999997</v>
      </c>
      <c r="C398" s="182">
        <v>12.2659</v>
      </c>
      <c r="D398" s="182">
        <v>13.0512</v>
      </c>
      <c r="E398" s="60">
        <f t="shared" si="50"/>
        <v>6.1240000000000006</v>
      </c>
      <c r="F398" s="60">
        <f t="shared" si="51"/>
        <v>6.9093</v>
      </c>
      <c r="G398" s="157">
        <f>RAW_DATA!F107</f>
        <v>0.27058500000000002</v>
      </c>
      <c r="H398" s="154">
        <f t="shared" si="52"/>
        <v>0.30528297526126713</v>
      </c>
      <c r="I398" s="371" t="s">
        <v>987</v>
      </c>
      <c r="J398" s="161">
        <f>STDEV(H398:H399)/AVERAGE(H398:H399)</f>
        <v>4.8986351512044488E-4</v>
      </c>
      <c r="M398" s="588"/>
    </row>
    <row r="399" spans="1:13" s="371" customFormat="1" ht="19.95" customHeight="1">
      <c r="A399" s="371" t="s">
        <v>996</v>
      </c>
      <c r="B399" s="182">
        <v>6.1493000000000002</v>
      </c>
      <c r="C399" s="182">
        <v>12.2879</v>
      </c>
      <c r="D399" s="182">
        <v>13.073499999999999</v>
      </c>
      <c r="E399" s="60">
        <f t="shared" si="50"/>
        <v>6.1386000000000003</v>
      </c>
      <c r="F399" s="60">
        <f t="shared" si="51"/>
        <v>6.924199999999999</v>
      </c>
      <c r="G399" s="157">
        <f>RAW_DATA!F108</f>
        <v>0.27083400000000002</v>
      </c>
      <c r="H399" s="154">
        <f t="shared" si="52"/>
        <v>0.30549453992767078</v>
      </c>
      <c r="I399" s="371" t="s">
        <v>982</v>
      </c>
      <c r="J399" s="382"/>
      <c r="M399" s="588"/>
    </row>
    <row r="400" spans="1:13" s="371" customFormat="1" ht="19.95" customHeight="1">
      <c r="A400" s="371" t="s">
        <v>997</v>
      </c>
      <c r="B400" s="182">
        <v>6.1308999999999996</v>
      </c>
      <c r="C400" s="182">
        <v>12.275</v>
      </c>
      <c r="D400" s="182">
        <v>13.0608</v>
      </c>
      <c r="E400" s="60">
        <f t="shared" si="50"/>
        <v>6.1441000000000008</v>
      </c>
      <c r="F400" s="60">
        <f t="shared" si="51"/>
        <v>6.9299000000000008</v>
      </c>
      <c r="G400" s="157">
        <f>RAW_DATA!F109</f>
        <v>0.27269599999999999</v>
      </c>
      <c r="H400" s="154">
        <f t="shared" si="52"/>
        <v>0.30757246958871109</v>
      </c>
      <c r="I400" s="371" t="s">
        <v>981</v>
      </c>
      <c r="J400" s="161">
        <f>STDEV(H400:H401)/AVERAGE(H400:H401)</f>
        <v>1.1931570944068305E-3</v>
      </c>
      <c r="M400" s="588"/>
    </row>
    <row r="401" spans="1:13" s="371" customFormat="1" ht="19.95" customHeight="1">
      <c r="A401" s="371" t="s">
        <v>998</v>
      </c>
      <c r="B401" s="182">
        <v>6.1367000000000003</v>
      </c>
      <c r="C401" s="182">
        <v>12.306100000000001</v>
      </c>
      <c r="D401" s="182">
        <v>13.0932</v>
      </c>
      <c r="E401" s="60">
        <f t="shared" si="50"/>
        <v>6.1694000000000004</v>
      </c>
      <c r="F401" s="60">
        <f t="shared" si="51"/>
        <v>6.9564999999999992</v>
      </c>
      <c r="G401" s="157">
        <f>RAW_DATA!F110</f>
        <v>0.272312</v>
      </c>
      <c r="H401" s="154">
        <f t="shared" si="52"/>
        <v>0.30705391577787139</v>
      </c>
      <c r="I401" s="371" t="s">
        <v>988</v>
      </c>
      <c r="J401" s="382"/>
      <c r="M401" s="588"/>
    </row>
    <row r="402" spans="1:13" s="371" customFormat="1" ht="19.95" customHeight="1">
      <c r="A402" s="371" t="s">
        <v>999</v>
      </c>
      <c r="B402" s="182">
        <v>6.1299000000000001</v>
      </c>
      <c r="C402" s="182">
        <v>12.273999999999999</v>
      </c>
      <c r="D402" s="182">
        <v>13.057399999999999</v>
      </c>
      <c r="E402" s="60">
        <f t="shared" si="50"/>
        <v>6.144099999999999</v>
      </c>
      <c r="F402" s="60">
        <f t="shared" si="51"/>
        <v>6.9274999999999993</v>
      </c>
      <c r="G402" s="157">
        <f>RAW_DATA!F111</f>
        <v>0.27294099999999999</v>
      </c>
      <c r="H402" s="154">
        <f t="shared" si="52"/>
        <v>0.3077421880340489</v>
      </c>
      <c r="I402" s="371" t="s">
        <v>990</v>
      </c>
      <c r="J402" s="161">
        <f>STDEV(H402:H403)/AVERAGE(H402:H403)</f>
        <v>8.1461980986959602E-4</v>
      </c>
      <c r="M402" s="588"/>
    </row>
    <row r="403" spans="1:13" s="371" customFormat="1" ht="19.95" customHeight="1">
      <c r="A403" s="372" t="s">
        <v>1000</v>
      </c>
      <c r="B403" s="141">
        <v>6.1081000000000003</v>
      </c>
      <c r="C403" s="141">
        <v>12.2705</v>
      </c>
      <c r="D403" s="141">
        <v>13.0563</v>
      </c>
      <c r="E403" s="81">
        <f t="shared" si="50"/>
        <v>6.1623999999999999</v>
      </c>
      <c r="F403" s="81">
        <f t="shared" si="51"/>
        <v>6.9481999999999999</v>
      </c>
      <c r="G403" s="155">
        <f>RAW_DATA!F112</f>
        <v>0.27325300000000002</v>
      </c>
      <c r="H403" s="155">
        <f t="shared" si="52"/>
        <v>0.30809692564585228</v>
      </c>
      <c r="I403" s="372" t="s">
        <v>995</v>
      </c>
      <c r="J403" s="383"/>
      <c r="M403" s="588"/>
    </row>
    <row r="404" spans="1:13" s="371" customFormat="1" ht="19.95" customHeight="1">
      <c r="A404" s="371" t="s">
        <v>1006</v>
      </c>
      <c r="J404" s="226"/>
    </row>
    <row r="405" spans="1:13" s="371" customFormat="1" ht="19.95" customHeight="1">
      <c r="A405" s="371" t="s">
        <v>1007</v>
      </c>
    </row>
    <row r="406" spans="1:13" s="382" customFormat="1" ht="19.95" customHeight="1"/>
    <row r="407" spans="1:13" s="382" customFormat="1" ht="19.95" customHeight="1"/>
    <row r="408" spans="1:13" s="382" customFormat="1" ht="19.95" customHeight="1">
      <c r="A408" s="388" t="s">
        <v>1045</v>
      </c>
    </row>
    <row r="409" spans="1:13" s="382" customFormat="1" ht="19.95" customHeight="1">
      <c r="A409" s="161">
        <f>STDEV(H384:H403)/AVERAGE(H384:H403)</f>
        <v>3.7571059421959642E-3</v>
      </c>
      <c r="B409" s="382" t="s">
        <v>1079</v>
      </c>
    </row>
    <row r="410" spans="1:13" s="382" customFormat="1" ht="19.95" customHeight="1">
      <c r="A410" s="161">
        <f>MEDIAN(STDEV(H384:H385),STDEV(H386:H387),STDEV(H390:H391),STDEV(H388:H389),STDEV(H392:H393),STDEV(H394:H395),STDEV(H396:H397),STDEV(H398:H399),STDEV(H400:H401),STDEV(H402:H403))/AVERAGE(H384:H403)</f>
        <v>1.0497426402656254E-3</v>
      </c>
      <c r="B410" s="382" t="s">
        <v>1080</v>
      </c>
    </row>
    <row r="411" spans="1:13" s="382" customFormat="1" ht="19.95" customHeight="1">
      <c r="A411" s="161">
        <f>B488</f>
        <v>1.4640513272441769E-3</v>
      </c>
      <c r="B411" s="382" t="s">
        <v>1081</v>
      </c>
    </row>
    <row r="412" spans="1:13" s="382" customFormat="1" ht="19.95" customHeight="1"/>
    <row r="413" spans="1:13" s="382" customFormat="1" ht="19.95" customHeight="1">
      <c r="A413" s="389" t="s">
        <v>4</v>
      </c>
      <c r="B413" s="389" t="s">
        <v>925</v>
      </c>
      <c r="C413" s="389" t="s">
        <v>930</v>
      </c>
      <c r="D413" s="389" t="s">
        <v>1008</v>
      </c>
      <c r="E413" s="389" t="s">
        <v>1008</v>
      </c>
      <c r="F413" s="389" t="s">
        <v>1133</v>
      </c>
      <c r="G413" s="389" t="s">
        <v>1133</v>
      </c>
    </row>
    <row r="414" spans="1:13" s="382" customFormat="1" ht="19.95" customHeight="1">
      <c r="A414" s="383" t="s">
        <v>96</v>
      </c>
      <c r="B414" s="383" t="s">
        <v>92</v>
      </c>
      <c r="C414" s="383" t="s">
        <v>931</v>
      </c>
      <c r="D414" s="383" t="s">
        <v>241</v>
      </c>
      <c r="E414" s="383" t="s">
        <v>1046</v>
      </c>
      <c r="F414" s="383" t="s">
        <v>241</v>
      </c>
      <c r="G414" s="383" t="s">
        <v>1046</v>
      </c>
    </row>
    <row r="415" spans="1:13" s="382" customFormat="1" ht="19.95" customHeight="1">
      <c r="A415" s="363" t="str">
        <f t="shared" ref="A415:C424" si="53">A24</f>
        <v>MOOS009a</v>
      </c>
      <c r="B415" s="385">
        <f t="shared" si="53"/>
        <v>21</v>
      </c>
      <c r="C415" s="145">
        <f t="shared" si="53"/>
        <v>12</v>
      </c>
      <c r="D415" s="154">
        <f>AVERAGE(H384:H385)</f>
        <v>0.30465527057533426</v>
      </c>
      <c r="E415" s="156">
        <f>D415*$A$411</f>
        <v>4.4603095323775195E-4</v>
      </c>
      <c r="F415" s="60">
        <f>D415/AVERAGE($D$417,$D$421)</f>
        <v>0.99852059397974846</v>
      </c>
      <c r="G415" s="60">
        <f>F415*SQRT((E415/D415)^2+((SQRT($E$417^2+$E$421^2)/2)/AVERAGE($D$417,$D$421))^2)</f>
        <v>1.7904369224247092E-3</v>
      </c>
    </row>
    <row r="416" spans="1:13" s="382" customFormat="1" ht="19.95" customHeight="1">
      <c r="A416" s="363" t="str">
        <f t="shared" si="53"/>
        <v>MOOS047a</v>
      </c>
      <c r="B416" s="385">
        <f t="shared" si="53"/>
        <v>21</v>
      </c>
      <c r="C416" s="145">
        <f t="shared" si="53"/>
        <v>27</v>
      </c>
      <c r="D416" s="154">
        <f>AVERAGE(H386:H387)</f>
        <v>0.30526338829677296</v>
      </c>
      <c r="E416" s="157">
        <f t="shared" ref="E416:E424" si="54">D416*$A$411</f>
        <v>4.4692126879494499E-4</v>
      </c>
      <c r="F416" s="60">
        <f t="shared" ref="F416:F424" si="55">D416/AVERAGE($D$417,$D$421)</f>
        <v>1.0005137256504195</v>
      </c>
      <c r="G416" s="60">
        <f t="shared" ref="G416:G424" si="56">F416*SQRT((E416/D416)^2+((SQRT($E$417^2+$E$421^2)/2)/AVERAGE($D$417,$D$421))^2)</f>
        <v>1.7940107861546502E-3</v>
      </c>
    </row>
    <row r="417" spans="1:8" s="382" customFormat="1" ht="19.95" customHeight="1">
      <c r="A417" s="402" t="str">
        <f t="shared" si="53"/>
        <v>MOOS085a</v>
      </c>
      <c r="B417" s="390">
        <f t="shared" si="53"/>
        <v>4</v>
      </c>
      <c r="C417" s="390" t="str">
        <f t="shared" si="53"/>
        <v># ref</v>
      </c>
      <c r="D417" s="207">
        <f>AVERAGE(H388:H389)</f>
        <v>0.30481368985429769</v>
      </c>
      <c r="E417" s="403">
        <f t="shared" si="54"/>
        <v>4.4626288719337942E-4</v>
      </c>
      <c r="F417" s="165">
        <f t="shared" si="55"/>
        <v>0.99903981989771684</v>
      </c>
      <c r="G417" s="165">
        <f t="shared" si="56"/>
        <v>1.7913679410338549E-3</v>
      </c>
    </row>
    <row r="418" spans="1:8" s="382" customFormat="1" ht="19.95" customHeight="1">
      <c r="A418" s="363" t="str">
        <f t="shared" si="53"/>
        <v>MOOS123a</v>
      </c>
      <c r="B418" s="385">
        <f t="shared" si="53"/>
        <v>40</v>
      </c>
      <c r="C418" s="145">
        <f t="shared" si="53"/>
        <v>12</v>
      </c>
      <c r="D418" s="154">
        <f>AVERAGE(H390:H391)</f>
        <v>0.3049227944855975</v>
      </c>
      <c r="E418" s="157">
        <f t="shared" si="54"/>
        <v>4.4642262197364243E-4</v>
      </c>
      <c r="F418" s="60">
        <f t="shared" si="55"/>
        <v>0.99939741496261003</v>
      </c>
      <c r="G418" s="60">
        <f t="shared" si="56"/>
        <v>1.7920091410364605E-3</v>
      </c>
    </row>
    <row r="419" spans="1:8" s="382" customFormat="1" ht="19.95" customHeight="1">
      <c r="A419" s="363" t="str">
        <f t="shared" si="53"/>
        <v>MOOS161a</v>
      </c>
      <c r="B419" s="385">
        <f t="shared" si="53"/>
        <v>40</v>
      </c>
      <c r="C419" s="145">
        <f t="shared" si="53"/>
        <v>27</v>
      </c>
      <c r="D419" s="154">
        <f>AVERAGE(H392:H393)</f>
        <v>0.30670576714228642</v>
      </c>
      <c r="E419" s="157">
        <f t="shared" si="54"/>
        <v>4.4903298545810789E-4</v>
      </c>
      <c r="F419" s="60">
        <f t="shared" si="55"/>
        <v>1.0052411836026358</v>
      </c>
      <c r="G419" s="60">
        <f t="shared" si="56"/>
        <v>1.8024875419851165E-3</v>
      </c>
    </row>
    <row r="420" spans="1:8" s="382" customFormat="1" ht="19.95" customHeight="1">
      <c r="A420" s="363" t="str">
        <f t="shared" si="53"/>
        <v>MOOS199a</v>
      </c>
      <c r="B420" s="385">
        <f t="shared" si="53"/>
        <v>21</v>
      </c>
      <c r="C420" s="145">
        <f t="shared" si="53"/>
        <v>35</v>
      </c>
      <c r="D420" s="154">
        <f>AVERAGE(H394:H395)</f>
        <v>0.3052762223486441</v>
      </c>
      <c r="E420" s="157">
        <f t="shared" si="54"/>
        <v>4.4694005850562087E-4</v>
      </c>
      <c r="F420" s="60">
        <f t="shared" si="55"/>
        <v>1.0005557898007404</v>
      </c>
      <c r="G420" s="60">
        <f t="shared" si="56"/>
        <v>1.7940862109463863E-3</v>
      </c>
    </row>
    <row r="421" spans="1:8" s="382" customFormat="1" ht="19.95" customHeight="1">
      <c r="A421" s="402" t="str">
        <f t="shared" si="53"/>
        <v>MOOS237a</v>
      </c>
      <c r="B421" s="390">
        <f t="shared" si="53"/>
        <v>4</v>
      </c>
      <c r="C421" s="390" t="str">
        <f t="shared" si="53"/>
        <v># ref</v>
      </c>
      <c r="D421" s="207">
        <f>AVERAGE(H396:H397)</f>
        <v>0.30539960451770232</v>
      </c>
      <c r="E421" s="403">
        <f t="shared" si="54"/>
        <v>4.471206963339888E-4</v>
      </c>
      <c r="F421" s="165">
        <f t="shared" si="55"/>
        <v>1.0009601801022832</v>
      </c>
      <c r="G421" s="165">
        <f t="shared" si="56"/>
        <v>1.7948113190025625E-3</v>
      </c>
    </row>
    <row r="422" spans="1:8" s="382" customFormat="1" ht="19.95" customHeight="1">
      <c r="A422" s="363" t="str">
        <f t="shared" si="53"/>
        <v>MOOS275a</v>
      </c>
      <c r="B422" s="385">
        <f t="shared" si="53"/>
        <v>21</v>
      </c>
      <c r="C422" s="145">
        <f t="shared" si="53"/>
        <v>43</v>
      </c>
      <c r="D422" s="154">
        <f>AVERAGE(H398:H399)</f>
        <v>0.30538875759446893</v>
      </c>
      <c r="E422" s="157">
        <f t="shared" si="54"/>
        <v>4.4710481588163247E-4</v>
      </c>
      <c r="F422" s="60">
        <f t="shared" si="55"/>
        <v>1.0009246288505047</v>
      </c>
      <c r="G422" s="60">
        <f t="shared" si="56"/>
        <v>1.7947475724216643E-3</v>
      </c>
    </row>
    <row r="423" spans="1:8" s="382" customFormat="1" ht="19.95" customHeight="1">
      <c r="A423" s="363" t="str">
        <f t="shared" si="53"/>
        <v>MOOS313a</v>
      </c>
      <c r="B423" s="385">
        <f t="shared" si="53"/>
        <v>40</v>
      </c>
      <c r="C423" s="145">
        <f t="shared" si="53"/>
        <v>35</v>
      </c>
      <c r="D423" s="154">
        <f>AVERAGE(H400:H401)</f>
        <v>0.30731319268329127</v>
      </c>
      <c r="E423" s="157">
        <f t="shared" si="54"/>
        <v>4.4992228762761807E-4</v>
      </c>
      <c r="F423" s="60">
        <f t="shared" si="55"/>
        <v>1.0072320466225244</v>
      </c>
      <c r="G423" s="60">
        <f t="shared" si="56"/>
        <v>1.8060573378208655E-3</v>
      </c>
    </row>
    <row r="424" spans="1:8" s="382" customFormat="1" ht="19.95" customHeight="1">
      <c r="A424" s="286" t="str">
        <f t="shared" si="53"/>
        <v>MOOS351a</v>
      </c>
      <c r="B424" s="383">
        <f t="shared" si="53"/>
        <v>40</v>
      </c>
      <c r="C424" s="146">
        <f t="shared" si="53"/>
        <v>43</v>
      </c>
      <c r="D424" s="155">
        <f>AVERAGE(H402:H403)</f>
        <v>0.30791955683995059</v>
      </c>
      <c r="E424" s="155">
        <f t="shared" si="54"/>
        <v>4.5081003587596843E-4</v>
      </c>
      <c r="F424" s="81">
        <f t="shared" si="55"/>
        <v>1.009219430910123</v>
      </c>
      <c r="G424" s="81">
        <f t="shared" si="56"/>
        <v>1.8096208959778196E-3</v>
      </c>
    </row>
    <row r="425" spans="1:8" s="382" customFormat="1" ht="19.95" customHeight="1"/>
    <row r="426" spans="1:8" s="382" customFormat="1" ht="19.95" customHeight="1">
      <c r="A426" s="88" t="s">
        <v>1131</v>
      </c>
      <c r="B426" s="385"/>
      <c r="C426" s="145"/>
      <c r="D426" s="157"/>
      <c r="E426" s="157"/>
      <c r="F426" s="88" t="s">
        <v>1132</v>
      </c>
      <c r="G426" s="385"/>
    </row>
    <row r="427" spans="1:8" s="382" customFormat="1" ht="19.95" customHeight="1">
      <c r="A427" s="689" t="s">
        <v>0</v>
      </c>
      <c r="B427" s="591" t="s">
        <v>1133</v>
      </c>
      <c r="C427" s="591" t="s">
        <v>1133</v>
      </c>
      <c r="D427" s="96"/>
      <c r="E427" s="96"/>
      <c r="F427" s="689" t="s">
        <v>0</v>
      </c>
      <c r="G427" s="591" t="s">
        <v>1133</v>
      </c>
      <c r="H427" s="591" t="s">
        <v>1133</v>
      </c>
    </row>
    <row r="428" spans="1:8" s="588" customFormat="1" ht="19.95" customHeight="1">
      <c r="A428" s="690" t="s">
        <v>88</v>
      </c>
      <c r="B428" s="589" t="s">
        <v>241</v>
      </c>
      <c r="C428" s="589" t="s">
        <v>1046</v>
      </c>
      <c r="D428" s="96"/>
      <c r="E428" s="96"/>
      <c r="F428" s="690" t="s">
        <v>88</v>
      </c>
      <c r="G428" s="589" t="s">
        <v>241</v>
      </c>
      <c r="H428" s="589" t="s">
        <v>1046</v>
      </c>
    </row>
    <row r="429" spans="1:8" s="382" customFormat="1" ht="19.95" customHeight="1">
      <c r="A429" s="382">
        <v>0</v>
      </c>
      <c r="B429" s="60">
        <f>AVERAGE(F417,F421)</f>
        <v>1</v>
      </c>
      <c r="C429" s="60">
        <f>MEDIAN(G417,G421)</f>
        <v>1.7930896300182087E-3</v>
      </c>
      <c r="D429" s="96"/>
      <c r="E429" s="96"/>
      <c r="F429" s="382">
        <v>0</v>
      </c>
      <c r="G429" s="60">
        <f>B429</f>
        <v>1</v>
      </c>
      <c r="H429" s="60">
        <f>C429</f>
        <v>1.7930896300182087E-3</v>
      </c>
    </row>
    <row r="430" spans="1:8" s="382" customFormat="1" ht="19.95" customHeight="1">
      <c r="A430" s="405">
        <f>C415</f>
        <v>12</v>
      </c>
      <c r="B430" s="138">
        <f>F415</f>
        <v>0.99852059397974846</v>
      </c>
      <c r="C430" s="138">
        <f>G415</f>
        <v>1.7904369224247092E-3</v>
      </c>
      <c r="D430" s="96"/>
      <c r="E430" s="96"/>
      <c r="F430" s="405">
        <f>C418</f>
        <v>12</v>
      </c>
      <c r="G430" s="138">
        <f>F418</f>
        <v>0.99939741496261003</v>
      </c>
      <c r="H430" s="138">
        <f>G418</f>
        <v>1.7920091410364605E-3</v>
      </c>
    </row>
    <row r="431" spans="1:8" s="382" customFormat="1" ht="19.95" customHeight="1">
      <c r="A431" s="405">
        <f>C416</f>
        <v>27</v>
      </c>
      <c r="B431" s="138">
        <f>F416</f>
        <v>1.0005137256504195</v>
      </c>
      <c r="C431" s="138">
        <f>G416</f>
        <v>1.7940107861546502E-3</v>
      </c>
      <c r="D431" s="96"/>
      <c r="E431" s="96"/>
      <c r="F431" s="405">
        <f>C419</f>
        <v>27</v>
      </c>
      <c r="G431" s="138">
        <f>F419</f>
        <v>1.0052411836026358</v>
      </c>
      <c r="H431" s="138">
        <f>G419</f>
        <v>1.8024875419851165E-3</v>
      </c>
    </row>
    <row r="432" spans="1:8" s="382" customFormat="1" ht="19.95" customHeight="1">
      <c r="A432" s="405">
        <f>C420</f>
        <v>35</v>
      </c>
      <c r="B432" s="138">
        <f>F420</f>
        <v>1.0005557898007404</v>
      </c>
      <c r="C432" s="138">
        <f>G420</f>
        <v>1.7940862109463863E-3</v>
      </c>
      <c r="D432" s="96"/>
      <c r="E432" s="96"/>
      <c r="F432" s="405">
        <f>C423</f>
        <v>35</v>
      </c>
      <c r="G432" s="138">
        <f>F423</f>
        <v>1.0072320466225244</v>
      </c>
      <c r="H432" s="138">
        <f>G423</f>
        <v>1.8060573378208655E-3</v>
      </c>
    </row>
    <row r="433" spans="1:12" s="382" customFormat="1" ht="19.95" customHeight="1">
      <c r="A433" s="406">
        <f>C422</f>
        <v>43</v>
      </c>
      <c r="B433" s="140">
        <f>F422</f>
        <v>1.0009246288505047</v>
      </c>
      <c r="C433" s="140">
        <f>G422</f>
        <v>1.7947475724216643E-3</v>
      </c>
      <c r="D433" s="96"/>
      <c r="E433" s="96"/>
      <c r="F433" s="406">
        <f>C424</f>
        <v>43</v>
      </c>
      <c r="G433" s="140">
        <f>F424</f>
        <v>1.009219430910123</v>
      </c>
      <c r="H433" s="140">
        <f>G424</f>
        <v>1.8096208959778196E-3</v>
      </c>
    </row>
    <row r="434" spans="1:12" s="382" customFormat="1" ht="19.95" customHeight="1"/>
    <row r="435" spans="1:12" s="382" customFormat="1" ht="19.95" customHeight="1"/>
    <row r="436" spans="1:12" s="382" customFormat="1" ht="19.95" customHeight="1"/>
    <row r="437" spans="1:12" s="382" customFormat="1" ht="19.95" customHeight="1"/>
    <row r="438" spans="1:12" s="382" customFormat="1" ht="19.95" customHeight="1"/>
    <row r="439" spans="1:12" s="382" customFormat="1" ht="19.95" customHeight="1">
      <c r="L439" s="60"/>
    </row>
    <row r="440" spans="1:12" s="382" customFormat="1" ht="19.95" customHeight="1"/>
    <row r="441" spans="1:12" s="382" customFormat="1" ht="19.95" customHeight="1"/>
    <row r="442" spans="1:12" s="382" customFormat="1" ht="19.95" customHeight="1"/>
    <row r="443" spans="1:12" s="382" customFormat="1" ht="19.95" customHeight="1"/>
    <row r="444" spans="1:12" s="382" customFormat="1" ht="19.95" customHeight="1"/>
    <row r="445" spans="1:12" s="382" customFormat="1" ht="19.95" customHeight="1"/>
    <row r="446" spans="1:12" ht="19.95" customHeight="1">
      <c r="A446" s="393" t="s">
        <v>1050</v>
      </c>
      <c r="B446" s="395"/>
      <c r="C446" s="395"/>
    </row>
    <row r="447" spans="1:12" s="382" customFormat="1" ht="19.95" customHeight="1">
      <c r="A447" s="397" t="s">
        <v>2550</v>
      </c>
      <c r="B447" s="395"/>
      <c r="C447" s="395"/>
    </row>
    <row r="448" spans="1:12" s="588" customFormat="1" ht="19.95" customHeight="1">
      <c r="A448" s="397"/>
    </row>
    <row r="449" spans="1:30" s="588" customFormat="1" ht="19.95" customHeight="1">
      <c r="A449" s="426" t="s">
        <v>2704</v>
      </c>
    </row>
    <row r="450" spans="1:30" s="588" customFormat="1" ht="19.95" customHeight="1">
      <c r="A450" s="426" t="str" cm="1">
        <f t="array" aca="1" ref="A450" ca="1">CELL("address",LONG!A83)</f>
        <v>[ESM_2.xlsm]LONG!$A$83</v>
      </c>
    </row>
    <row r="451" spans="1:30" s="588" customFormat="1" ht="19.95" customHeight="1">
      <c r="A451" s="426" t="s">
        <v>2705</v>
      </c>
    </row>
    <row r="452" spans="1:30" s="588" customFormat="1" ht="19.95" customHeight="1">
      <c r="A452" s="426"/>
    </row>
    <row r="453" spans="1:30" s="588" customFormat="1" ht="19.95" customHeight="1">
      <c r="A453" s="588" t="s">
        <v>2706</v>
      </c>
      <c r="B453" s="876">
        <f>LONG!D77*LONG!A83^((30-40)/10)</f>
        <v>6.0850413579619643E-5</v>
      </c>
    </row>
    <row r="454" spans="1:30" s="588" customFormat="1" ht="19.95" customHeight="1">
      <c r="A454" s="480" t="s">
        <v>2708</v>
      </c>
      <c r="B454" s="417">
        <f>B453*10</f>
        <v>6.0850413579619639E-4</v>
      </c>
      <c r="C454" s="588" t="s">
        <v>2707</v>
      </c>
    </row>
    <row r="455" spans="1:30" s="588" customFormat="1" ht="19.95" customHeight="1">
      <c r="A455" s="397"/>
    </row>
    <row r="456" spans="1:30" s="149" customFormat="1" ht="19.95" customHeight="1">
      <c r="A456" s="150" t="s">
        <v>2119</v>
      </c>
    </row>
    <row r="457" spans="1:30" s="382" customFormat="1" ht="19.95" customHeight="1"/>
    <row r="458" spans="1:30" s="395" customFormat="1" ht="19.95" customHeight="1">
      <c r="A458" s="393" t="s">
        <v>1184</v>
      </c>
      <c r="C458" s="138"/>
      <c r="E458" t="s">
        <v>1057</v>
      </c>
      <c r="F458"/>
      <c r="G458"/>
      <c r="H458"/>
      <c r="I458"/>
      <c r="J458"/>
      <c r="K458"/>
    </row>
    <row r="459" spans="1:30" s="395" customFormat="1" ht="19.95" customHeight="1">
      <c r="B459" s="391"/>
      <c r="C459" s="138"/>
      <c r="E459"/>
      <c r="F459"/>
      <c r="G459"/>
      <c r="H459"/>
      <c r="I459"/>
      <c r="J459"/>
      <c r="K459"/>
      <c r="N459" s="691"/>
      <c r="O459" s="691"/>
      <c r="P459" s="691"/>
      <c r="Q459" s="691"/>
      <c r="R459" s="691"/>
      <c r="S459" s="691"/>
      <c r="T459" s="691"/>
      <c r="W459" s="588"/>
      <c r="X459" s="588"/>
      <c r="Y459" s="588"/>
      <c r="Z459" s="588"/>
      <c r="AA459" s="588"/>
      <c r="AB459" s="588"/>
      <c r="AC459" s="588"/>
      <c r="AD459" s="588"/>
    </row>
    <row r="460" spans="1:30" s="395" customFormat="1" ht="19.95" customHeight="1" thickBot="1">
      <c r="A460" s="398" t="s">
        <v>4</v>
      </c>
      <c r="B460" s="398" t="s">
        <v>1134</v>
      </c>
      <c r="C460" s="398" t="s">
        <v>1135</v>
      </c>
      <c r="E460" t="s">
        <v>1058</v>
      </c>
      <c r="F460"/>
      <c r="G460"/>
      <c r="H460"/>
      <c r="I460"/>
      <c r="J460"/>
      <c r="K460"/>
      <c r="N460" s="691"/>
      <c r="O460" s="691"/>
      <c r="P460" s="691"/>
      <c r="Q460" s="691"/>
      <c r="R460" s="691"/>
      <c r="S460" s="691"/>
      <c r="T460" s="691"/>
      <c r="V460" s="588"/>
      <c r="W460" s="588"/>
      <c r="X460" s="588"/>
      <c r="Y460" s="588"/>
      <c r="Z460" s="588"/>
      <c r="AA460" s="588"/>
      <c r="AB460" s="588"/>
    </row>
    <row r="461" spans="1:30" s="395" customFormat="1" ht="19.95" customHeight="1">
      <c r="A461" s="396" t="s">
        <v>96</v>
      </c>
      <c r="B461" s="396"/>
      <c r="C461" s="140"/>
      <c r="E461" s="409" t="s">
        <v>1059</v>
      </c>
      <c r="F461" s="409" t="s">
        <v>1060</v>
      </c>
      <c r="G461" s="409" t="s">
        <v>1061</v>
      </c>
      <c r="H461" s="409" t="s">
        <v>260</v>
      </c>
      <c r="I461" s="409" t="s">
        <v>233</v>
      </c>
      <c r="J461"/>
      <c r="K461"/>
      <c r="N461" s="691"/>
      <c r="O461" s="691"/>
      <c r="P461" s="691"/>
      <c r="Q461" s="691"/>
      <c r="R461" s="691"/>
      <c r="S461" s="691"/>
      <c r="T461" s="691"/>
      <c r="V461" s="588"/>
      <c r="W461" s="588"/>
      <c r="X461" s="588"/>
      <c r="Y461" s="588"/>
      <c r="Z461" s="588"/>
      <c r="AA461" s="588"/>
      <c r="AB461" s="588"/>
    </row>
    <row r="462" spans="1:30" s="395" customFormat="1" ht="19.95" customHeight="1">
      <c r="A462" s="363" t="str">
        <f t="shared" ref="A462:A471" si="57">A415</f>
        <v>MOOS009a</v>
      </c>
      <c r="B462" s="154">
        <f>H384</f>
        <v>0.30392991804294311</v>
      </c>
      <c r="C462" s="138">
        <f>H385</f>
        <v>0.30538062310772535</v>
      </c>
      <c r="E462" s="407" t="s">
        <v>969</v>
      </c>
      <c r="F462" s="407">
        <v>2</v>
      </c>
      <c r="G462" s="407">
        <v>0.60931054115066852</v>
      </c>
      <c r="H462" s="407">
        <v>0.30465527057533426</v>
      </c>
      <c r="I462" s="407">
        <v>1.0522725924924097E-6</v>
      </c>
      <c r="J462"/>
      <c r="K462"/>
      <c r="N462" s="692"/>
      <c r="O462" s="692"/>
      <c r="P462" s="692"/>
      <c r="Q462" s="692"/>
      <c r="R462" s="692"/>
      <c r="S462" s="691"/>
      <c r="T462" s="691"/>
      <c r="V462" s="588"/>
      <c r="W462" s="588"/>
      <c r="X462" s="588"/>
      <c r="Y462" s="588"/>
      <c r="Z462" s="588"/>
      <c r="AA462" s="588"/>
      <c r="AB462" s="588"/>
    </row>
    <row r="463" spans="1:30" s="395" customFormat="1" ht="19.95" customHeight="1">
      <c r="A463" s="363" t="str">
        <f t="shared" si="57"/>
        <v>MOOS047a</v>
      </c>
      <c r="B463" s="154">
        <f>H386</f>
        <v>0.30527555445254528</v>
      </c>
      <c r="C463" s="138">
        <f>H387</f>
        <v>0.30525122214100064</v>
      </c>
      <c r="E463" s="407" t="s">
        <v>970</v>
      </c>
      <c r="F463" s="407">
        <v>2</v>
      </c>
      <c r="G463" s="407">
        <v>0.61052677659354593</v>
      </c>
      <c r="H463" s="407">
        <v>0.30526338829677296</v>
      </c>
      <c r="I463" s="407">
        <v>2.960306925526915E-10</v>
      </c>
      <c r="J463"/>
      <c r="K463"/>
      <c r="N463" s="407"/>
      <c r="O463" s="407"/>
      <c r="P463" s="407"/>
      <c r="Q463" s="407"/>
      <c r="R463" s="407"/>
      <c r="S463" s="691"/>
      <c r="T463" s="691"/>
      <c r="V463" s="588"/>
      <c r="W463" s="588"/>
      <c r="X463" s="588"/>
      <c r="Y463" s="588"/>
      <c r="Z463" s="588"/>
      <c r="AA463" s="588"/>
      <c r="AB463" s="588"/>
    </row>
    <row r="464" spans="1:30" s="395" customFormat="1" ht="19.95" customHeight="1">
      <c r="A464" s="363" t="str">
        <f t="shared" si="57"/>
        <v>MOOS085a</v>
      </c>
      <c r="B464" s="154">
        <f>H388</f>
        <v>0.30452089866982834</v>
      </c>
      <c r="C464" s="138">
        <f>H389</f>
        <v>0.30510648103876697</v>
      </c>
      <c r="E464" s="407" t="s">
        <v>971</v>
      </c>
      <c r="F464" s="407">
        <v>2</v>
      </c>
      <c r="G464" s="407">
        <v>0.60962737970859537</v>
      </c>
      <c r="H464" s="407">
        <v>0.30481368985429769</v>
      </c>
      <c r="I464" s="407">
        <v>1.7145335540588936E-7</v>
      </c>
      <c r="J464"/>
      <c r="K464"/>
      <c r="N464" s="407"/>
      <c r="O464" s="407"/>
      <c r="P464" s="407"/>
      <c r="Q464" s="407"/>
      <c r="R464" s="407"/>
      <c r="S464" s="691"/>
      <c r="T464" s="691"/>
      <c r="V464" s="588"/>
      <c r="W464" s="588"/>
      <c r="X464" s="588"/>
      <c r="Y464" s="588"/>
      <c r="Z464" s="588"/>
      <c r="AA464" s="588"/>
      <c r="AB464" s="588"/>
    </row>
    <row r="465" spans="1:28" s="395" customFormat="1" ht="19.95" customHeight="1">
      <c r="A465" s="363" t="str">
        <f t="shared" si="57"/>
        <v>MOOS123a</v>
      </c>
      <c r="B465" s="154">
        <f>H390</f>
        <v>0.30457347530894352</v>
      </c>
      <c r="C465" s="138">
        <f>H391</f>
        <v>0.30527211366225149</v>
      </c>
      <c r="E465" s="407" t="s">
        <v>972</v>
      </c>
      <c r="F465" s="407">
        <v>2</v>
      </c>
      <c r="G465" s="407">
        <v>0.60984558897119501</v>
      </c>
      <c r="H465" s="407">
        <v>0.3049227944855975</v>
      </c>
      <c r="I465" s="407">
        <v>2.4404777435643431E-7</v>
      </c>
      <c r="J465"/>
      <c r="K465"/>
      <c r="N465" s="407"/>
      <c r="O465" s="407"/>
      <c r="P465" s="407"/>
      <c r="Q465" s="407"/>
      <c r="R465" s="407"/>
      <c r="S465" s="691"/>
      <c r="T465" s="691"/>
      <c r="V465" s="588"/>
      <c r="W465" s="588"/>
      <c r="X465" s="588"/>
      <c r="Y465" s="588"/>
      <c r="Z465" s="588"/>
      <c r="AA465" s="588"/>
      <c r="AB465" s="588"/>
    </row>
    <row r="466" spans="1:28" s="395" customFormat="1" ht="19.95" customHeight="1">
      <c r="A466" s="363" t="str">
        <f t="shared" si="57"/>
        <v>MOOS161a</v>
      </c>
      <c r="B466" s="154">
        <f>H392</f>
        <v>0.30704417579953208</v>
      </c>
      <c r="C466" s="138">
        <f>H393</f>
        <v>0.30636735848504076</v>
      </c>
      <c r="E466" s="407" t="s">
        <v>973</v>
      </c>
      <c r="F466" s="407">
        <v>2</v>
      </c>
      <c r="G466" s="407">
        <v>0.61341153428457285</v>
      </c>
      <c r="H466" s="407">
        <v>0.30670576714228642</v>
      </c>
      <c r="I466" s="407">
        <v>2.290408385976199E-7</v>
      </c>
      <c r="J466"/>
      <c r="K466"/>
      <c r="N466" s="407"/>
      <c r="O466" s="407"/>
      <c r="P466" s="407"/>
      <c r="Q466" s="407"/>
      <c r="R466" s="407"/>
      <c r="S466" s="691"/>
      <c r="T466" s="691"/>
      <c r="V466" s="588"/>
      <c r="W466" s="588"/>
      <c r="X466" s="588"/>
      <c r="Y466" s="588"/>
      <c r="Z466" s="588"/>
      <c r="AA466" s="588"/>
      <c r="AB466" s="588"/>
    </row>
    <row r="467" spans="1:28" s="395" customFormat="1" ht="19.95" customHeight="1">
      <c r="A467" s="363" t="str">
        <f t="shared" si="57"/>
        <v>MOOS199a</v>
      </c>
      <c r="B467" s="154">
        <f>H394</f>
        <v>0.30508157145647508</v>
      </c>
      <c r="C467" s="138">
        <f>H395</f>
        <v>0.30547087324081312</v>
      </c>
      <c r="E467" s="407" t="s">
        <v>974</v>
      </c>
      <c r="F467" s="407">
        <v>2</v>
      </c>
      <c r="G467" s="407">
        <v>0.6105524446972882</v>
      </c>
      <c r="H467" s="407">
        <v>0.3052762223486441</v>
      </c>
      <c r="I467" s="407">
        <v>7.5777939644393836E-8</v>
      </c>
      <c r="J467"/>
      <c r="K467"/>
      <c r="N467" s="407"/>
      <c r="O467" s="407"/>
      <c r="P467" s="407"/>
      <c r="Q467" s="407"/>
      <c r="R467" s="407"/>
      <c r="S467" s="691"/>
      <c r="T467" s="691"/>
      <c r="V467" s="588"/>
      <c r="W467" s="588"/>
      <c r="X467" s="588"/>
      <c r="Y467" s="588"/>
      <c r="Z467" s="588"/>
      <c r="AA467" s="588"/>
      <c r="AB467" s="588"/>
    </row>
    <row r="468" spans="1:28" s="395" customFormat="1" ht="19.95" customHeight="1">
      <c r="A468" s="363" t="str">
        <f t="shared" si="57"/>
        <v>MOOS237a</v>
      </c>
      <c r="B468" s="154">
        <f>H396</f>
        <v>0.30547487039173321</v>
      </c>
      <c r="C468" s="138">
        <f>H397</f>
        <v>0.30532433864367142</v>
      </c>
      <c r="E468" s="407" t="s">
        <v>975</v>
      </c>
      <c r="F468" s="407">
        <v>2</v>
      </c>
      <c r="G468" s="407">
        <v>0.61079920903540463</v>
      </c>
      <c r="H468" s="407">
        <v>0.30539960451770232</v>
      </c>
      <c r="I468" s="407">
        <v>1.132990358726888E-8</v>
      </c>
      <c r="J468"/>
      <c r="K468"/>
      <c r="N468" s="407"/>
      <c r="O468" s="407"/>
      <c r="P468" s="407"/>
      <c r="Q468" s="407"/>
      <c r="R468" s="407"/>
      <c r="S468" s="691"/>
      <c r="T468" s="691"/>
      <c r="V468" s="588"/>
      <c r="W468" s="588"/>
      <c r="X468" s="588"/>
      <c r="Y468" s="588"/>
      <c r="Z468" s="588"/>
      <c r="AA468" s="588"/>
      <c r="AB468" s="588"/>
    </row>
    <row r="469" spans="1:28" s="395" customFormat="1" ht="19.95" customHeight="1">
      <c r="A469" s="363" t="str">
        <f t="shared" si="57"/>
        <v>MOOS275a</v>
      </c>
      <c r="B469" s="154">
        <f>H398</f>
        <v>0.30528297526126713</v>
      </c>
      <c r="C469" s="138">
        <f>H399</f>
        <v>0.30549453992767078</v>
      </c>
      <c r="E469" s="407" t="s">
        <v>976</v>
      </c>
      <c r="F469" s="407">
        <v>2</v>
      </c>
      <c r="G469" s="407">
        <v>0.61077751518893786</v>
      </c>
      <c r="H469" s="407">
        <v>0.30538875759446893</v>
      </c>
      <c r="I469" s="407">
        <v>2.2379804035244256E-8</v>
      </c>
      <c r="J469"/>
      <c r="K469"/>
      <c r="N469" s="407"/>
      <c r="O469" s="407"/>
      <c r="P469" s="407"/>
      <c r="Q469" s="407"/>
      <c r="R469" s="407"/>
      <c r="S469" s="691"/>
      <c r="T469" s="691"/>
      <c r="V469" s="588"/>
      <c r="W469" s="588"/>
      <c r="X469" s="588"/>
      <c r="Y469" s="588"/>
      <c r="Z469" s="588"/>
      <c r="AA469" s="588"/>
      <c r="AB469" s="588"/>
    </row>
    <row r="470" spans="1:28" s="395" customFormat="1" ht="19.95" customHeight="1">
      <c r="A470" s="363" t="str">
        <f t="shared" si="57"/>
        <v>MOOS313a</v>
      </c>
      <c r="B470" s="154">
        <f>H400</f>
        <v>0.30757246958871109</v>
      </c>
      <c r="C470" s="138">
        <f>H401</f>
        <v>0.30705391577787139</v>
      </c>
      <c r="E470" s="407" t="s">
        <v>977</v>
      </c>
      <c r="F470" s="407">
        <v>2</v>
      </c>
      <c r="G470" s="407">
        <v>0.61462638536658254</v>
      </c>
      <c r="H470" s="407">
        <v>0.30731319268329127</v>
      </c>
      <c r="I470" s="407">
        <v>1.3444902736819072E-7</v>
      </c>
      <c r="J470"/>
      <c r="K470"/>
      <c r="N470" s="407"/>
      <c r="O470" s="407"/>
      <c r="P470" s="407"/>
      <c r="Q470" s="407"/>
      <c r="R470" s="407"/>
      <c r="S470" s="691"/>
      <c r="T470" s="691"/>
      <c r="V470" s="588"/>
      <c r="W470" s="588"/>
      <c r="X470" s="588"/>
      <c r="Y470" s="588"/>
      <c r="Z470" s="588"/>
      <c r="AA470" s="588"/>
      <c r="AB470" s="588"/>
    </row>
    <row r="471" spans="1:28" s="395" customFormat="1" ht="19.95" customHeight="1" thickBot="1">
      <c r="A471" s="286" t="str">
        <f t="shared" si="57"/>
        <v>MOOS351a</v>
      </c>
      <c r="B471" s="155">
        <f>H402</f>
        <v>0.3077421880340489</v>
      </c>
      <c r="C471" s="140">
        <f>H403</f>
        <v>0.30809692564585228</v>
      </c>
      <c r="E471" s="408" t="s">
        <v>978</v>
      </c>
      <c r="F471" s="408">
        <v>2</v>
      </c>
      <c r="G471" s="408">
        <v>0.61583911367990118</v>
      </c>
      <c r="H471" s="408">
        <v>0.30791955683995059</v>
      </c>
      <c r="I471" s="408">
        <v>6.2919386613982625E-8</v>
      </c>
      <c r="J471"/>
      <c r="K471"/>
      <c r="N471" s="407"/>
      <c r="O471" s="407"/>
      <c r="P471" s="407"/>
      <c r="Q471" s="407"/>
      <c r="R471" s="407"/>
      <c r="S471" s="691"/>
      <c r="T471" s="691"/>
      <c r="V471" s="588"/>
      <c r="W471" s="588"/>
      <c r="X471" s="588"/>
      <c r="Y471" s="588"/>
      <c r="Z471" s="588"/>
      <c r="AA471" s="588"/>
      <c r="AB471" s="588"/>
    </row>
    <row r="472" spans="1:28" s="395" customFormat="1" ht="19.95" customHeight="1">
      <c r="E472"/>
      <c r="F472"/>
      <c r="G472"/>
      <c r="H472"/>
      <c r="I472"/>
      <c r="J472"/>
      <c r="K472"/>
      <c r="N472" s="407"/>
      <c r="O472" s="407"/>
      <c r="P472" s="407"/>
      <c r="Q472" s="407"/>
      <c r="R472" s="407"/>
      <c r="S472" s="691"/>
      <c r="T472" s="691"/>
      <c r="V472" s="588"/>
      <c r="W472" s="588"/>
      <c r="X472" s="588"/>
      <c r="Y472" s="588"/>
      <c r="Z472" s="588"/>
      <c r="AA472" s="588"/>
      <c r="AB472" s="588"/>
    </row>
    <row r="473" spans="1:28" s="395" customFormat="1" ht="19.95" customHeight="1">
      <c r="E473"/>
      <c r="F473"/>
      <c r="G473"/>
      <c r="H473"/>
      <c r="I473"/>
      <c r="J473"/>
      <c r="K473"/>
      <c r="N473" s="691"/>
      <c r="O473" s="691"/>
      <c r="P473" s="691"/>
      <c r="Q473" s="691"/>
      <c r="R473" s="691"/>
      <c r="S473" s="691"/>
      <c r="T473" s="691"/>
      <c r="V473" s="588"/>
      <c r="W473" s="588"/>
      <c r="X473" s="588"/>
      <c r="Y473" s="588"/>
      <c r="Z473" s="588"/>
      <c r="AA473" s="588"/>
      <c r="AB473" s="588"/>
    </row>
    <row r="474" spans="1:28" s="395" customFormat="1" ht="19.95" customHeight="1" thickBot="1">
      <c r="E474" t="s">
        <v>1062</v>
      </c>
      <c r="F474"/>
      <c r="G474"/>
      <c r="H474"/>
      <c r="I474"/>
      <c r="J474"/>
      <c r="K474"/>
      <c r="N474" s="691"/>
      <c r="O474" s="691"/>
      <c r="P474" s="691"/>
      <c r="Q474" s="691"/>
      <c r="R474" s="691"/>
      <c r="S474" s="691"/>
      <c r="T474" s="691"/>
      <c r="V474" s="588"/>
      <c r="W474" s="588"/>
      <c r="X474" s="588"/>
      <c r="Y474" s="588"/>
      <c r="Z474" s="588"/>
      <c r="AA474" s="588"/>
      <c r="AB474" s="588"/>
    </row>
    <row r="475" spans="1:28" s="412" customFormat="1" ht="40.200000000000003" customHeight="1">
      <c r="E475" s="415" t="s">
        <v>1063</v>
      </c>
      <c r="F475" s="415" t="s">
        <v>1064</v>
      </c>
      <c r="G475" s="415" t="s">
        <v>234</v>
      </c>
      <c r="H475" s="415" t="s">
        <v>1065</v>
      </c>
      <c r="I475" s="415" t="s">
        <v>1066</v>
      </c>
      <c r="J475" s="415" t="s">
        <v>1067</v>
      </c>
      <c r="K475" s="415" t="s">
        <v>1068</v>
      </c>
      <c r="N475" s="691"/>
      <c r="O475" s="691"/>
      <c r="P475" s="691"/>
      <c r="Q475" s="691"/>
      <c r="R475" s="691"/>
      <c r="S475" s="691"/>
      <c r="T475" s="691"/>
      <c r="V475" s="588"/>
      <c r="W475" s="588"/>
      <c r="X475" s="588"/>
      <c r="Y475" s="588"/>
      <c r="Z475" s="588"/>
      <c r="AA475" s="588"/>
      <c r="AB475" s="588"/>
    </row>
    <row r="476" spans="1:28" s="382" customFormat="1" ht="19.95" customHeight="1">
      <c r="A476" s="395" t="s">
        <v>1072</v>
      </c>
      <c r="B476" s="395"/>
      <c r="C476" s="138"/>
      <c r="E476" s="407" t="s">
        <v>1069</v>
      </c>
      <c r="F476" s="407">
        <v>2.3070884795053137E-5</v>
      </c>
      <c r="G476" s="407">
        <v>9</v>
      </c>
      <c r="H476" s="407">
        <v>2.5634316438947929E-6</v>
      </c>
      <c r="I476" s="407">
        <v>12.79178792881002</v>
      </c>
      <c r="J476" s="407">
        <v>2.190607172314578E-4</v>
      </c>
      <c r="K476" s="407">
        <v>3.0203829470213761</v>
      </c>
      <c r="N476" s="692"/>
      <c r="O476" s="692"/>
      <c r="P476" s="692"/>
      <c r="Q476" s="692"/>
      <c r="R476" s="692"/>
      <c r="S476" s="692"/>
      <c r="T476" s="692"/>
      <c r="V476" s="588"/>
      <c r="W476" s="588"/>
      <c r="X476" s="588"/>
      <c r="Y476" s="588"/>
      <c r="Z476" s="588"/>
      <c r="AA476" s="588"/>
      <c r="AB476" s="588"/>
    </row>
    <row r="477" spans="1:28" s="382" customFormat="1" ht="19.95" customHeight="1">
      <c r="A477" s="395" t="s">
        <v>1073</v>
      </c>
      <c r="B477" s="395"/>
      <c r="C477" s="138"/>
      <c r="E477" s="407" t="s">
        <v>1070</v>
      </c>
      <c r="F477" s="407">
        <v>2.0039666527939858E-6</v>
      </c>
      <c r="G477" s="407">
        <v>10</v>
      </c>
      <c r="H477" s="407">
        <v>2.0039666527939858E-7</v>
      </c>
      <c r="I477" s="407"/>
      <c r="J477" s="407"/>
      <c r="K477" s="407"/>
      <c r="N477" s="407"/>
      <c r="O477" s="407"/>
      <c r="P477" s="407"/>
      <c r="Q477" s="407"/>
      <c r="R477" s="407"/>
      <c r="S477" s="407"/>
      <c r="T477" s="407"/>
      <c r="V477" s="588"/>
      <c r="W477" s="588"/>
      <c r="X477" s="588"/>
      <c r="Y477" s="588"/>
      <c r="Z477" s="588"/>
      <c r="AA477" s="588"/>
      <c r="AB477" s="588"/>
    </row>
    <row r="478" spans="1:28" s="382" customFormat="1" ht="19.95" customHeight="1">
      <c r="A478" s="395"/>
      <c r="B478" s="395"/>
      <c r="C478" s="138"/>
      <c r="E478" s="407"/>
      <c r="F478" s="407"/>
      <c r="G478" s="407"/>
      <c r="H478" s="407"/>
      <c r="I478" s="407"/>
      <c r="J478" s="407"/>
      <c r="K478" s="407"/>
      <c r="N478" s="407"/>
      <c r="O478" s="407"/>
      <c r="P478" s="407"/>
      <c r="Q478" s="407"/>
      <c r="R478" s="407"/>
      <c r="S478" s="407"/>
      <c r="T478" s="407"/>
      <c r="V478" s="588"/>
      <c r="W478" s="588"/>
      <c r="X478" s="588"/>
      <c r="Y478" s="588"/>
      <c r="Z478" s="588"/>
      <c r="AA478" s="588"/>
      <c r="AB478" s="588"/>
    </row>
    <row r="479" spans="1:28" s="382" customFormat="1" ht="19.95" customHeight="1" thickBot="1">
      <c r="A479" s="395"/>
      <c r="B479" s="395"/>
      <c r="C479" s="138"/>
      <c r="E479" s="408" t="s">
        <v>1071</v>
      </c>
      <c r="F479" s="408">
        <v>2.5074851447847121E-5</v>
      </c>
      <c r="G479" s="408">
        <v>19</v>
      </c>
      <c r="H479" s="408"/>
      <c r="I479" s="408"/>
      <c r="J479" s="408"/>
      <c r="K479" s="408"/>
      <c r="N479" s="407"/>
      <c r="O479" s="407"/>
      <c r="P479" s="407"/>
      <c r="Q479" s="407"/>
      <c r="R479" s="407"/>
      <c r="S479" s="407"/>
      <c r="T479" s="407"/>
      <c r="V479" s="588"/>
      <c r="W479" s="588"/>
      <c r="X479" s="588"/>
      <c r="Y479" s="588"/>
      <c r="Z479" s="588"/>
      <c r="AA479" s="588"/>
      <c r="AB479" s="588"/>
    </row>
    <row r="480" spans="1:28" s="382" customFormat="1" ht="19.95" customHeight="1">
      <c r="A480" s="395"/>
      <c r="B480" s="395"/>
      <c r="C480" s="138"/>
      <c r="N480" s="407"/>
      <c r="O480" s="407"/>
      <c r="P480" s="407"/>
      <c r="Q480" s="407"/>
      <c r="R480" s="407"/>
      <c r="S480" s="407"/>
      <c r="T480" s="407"/>
      <c r="V480" s="588"/>
      <c r="W480" s="588"/>
      <c r="X480" s="588"/>
      <c r="Y480" s="588"/>
      <c r="Z480" s="588"/>
      <c r="AA480" s="588"/>
      <c r="AB480" s="588"/>
    </row>
    <row r="481" spans="1:5" s="382" customFormat="1" ht="19.95" customHeight="1">
      <c r="A481" s="395" t="s">
        <v>1078</v>
      </c>
      <c r="B481" s="395"/>
      <c r="C481" s="138"/>
    </row>
    <row r="482" spans="1:5" s="382" customFormat="1" ht="19.95" customHeight="1">
      <c r="A482" s="395" t="s">
        <v>1137</v>
      </c>
      <c r="B482" s="395"/>
      <c r="C482" s="395"/>
    </row>
    <row r="483" spans="1:5" s="382" customFormat="1" ht="19.95" customHeight="1">
      <c r="A483" s="395"/>
      <c r="B483" s="395"/>
      <c r="C483" s="395"/>
    </row>
    <row r="484" spans="1:5" s="382" customFormat="1" ht="19.95" customHeight="1">
      <c r="A484" s="393" t="s">
        <v>1138</v>
      </c>
      <c r="B484" s="395"/>
      <c r="C484" s="395"/>
    </row>
    <row r="485" spans="1:5" s="382" customFormat="1" ht="19.95" customHeight="1">
      <c r="A485" s="393" t="s">
        <v>1075</v>
      </c>
      <c r="B485" s="429">
        <f>SQRT((H476-H477)/2)/AVERAGE(H462:H471)</f>
        <v>3.5549306655959256E-3</v>
      </c>
      <c r="C485" s="393" t="s">
        <v>1076</v>
      </c>
    </row>
    <row r="486" spans="1:5" s="382" customFormat="1" ht="19.95" customHeight="1">
      <c r="A486" s="395"/>
      <c r="B486" s="395"/>
      <c r="C486" s="138"/>
    </row>
    <row r="487" spans="1:5" s="382" customFormat="1" ht="19.95" customHeight="1">
      <c r="A487" s="393" t="s">
        <v>1139</v>
      </c>
      <c r="B487" s="404"/>
      <c r="C487" s="405"/>
    </row>
    <row r="488" spans="1:5" s="382" customFormat="1" ht="19.95" customHeight="1">
      <c r="A488" s="393" t="s">
        <v>1075</v>
      </c>
      <c r="B488" s="417">
        <f>SQRT(H477)/AVERAGE(H462:H471)</f>
        <v>1.4640513272441769E-3</v>
      </c>
      <c r="C488" s="393" t="s">
        <v>1076</v>
      </c>
    </row>
    <row r="489" spans="1:5" s="395" customFormat="1" ht="19.95" customHeight="1">
      <c r="A489" s="393"/>
      <c r="B489" s="417"/>
      <c r="C489" s="393"/>
    </row>
    <row r="490" spans="1:5" s="395" customFormat="1" ht="19.95" customHeight="1">
      <c r="A490" s="393" t="s">
        <v>1179</v>
      </c>
      <c r="B490" s="417"/>
      <c r="C490" s="393"/>
      <c r="D490" s="96"/>
      <c r="E490" s="96"/>
    </row>
    <row r="491" spans="1:5" s="395" customFormat="1" ht="19.95" customHeight="1">
      <c r="C491" s="138"/>
      <c r="D491" s="96"/>
      <c r="E491" s="96"/>
    </row>
    <row r="492" spans="1:5" s="395" customFormat="1" ht="19.95" customHeight="1">
      <c r="A492" s="398" t="s">
        <v>4</v>
      </c>
      <c r="B492" s="398" t="s">
        <v>1134</v>
      </c>
      <c r="C492" s="398" t="s">
        <v>1135</v>
      </c>
      <c r="D492" s="421" t="s">
        <v>260</v>
      </c>
      <c r="E492" s="421" t="s">
        <v>270</v>
      </c>
    </row>
    <row r="493" spans="1:5" s="395" customFormat="1" ht="19.95" customHeight="1">
      <c r="A493" s="396" t="s">
        <v>96</v>
      </c>
      <c r="B493" s="396"/>
      <c r="C493" s="140"/>
      <c r="D493" s="100"/>
      <c r="E493" s="100"/>
    </row>
    <row r="494" spans="1:5" s="395" customFormat="1" ht="19.95" customHeight="1">
      <c r="A494" s="363" t="str">
        <f>A462</f>
        <v>MOOS009a</v>
      </c>
      <c r="B494" s="154">
        <f t="shared" ref="B494:C494" si="58">B462</f>
        <v>0.30392991804294311</v>
      </c>
      <c r="C494" s="138">
        <f t="shared" si="58"/>
        <v>0.30538062310772535</v>
      </c>
      <c r="D494" s="96">
        <f>AVERAGE(B494:C494)</f>
        <v>0.30465527057533426</v>
      </c>
      <c r="E494" s="96">
        <f>D494*$B$488</f>
        <v>4.4603095323775195E-4</v>
      </c>
    </row>
    <row r="495" spans="1:5" s="395" customFormat="1" ht="19.95" customHeight="1">
      <c r="A495" s="363" t="str">
        <f t="shared" ref="A495:C495" si="59">A463</f>
        <v>MOOS047a</v>
      </c>
      <c r="B495" s="154">
        <f t="shared" si="59"/>
        <v>0.30527555445254528</v>
      </c>
      <c r="C495" s="138">
        <f t="shared" si="59"/>
        <v>0.30525122214100064</v>
      </c>
      <c r="D495" s="96">
        <f t="shared" ref="D495:D503" si="60">AVERAGE(B495:C495)</f>
        <v>0.30526338829677296</v>
      </c>
      <c r="E495" s="96">
        <f t="shared" ref="E495:E503" si="61">D495*$B$488</f>
        <v>4.4692126879494499E-4</v>
      </c>
    </row>
    <row r="496" spans="1:5" s="395" customFormat="1" ht="19.95" customHeight="1">
      <c r="A496" s="363" t="str">
        <f t="shared" ref="A496:C496" si="62">A464</f>
        <v>MOOS085a</v>
      </c>
      <c r="B496" s="154">
        <f t="shared" si="62"/>
        <v>0.30452089866982834</v>
      </c>
      <c r="C496" s="138">
        <f t="shared" si="62"/>
        <v>0.30510648103876697</v>
      </c>
      <c r="D496" s="96">
        <f t="shared" si="60"/>
        <v>0.30481368985429769</v>
      </c>
      <c r="E496" s="96">
        <f t="shared" si="61"/>
        <v>4.4626288719337942E-4</v>
      </c>
    </row>
    <row r="497" spans="1:5" s="395" customFormat="1" ht="19.95" customHeight="1">
      <c r="A497" s="363" t="str">
        <f t="shared" ref="A497:C497" si="63">A465</f>
        <v>MOOS123a</v>
      </c>
      <c r="B497" s="154">
        <f t="shared" si="63"/>
        <v>0.30457347530894352</v>
      </c>
      <c r="C497" s="138">
        <f t="shared" si="63"/>
        <v>0.30527211366225149</v>
      </c>
      <c r="D497" s="96">
        <f t="shared" si="60"/>
        <v>0.3049227944855975</v>
      </c>
      <c r="E497" s="96">
        <f t="shared" si="61"/>
        <v>4.4642262197364243E-4</v>
      </c>
    </row>
    <row r="498" spans="1:5" s="395" customFormat="1" ht="19.95" customHeight="1">
      <c r="A498" s="363" t="str">
        <f t="shared" ref="A498:C498" si="64">A466</f>
        <v>MOOS161a</v>
      </c>
      <c r="B498" s="154">
        <f t="shared" si="64"/>
        <v>0.30704417579953208</v>
      </c>
      <c r="C498" s="138">
        <f t="shared" si="64"/>
        <v>0.30636735848504076</v>
      </c>
      <c r="D498" s="96">
        <f t="shared" si="60"/>
        <v>0.30670576714228642</v>
      </c>
      <c r="E498" s="96">
        <f t="shared" si="61"/>
        <v>4.4903298545810789E-4</v>
      </c>
    </row>
    <row r="499" spans="1:5" s="395" customFormat="1" ht="19.95" customHeight="1">
      <c r="A499" s="363" t="str">
        <f t="shared" ref="A499:C499" si="65">A467</f>
        <v>MOOS199a</v>
      </c>
      <c r="B499" s="154">
        <f t="shared" si="65"/>
        <v>0.30508157145647508</v>
      </c>
      <c r="C499" s="138">
        <f t="shared" si="65"/>
        <v>0.30547087324081312</v>
      </c>
      <c r="D499" s="96">
        <f t="shared" si="60"/>
        <v>0.3052762223486441</v>
      </c>
      <c r="E499" s="96">
        <f t="shared" si="61"/>
        <v>4.4694005850562087E-4</v>
      </c>
    </row>
    <row r="500" spans="1:5" s="395" customFormat="1" ht="19.95" customHeight="1">
      <c r="A500" s="363" t="str">
        <f t="shared" ref="A500:C500" si="66">A468</f>
        <v>MOOS237a</v>
      </c>
      <c r="B500" s="154">
        <f t="shared" si="66"/>
        <v>0.30547487039173321</v>
      </c>
      <c r="C500" s="138">
        <f t="shared" si="66"/>
        <v>0.30532433864367142</v>
      </c>
      <c r="D500" s="96">
        <f t="shared" si="60"/>
        <v>0.30539960451770232</v>
      </c>
      <c r="E500" s="96">
        <f t="shared" si="61"/>
        <v>4.471206963339888E-4</v>
      </c>
    </row>
    <row r="501" spans="1:5" s="395" customFormat="1" ht="19.95" customHeight="1">
      <c r="A501" s="363" t="str">
        <f t="shared" ref="A501:C501" si="67">A469</f>
        <v>MOOS275a</v>
      </c>
      <c r="B501" s="154">
        <f t="shared" si="67"/>
        <v>0.30528297526126713</v>
      </c>
      <c r="C501" s="138">
        <f t="shared" si="67"/>
        <v>0.30549453992767078</v>
      </c>
      <c r="D501" s="96">
        <f t="shared" si="60"/>
        <v>0.30538875759446893</v>
      </c>
      <c r="E501" s="96">
        <f t="shared" si="61"/>
        <v>4.4710481588163247E-4</v>
      </c>
    </row>
    <row r="502" spans="1:5" s="395" customFormat="1" ht="19.95" customHeight="1">
      <c r="A502" s="363" t="str">
        <f t="shared" ref="A502:C502" si="68">A470</f>
        <v>MOOS313a</v>
      </c>
      <c r="B502" s="154">
        <f t="shared" si="68"/>
        <v>0.30757246958871109</v>
      </c>
      <c r="C502" s="138">
        <f t="shared" si="68"/>
        <v>0.30705391577787139</v>
      </c>
      <c r="D502" s="96">
        <f t="shared" si="60"/>
        <v>0.30731319268329127</v>
      </c>
      <c r="E502" s="96">
        <f t="shared" si="61"/>
        <v>4.4992228762761807E-4</v>
      </c>
    </row>
    <row r="503" spans="1:5" s="395" customFormat="1" ht="19.95" customHeight="1">
      <c r="A503" s="286" t="str">
        <f t="shared" ref="A503:C503" si="69">A471</f>
        <v>MOOS351a</v>
      </c>
      <c r="B503" s="155">
        <f t="shared" si="69"/>
        <v>0.3077421880340489</v>
      </c>
      <c r="C503" s="140">
        <f t="shared" si="69"/>
        <v>0.30809692564585228</v>
      </c>
      <c r="D503" s="100">
        <f t="shared" si="60"/>
        <v>0.30791955683995059</v>
      </c>
      <c r="E503" s="100">
        <f t="shared" si="61"/>
        <v>4.5081003587596843E-4</v>
      </c>
    </row>
    <row r="504" spans="1:5" s="395" customFormat="1" ht="19.95" customHeight="1">
      <c r="A504" s="363"/>
      <c r="B504" s="157"/>
      <c r="C504" s="138"/>
      <c r="D504" s="96"/>
      <c r="E504" s="96"/>
    </row>
    <row r="505" spans="1:5" s="395" customFormat="1" ht="19.95" customHeight="1">
      <c r="A505" s="88" t="s">
        <v>1175</v>
      </c>
      <c r="B505" s="157"/>
      <c r="C505" s="138"/>
      <c r="D505" s="96"/>
      <c r="E505" s="96"/>
    </row>
    <row r="506" spans="1:5" s="395" customFormat="1" ht="19.95" customHeight="1">
      <c r="A506" s="363"/>
      <c r="B506" s="157"/>
      <c r="C506" s="138"/>
      <c r="D506" s="96"/>
      <c r="E506" s="96"/>
    </row>
    <row r="507" spans="1:5" s="395" customFormat="1" ht="19.95" customHeight="1">
      <c r="A507" s="423" t="s">
        <v>229</v>
      </c>
      <c r="B507" s="157" t="s">
        <v>1180</v>
      </c>
      <c r="C507" s="138"/>
      <c r="D507" s="96"/>
      <c r="E507" s="96"/>
    </row>
    <row r="508" spans="1:5" s="395" customFormat="1" ht="19.95" customHeight="1">
      <c r="A508" s="424" t="s">
        <v>1171</v>
      </c>
      <c r="B508" s="161" t="s">
        <v>1181</v>
      </c>
      <c r="C508" s="393"/>
      <c r="D508" s="96"/>
      <c r="E508" s="96"/>
    </row>
    <row r="509" spans="1:5" s="395" customFormat="1" ht="19.95" customHeight="1">
      <c r="A509" s="424" t="s">
        <v>1172</v>
      </c>
      <c r="B509" s="425">
        <v>2</v>
      </c>
      <c r="C509" s="393"/>
      <c r="D509" s="96"/>
      <c r="E509" s="96"/>
    </row>
    <row r="510" spans="1:5" s="395" customFormat="1" ht="19.95" customHeight="1">
      <c r="A510" s="424"/>
      <c r="B510" s="422"/>
      <c r="C510" s="393"/>
      <c r="D510" s="96"/>
      <c r="E510" s="96"/>
    </row>
    <row r="511" spans="1:5" s="395" customFormat="1" ht="19.95" customHeight="1">
      <c r="A511" s="426" t="s">
        <v>299</v>
      </c>
      <c r="B511" s="422"/>
      <c r="C511" s="393"/>
      <c r="D511" s="96"/>
      <c r="E511" s="96"/>
    </row>
    <row r="512" spans="1:5" s="395" customFormat="1" ht="19.95" customHeight="1">
      <c r="A512" s="395">
        <v>0.30576520000000001</v>
      </c>
      <c r="B512" s="422"/>
      <c r="C512" s="393"/>
      <c r="D512" s="96"/>
      <c r="E512" s="96"/>
    </row>
    <row r="513" spans="1:5" s="395" customFormat="1" ht="19.95" customHeight="1">
      <c r="A513" s="426"/>
      <c r="B513" s="422"/>
      <c r="C513" s="393"/>
      <c r="D513" s="96"/>
      <c r="E513" s="96"/>
    </row>
    <row r="514" spans="1:5" s="395" customFormat="1" ht="19.95" customHeight="1">
      <c r="A514" s="426" t="s">
        <v>300</v>
      </c>
      <c r="B514" s="422"/>
      <c r="C514" s="393"/>
      <c r="D514" s="96"/>
      <c r="E514" s="96"/>
    </row>
    <row r="515" spans="1:5" s="395" customFormat="1" ht="19.95" customHeight="1">
      <c r="A515" s="395">
        <v>3.5685859999999998E-4</v>
      </c>
      <c r="B515" s="422"/>
      <c r="C515" s="393"/>
      <c r="D515" s="96"/>
      <c r="E515" s="96"/>
    </row>
    <row r="516" spans="1:5" s="395" customFormat="1" ht="19.95" customHeight="1">
      <c r="A516" s="426"/>
      <c r="B516" s="422"/>
      <c r="C516" s="393"/>
      <c r="D516" s="96"/>
      <c r="E516" s="96"/>
    </row>
    <row r="517" spans="1:5" s="395" customFormat="1" ht="19.95" customHeight="1">
      <c r="A517" s="426" t="s">
        <v>301</v>
      </c>
      <c r="B517" s="422"/>
      <c r="C517" s="393"/>
      <c r="D517" s="96"/>
      <c r="E517" s="96"/>
    </row>
    <row r="518" spans="1:5" s="395" customFormat="1" ht="19.95" customHeight="1">
      <c r="A518" s="395">
        <v>1.0831809999999999E-3</v>
      </c>
      <c r="B518" s="422"/>
      <c r="C518" s="393"/>
      <c r="D518" s="96"/>
      <c r="E518" s="96"/>
    </row>
    <row r="519" spans="1:5" s="395" customFormat="1" ht="19.95" customHeight="1">
      <c r="A519" s="426"/>
      <c r="B519" s="422"/>
      <c r="C519" s="393"/>
      <c r="D519" s="96"/>
      <c r="E519" s="96"/>
    </row>
    <row r="520" spans="1:5" s="395" customFormat="1" ht="19.95" customHeight="1">
      <c r="A520" s="393" t="s">
        <v>1138</v>
      </c>
      <c r="B520" s="422"/>
      <c r="C520" s="393"/>
      <c r="D520" s="96"/>
      <c r="E520" s="96"/>
    </row>
    <row r="521" spans="1:5" s="395" customFormat="1" ht="19.95" customHeight="1">
      <c r="A521" s="426" t="s">
        <v>1176</v>
      </c>
      <c r="B521" s="422"/>
      <c r="C521" s="393"/>
      <c r="D521" s="96"/>
      <c r="E521" s="96"/>
    </row>
    <row r="522" spans="1:5" s="395" customFormat="1" ht="19.95" customHeight="1">
      <c r="A522" s="429">
        <v>3.5425259999999998E-3</v>
      </c>
      <c r="B522" s="422"/>
      <c r="C522" s="393"/>
      <c r="D522" s="96"/>
      <c r="E522" s="96"/>
    </row>
    <row r="523" spans="1:5" s="588" customFormat="1" ht="19.95" customHeight="1">
      <c r="A523" s="429"/>
      <c r="B523" s="422"/>
      <c r="C523" s="480"/>
      <c r="D523" s="96"/>
      <c r="E523" s="96"/>
    </row>
    <row r="524" spans="1:5" s="588" customFormat="1" ht="19.95" customHeight="1">
      <c r="A524" s="970" t="s">
        <v>2736</v>
      </c>
      <c r="B524" s="422"/>
      <c r="C524" s="480"/>
      <c r="D524" s="96"/>
      <c r="E524" s="96"/>
    </row>
    <row r="525" spans="1:5" s="588" customFormat="1" ht="19.95" customHeight="1">
      <c r="A525" s="970" t="s">
        <v>2737</v>
      </c>
      <c r="B525" s="422"/>
      <c r="C525" s="480"/>
      <c r="D525" s="96"/>
      <c r="E525" s="96"/>
    </row>
    <row r="526" spans="1:5" s="588" customFormat="1" ht="19.95" customHeight="1">
      <c r="A526" s="970" t="str" cm="1">
        <f t="array" aca="1" ref="A526" ca="1">CELL("address",A522)</f>
        <v>$A$522</v>
      </c>
      <c r="B526" s="422"/>
      <c r="C526" s="480"/>
      <c r="D526" s="96"/>
      <c r="E526" s="96"/>
    </row>
    <row r="527" spans="1:5" s="588" customFormat="1" ht="19.95" customHeight="1">
      <c r="A527" s="970" t="s">
        <v>2738</v>
      </c>
      <c r="B527" s="422"/>
      <c r="C527" s="480"/>
      <c r="D527" s="96"/>
      <c r="E527" s="96"/>
    </row>
    <row r="528" spans="1:5" s="588" customFormat="1" ht="19.95" customHeight="1">
      <c r="A528" s="970" t="str" cm="1">
        <f t="array" aca="1" ref="A528" ca="1">CELL("address",CHAR_HOM!A1338)</f>
        <v>[ESM_2.xlsm]CHAR_HOM!$A$1338</v>
      </c>
      <c r="B528" s="422"/>
      <c r="C528" s="480"/>
      <c r="D528" s="96"/>
      <c r="E528" s="96"/>
    </row>
    <row r="529" spans="1:13" s="588" customFormat="1" ht="19.95" customHeight="1">
      <c r="A529" s="970" t="s">
        <v>2739</v>
      </c>
      <c r="B529" s="422"/>
      <c r="C529" s="480"/>
      <c r="D529" s="96"/>
      <c r="E529" s="96"/>
    </row>
    <row r="530" spans="1:13" s="395" customFormat="1" ht="19.95" customHeight="1">
      <c r="A530" s="393"/>
      <c r="B530" s="417"/>
      <c r="C530" s="393"/>
    </row>
    <row r="531" spans="1:13" s="149" customFormat="1" ht="19.95" customHeight="1">
      <c r="A531" s="150" t="s">
        <v>2120</v>
      </c>
    </row>
    <row r="532" spans="1:13" s="371" customFormat="1" ht="19.95" customHeight="1"/>
    <row r="533" spans="1:13" s="371" customFormat="1" ht="19.95" customHeight="1">
      <c r="A533" s="370" t="s">
        <v>2</v>
      </c>
      <c r="B533" s="235">
        <v>45306</v>
      </c>
    </row>
    <row r="534" spans="1:13" s="371" customFormat="1" ht="19.95" customHeight="1"/>
    <row r="535" spans="1:13" s="371" customFormat="1" ht="19.95" customHeight="1">
      <c r="A535" s="373" t="s">
        <v>100</v>
      </c>
      <c r="B535" s="373" t="s">
        <v>99</v>
      </c>
      <c r="C535" s="373" t="s">
        <v>100</v>
      </c>
      <c r="D535" s="373" t="s">
        <v>275</v>
      </c>
      <c r="E535" s="373" t="s">
        <v>113</v>
      </c>
      <c r="F535" s="373" t="s">
        <v>114</v>
      </c>
      <c r="G535" s="377" t="s">
        <v>259</v>
      </c>
      <c r="H535" s="373" t="s">
        <v>1008</v>
      </c>
      <c r="I535" s="370" t="s">
        <v>1009</v>
      </c>
      <c r="J535" s="399" t="s">
        <v>1008</v>
      </c>
    </row>
    <row r="536" spans="1:13" s="371" customFormat="1" ht="19.95" customHeight="1">
      <c r="A536" s="372" t="s">
        <v>96</v>
      </c>
      <c r="B536" s="372" t="s">
        <v>64</v>
      </c>
      <c r="C536" s="372" t="s">
        <v>64</v>
      </c>
      <c r="D536" s="372" t="s">
        <v>64</v>
      </c>
      <c r="E536" s="372" t="s">
        <v>64</v>
      </c>
      <c r="F536" s="372" t="s">
        <v>64</v>
      </c>
      <c r="G536" s="372"/>
      <c r="H536" s="372"/>
      <c r="I536" s="372" t="s">
        <v>1012</v>
      </c>
      <c r="J536" s="396" t="s">
        <v>429</v>
      </c>
    </row>
    <row r="537" spans="1:13" s="371" customFormat="1" ht="19.95" customHeight="1">
      <c r="A537" s="371" t="s">
        <v>1004</v>
      </c>
      <c r="B537" s="182">
        <v>6.1527000000000003</v>
      </c>
      <c r="C537" s="182">
        <v>9.2263000000000002</v>
      </c>
      <c r="D537" s="182">
        <v>9.5498999999999992</v>
      </c>
      <c r="E537" s="60">
        <f>C537-B537</f>
        <v>3.0735999999999999</v>
      </c>
      <c r="F537" s="60">
        <f>D537-B537</f>
        <v>3.3971999999999989</v>
      </c>
      <c r="H537" s="371">
        <f>G537*F537/E537</f>
        <v>0</v>
      </c>
      <c r="I537" s="371" t="s">
        <v>110</v>
      </c>
      <c r="J537" s="392"/>
    </row>
    <row r="538" spans="1:13" s="371" customFormat="1" ht="19.95" customHeight="1">
      <c r="A538" s="396" t="s">
        <v>1005</v>
      </c>
      <c r="B538" s="141">
        <v>6.1311</v>
      </c>
      <c r="C538" s="141">
        <v>9.1940000000000008</v>
      </c>
      <c r="D538" s="141">
        <v>9.5162999999999993</v>
      </c>
      <c r="E538" s="81">
        <f t="shared" ref="E538:E558" si="70">C538-B538</f>
        <v>3.0629000000000008</v>
      </c>
      <c r="F538" s="81">
        <f t="shared" ref="F538:F558" si="71">D538-B538</f>
        <v>3.3851999999999993</v>
      </c>
      <c r="G538" s="396"/>
      <c r="H538" s="396">
        <f t="shared" ref="H538:H558" si="72">G538*F538/E538</f>
        <v>0</v>
      </c>
      <c r="I538" s="396" t="s">
        <v>980</v>
      </c>
      <c r="J538" s="396"/>
    </row>
    <row r="539" spans="1:13" s="371" customFormat="1" ht="19.95" customHeight="1">
      <c r="A539" s="371" t="s">
        <v>981</v>
      </c>
      <c r="B539" s="182">
        <v>6.1562000000000001</v>
      </c>
      <c r="C539" s="182">
        <v>9.2043999999999997</v>
      </c>
      <c r="D539" s="182">
        <v>9.5274999999999999</v>
      </c>
      <c r="E539" s="60">
        <f t="shared" si="70"/>
        <v>3.0481999999999996</v>
      </c>
      <c r="F539" s="60">
        <f t="shared" si="71"/>
        <v>3.3712999999999997</v>
      </c>
      <c r="G539" s="371">
        <f>RAW_DATA!F120</f>
        <v>0.119181</v>
      </c>
      <c r="H539" s="371">
        <f t="shared" si="72"/>
        <v>0.13181382629092581</v>
      </c>
      <c r="I539" s="371" t="s">
        <v>997</v>
      </c>
      <c r="J539" s="161">
        <f>STDEV(H539:H540)/AVERAGE(H539:H540)</f>
        <v>1.5948259055859483E-2</v>
      </c>
    </row>
    <row r="540" spans="1:13" s="371" customFormat="1" ht="19.95" customHeight="1">
      <c r="A540" s="371" t="s">
        <v>982</v>
      </c>
      <c r="B540" s="182">
        <v>6.1494</v>
      </c>
      <c r="C540" s="182">
        <v>9.2066999999999997</v>
      </c>
      <c r="D540" s="182">
        <v>9.5283999999999995</v>
      </c>
      <c r="E540" s="60">
        <f t="shared" si="70"/>
        <v>3.0572999999999997</v>
      </c>
      <c r="F540" s="60">
        <f t="shared" si="71"/>
        <v>3.3789999999999996</v>
      </c>
      <c r="G540" s="371">
        <f>RAW_DATA!F121</f>
        <v>0.121985</v>
      </c>
      <c r="H540" s="371">
        <f t="shared" si="72"/>
        <v>0.13482069636607463</v>
      </c>
      <c r="I540" s="371" t="s">
        <v>982</v>
      </c>
      <c r="J540" s="395"/>
      <c r="M540" s="588"/>
    </row>
    <row r="541" spans="1:13" s="371" customFormat="1" ht="19.95" customHeight="1">
      <c r="A541" s="371" t="s">
        <v>983</v>
      </c>
      <c r="B541" s="182">
        <v>6.1138000000000003</v>
      </c>
      <c r="C541" s="182">
        <v>9.1729000000000003</v>
      </c>
      <c r="D541" s="182">
        <v>9.4955999999999996</v>
      </c>
      <c r="E541" s="60">
        <f t="shared" si="70"/>
        <v>3.0590999999999999</v>
      </c>
      <c r="F541" s="60">
        <f t="shared" si="71"/>
        <v>3.3817999999999993</v>
      </c>
      <c r="G541" s="371">
        <f>RAW_DATA!F122</f>
        <v>0.121435</v>
      </c>
      <c r="H541" s="371">
        <f t="shared" si="72"/>
        <v>0.13424500114412732</v>
      </c>
      <c r="I541" s="371" t="s">
        <v>992</v>
      </c>
      <c r="J541" s="161">
        <f>STDEV(H541:H542)/AVERAGE(H541:H542)</f>
        <v>3.3160371780560629E-3</v>
      </c>
      <c r="M541" s="588"/>
    </row>
    <row r="542" spans="1:13" s="371" customFormat="1" ht="19.95" customHeight="1">
      <c r="A542" s="371" t="s">
        <v>984</v>
      </c>
      <c r="B542" s="182">
        <v>6.1208999999999998</v>
      </c>
      <c r="C542" s="182">
        <v>9.1832999999999991</v>
      </c>
      <c r="D542" s="182">
        <v>9.5063999999999993</v>
      </c>
      <c r="E542" s="60">
        <f t="shared" si="70"/>
        <v>3.0623999999999993</v>
      </c>
      <c r="F542" s="60">
        <f t="shared" si="71"/>
        <v>3.3854999999999995</v>
      </c>
      <c r="G542" s="371">
        <f>RAW_DATA!F123</f>
        <v>0.120865</v>
      </c>
      <c r="H542" s="371">
        <f t="shared" si="72"/>
        <v>0.13361692055250785</v>
      </c>
      <c r="I542" s="371" t="s">
        <v>984</v>
      </c>
      <c r="J542" s="395"/>
      <c r="M542" s="588"/>
    </row>
    <row r="543" spans="1:13" s="371" customFormat="1" ht="19.95" customHeight="1">
      <c r="A543" s="371" t="s">
        <v>985</v>
      </c>
      <c r="B543" s="182">
        <v>6.1342999999999996</v>
      </c>
      <c r="C543" s="182">
        <v>9.1854999999999993</v>
      </c>
      <c r="D543" s="182">
        <v>9.5079999999999991</v>
      </c>
      <c r="E543" s="60">
        <f t="shared" si="70"/>
        <v>3.0511999999999997</v>
      </c>
      <c r="F543" s="60">
        <f t="shared" si="71"/>
        <v>3.3736999999999995</v>
      </c>
      <c r="G543" s="371">
        <f>RAW_DATA!F124</f>
        <v>0.121693</v>
      </c>
      <c r="H543" s="371">
        <f t="shared" si="72"/>
        <v>0.13455547787755637</v>
      </c>
      <c r="I543" s="371" t="s">
        <v>986</v>
      </c>
      <c r="J543" s="161">
        <f>STDEV(H543:H544)/AVERAGE(H543:H544)</f>
        <v>8.1797065899960279E-3</v>
      </c>
      <c r="M543" s="588"/>
    </row>
    <row r="544" spans="1:13" s="371" customFormat="1" ht="19.95" customHeight="1">
      <c r="A544" s="371" t="s">
        <v>986</v>
      </c>
      <c r="B544" s="182">
        <v>6.1163999999999996</v>
      </c>
      <c r="C544" s="182">
        <v>9.1771999999999991</v>
      </c>
      <c r="D544" s="182">
        <v>9.5005000000000006</v>
      </c>
      <c r="E544" s="60">
        <f t="shared" si="70"/>
        <v>3.0607999999999995</v>
      </c>
      <c r="F544" s="60">
        <f t="shared" si="71"/>
        <v>3.384100000000001</v>
      </c>
      <c r="G544" s="371">
        <f>RAW_DATA!F125</f>
        <v>0.12030100000000001</v>
      </c>
      <c r="H544" s="371">
        <f t="shared" si="72"/>
        <v>0.13300791103633045</v>
      </c>
      <c r="I544" s="371" t="s">
        <v>985</v>
      </c>
      <c r="J544" s="395"/>
      <c r="M544" s="588"/>
    </row>
    <row r="545" spans="1:13" s="371" customFormat="1" ht="19.95" customHeight="1">
      <c r="A545" s="371" t="s">
        <v>987</v>
      </c>
      <c r="B545" s="182">
        <v>6.1630000000000003</v>
      </c>
      <c r="C545" s="182">
        <v>9.2270000000000003</v>
      </c>
      <c r="D545" s="182">
        <v>9.5505999999999993</v>
      </c>
      <c r="E545" s="60">
        <f t="shared" si="70"/>
        <v>3.0640000000000001</v>
      </c>
      <c r="F545" s="60">
        <f t="shared" si="71"/>
        <v>3.3875999999999991</v>
      </c>
      <c r="G545" s="371">
        <f>RAW_DATA!F126</f>
        <v>0.121153</v>
      </c>
      <c r="H545" s="371">
        <f t="shared" si="72"/>
        <v>0.13394840169712791</v>
      </c>
      <c r="I545" s="371" t="s">
        <v>981</v>
      </c>
      <c r="J545" s="161">
        <f>STDEV(H545:H546)/AVERAGE(H545:H546)</f>
        <v>8.507193583986789E-4</v>
      </c>
      <c r="M545" s="588"/>
    </row>
    <row r="546" spans="1:13" s="371" customFormat="1" ht="19.95" customHeight="1">
      <c r="A546" s="371" t="s">
        <v>988</v>
      </c>
      <c r="B546" s="182">
        <v>6.1231</v>
      </c>
      <c r="C546" s="182">
        <v>9.1864000000000008</v>
      </c>
      <c r="D546" s="182">
        <v>9.5089000000000006</v>
      </c>
      <c r="E546" s="60">
        <f t="shared" si="70"/>
        <v>3.0633000000000008</v>
      </c>
      <c r="F546" s="60">
        <f t="shared" si="71"/>
        <v>3.3858000000000006</v>
      </c>
      <c r="G546" s="371">
        <f>RAW_DATA!F127</f>
        <v>0.121044</v>
      </c>
      <c r="H546" s="371">
        <f t="shared" si="72"/>
        <v>0.13378734541181078</v>
      </c>
      <c r="I546" s="371" t="s">
        <v>989</v>
      </c>
      <c r="J546" s="395"/>
      <c r="M546" s="588"/>
    </row>
    <row r="547" spans="1:13" s="371" customFormat="1" ht="19.95" customHeight="1">
      <c r="A547" s="371" t="s">
        <v>989</v>
      </c>
      <c r="B547" s="182">
        <v>6.1421999999999999</v>
      </c>
      <c r="C547" s="182">
        <v>9.2015999999999991</v>
      </c>
      <c r="D547" s="182">
        <v>9.5239999999999991</v>
      </c>
      <c r="E547" s="60">
        <f t="shared" si="70"/>
        <v>3.0593999999999992</v>
      </c>
      <c r="F547" s="60">
        <f t="shared" si="71"/>
        <v>3.3817999999999993</v>
      </c>
      <c r="G547" s="371">
        <f>RAW_DATA!F128</f>
        <v>0.120549</v>
      </c>
      <c r="H547" s="371">
        <f t="shared" si="72"/>
        <v>0.13325247048440872</v>
      </c>
      <c r="I547" s="371" t="s">
        <v>988</v>
      </c>
      <c r="J547" s="161">
        <f>STDEV(H547:H548)/AVERAGE(H547:H548)</f>
        <v>1.0233994247706709E-2</v>
      </c>
      <c r="M547" s="588"/>
    </row>
    <row r="548" spans="1:13" s="371" customFormat="1" ht="19.95" customHeight="1">
      <c r="A548" s="371" t="s">
        <v>990</v>
      </c>
      <c r="B548" s="182">
        <v>6.13</v>
      </c>
      <c r="C548" s="182">
        <v>9.1968999999999994</v>
      </c>
      <c r="D548" s="182">
        <v>9.5198</v>
      </c>
      <c r="E548" s="60">
        <f t="shared" si="70"/>
        <v>3.0668999999999995</v>
      </c>
      <c r="F548" s="60">
        <f t="shared" si="71"/>
        <v>3.3898000000000001</v>
      </c>
      <c r="G548" s="371">
        <f>RAW_DATA!F129</f>
        <v>0.118827</v>
      </c>
      <c r="H548" s="371">
        <f t="shared" si="72"/>
        <v>0.1313377562359386</v>
      </c>
      <c r="I548" s="371" t="s">
        <v>996</v>
      </c>
      <c r="J548" s="395"/>
      <c r="M548" s="588"/>
    </row>
    <row r="549" spans="1:13" s="371" customFormat="1" ht="19.95" customHeight="1">
      <c r="A549" s="371" t="s">
        <v>991</v>
      </c>
      <c r="B549" s="182">
        <v>6.1654</v>
      </c>
      <c r="C549" s="182">
        <v>9.2260000000000009</v>
      </c>
      <c r="D549" s="182">
        <v>9.5487000000000002</v>
      </c>
      <c r="E549" s="60">
        <f t="shared" si="70"/>
        <v>3.0606000000000009</v>
      </c>
      <c r="F549" s="60">
        <f t="shared" si="71"/>
        <v>3.3833000000000002</v>
      </c>
      <c r="G549" s="371">
        <f>RAW_DATA!F130</f>
        <v>0.120642</v>
      </c>
      <c r="H549" s="371">
        <f t="shared" si="72"/>
        <v>0.13336211154675551</v>
      </c>
      <c r="I549" s="371" t="s">
        <v>990</v>
      </c>
      <c r="J549" s="161">
        <f>STDEV(H549:H550)/AVERAGE(H549:H550)</f>
        <v>9.8616738297255448E-3</v>
      </c>
      <c r="M549" s="588"/>
    </row>
    <row r="550" spans="1:13" s="371" customFormat="1" ht="19.95" customHeight="1">
      <c r="A550" s="371" t="s">
        <v>992</v>
      </c>
      <c r="B550" s="182">
        <v>6.1455000000000002</v>
      </c>
      <c r="C550" s="182">
        <v>9.2104999999999997</v>
      </c>
      <c r="D550" s="182">
        <v>9.5325000000000006</v>
      </c>
      <c r="E550" s="60">
        <f t="shared" si="70"/>
        <v>3.0649999999999995</v>
      </c>
      <c r="F550" s="60">
        <f t="shared" si="71"/>
        <v>3.3870000000000005</v>
      </c>
      <c r="G550" s="371">
        <f>RAW_DATA!F131</f>
        <v>0.11901200000000001</v>
      </c>
      <c r="H550" s="371">
        <f t="shared" si="72"/>
        <v>0.13151505513866238</v>
      </c>
      <c r="I550" s="371" t="s">
        <v>994</v>
      </c>
      <c r="J550" s="395"/>
      <c r="M550" s="588"/>
    </row>
    <row r="551" spans="1:13" s="371" customFormat="1" ht="19.95" customHeight="1">
      <c r="A551" s="371" t="s">
        <v>993</v>
      </c>
      <c r="B551" s="182">
        <v>6.1323999999999996</v>
      </c>
      <c r="C551" s="182">
        <v>9.2030999999999992</v>
      </c>
      <c r="D551" s="182">
        <v>9.5256000000000007</v>
      </c>
      <c r="E551" s="60">
        <f t="shared" si="70"/>
        <v>3.0706999999999995</v>
      </c>
      <c r="F551" s="60">
        <f t="shared" si="71"/>
        <v>3.3932000000000011</v>
      </c>
      <c r="G551" s="371">
        <f>RAW_DATA!F132</f>
        <v>0.120397</v>
      </c>
      <c r="H551" s="371">
        <f t="shared" si="72"/>
        <v>0.13304168443677344</v>
      </c>
      <c r="I551" s="371" t="s">
        <v>991</v>
      </c>
      <c r="J551" s="161">
        <f>STDEV(H551:H552)/AVERAGE(H551:H552)</f>
        <v>2.0119893311376954E-3</v>
      </c>
      <c r="M551" s="588"/>
    </row>
    <row r="552" spans="1:13" s="371" customFormat="1" ht="19.95" customHeight="1">
      <c r="A552" s="371" t="s">
        <v>994</v>
      </c>
      <c r="B552" s="182">
        <v>6.1330999999999998</v>
      </c>
      <c r="C552" s="182">
        <v>9.1964000000000006</v>
      </c>
      <c r="D552" s="182">
        <v>9.5197000000000003</v>
      </c>
      <c r="E552" s="60">
        <f t="shared" si="70"/>
        <v>3.0633000000000008</v>
      </c>
      <c r="F552" s="60">
        <f t="shared" si="71"/>
        <v>3.3866000000000005</v>
      </c>
      <c r="G552" s="371">
        <f>RAW_DATA!F133</f>
        <v>0.11999899999999999</v>
      </c>
      <c r="H552" s="371">
        <f t="shared" si="72"/>
        <v>0.13266366774393626</v>
      </c>
      <c r="I552" s="371" t="s">
        <v>1000</v>
      </c>
      <c r="J552" s="395"/>
      <c r="M552" s="588"/>
    </row>
    <row r="553" spans="1:13" s="371" customFormat="1" ht="19.95" customHeight="1">
      <c r="A553" s="371" t="s">
        <v>995</v>
      </c>
      <c r="B553" s="182">
        <v>6.1551999999999998</v>
      </c>
      <c r="C553" s="182">
        <v>9.2173999999999996</v>
      </c>
      <c r="D553" s="182">
        <v>9.5402000000000005</v>
      </c>
      <c r="E553" s="60">
        <f t="shared" si="70"/>
        <v>3.0621999999999998</v>
      </c>
      <c r="F553" s="60">
        <f t="shared" si="71"/>
        <v>3.3850000000000007</v>
      </c>
      <c r="G553" s="371">
        <f>RAW_DATA!F134</f>
        <v>0.117728</v>
      </c>
      <c r="H553" s="371">
        <f t="shared" si="72"/>
        <v>0.13013822741819611</v>
      </c>
      <c r="I553" s="371" t="s">
        <v>995</v>
      </c>
      <c r="J553" s="161">
        <f>STDEV(H553:H554)/AVERAGE(H553:H554)</f>
        <v>1.2929725356561105E-2</v>
      </c>
      <c r="M553" s="588"/>
    </row>
    <row r="554" spans="1:13" s="371" customFormat="1" ht="19.95" customHeight="1">
      <c r="A554" s="371" t="s">
        <v>996</v>
      </c>
      <c r="B554" s="182">
        <v>6.1092000000000004</v>
      </c>
      <c r="C554" s="182">
        <v>9.1768000000000001</v>
      </c>
      <c r="D554" s="182">
        <v>9.4987999999999992</v>
      </c>
      <c r="E554" s="60">
        <f t="shared" si="70"/>
        <v>3.0675999999999997</v>
      </c>
      <c r="F554" s="60">
        <f t="shared" si="71"/>
        <v>3.3895999999999988</v>
      </c>
      <c r="G554" s="371">
        <f>RAW_DATA!F135</f>
        <v>0.119949</v>
      </c>
      <c r="H554" s="371">
        <f t="shared" si="72"/>
        <v>0.13253981301343068</v>
      </c>
      <c r="I554" s="371" t="s">
        <v>993</v>
      </c>
      <c r="J554" s="395"/>
      <c r="M554" s="588"/>
    </row>
    <row r="555" spans="1:13" s="371" customFormat="1" ht="19.95" customHeight="1">
      <c r="A555" s="371" t="s">
        <v>997</v>
      </c>
      <c r="B555" s="182">
        <v>6.141</v>
      </c>
      <c r="C555" s="182">
        <v>9.1951000000000001</v>
      </c>
      <c r="D555" s="182">
        <v>9.5174000000000003</v>
      </c>
      <c r="E555" s="60">
        <f t="shared" si="70"/>
        <v>3.0541</v>
      </c>
      <c r="F555" s="60">
        <f t="shared" si="71"/>
        <v>3.3764000000000003</v>
      </c>
      <c r="G555" s="371">
        <f>RAW_DATA!F136</f>
        <v>0.120216</v>
      </c>
      <c r="H555" s="371">
        <f t="shared" si="72"/>
        <v>0.13290242703251368</v>
      </c>
      <c r="I555" s="371" t="s">
        <v>998</v>
      </c>
      <c r="J555" s="161">
        <f>STDEV(H555:H556)/AVERAGE(H555:H556)</f>
        <v>6.4063203712694909E-3</v>
      </c>
      <c r="M555" s="588"/>
    </row>
    <row r="556" spans="1:13" s="371" customFormat="1" ht="19.95" customHeight="1">
      <c r="A556" s="371" t="s">
        <v>998</v>
      </c>
      <c r="B556" s="182">
        <v>6.1368</v>
      </c>
      <c r="C556" s="182">
        <v>9.2015999999999991</v>
      </c>
      <c r="D556" s="182">
        <v>9.5237999999999996</v>
      </c>
      <c r="E556" s="60">
        <f t="shared" si="70"/>
        <v>3.0647999999999991</v>
      </c>
      <c r="F556" s="60">
        <f t="shared" si="71"/>
        <v>3.3869999999999996</v>
      </c>
      <c r="G556" s="371">
        <f>RAW_DATA!F137</f>
        <v>0.119175</v>
      </c>
      <c r="H556" s="371">
        <f t="shared" si="72"/>
        <v>0.13170377349256071</v>
      </c>
      <c r="I556" s="371" t="s">
        <v>999</v>
      </c>
      <c r="J556" s="395"/>
      <c r="M556" s="588"/>
    </row>
    <row r="557" spans="1:13" s="371" customFormat="1" ht="19.95" customHeight="1">
      <c r="A557" s="371" t="s">
        <v>999</v>
      </c>
      <c r="B557" s="182">
        <v>6.1193999999999997</v>
      </c>
      <c r="C557" s="182">
        <v>9.1767000000000003</v>
      </c>
      <c r="D557" s="182">
        <v>9.4997000000000007</v>
      </c>
      <c r="E557" s="60">
        <f t="shared" si="70"/>
        <v>3.0573000000000006</v>
      </c>
      <c r="F557" s="60">
        <f t="shared" si="71"/>
        <v>3.380300000000001</v>
      </c>
      <c r="G557" s="371">
        <f>RAW_DATA!F138</f>
        <v>0.119156</v>
      </c>
      <c r="H557" s="371">
        <f t="shared" si="72"/>
        <v>0.13174468544140255</v>
      </c>
      <c r="I557" s="371" t="s">
        <v>983</v>
      </c>
      <c r="J557" s="161">
        <f>STDEV(H557:H558)/AVERAGE(H557:H558)</f>
        <v>2.864356039270149E-3</v>
      </c>
      <c r="M557" s="588"/>
    </row>
    <row r="558" spans="1:13" s="371" customFormat="1" ht="19.95" customHeight="1">
      <c r="A558" s="372" t="s">
        <v>1000</v>
      </c>
      <c r="B558" s="141">
        <v>6.1288</v>
      </c>
      <c r="C558" s="141">
        <v>9.1935000000000002</v>
      </c>
      <c r="D558" s="141">
        <v>9.5158000000000005</v>
      </c>
      <c r="E558" s="81">
        <f t="shared" si="70"/>
        <v>3.0647000000000002</v>
      </c>
      <c r="F558" s="81">
        <f t="shared" si="71"/>
        <v>3.3870000000000005</v>
      </c>
      <c r="G558" s="372">
        <f>RAW_DATA!F139</f>
        <v>0.11969200000000001</v>
      </c>
      <c r="H558" s="372">
        <f t="shared" si="72"/>
        <v>0.13227944138088557</v>
      </c>
      <c r="I558" s="372" t="s">
        <v>987</v>
      </c>
      <c r="J558" s="396"/>
      <c r="M558" s="588"/>
    </row>
    <row r="559" spans="1:13" s="371" customFormat="1" ht="19.95" customHeight="1">
      <c r="A559" s="371" t="s">
        <v>1006</v>
      </c>
    </row>
    <row r="560" spans="1:13" s="371" customFormat="1" ht="19.95" customHeight="1">
      <c r="A560" s="371" t="s">
        <v>1007</v>
      </c>
    </row>
    <row r="561" spans="1:7" ht="19.95" customHeight="1">
      <c r="A561" s="395"/>
      <c r="B561" s="395"/>
      <c r="C561" s="395"/>
      <c r="D561" s="395"/>
      <c r="E561" s="395"/>
      <c r="F561" s="395"/>
      <c r="G561" s="395"/>
    </row>
    <row r="562" spans="1:7" ht="19.95" customHeight="1">
      <c r="A562" s="395"/>
      <c r="B562" s="395"/>
      <c r="C562" s="395"/>
      <c r="D562" s="395"/>
      <c r="E562" s="395"/>
      <c r="F562" s="395"/>
      <c r="G562" s="395"/>
    </row>
    <row r="563" spans="1:7" ht="19.95" customHeight="1">
      <c r="A563" s="393" t="s">
        <v>1045</v>
      </c>
      <c r="B563" s="395"/>
      <c r="C563" s="395"/>
      <c r="D563" s="395"/>
      <c r="E563" s="395"/>
      <c r="F563" s="395"/>
      <c r="G563" s="395"/>
    </row>
    <row r="564" spans="1:7" ht="19.95" customHeight="1">
      <c r="A564" s="161">
        <f>STDEV(H539:H558)/AVERAGE(H539:H558)</f>
        <v>9.0356095483396827E-3</v>
      </c>
      <c r="B564" s="395" t="s">
        <v>1079</v>
      </c>
      <c r="C564" s="395"/>
      <c r="D564" s="395"/>
      <c r="E564" s="395"/>
      <c r="F564" s="395"/>
      <c r="G564" s="395"/>
    </row>
    <row r="565" spans="1:7" ht="19.95" customHeight="1">
      <c r="A565" s="161">
        <f>MEDIAN(STDEV(H539:H540),STDEV(H541:H542),STDEV(H545:H546),STDEV(H543:H544),STDEV(H547:H548),STDEV(H549:H550),STDEV(H551:H552),STDEV(H553:H554),STDEV(H555:H556),STDEV(H557:H558))/AVERAGE(H539:H558)</f>
        <v>7.3104999141816139E-3</v>
      </c>
      <c r="B565" s="395" t="s">
        <v>1080</v>
      </c>
      <c r="C565" s="395"/>
      <c r="D565" s="395"/>
      <c r="E565" s="395"/>
      <c r="F565" s="395"/>
      <c r="G565" s="395"/>
    </row>
    <row r="566" spans="1:7" ht="19.95" customHeight="1">
      <c r="A566" s="161">
        <f>B638</f>
        <v>8.6779718147613847E-3</v>
      </c>
      <c r="B566" s="395" t="s">
        <v>1081</v>
      </c>
      <c r="C566" s="395"/>
      <c r="D566" s="395"/>
      <c r="E566" s="395"/>
      <c r="F566" s="395"/>
      <c r="G566" s="395"/>
    </row>
    <row r="567" spans="1:7" ht="19.95" customHeight="1">
      <c r="A567" s="395"/>
      <c r="B567" s="395"/>
      <c r="C567" s="395"/>
      <c r="D567" s="395"/>
      <c r="E567" s="395"/>
      <c r="F567" s="395"/>
      <c r="G567" s="395"/>
    </row>
    <row r="568" spans="1:7" ht="19.95" customHeight="1">
      <c r="A568" s="398" t="s">
        <v>4</v>
      </c>
      <c r="B568" s="398" t="s">
        <v>925</v>
      </c>
      <c r="C568" s="398" t="s">
        <v>930</v>
      </c>
      <c r="D568" s="398" t="s">
        <v>1008</v>
      </c>
      <c r="E568" s="398" t="s">
        <v>1008</v>
      </c>
      <c r="F568" s="398" t="s">
        <v>1133</v>
      </c>
      <c r="G568" s="398" t="s">
        <v>1133</v>
      </c>
    </row>
    <row r="569" spans="1:7" ht="19.95" customHeight="1">
      <c r="A569" s="396" t="s">
        <v>96</v>
      </c>
      <c r="B569" s="396" t="s">
        <v>92</v>
      </c>
      <c r="C569" s="396" t="s">
        <v>931</v>
      </c>
      <c r="D569" s="396" t="s">
        <v>241</v>
      </c>
      <c r="E569" s="396" t="s">
        <v>1046</v>
      </c>
      <c r="F569" s="396" t="s">
        <v>241</v>
      </c>
      <c r="G569" s="396" t="s">
        <v>1046</v>
      </c>
    </row>
    <row r="570" spans="1:7" ht="19.95" customHeight="1">
      <c r="A570" s="363" t="str">
        <f t="shared" ref="A570:C579" si="73">A24</f>
        <v>MOOS009a</v>
      </c>
      <c r="B570" s="391">
        <f t="shared" si="73"/>
        <v>21</v>
      </c>
      <c r="C570" s="145">
        <f t="shared" si="73"/>
        <v>12</v>
      </c>
      <c r="D570" s="154">
        <f>AVERAGE(H539:H540)</f>
        <v>0.13331726132850022</v>
      </c>
      <c r="E570" s="156">
        <f>D570*$A$566</f>
        <v>1.1569234362299029E-3</v>
      </c>
      <c r="F570" s="60">
        <f>D570/AVERAGE($D$572,$D$576)</f>
        <v>1.0000005704804744</v>
      </c>
      <c r="G570" s="60">
        <f>F570*SQRT((E570/D570)^2+((SQRT($E$572^2+$E$576^2)/2)/AVERAGE($D$572,$D$576))^2)</f>
        <v>1.062832904191905E-2</v>
      </c>
    </row>
    <row r="571" spans="1:7" ht="19.95" customHeight="1">
      <c r="A571" s="363" t="str">
        <f t="shared" si="73"/>
        <v>MOOS047a</v>
      </c>
      <c r="B571" s="391">
        <f t="shared" si="73"/>
        <v>21</v>
      </c>
      <c r="C571" s="145">
        <f t="shared" si="73"/>
        <v>27</v>
      </c>
      <c r="D571" s="154">
        <f>AVERAGE(H541:H542)</f>
        <v>0.13393096084831757</v>
      </c>
      <c r="E571" s="157">
        <f t="shared" ref="E571:E579" si="74">D571*$A$566</f>
        <v>1.1622491033656103E-3</v>
      </c>
      <c r="F571" s="60">
        <f t="shared" ref="F571:F579" si="75">D571/AVERAGE($D$572,$D$576)</f>
        <v>1.0046038743873014</v>
      </c>
      <c r="G571" s="60">
        <f t="shared" ref="G571:G579" si="76">F571*SQRT((E571/D571)^2+((SQRT($E$572^2+$E$576^2)/2)/AVERAGE($D$572,$D$576))^2)</f>
        <v>1.0677254442609772E-2</v>
      </c>
    </row>
    <row r="572" spans="1:7" ht="19.95" customHeight="1">
      <c r="A572" s="402" t="str">
        <f t="shared" si="73"/>
        <v>MOOS085a</v>
      </c>
      <c r="B572" s="399">
        <f t="shared" si="73"/>
        <v>4</v>
      </c>
      <c r="C572" s="399" t="str">
        <f t="shared" si="73"/>
        <v># ref</v>
      </c>
      <c r="D572" s="207">
        <f>AVERAGE(H543:H544)</f>
        <v>0.13378169445694341</v>
      </c>
      <c r="E572" s="403">
        <f t="shared" si="74"/>
        <v>1.1609537738283742E-3</v>
      </c>
      <c r="F572" s="165">
        <f t="shared" si="75"/>
        <v>1.0034842408526765</v>
      </c>
      <c r="G572" s="165">
        <f t="shared" si="76"/>
        <v>1.0665354615786032E-2</v>
      </c>
    </row>
    <row r="573" spans="1:7" ht="19.95" customHeight="1">
      <c r="A573" s="363" t="str">
        <f t="shared" si="73"/>
        <v>MOOS123a</v>
      </c>
      <c r="B573" s="391">
        <f t="shared" si="73"/>
        <v>40</v>
      </c>
      <c r="C573" s="145">
        <f t="shared" si="73"/>
        <v>12</v>
      </c>
      <c r="D573" s="154">
        <f>AVERAGE(H545:H546)</f>
        <v>0.13386787355446933</v>
      </c>
      <c r="E573" s="157">
        <f t="shared" si="74"/>
        <v>1.1617016336077258E-3</v>
      </c>
      <c r="F573" s="60">
        <f t="shared" si="75"/>
        <v>1.0041306623725206</v>
      </c>
      <c r="G573" s="60">
        <f t="shared" si="76"/>
        <v>1.0672224992479296E-2</v>
      </c>
    </row>
    <row r="574" spans="1:7" ht="19.95" customHeight="1">
      <c r="A574" s="363" t="str">
        <f t="shared" si="73"/>
        <v>MOOS161a</v>
      </c>
      <c r="B574" s="391">
        <f t="shared" si="73"/>
        <v>40</v>
      </c>
      <c r="C574" s="145">
        <f t="shared" si="73"/>
        <v>27</v>
      </c>
      <c r="D574" s="154">
        <f>AVERAGE(H547:H548)</f>
        <v>0.13229511336017366</v>
      </c>
      <c r="E574" s="157">
        <f t="shared" si="74"/>
        <v>1.1480532649702493E-3</v>
      </c>
      <c r="F574" s="60">
        <f t="shared" si="75"/>
        <v>0.9923335321595822</v>
      </c>
      <c r="G574" s="60">
        <f t="shared" si="76"/>
        <v>1.0546841282354781E-2</v>
      </c>
    </row>
    <row r="575" spans="1:7" ht="19.95" customHeight="1">
      <c r="A575" s="363" t="str">
        <f t="shared" si="73"/>
        <v>MOOS199a</v>
      </c>
      <c r="B575" s="391">
        <f t="shared" si="73"/>
        <v>21</v>
      </c>
      <c r="C575" s="145">
        <f t="shared" si="73"/>
        <v>35</v>
      </c>
      <c r="D575" s="154">
        <f>AVERAGE(H549:H550)</f>
        <v>0.13243858334270894</v>
      </c>
      <c r="E575" s="157">
        <f t="shared" si="74"/>
        <v>1.1492982934349549E-3</v>
      </c>
      <c r="F575" s="60">
        <f t="shared" si="75"/>
        <v>0.99340968736223512</v>
      </c>
      <c r="G575" s="60">
        <f t="shared" si="76"/>
        <v>1.0558279007423751E-2</v>
      </c>
    </row>
    <row r="576" spans="1:7" ht="19.95" customHeight="1">
      <c r="A576" s="402" t="str">
        <f t="shared" si="73"/>
        <v>MOOS237a</v>
      </c>
      <c r="B576" s="399">
        <f t="shared" si="73"/>
        <v>4</v>
      </c>
      <c r="C576" s="399" t="str">
        <f t="shared" si="73"/>
        <v># ref</v>
      </c>
      <c r="D576" s="207">
        <f>AVERAGE(H551:H552)</f>
        <v>0.13285267609035484</v>
      </c>
      <c r="E576" s="403">
        <f t="shared" si="74"/>
        <v>1.1528917786277229E-3</v>
      </c>
      <c r="F576" s="165">
        <f t="shared" si="75"/>
        <v>0.9965157591473236</v>
      </c>
      <c r="G576" s="165">
        <f t="shared" si="76"/>
        <v>1.05912913415506E-2</v>
      </c>
    </row>
    <row r="577" spans="1:10" ht="19.95" customHeight="1">
      <c r="A577" s="363" t="str">
        <f t="shared" si="73"/>
        <v>MOOS275a</v>
      </c>
      <c r="B577" s="391">
        <f t="shared" si="73"/>
        <v>21</v>
      </c>
      <c r="C577" s="145">
        <f t="shared" si="73"/>
        <v>43</v>
      </c>
      <c r="D577" s="154">
        <f>AVERAGE(H553:H554)</f>
        <v>0.1313390202158134</v>
      </c>
      <c r="E577" s="157">
        <f t="shared" si="74"/>
        <v>1.1397563156112043E-3</v>
      </c>
      <c r="F577" s="60">
        <f t="shared" si="75"/>
        <v>0.98516196502517439</v>
      </c>
      <c r="G577" s="60">
        <f t="shared" si="76"/>
        <v>1.0470619550587092E-2</v>
      </c>
    </row>
    <row r="578" spans="1:10" ht="19.95" customHeight="1">
      <c r="A578" s="363" t="str">
        <f t="shared" si="73"/>
        <v>MOOS313a</v>
      </c>
      <c r="B578" s="391">
        <f t="shared" si="73"/>
        <v>40</v>
      </c>
      <c r="C578" s="145">
        <f t="shared" si="73"/>
        <v>35</v>
      </c>
      <c r="D578" s="154">
        <f>AVERAGE(H555:H556)</f>
        <v>0.13230310026253719</v>
      </c>
      <c r="E578" s="157">
        <f t="shared" si="74"/>
        <v>1.1481225750838474E-3</v>
      </c>
      <c r="F578" s="60">
        <f t="shared" si="75"/>
        <v>0.99239344118291739</v>
      </c>
      <c r="G578" s="60">
        <f t="shared" si="76"/>
        <v>1.0547478014804124E-2</v>
      </c>
    </row>
    <row r="579" spans="1:10" ht="19.95" customHeight="1">
      <c r="A579" s="286" t="str">
        <f t="shared" si="73"/>
        <v>MOOS351a</v>
      </c>
      <c r="B579" s="396">
        <f t="shared" si="73"/>
        <v>40</v>
      </c>
      <c r="C579" s="146">
        <f t="shared" si="73"/>
        <v>43</v>
      </c>
      <c r="D579" s="155">
        <f>AVERAGE(H557:H558)</f>
        <v>0.13201206341114408</v>
      </c>
      <c r="E579" s="155">
        <f t="shared" si="74"/>
        <v>1.145596965490401E-3</v>
      </c>
      <c r="F579" s="81">
        <f t="shared" si="75"/>
        <v>0.99021040040842356</v>
      </c>
      <c r="G579" s="81">
        <f t="shared" si="76"/>
        <v>1.0524275952377201E-2</v>
      </c>
    </row>
    <row r="581" spans="1:10" ht="19.95" customHeight="1">
      <c r="A581" s="88" t="s">
        <v>1169</v>
      </c>
      <c r="B581" s="391"/>
      <c r="C581" s="145"/>
      <c r="D581" s="157"/>
      <c r="E581" s="157"/>
      <c r="F581" s="88" t="s">
        <v>1170</v>
      </c>
      <c r="G581" s="391"/>
      <c r="H581" s="395"/>
      <c r="J581" s="148"/>
    </row>
    <row r="582" spans="1:10" ht="19.95" customHeight="1">
      <c r="A582" s="689" t="s">
        <v>0</v>
      </c>
      <c r="B582" s="591" t="s">
        <v>1133</v>
      </c>
      <c r="C582" s="591" t="s">
        <v>1133</v>
      </c>
      <c r="D582" s="96"/>
      <c r="E582" s="96"/>
      <c r="F582" s="689" t="s">
        <v>0</v>
      </c>
      <c r="G582" s="591" t="s">
        <v>1133</v>
      </c>
      <c r="H582" s="591" t="s">
        <v>1133</v>
      </c>
    </row>
    <row r="583" spans="1:10" s="588" customFormat="1" ht="19.95" customHeight="1">
      <c r="A583" s="690" t="s">
        <v>88</v>
      </c>
      <c r="B583" s="589" t="s">
        <v>241</v>
      </c>
      <c r="C583" s="589" t="s">
        <v>1046</v>
      </c>
      <c r="D583" s="96"/>
      <c r="E583" s="96"/>
      <c r="F583" s="690" t="s">
        <v>88</v>
      </c>
      <c r="G583" s="589" t="s">
        <v>241</v>
      </c>
      <c r="H583" s="589" t="s">
        <v>1046</v>
      </c>
    </row>
    <row r="584" spans="1:10" ht="19.95" customHeight="1">
      <c r="A584" s="395">
        <v>0</v>
      </c>
      <c r="B584" s="60">
        <f>AVERAGE(F572,F576)</f>
        <v>1</v>
      </c>
      <c r="C584" s="60">
        <f>MEDIAN(G572,G576)</f>
        <v>1.0628322978668316E-2</v>
      </c>
      <c r="D584" s="96"/>
      <c r="E584" s="96"/>
      <c r="F584" s="395">
        <v>0</v>
      </c>
      <c r="G584" s="60">
        <f>B584</f>
        <v>1</v>
      </c>
      <c r="H584" s="60">
        <f>C584</f>
        <v>1.0628322978668316E-2</v>
      </c>
    </row>
    <row r="585" spans="1:10" ht="19.95" customHeight="1">
      <c r="A585" s="405">
        <f>C570</f>
        <v>12</v>
      </c>
      <c r="B585" s="138">
        <f>F570</f>
        <v>1.0000005704804744</v>
      </c>
      <c r="C585" s="138">
        <f>G570</f>
        <v>1.062832904191905E-2</v>
      </c>
      <c r="D585" s="96"/>
      <c r="E585" s="96"/>
      <c r="F585" s="405">
        <f>C573</f>
        <v>12</v>
      </c>
      <c r="G585" s="138">
        <f>F573</f>
        <v>1.0041306623725206</v>
      </c>
      <c r="H585" s="138">
        <f>G573</f>
        <v>1.0672224992479296E-2</v>
      </c>
    </row>
    <row r="586" spans="1:10" ht="19.95" customHeight="1">
      <c r="A586" s="405">
        <f>C571</f>
        <v>27</v>
      </c>
      <c r="B586" s="138">
        <f>F571</f>
        <v>1.0046038743873014</v>
      </c>
      <c r="C586" s="138">
        <f>G571</f>
        <v>1.0677254442609772E-2</v>
      </c>
      <c r="D586" s="96"/>
      <c r="E586" s="96"/>
      <c r="F586" s="405">
        <f>C574</f>
        <v>27</v>
      </c>
      <c r="G586" s="138">
        <f>F574</f>
        <v>0.9923335321595822</v>
      </c>
      <c r="H586" s="138">
        <f>G574</f>
        <v>1.0546841282354781E-2</v>
      </c>
    </row>
    <row r="587" spans="1:10" ht="19.95" customHeight="1">
      <c r="A587" s="405">
        <f>C575</f>
        <v>35</v>
      </c>
      <c r="B587" s="138">
        <f>F575</f>
        <v>0.99340968736223512</v>
      </c>
      <c r="C587" s="138">
        <f>G575</f>
        <v>1.0558279007423751E-2</v>
      </c>
      <c r="D587" s="96"/>
      <c r="E587" s="96"/>
      <c r="F587" s="405">
        <f>C578</f>
        <v>35</v>
      </c>
      <c r="G587" s="138">
        <f>F578</f>
        <v>0.99239344118291739</v>
      </c>
      <c r="H587" s="138">
        <f>G578</f>
        <v>1.0547478014804124E-2</v>
      </c>
    </row>
    <row r="588" spans="1:10" ht="19.95" customHeight="1">
      <c r="A588" s="406">
        <f>C577</f>
        <v>43</v>
      </c>
      <c r="B588" s="140">
        <f>F577</f>
        <v>0.98516196502517439</v>
      </c>
      <c r="C588" s="140">
        <f>G577</f>
        <v>1.0470619550587092E-2</v>
      </c>
      <c r="D588" s="96"/>
      <c r="E588" s="96"/>
      <c r="F588" s="406">
        <f>C579</f>
        <v>43</v>
      </c>
      <c r="G588" s="140">
        <f>F579</f>
        <v>0.99021040040842356</v>
      </c>
      <c r="H588" s="140">
        <f>G579</f>
        <v>1.0524275952377201E-2</v>
      </c>
    </row>
    <row r="601" spans="1:28" ht="19.95" customHeight="1">
      <c r="A601" s="393" t="s">
        <v>1050</v>
      </c>
    </row>
    <row r="602" spans="1:28" ht="19.95" customHeight="1">
      <c r="A602" s="397" t="s">
        <v>1165</v>
      </c>
    </row>
    <row r="603" spans="1:28" ht="19.95" customHeight="1">
      <c r="A603" s="397" t="s">
        <v>1052</v>
      </c>
    </row>
    <row r="604" spans="1:28" ht="19.95" customHeight="1">
      <c r="A604" s="397"/>
    </row>
    <row r="605" spans="1:28" ht="19.95" customHeight="1">
      <c r="A605" s="397"/>
    </row>
    <row r="606" spans="1:28" s="149" customFormat="1" ht="19.95" customHeight="1">
      <c r="A606" s="150" t="s">
        <v>2121</v>
      </c>
    </row>
    <row r="608" spans="1:28" ht="19.95" customHeight="1">
      <c r="A608" s="393" t="s">
        <v>1183</v>
      </c>
      <c r="B608" s="395"/>
      <c r="C608" s="138"/>
      <c r="E608" t="s">
        <v>1057</v>
      </c>
      <c r="F608"/>
      <c r="G608"/>
      <c r="H608"/>
      <c r="I608"/>
      <c r="J608"/>
      <c r="K608"/>
      <c r="N608" s="691"/>
      <c r="O608" s="691"/>
      <c r="P608" s="691"/>
      <c r="Q608" s="691"/>
      <c r="R608" s="691"/>
      <c r="S608" s="691"/>
      <c r="T608" s="691"/>
      <c r="W608" s="588"/>
      <c r="X608" s="588"/>
      <c r="Y608" s="588"/>
      <c r="Z608" s="588"/>
      <c r="AA608" s="588"/>
      <c r="AB608" s="588"/>
    </row>
    <row r="609" spans="1:28" ht="19.95" customHeight="1">
      <c r="A609" s="395"/>
      <c r="B609" s="391"/>
      <c r="C609" s="138"/>
      <c r="E609"/>
      <c r="F609"/>
      <c r="G609"/>
      <c r="H609"/>
      <c r="I609"/>
      <c r="J609"/>
      <c r="K609"/>
      <c r="N609" s="691"/>
      <c r="O609" s="691"/>
      <c r="P609" s="691"/>
      <c r="Q609" s="691"/>
      <c r="R609" s="691"/>
      <c r="S609" s="691"/>
      <c r="T609" s="691"/>
      <c r="V609" s="588"/>
      <c r="W609" s="588"/>
      <c r="X609" s="588"/>
      <c r="Y609" s="588"/>
      <c r="Z609" s="588"/>
      <c r="AA609" s="588"/>
      <c r="AB609" s="588"/>
    </row>
    <row r="610" spans="1:28" ht="19.95" customHeight="1" thickBot="1">
      <c r="A610" s="398" t="s">
        <v>4</v>
      </c>
      <c r="B610" s="398" t="s">
        <v>1134</v>
      </c>
      <c r="C610" s="398" t="s">
        <v>1135</v>
      </c>
      <c r="E610" t="s">
        <v>1058</v>
      </c>
      <c r="F610"/>
      <c r="G610"/>
      <c r="H610"/>
      <c r="I610"/>
      <c r="J610"/>
      <c r="K610"/>
      <c r="N610" s="691"/>
      <c r="O610" s="691"/>
      <c r="P610" s="691"/>
      <c r="Q610" s="691"/>
      <c r="R610" s="691"/>
      <c r="S610" s="691"/>
      <c r="T610" s="691"/>
      <c r="V610" s="588"/>
      <c r="W610" s="588"/>
      <c r="X610" s="588"/>
      <c r="Y610" s="588"/>
      <c r="Z610" s="588"/>
      <c r="AA610" s="588"/>
      <c r="AB610" s="588"/>
    </row>
    <row r="611" spans="1:28" ht="19.95" customHeight="1">
      <c r="A611" s="396" t="s">
        <v>96</v>
      </c>
      <c r="B611" s="396"/>
      <c r="C611" s="140"/>
      <c r="E611" s="409" t="s">
        <v>1059</v>
      </c>
      <c r="F611" s="409" t="s">
        <v>1060</v>
      </c>
      <c r="G611" s="409" t="s">
        <v>1061</v>
      </c>
      <c r="H611" s="409" t="s">
        <v>260</v>
      </c>
      <c r="I611" s="409" t="s">
        <v>233</v>
      </c>
      <c r="J611"/>
      <c r="K611"/>
      <c r="N611" s="692"/>
      <c r="O611" s="692"/>
      <c r="P611" s="692"/>
      <c r="Q611" s="692"/>
      <c r="R611" s="692"/>
      <c r="S611" s="691"/>
      <c r="T611" s="691"/>
      <c r="V611" s="588"/>
      <c r="W611" s="588"/>
      <c r="X611" s="588"/>
      <c r="Y611" s="588"/>
      <c r="Z611" s="588"/>
      <c r="AA611" s="588"/>
      <c r="AB611" s="588"/>
    </row>
    <row r="612" spans="1:28" ht="19.95" customHeight="1">
      <c r="A612" s="363" t="str">
        <f t="shared" ref="A612:A621" si="77">A570</f>
        <v>MOOS009a</v>
      </c>
      <c r="B612" s="154">
        <f>H539</f>
        <v>0.13181382629092581</v>
      </c>
      <c r="C612" s="138">
        <f>H540</f>
        <v>0.13482069636607463</v>
      </c>
      <c r="E612" s="407" t="s">
        <v>969</v>
      </c>
      <c r="F612" s="407">
        <v>2</v>
      </c>
      <c r="G612" s="407">
        <v>0.26663452265700044</v>
      </c>
      <c r="H612" s="407">
        <v>0.13331726132850022</v>
      </c>
      <c r="I612" s="407">
        <v>4.5206338244127543E-6</v>
      </c>
      <c r="J612"/>
      <c r="K612"/>
      <c r="N612" s="407"/>
      <c r="O612" s="407"/>
      <c r="P612" s="407"/>
      <c r="Q612" s="407"/>
      <c r="R612" s="407"/>
      <c r="S612" s="691"/>
      <c r="T612" s="691"/>
      <c r="V612" s="588"/>
      <c r="W612" s="588"/>
      <c r="X612" s="588"/>
      <c r="Y612" s="588"/>
      <c r="Z612" s="588"/>
      <c r="AA612" s="588"/>
      <c r="AB612" s="588"/>
    </row>
    <row r="613" spans="1:28" ht="19.95" customHeight="1">
      <c r="A613" s="363" t="str">
        <f t="shared" si="77"/>
        <v>MOOS047a</v>
      </c>
      <c r="B613" s="154">
        <f>H541</f>
        <v>0.13424500114412732</v>
      </c>
      <c r="C613" s="138">
        <f>H542</f>
        <v>0.13361692055250785</v>
      </c>
      <c r="E613" s="407" t="s">
        <v>970</v>
      </c>
      <c r="F613" s="407">
        <v>2</v>
      </c>
      <c r="G613" s="407">
        <v>0.26786192169663514</v>
      </c>
      <c r="H613" s="407">
        <v>0.13393096084831757</v>
      </c>
      <c r="I613" s="407">
        <v>1.9724261478453721E-7</v>
      </c>
      <c r="J613"/>
      <c r="K613"/>
      <c r="N613" s="407"/>
      <c r="O613" s="407"/>
      <c r="P613" s="407"/>
      <c r="Q613" s="407"/>
      <c r="R613" s="407"/>
      <c r="S613" s="691"/>
      <c r="T613" s="691"/>
      <c r="V613" s="588"/>
      <c r="W613" s="588"/>
      <c r="X613" s="588"/>
      <c r="Y613" s="588"/>
      <c r="Z613" s="588"/>
      <c r="AA613" s="588"/>
      <c r="AB613" s="588"/>
    </row>
    <row r="614" spans="1:28" ht="19.95" customHeight="1">
      <c r="A614" s="363" t="str">
        <f t="shared" si="77"/>
        <v>MOOS085a</v>
      </c>
      <c r="B614" s="154">
        <f>H543</f>
        <v>0.13455547787755637</v>
      </c>
      <c r="C614" s="138">
        <f>H544</f>
        <v>0.13300791103633045</v>
      </c>
      <c r="E614" s="407" t="s">
        <v>971</v>
      </c>
      <c r="F614" s="407">
        <v>2</v>
      </c>
      <c r="G614" s="407">
        <v>0.26756338891388681</v>
      </c>
      <c r="H614" s="407">
        <v>0.13378169445694341</v>
      </c>
      <c r="I614" s="407">
        <v>1.1974815640309898E-6</v>
      </c>
      <c r="J614"/>
      <c r="K614"/>
      <c r="N614" s="407"/>
      <c r="O614" s="407"/>
      <c r="P614" s="407"/>
      <c r="Q614" s="407"/>
      <c r="R614" s="407"/>
      <c r="S614" s="691"/>
      <c r="T614" s="691"/>
      <c r="V614" s="588"/>
      <c r="W614" s="588"/>
      <c r="X614" s="588"/>
      <c r="Y614" s="588"/>
      <c r="Z614" s="588"/>
      <c r="AA614" s="588"/>
      <c r="AB614" s="588"/>
    </row>
    <row r="615" spans="1:28" ht="19.95" customHeight="1">
      <c r="A615" s="363" t="str">
        <f t="shared" si="77"/>
        <v>MOOS123a</v>
      </c>
      <c r="B615" s="154">
        <f>H545</f>
        <v>0.13394840169712791</v>
      </c>
      <c r="C615" s="138">
        <f>H546</f>
        <v>0.13378734541181078</v>
      </c>
      <c r="E615" s="407" t="s">
        <v>972</v>
      </c>
      <c r="F615" s="407">
        <v>2</v>
      </c>
      <c r="G615" s="407">
        <v>0.26773574710893866</v>
      </c>
      <c r="H615" s="407">
        <v>0.13386787355446933</v>
      </c>
      <c r="I615" s="407">
        <v>1.2969563520075393E-8</v>
      </c>
      <c r="J615"/>
      <c r="K615"/>
      <c r="N615" s="407"/>
      <c r="O615" s="407"/>
      <c r="P615" s="407"/>
      <c r="Q615" s="407"/>
      <c r="R615" s="407"/>
      <c r="S615" s="691"/>
      <c r="T615" s="691"/>
      <c r="V615" s="588"/>
      <c r="W615" s="588"/>
      <c r="X615" s="588"/>
      <c r="Y615" s="588"/>
      <c r="Z615" s="588"/>
      <c r="AA615" s="588"/>
      <c r="AB615" s="588"/>
    </row>
    <row r="616" spans="1:28" ht="19.95" customHeight="1">
      <c r="A616" s="363" t="str">
        <f t="shared" si="77"/>
        <v>MOOS161a</v>
      </c>
      <c r="B616" s="154">
        <f>H547</f>
        <v>0.13325247048440872</v>
      </c>
      <c r="C616" s="138">
        <f>H548</f>
        <v>0.1313377562359386</v>
      </c>
      <c r="E616" s="407" t="s">
        <v>973</v>
      </c>
      <c r="F616" s="407">
        <v>2</v>
      </c>
      <c r="G616" s="407">
        <v>0.26459022672034732</v>
      </c>
      <c r="H616" s="407">
        <v>0.13229511336017366</v>
      </c>
      <c r="I616" s="407">
        <v>1.8330653266472432E-6</v>
      </c>
      <c r="J616"/>
      <c r="K616"/>
      <c r="N616" s="407"/>
      <c r="O616" s="407"/>
      <c r="P616" s="407"/>
      <c r="Q616" s="407"/>
      <c r="R616" s="407"/>
      <c r="S616" s="691"/>
      <c r="T616" s="691"/>
      <c r="V616" s="588"/>
      <c r="W616" s="588"/>
      <c r="X616" s="588"/>
      <c r="Y616" s="588"/>
      <c r="Z616" s="588"/>
      <c r="AA616" s="588"/>
      <c r="AB616" s="588"/>
    </row>
    <row r="617" spans="1:28" ht="19.95" customHeight="1">
      <c r="A617" s="363" t="str">
        <f t="shared" si="77"/>
        <v>MOOS199a</v>
      </c>
      <c r="B617" s="154">
        <f>H549</f>
        <v>0.13336211154675551</v>
      </c>
      <c r="C617" s="138">
        <f>H550</f>
        <v>0.13151505513866238</v>
      </c>
      <c r="E617" s="407" t="s">
        <v>974</v>
      </c>
      <c r="F617" s="407">
        <v>2</v>
      </c>
      <c r="G617" s="407">
        <v>0.26487716668541789</v>
      </c>
      <c r="H617" s="407">
        <v>0.13243858334270894</v>
      </c>
      <c r="I617" s="407">
        <v>1.7058086873389448E-6</v>
      </c>
      <c r="J617"/>
      <c r="K617"/>
      <c r="N617" s="407"/>
      <c r="O617" s="407"/>
      <c r="P617" s="407"/>
      <c r="Q617" s="407"/>
      <c r="R617" s="407"/>
      <c r="S617" s="691"/>
      <c r="T617" s="691"/>
      <c r="V617" s="588"/>
      <c r="W617" s="588"/>
      <c r="X617" s="588"/>
      <c r="Y617" s="588"/>
      <c r="Z617" s="588"/>
      <c r="AA617" s="588"/>
      <c r="AB617" s="588"/>
    </row>
    <row r="618" spans="1:28" ht="19.95" customHeight="1">
      <c r="A618" s="363" t="str">
        <f t="shared" si="77"/>
        <v>MOOS237a</v>
      </c>
      <c r="B618" s="154">
        <f>H551</f>
        <v>0.13304168443677344</v>
      </c>
      <c r="C618" s="138">
        <f>H552</f>
        <v>0.13266366774393626</v>
      </c>
      <c r="E618" s="407" t="s">
        <v>975</v>
      </c>
      <c r="F618" s="407">
        <v>2</v>
      </c>
      <c r="G618" s="407">
        <v>0.26570535218070968</v>
      </c>
      <c r="H618" s="407">
        <v>0.13285267609035484</v>
      </c>
      <c r="I618" s="407">
        <v>7.1448310031781449E-8</v>
      </c>
      <c r="J618"/>
      <c r="K618"/>
      <c r="N618" s="407"/>
      <c r="O618" s="407"/>
      <c r="P618" s="407"/>
      <c r="Q618" s="407"/>
      <c r="R618" s="407"/>
      <c r="S618" s="691"/>
      <c r="T618" s="691"/>
      <c r="V618" s="588"/>
      <c r="W618" s="588"/>
      <c r="X618" s="588"/>
      <c r="Y618" s="588"/>
      <c r="Z618" s="588"/>
      <c r="AA618" s="588"/>
      <c r="AB618" s="588"/>
    </row>
    <row r="619" spans="1:28" ht="19.95" customHeight="1">
      <c r="A619" s="363" t="str">
        <f t="shared" si="77"/>
        <v>MOOS275a</v>
      </c>
      <c r="B619" s="154">
        <f>H553</f>
        <v>0.13013822741819611</v>
      </c>
      <c r="C619" s="138">
        <f>H554</f>
        <v>0.13253981301343068</v>
      </c>
      <c r="E619" s="407" t="s">
        <v>976</v>
      </c>
      <c r="F619" s="407">
        <v>2</v>
      </c>
      <c r="G619" s="407">
        <v>0.26267804043162679</v>
      </c>
      <c r="H619" s="407">
        <v>0.1313390202158134</v>
      </c>
      <c r="I619" s="407">
        <v>2.8838066856190865E-6</v>
      </c>
      <c r="J619"/>
      <c r="K619"/>
      <c r="N619" s="407"/>
      <c r="O619" s="407"/>
      <c r="P619" s="407"/>
      <c r="Q619" s="407"/>
      <c r="R619" s="407"/>
      <c r="S619" s="691"/>
      <c r="T619" s="691"/>
      <c r="V619" s="588"/>
      <c r="W619" s="588"/>
      <c r="X619" s="588"/>
      <c r="Y619" s="588"/>
      <c r="Z619" s="588"/>
      <c r="AA619" s="588"/>
      <c r="AB619" s="588"/>
    </row>
    <row r="620" spans="1:28" ht="19.95" customHeight="1">
      <c r="A620" s="363" t="str">
        <f t="shared" si="77"/>
        <v>MOOS313a</v>
      </c>
      <c r="B620" s="154">
        <f>H555</f>
        <v>0.13290242703251368</v>
      </c>
      <c r="C620" s="138">
        <f>H556</f>
        <v>0.13170377349256071</v>
      </c>
      <c r="E620" s="407" t="s">
        <v>977</v>
      </c>
      <c r="F620" s="407">
        <v>2</v>
      </c>
      <c r="G620" s="407">
        <v>0.26460620052507439</v>
      </c>
      <c r="H620" s="407">
        <v>0.13230310026253719</v>
      </c>
      <c r="I620" s="407">
        <v>7.183851544208874E-7</v>
      </c>
      <c r="J620"/>
      <c r="K620"/>
      <c r="N620" s="407"/>
      <c r="O620" s="407"/>
      <c r="P620" s="407"/>
      <c r="Q620" s="407"/>
      <c r="R620" s="407"/>
      <c r="S620" s="691"/>
      <c r="T620" s="691"/>
      <c r="V620" s="588"/>
      <c r="W620" s="588"/>
      <c r="X620" s="588"/>
      <c r="Y620" s="588"/>
      <c r="Z620" s="588"/>
      <c r="AA620" s="588"/>
      <c r="AB620" s="588"/>
    </row>
    <row r="621" spans="1:28" ht="19.95" customHeight="1" thickBot="1">
      <c r="A621" s="286" t="str">
        <f t="shared" si="77"/>
        <v>MOOS351a</v>
      </c>
      <c r="B621" s="155">
        <f>H557</f>
        <v>0.13174468544140255</v>
      </c>
      <c r="C621" s="140">
        <f>H558</f>
        <v>0.13227944138088557</v>
      </c>
      <c r="E621" s="408" t="s">
        <v>978</v>
      </c>
      <c r="F621" s="408">
        <v>2</v>
      </c>
      <c r="G621" s="408">
        <v>0.26402412682228815</v>
      </c>
      <c r="H621" s="408">
        <v>0.13201206341114408</v>
      </c>
      <c r="I621" s="408">
        <v>1.4298195740618208E-7</v>
      </c>
      <c r="J621"/>
      <c r="K621"/>
      <c r="N621" s="407"/>
      <c r="O621" s="407"/>
      <c r="P621" s="407"/>
      <c r="Q621" s="407"/>
      <c r="R621" s="407"/>
      <c r="S621" s="691"/>
      <c r="T621" s="691"/>
      <c r="V621" s="588"/>
      <c r="W621" s="588"/>
      <c r="X621" s="588"/>
      <c r="Y621" s="588"/>
      <c r="Z621" s="588"/>
      <c r="AA621" s="588"/>
      <c r="AB621" s="588"/>
    </row>
    <row r="622" spans="1:28" ht="19.95" customHeight="1">
      <c r="E622"/>
      <c r="F622"/>
      <c r="G622"/>
      <c r="H622"/>
      <c r="I622"/>
      <c r="J622"/>
      <c r="K622"/>
      <c r="N622" s="691"/>
      <c r="O622" s="691"/>
      <c r="P622" s="691"/>
      <c r="Q622" s="691"/>
      <c r="R622" s="691"/>
      <c r="S622" s="691"/>
      <c r="T622" s="691"/>
      <c r="V622" s="588"/>
      <c r="W622" s="588"/>
      <c r="X622" s="588"/>
      <c r="Y622" s="588"/>
      <c r="Z622" s="588"/>
      <c r="AA622" s="588"/>
      <c r="AB622" s="588"/>
    </row>
    <row r="623" spans="1:28" ht="19.95" customHeight="1">
      <c r="E623"/>
      <c r="F623"/>
      <c r="G623"/>
      <c r="H623"/>
      <c r="I623"/>
      <c r="J623"/>
      <c r="K623"/>
      <c r="N623" s="691"/>
      <c r="O623" s="691"/>
      <c r="P623" s="691"/>
      <c r="Q623" s="691"/>
      <c r="R623" s="691"/>
      <c r="S623" s="691"/>
      <c r="T623" s="691"/>
      <c r="V623" s="588"/>
      <c r="W623" s="588"/>
      <c r="X623" s="588"/>
      <c r="Y623" s="588"/>
      <c r="Z623" s="588"/>
      <c r="AA623" s="588"/>
      <c r="AB623" s="588"/>
    </row>
    <row r="624" spans="1:28" ht="19.95" customHeight="1" thickBot="1">
      <c r="E624" t="s">
        <v>1062</v>
      </c>
      <c r="F624"/>
      <c r="G624"/>
      <c r="H624"/>
      <c r="I624"/>
      <c r="J624"/>
      <c r="K624"/>
      <c r="N624" s="691"/>
      <c r="O624" s="691"/>
      <c r="P624" s="691"/>
      <c r="Q624" s="691"/>
      <c r="R624" s="691"/>
      <c r="S624" s="691"/>
      <c r="T624" s="691"/>
      <c r="V624" s="588"/>
      <c r="W624" s="588"/>
      <c r="X624" s="588"/>
      <c r="Y624" s="588"/>
      <c r="Z624" s="588"/>
      <c r="AA624" s="588"/>
      <c r="AB624" s="588"/>
    </row>
    <row r="625" spans="1:28" s="412" customFormat="1" ht="40.200000000000003" customHeight="1">
      <c r="E625" s="415" t="s">
        <v>1063</v>
      </c>
      <c r="F625" s="415" t="s">
        <v>1064</v>
      </c>
      <c r="G625" s="415" t="s">
        <v>234</v>
      </c>
      <c r="H625" s="415" t="s">
        <v>1065</v>
      </c>
      <c r="I625" s="415" t="s">
        <v>1066</v>
      </c>
      <c r="J625" s="415" t="s">
        <v>1067</v>
      </c>
      <c r="K625" s="415" t="s">
        <v>1068</v>
      </c>
      <c r="N625" s="692"/>
      <c r="O625" s="692"/>
      <c r="P625" s="692"/>
      <c r="Q625" s="692"/>
      <c r="R625" s="692"/>
      <c r="S625" s="692"/>
      <c r="T625" s="692"/>
      <c r="V625" s="588"/>
      <c r="W625" s="588"/>
      <c r="X625" s="588"/>
      <c r="Y625" s="588"/>
      <c r="Z625" s="588"/>
      <c r="AA625" s="588"/>
      <c r="AB625" s="588"/>
    </row>
    <row r="626" spans="1:28" ht="19.95" customHeight="1">
      <c r="A626" s="395" t="s">
        <v>1072</v>
      </c>
      <c r="B626" s="395"/>
      <c r="C626" s="138"/>
      <c r="E626" s="407" t="s">
        <v>1069</v>
      </c>
      <c r="F626" s="407">
        <v>1.4078636617070093E-5</v>
      </c>
      <c r="G626" s="407">
        <v>9</v>
      </c>
      <c r="H626" s="407">
        <v>1.5642929574522326E-6</v>
      </c>
      <c r="I626" s="407">
        <v>1.177592381657641</v>
      </c>
      <c r="J626" s="407">
        <v>0.39865952132120974</v>
      </c>
      <c r="K626" s="407">
        <v>3.0203829470213761</v>
      </c>
      <c r="N626" s="407"/>
      <c r="O626" s="407"/>
      <c r="P626" s="407"/>
      <c r="Q626" s="407"/>
      <c r="R626" s="407"/>
      <c r="S626" s="407"/>
      <c r="T626" s="407"/>
      <c r="V626" s="588"/>
      <c r="W626" s="588"/>
      <c r="X626" s="588"/>
      <c r="Y626" s="588"/>
      <c r="Z626" s="588"/>
      <c r="AA626" s="588"/>
      <c r="AB626" s="588"/>
    </row>
    <row r="627" spans="1:28" ht="19.95" customHeight="1">
      <c r="A627" s="395" t="s">
        <v>1073</v>
      </c>
      <c r="B627" s="395"/>
      <c r="C627" s="138"/>
      <c r="E627" s="407" t="s">
        <v>1070</v>
      </c>
      <c r="F627" s="407">
        <v>1.3283823688212482E-5</v>
      </c>
      <c r="G627" s="407">
        <v>10</v>
      </c>
      <c r="H627" s="407">
        <v>1.3283823688212483E-6</v>
      </c>
      <c r="I627" s="407"/>
      <c r="J627" s="407"/>
      <c r="K627" s="407"/>
      <c r="N627" s="407"/>
      <c r="O627" s="407"/>
      <c r="P627" s="407"/>
      <c r="Q627" s="407"/>
      <c r="R627" s="407"/>
      <c r="S627" s="407"/>
      <c r="T627" s="407"/>
      <c r="V627" s="588"/>
      <c r="W627" s="588"/>
      <c r="X627" s="588"/>
      <c r="Y627" s="588"/>
      <c r="Z627" s="588"/>
      <c r="AA627" s="588"/>
      <c r="AB627" s="588"/>
    </row>
    <row r="628" spans="1:28" ht="19.95" customHeight="1">
      <c r="A628" s="395"/>
      <c r="B628" s="395"/>
      <c r="C628" s="138"/>
      <c r="E628" s="407"/>
      <c r="F628" s="407"/>
      <c r="G628" s="407"/>
      <c r="H628" s="407"/>
      <c r="I628" s="407"/>
      <c r="J628" s="407"/>
      <c r="K628" s="407"/>
      <c r="N628" s="407"/>
      <c r="O628" s="407"/>
      <c r="P628" s="407"/>
      <c r="Q628" s="407"/>
      <c r="R628" s="407"/>
      <c r="S628" s="407"/>
      <c r="T628" s="407"/>
      <c r="V628" s="588"/>
      <c r="W628" s="588"/>
      <c r="X628" s="588"/>
      <c r="Y628" s="588"/>
      <c r="Z628" s="588"/>
      <c r="AA628" s="588"/>
      <c r="AB628" s="588"/>
    </row>
    <row r="629" spans="1:28" ht="19.95" customHeight="1" thickBot="1">
      <c r="A629" s="395"/>
      <c r="B629" s="395"/>
      <c r="C629" s="138"/>
      <c r="E629" s="408" t="s">
        <v>1071</v>
      </c>
      <c r="F629" s="408">
        <v>2.7362460305282575E-5</v>
      </c>
      <c r="G629" s="408">
        <v>19</v>
      </c>
      <c r="H629" s="408"/>
      <c r="I629" s="408"/>
      <c r="J629" s="408"/>
      <c r="K629" s="408"/>
      <c r="N629" s="407"/>
      <c r="O629" s="407"/>
      <c r="P629" s="407"/>
      <c r="Q629" s="407"/>
      <c r="R629" s="407"/>
      <c r="S629" s="407"/>
      <c r="T629" s="407"/>
      <c r="V629" s="588"/>
      <c r="W629" s="588"/>
      <c r="X629" s="588"/>
      <c r="Y629" s="588"/>
      <c r="Z629" s="588"/>
      <c r="AA629" s="588"/>
      <c r="AB629" s="588"/>
    </row>
    <row r="630" spans="1:28" ht="19.95" customHeight="1">
      <c r="A630" s="395"/>
      <c r="B630" s="395"/>
      <c r="C630" s="138"/>
    </row>
    <row r="631" spans="1:28" ht="19.95" customHeight="1">
      <c r="A631" s="395" t="s">
        <v>1078</v>
      </c>
      <c r="B631" s="395"/>
      <c r="C631" s="138"/>
    </row>
    <row r="632" spans="1:28" ht="19.95" customHeight="1">
      <c r="A632" s="395" t="s">
        <v>1108</v>
      </c>
      <c r="B632" s="395"/>
      <c r="C632" s="395"/>
    </row>
    <row r="633" spans="1:28" ht="19.95" customHeight="1">
      <c r="A633" s="395"/>
      <c r="B633" s="395"/>
      <c r="C633" s="395"/>
    </row>
    <row r="634" spans="1:28" ht="19.95" customHeight="1">
      <c r="A634" s="393" t="s">
        <v>1167</v>
      </c>
      <c r="B634" s="395"/>
      <c r="C634" s="395"/>
    </row>
    <row r="635" spans="1:28" ht="19.95" customHeight="1">
      <c r="A635" s="393" t="s">
        <v>1075</v>
      </c>
      <c r="B635" s="417">
        <f>SQRT((H626-H627)/2)/AVERAGE(H612:H621)</f>
        <v>2.5859218939913689E-3</v>
      </c>
      <c r="C635" s="393" t="s">
        <v>1076</v>
      </c>
    </row>
    <row r="636" spans="1:28" ht="19.95" customHeight="1">
      <c r="A636" s="395"/>
      <c r="B636" s="395"/>
      <c r="C636" s="138"/>
    </row>
    <row r="637" spans="1:28" ht="19.95" customHeight="1">
      <c r="A637" s="393" t="s">
        <v>1168</v>
      </c>
      <c r="B637" s="404"/>
      <c r="C637" s="405"/>
    </row>
    <row r="638" spans="1:28" ht="19.95" customHeight="1">
      <c r="A638" s="393" t="s">
        <v>1075</v>
      </c>
      <c r="B638" s="417">
        <f>SQRT(H627)/AVERAGE(H612:H621)</f>
        <v>8.6779718147613847E-3</v>
      </c>
      <c r="C638" s="393" t="s">
        <v>1076</v>
      </c>
    </row>
    <row r="640" spans="1:28" s="148" customFormat="1" ht="19.95" customHeight="1">
      <c r="A640" s="233" t="s">
        <v>1182</v>
      </c>
      <c r="B640" s="430"/>
      <c r="C640" s="233"/>
      <c r="D640" s="431"/>
      <c r="E640" s="431"/>
    </row>
    <row r="641" spans="1:5" ht="19.95" customHeight="1">
      <c r="A641" s="395"/>
      <c r="B641" s="395"/>
      <c r="C641" s="138"/>
      <c r="D641" s="96"/>
      <c r="E641" s="96"/>
    </row>
    <row r="642" spans="1:5" ht="19.95" customHeight="1">
      <c r="A642" s="398" t="s">
        <v>4</v>
      </c>
      <c r="B642" s="398" t="s">
        <v>1134</v>
      </c>
      <c r="C642" s="398" t="s">
        <v>1135</v>
      </c>
      <c r="D642" s="421" t="s">
        <v>260</v>
      </c>
      <c r="E642" s="421" t="s">
        <v>270</v>
      </c>
    </row>
    <row r="643" spans="1:5" ht="19.95" customHeight="1">
      <c r="A643" s="396" t="s">
        <v>96</v>
      </c>
      <c r="B643" s="396"/>
      <c r="C643" s="140"/>
      <c r="D643" s="100"/>
      <c r="E643" s="100"/>
    </row>
    <row r="644" spans="1:5" ht="19.95" customHeight="1">
      <c r="A644" s="363" t="str">
        <f>A612</f>
        <v>MOOS009a</v>
      </c>
      <c r="B644" s="154">
        <f t="shared" ref="B644:C644" si="78">B612</f>
        <v>0.13181382629092581</v>
      </c>
      <c r="C644" s="138">
        <f t="shared" si="78"/>
        <v>0.13482069636607463</v>
      </c>
      <c r="D644" s="96">
        <f>AVERAGE(B644:C644)</f>
        <v>0.13331726132850022</v>
      </c>
      <c r="E644" s="96">
        <f>D644*$B$638</f>
        <v>1.1569234362299029E-3</v>
      </c>
    </row>
    <row r="645" spans="1:5" ht="19.95" customHeight="1">
      <c r="A645" s="363" t="str">
        <f t="shared" ref="A645:C645" si="79">A613</f>
        <v>MOOS047a</v>
      </c>
      <c r="B645" s="154">
        <f t="shared" si="79"/>
        <v>0.13424500114412732</v>
      </c>
      <c r="C645" s="138">
        <f t="shared" si="79"/>
        <v>0.13361692055250785</v>
      </c>
      <c r="D645" s="96">
        <f t="shared" ref="D645:D653" si="80">AVERAGE(B645:C645)</f>
        <v>0.13393096084831757</v>
      </c>
      <c r="E645" s="96">
        <f t="shared" ref="E645:E653" si="81">D645*$B$638</f>
        <v>1.1622491033656103E-3</v>
      </c>
    </row>
    <row r="646" spans="1:5" ht="19.95" customHeight="1">
      <c r="A646" s="363" t="str">
        <f t="shared" ref="A646:C646" si="82">A614</f>
        <v>MOOS085a</v>
      </c>
      <c r="B646" s="154">
        <f t="shared" si="82"/>
        <v>0.13455547787755637</v>
      </c>
      <c r="C646" s="138">
        <f t="shared" si="82"/>
        <v>0.13300791103633045</v>
      </c>
      <c r="D646" s="96">
        <f t="shared" si="80"/>
        <v>0.13378169445694341</v>
      </c>
      <c r="E646" s="96">
        <f t="shared" si="81"/>
        <v>1.1609537738283742E-3</v>
      </c>
    </row>
    <row r="647" spans="1:5" ht="19.95" customHeight="1">
      <c r="A647" s="363" t="str">
        <f t="shared" ref="A647:C647" si="83">A615</f>
        <v>MOOS123a</v>
      </c>
      <c r="B647" s="154">
        <f t="shared" si="83"/>
        <v>0.13394840169712791</v>
      </c>
      <c r="C647" s="138">
        <f t="shared" si="83"/>
        <v>0.13378734541181078</v>
      </c>
      <c r="D647" s="96">
        <f t="shared" si="80"/>
        <v>0.13386787355446933</v>
      </c>
      <c r="E647" s="96">
        <f t="shared" si="81"/>
        <v>1.1617016336077258E-3</v>
      </c>
    </row>
    <row r="648" spans="1:5" ht="19.95" customHeight="1">
      <c r="A648" s="363" t="str">
        <f t="shared" ref="A648:C648" si="84">A616</f>
        <v>MOOS161a</v>
      </c>
      <c r="B648" s="154">
        <f t="shared" si="84"/>
        <v>0.13325247048440872</v>
      </c>
      <c r="C648" s="138">
        <f t="shared" si="84"/>
        <v>0.1313377562359386</v>
      </c>
      <c r="D648" s="96">
        <f t="shared" si="80"/>
        <v>0.13229511336017366</v>
      </c>
      <c r="E648" s="96">
        <f t="shared" si="81"/>
        <v>1.1480532649702493E-3</v>
      </c>
    </row>
    <row r="649" spans="1:5" ht="19.95" customHeight="1">
      <c r="A649" s="363" t="str">
        <f t="shared" ref="A649:C649" si="85">A617</f>
        <v>MOOS199a</v>
      </c>
      <c r="B649" s="154">
        <f t="shared" si="85"/>
        <v>0.13336211154675551</v>
      </c>
      <c r="C649" s="138">
        <f t="shared" si="85"/>
        <v>0.13151505513866238</v>
      </c>
      <c r="D649" s="96">
        <f t="shared" si="80"/>
        <v>0.13243858334270894</v>
      </c>
      <c r="E649" s="96">
        <f t="shared" si="81"/>
        <v>1.1492982934349549E-3</v>
      </c>
    </row>
    <row r="650" spans="1:5" ht="19.95" customHeight="1">
      <c r="A650" s="363" t="str">
        <f t="shared" ref="A650:C650" si="86">A618</f>
        <v>MOOS237a</v>
      </c>
      <c r="B650" s="154">
        <f t="shared" si="86"/>
        <v>0.13304168443677344</v>
      </c>
      <c r="C650" s="138">
        <f t="shared" si="86"/>
        <v>0.13266366774393626</v>
      </c>
      <c r="D650" s="96">
        <f t="shared" si="80"/>
        <v>0.13285267609035484</v>
      </c>
      <c r="E650" s="96">
        <f t="shared" si="81"/>
        <v>1.1528917786277229E-3</v>
      </c>
    </row>
    <row r="651" spans="1:5" ht="19.95" customHeight="1">
      <c r="A651" s="363" t="str">
        <f t="shared" ref="A651:C651" si="87">A619</f>
        <v>MOOS275a</v>
      </c>
      <c r="B651" s="154">
        <f t="shared" si="87"/>
        <v>0.13013822741819611</v>
      </c>
      <c r="C651" s="138">
        <f t="shared" si="87"/>
        <v>0.13253981301343068</v>
      </c>
      <c r="D651" s="96">
        <f t="shared" si="80"/>
        <v>0.1313390202158134</v>
      </c>
      <c r="E651" s="96">
        <f t="shared" si="81"/>
        <v>1.1397563156112043E-3</v>
      </c>
    </row>
    <row r="652" spans="1:5" ht="19.95" customHeight="1">
      <c r="A652" s="363" t="str">
        <f t="shared" ref="A652:C652" si="88">A620</f>
        <v>MOOS313a</v>
      </c>
      <c r="B652" s="154">
        <f t="shared" si="88"/>
        <v>0.13290242703251368</v>
      </c>
      <c r="C652" s="138">
        <f t="shared" si="88"/>
        <v>0.13170377349256071</v>
      </c>
      <c r="D652" s="96">
        <f t="shared" si="80"/>
        <v>0.13230310026253719</v>
      </c>
      <c r="E652" s="96">
        <f t="shared" si="81"/>
        <v>1.1481225750838474E-3</v>
      </c>
    </row>
    <row r="653" spans="1:5" ht="19.95" customHeight="1">
      <c r="A653" s="286" t="str">
        <f t="shared" ref="A653:C653" si="89">A621</f>
        <v>MOOS351a</v>
      </c>
      <c r="B653" s="155">
        <f t="shared" si="89"/>
        <v>0.13174468544140255</v>
      </c>
      <c r="C653" s="140">
        <f t="shared" si="89"/>
        <v>0.13227944138088557</v>
      </c>
      <c r="D653" s="100">
        <f t="shared" si="80"/>
        <v>0.13201206341114408</v>
      </c>
      <c r="E653" s="100">
        <f t="shared" si="81"/>
        <v>1.145596965490401E-3</v>
      </c>
    </row>
    <row r="654" spans="1:5" ht="19.95" customHeight="1">
      <c r="A654" s="363"/>
      <c r="B654" s="157"/>
      <c r="C654" s="138"/>
      <c r="D654" s="96"/>
      <c r="E654" s="96"/>
    </row>
    <row r="655" spans="1:5" ht="19.95" customHeight="1">
      <c r="A655" s="88" t="s">
        <v>1175</v>
      </c>
      <c r="B655" s="157"/>
      <c r="C655" s="138"/>
      <c r="D655" s="96"/>
      <c r="E655" s="96"/>
    </row>
    <row r="656" spans="1:5" ht="19.95" customHeight="1">
      <c r="A656" s="363"/>
      <c r="B656" s="157"/>
      <c r="C656" s="138"/>
      <c r="D656" s="96"/>
      <c r="E656" s="96"/>
    </row>
    <row r="657" spans="1:5" ht="19.95" customHeight="1">
      <c r="A657" s="423" t="s">
        <v>229</v>
      </c>
      <c r="B657" s="157" t="s">
        <v>1186</v>
      </c>
      <c r="C657" s="138"/>
      <c r="D657" s="96"/>
      <c r="E657" s="96"/>
    </row>
    <row r="658" spans="1:5" ht="19.95" customHeight="1">
      <c r="A658" s="424" t="s">
        <v>1171</v>
      </c>
      <c r="B658" s="161" t="s">
        <v>1187</v>
      </c>
      <c r="C658" s="393"/>
      <c r="D658" s="96"/>
      <c r="E658" s="96"/>
    </row>
    <row r="659" spans="1:5" ht="19.95" customHeight="1">
      <c r="A659" s="424" t="s">
        <v>1172</v>
      </c>
      <c r="B659" s="425">
        <v>2</v>
      </c>
      <c r="C659" s="393"/>
      <c r="D659" s="96"/>
      <c r="E659" s="96"/>
    </row>
    <row r="660" spans="1:5" ht="19.95" customHeight="1">
      <c r="A660" s="424"/>
      <c r="B660" s="422"/>
      <c r="C660" s="393"/>
      <c r="D660" s="96"/>
      <c r="E660" s="96"/>
    </row>
    <row r="661" spans="1:5" ht="19.95" customHeight="1">
      <c r="A661" s="426" t="s">
        <v>299</v>
      </c>
      <c r="B661" s="422"/>
      <c r="C661" s="393"/>
      <c r="D661" s="96"/>
      <c r="E661" s="96"/>
    </row>
    <row r="662" spans="1:5" ht="19.95" customHeight="1">
      <c r="A662" s="365">
        <v>0.1328048</v>
      </c>
      <c r="B662" s="422"/>
      <c r="C662" s="393"/>
      <c r="D662" s="96"/>
      <c r="E662" s="96"/>
    </row>
    <row r="663" spans="1:5" ht="19.95" customHeight="1">
      <c r="A663" s="426"/>
      <c r="B663" s="422"/>
      <c r="C663" s="393"/>
      <c r="D663" s="96"/>
      <c r="E663" s="96"/>
    </row>
    <row r="664" spans="1:5" ht="19.95" customHeight="1">
      <c r="A664" s="426" t="s">
        <v>300</v>
      </c>
      <c r="B664" s="422"/>
      <c r="C664" s="393"/>
      <c r="D664" s="96"/>
      <c r="E664" s="96"/>
    </row>
    <row r="665" spans="1:5" ht="19.95" customHeight="1">
      <c r="A665" s="365">
        <v>2.7979799999999999E-4</v>
      </c>
      <c r="B665" s="422"/>
      <c r="C665" s="393"/>
      <c r="D665" s="96"/>
      <c r="E665" s="96"/>
    </row>
    <row r="666" spans="1:5" ht="19.95" customHeight="1">
      <c r="A666" s="426"/>
      <c r="B666" s="422"/>
      <c r="C666" s="393"/>
      <c r="D666" s="96"/>
      <c r="E666" s="96"/>
    </row>
    <row r="667" spans="1:5" ht="19.95" customHeight="1">
      <c r="A667" s="426" t="s">
        <v>301</v>
      </c>
      <c r="B667" s="422"/>
      <c r="C667" s="393"/>
      <c r="D667" s="96"/>
      <c r="E667" s="96"/>
    </row>
    <row r="668" spans="1:5" ht="19.95" customHeight="1">
      <c r="A668" s="365">
        <v>3.4458900000000002E-4</v>
      </c>
      <c r="B668" s="422"/>
      <c r="C668" s="393"/>
      <c r="D668" s="96"/>
      <c r="E668" s="96"/>
    </row>
    <row r="669" spans="1:5" ht="19.95" customHeight="1">
      <c r="A669" s="426"/>
      <c r="B669" s="422"/>
      <c r="C669" s="393"/>
      <c r="D669" s="96"/>
      <c r="E669" s="96"/>
    </row>
    <row r="670" spans="1:5" ht="19.95" customHeight="1">
      <c r="A670" s="393" t="s">
        <v>1167</v>
      </c>
      <c r="B670" s="422"/>
      <c r="C670" s="393"/>
      <c r="D670" s="96"/>
      <c r="E670" s="96"/>
    </row>
    <row r="671" spans="1:5" ht="19.95" customHeight="1">
      <c r="A671" s="426" t="s">
        <v>1176</v>
      </c>
      <c r="B671" s="422"/>
      <c r="C671" s="393"/>
      <c r="D671" s="96"/>
      <c r="E671" s="96"/>
    </row>
    <row r="672" spans="1:5" ht="19.95" customHeight="1">
      <c r="A672" s="161">
        <v>2.5947019999999999E-3</v>
      </c>
      <c r="B672" s="422"/>
      <c r="C672" s="393"/>
      <c r="D672" s="96"/>
      <c r="E672" s="96"/>
    </row>
    <row r="674" s="149" customFormat="1" ht="19.95" customHeight="1"/>
  </sheetData>
  <sheetProtection sheet="1" objects="1" scenarios="1"/>
  <sortState xmlns:xlrd2="http://schemas.microsoft.com/office/spreadsheetml/2017/richdata2" ref="J98:K117">
    <sortCondition ref="K98:K117"/>
  </sortState>
  <phoneticPr fontId="55" type="noConversion"/>
  <conditionalFormatting sqref="A1">
    <cfRule type="duplicateValues" dxfId="32" priority="1"/>
  </conditionalFormatting>
  <pageMargins left="0.7" right="0.7" top="0.75" bottom="0.75" header="0.3" footer="0.3"/>
  <pageSetup scale="1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tabColor theme="5" tint="0.59999389629810485"/>
    <pageSetUpPr fitToPage="1"/>
  </sheetPr>
  <dimension ref="A1:BP1398"/>
  <sheetViews>
    <sheetView zoomScaleNormal="100" workbookViewId="0">
      <selection activeCell="A3" sqref="A3"/>
    </sheetView>
  </sheetViews>
  <sheetFormatPr defaultColWidth="12.77734375" defaultRowHeight="19.95" customHeight="1"/>
  <cols>
    <col min="1" max="3" width="12.77734375" style="50"/>
    <col min="4" max="4" width="12.77734375" style="151"/>
    <col min="5" max="30" width="12.77734375" style="50"/>
    <col min="31" max="32" width="12.77734375" style="190"/>
    <col min="33" max="16384" width="12.77734375" style="50"/>
  </cols>
  <sheetData>
    <row r="1" spans="1:4" s="355" customFormat="1" ht="19.95" customHeight="1">
      <c r="D1" s="1011"/>
    </row>
    <row r="2" spans="1:4" s="481" customFormat="1" ht="19.95" customHeight="1">
      <c r="D2" s="479"/>
    </row>
    <row r="3" spans="1:4" s="481" customFormat="1" ht="19.95" customHeight="1">
      <c r="A3" s="480" t="s">
        <v>314</v>
      </c>
      <c r="D3" s="479"/>
    </row>
    <row r="4" spans="1:4" s="481" customFormat="1" ht="19.95" customHeight="1">
      <c r="D4" s="479"/>
    </row>
    <row r="5" spans="1:4" s="481" customFormat="1" ht="19.95" customHeight="1">
      <c r="A5" s="480" t="s">
        <v>315</v>
      </c>
      <c r="B5" s="480" t="s">
        <v>185</v>
      </c>
      <c r="D5" s="479"/>
    </row>
    <row r="6" spans="1:4" s="588" customFormat="1" ht="19.95" customHeight="1">
      <c r="A6" s="588">
        <f>ROW(A32)</f>
        <v>32</v>
      </c>
      <c r="B6" s="588" t="str">
        <f>A32</f>
        <v>Number of MonteCarlo simulations for uncertainty evaluation set at 2000</v>
      </c>
      <c r="D6" s="479"/>
    </row>
    <row r="7" spans="1:4" s="588" customFormat="1" ht="19.95" customHeight="1">
      <c r="A7" s="588">
        <f>ROW(A35)</f>
        <v>35</v>
      </c>
      <c r="B7" s="588" t="str">
        <f>A35</f>
        <v>Uncertainty on mass measurements (verified on 2024-04-10)</v>
      </c>
      <c r="D7" s="479"/>
    </row>
    <row r="8" spans="1:4" s="481" customFormat="1" ht="19.95" customHeight="1">
      <c r="A8" s="481">
        <f>ROW(A50)</f>
        <v>50</v>
      </c>
      <c r="B8" s="481" t="str">
        <f>A50</f>
        <v>Determination of density MOOS-4, LNWS, SALT-1, MOOS-3 (verified on 2024-04-10)</v>
      </c>
      <c r="D8" s="479"/>
    </row>
    <row r="9" spans="1:4" s="488" customFormat="1" ht="19.95" customHeight="1">
      <c r="A9" s="494">
        <f>ROW(A74)</f>
        <v>74</v>
      </c>
      <c r="B9" s="494" t="str">
        <f>A74</f>
        <v>Sequences for the determination of nutrients in MOOS-4 week-1</v>
      </c>
      <c r="D9" s="479"/>
    </row>
    <row r="10" spans="1:4" s="488" customFormat="1" ht="19.95" customHeight="1">
      <c r="A10" s="494">
        <f>ROW(A109)</f>
        <v>109</v>
      </c>
      <c r="B10" s="494" t="str">
        <f>A109</f>
        <v>Sequences for the determination of nutrients in MOOS-4 week-2</v>
      </c>
      <c r="D10" s="479"/>
    </row>
    <row r="11" spans="1:4" s="488" customFormat="1" ht="19.95" customHeight="1">
      <c r="A11" s="505">
        <f>ROW(A143)</f>
        <v>143</v>
      </c>
      <c r="B11" s="505" t="str">
        <f>A143</f>
        <v>Planning the quantitative analysis: preparation of the calibration standards</v>
      </c>
      <c r="D11" s="479"/>
    </row>
    <row r="12" spans="1:4" s="488" customFormat="1" ht="19.95" customHeight="1">
      <c r="A12" s="530">
        <f>ROW(A155)</f>
        <v>155</v>
      </c>
      <c r="B12" s="530" t="str">
        <f>A155</f>
        <v>Primary standards and atomic weights (verified on 2024-04-10)</v>
      </c>
      <c r="D12" s="479"/>
    </row>
    <row r="13" spans="1:4" s="530" customFormat="1" ht="19.95" customHeight="1">
      <c r="A13" s="530">
        <f>ROW(A216)</f>
        <v>216</v>
      </c>
      <c r="B13" s="60" t="str">
        <f>A216</f>
        <v>Preparation of the SALT-1 QC sample (verified 2024-04-10)</v>
      </c>
      <c r="D13" s="479"/>
    </row>
    <row r="14" spans="1:4" s="561" customFormat="1" ht="19.95" customHeight="1">
      <c r="A14" s="561">
        <f>ROW(A239)</f>
        <v>239</v>
      </c>
      <c r="B14" s="60" t="str">
        <f>A239</f>
        <v>Weight of the MOOS-4 units</v>
      </c>
      <c r="D14" s="479"/>
    </row>
    <row r="15" spans="1:4" s="588" customFormat="1" ht="19.95" customHeight="1">
      <c r="A15" s="588">
        <f>ROW(A257)</f>
        <v>257</v>
      </c>
      <c r="B15" s="60" t="str">
        <f>A257</f>
        <v>Matrix effect for nitrite, phosphate, silicate by UV-vis (MOOS-4 matrix vs LNSW, verified 2024-05-03)</v>
      </c>
      <c r="D15" s="479"/>
    </row>
    <row r="16" spans="1:4" s="530" customFormat="1" ht="19.95" customHeight="1">
      <c r="A16" s="530">
        <f>ROW(A270)</f>
        <v>270</v>
      </c>
      <c r="B16" s="60" t="str">
        <f>A270</f>
        <v>2024-02-20 and 2024-02-21 Characterization MOOS-4 [WEEK 1; DAY 1 and 2]: sample preparation (verified 2024-04-11)</v>
      </c>
      <c r="D16" s="479"/>
    </row>
    <row r="17" spans="1:4" s="588" customFormat="1" ht="19.95" customHeight="1">
      <c r="A17" s="588">
        <f>ROW(A545)</f>
        <v>545</v>
      </c>
      <c r="B17" s="60" t="str">
        <f>A545</f>
        <v>2024-02-20 and 2024-02-21 Characterization MOOS-4 [WEEK 1; DAY 1 and 2]: data analysis (verified 2024-04-19)</v>
      </c>
      <c r="D17" s="479"/>
    </row>
    <row r="18" spans="1:4" s="588" customFormat="1" ht="19.95" customHeight="1">
      <c r="A18" s="588">
        <f>ROW(A762)</f>
        <v>762</v>
      </c>
      <c r="B18" s="60" t="str">
        <f>A762</f>
        <v>2024-03-05 and 2024-03-06 Characterization MOOS-4 [WEEK 2; DAY 1 and 2]: sample preparation (verified 2024-04-19)</v>
      </c>
      <c r="D18" s="479"/>
    </row>
    <row r="19" spans="1:4" s="588" customFormat="1" ht="19.95" customHeight="1">
      <c r="A19" s="588">
        <f>ROW(A927)</f>
        <v>927</v>
      </c>
      <c r="B19" s="60" t="str">
        <f>A927</f>
        <v>2024-03-05 and 2024-03-06 Characterization MOOS-4 [WEEK 2; DAY 1 and 2]: data analysis (verified 2024-04-19)</v>
      </c>
      <c r="D19" s="479"/>
    </row>
    <row r="20" spans="1:4" s="588" customFormat="1" ht="19.95" customHeight="1">
      <c r="A20" s="588">
        <f>ROW(A1074)</f>
        <v>1074</v>
      </c>
      <c r="B20" s="60" t="str">
        <f>A1074</f>
        <v>EtONO and EtONO2 signals on MOOS-4 without derivatization</v>
      </c>
      <c r="D20" s="479"/>
    </row>
    <row r="21" spans="1:4" s="588" customFormat="1" ht="19.95" customHeight="1">
      <c r="A21" s="588">
        <f>ROW(A1082)</f>
        <v>1082</v>
      </c>
      <c r="B21" s="60" t="str">
        <f>A1082</f>
        <v>Difference between isotopic composition of sample (RA) and standard (RA*)</v>
      </c>
      <c r="D21" s="479"/>
    </row>
    <row r="22" spans="1:4" s="588" customFormat="1" ht="19.95" customHeight="1">
      <c r="A22" s="588">
        <f>ROW(A1120)</f>
        <v>1120</v>
      </c>
      <c r="B22" s="60" t="str">
        <f>A1120</f>
        <v>2024-03-21 Characterization MOOS-4 [Silicate LC-ICPMS Zuzana]: sample preparation (verified 2024-04-24)</v>
      </c>
      <c r="D22" s="479"/>
    </row>
    <row r="23" spans="1:4" s="588" customFormat="1" ht="19.95" customHeight="1">
      <c r="A23" s="588">
        <f>ROW(A1160)</f>
        <v>1160</v>
      </c>
      <c r="B23" s="60" t="str">
        <f>A1160</f>
        <v>2024-03-21 Characterization MOOS-4 [Silicate LC-ICPMS Zuzana]: data analysis (verified 2024-05-10)</v>
      </c>
      <c r="D23" s="479"/>
    </row>
    <row r="24" spans="1:4" s="588" customFormat="1" ht="19.95" customHeight="1">
      <c r="A24" s="588">
        <f>ROW(A1189)</f>
        <v>1189</v>
      </c>
      <c r="B24" s="60" t="str">
        <f>A1189</f>
        <v>CHAR summary nitrite (verified 2024-05-08)</v>
      </c>
      <c r="D24" s="479"/>
    </row>
    <row r="25" spans="1:4" s="588" customFormat="1" ht="19.95" customHeight="1">
      <c r="A25" s="588">
        <f>ROW(A1230)</f>
        <v>1230</v>
      </c>
      <c r="B25" s="60" t="str">
        <f>A1230</f>
        <v>CHAR summary nitrate (verified 2024-05-08)</v>
      </c>
      <c r="D25" s="479"/>
    </row>
    <row r="26" spans="1:4" s="588" customFormat="1" ht="19.95" customHeight="1">
      <c r="A26" s="588">
        <f>ROW(A1255)</f>
        <v>1255</v>
      </c>
      <c r="B26" s="60" t="str">
        <f>A1255</f>
        <v>CHAR summary phosphate (verified 2024-05-08)</v>
      </c>
      <c r="D26" s="479"/>
    </row>
    <row r="27" spans="1:4" s="588" customFormat="1" ht="19.95" customHeight="1">
      <c r="A27" s="588">
        <f>ROW(A1281)</f>
        <v>1281</v>
      </c>
      <c r="B27" s="60" t="str">
        <f>A1281</f>
        <v>CHAR summary silicate (verified 2024-05-08)</v>
      </c>
      <c r="D27" s="479"/>
    </row>
    <row r="28" spans="1:4" s="588" customFormat="1" ht="19.95" customHeight="1">
      <c r="A28" s="588">
        <f>ROW(A1312)</f>
        <v>1312</v>
      </c>
      <c r="B28" s="60" t="str">
        <f>A1312</f>
        <v>HOM data phosphate (verified 2024-05-09)</v>
      </c>
      <c r="D28" s="479"/>
    </row>
    <row r="29" spans="1:4" s="588" customFormat="1" ht="19.95" customHeight="1">
      <c r="A29" s="588">
        <f>ROW(A1340)</f>
        <v>1340</v>
      </c>
      <c r="B29" s="60" t="str">
        <f>A1340</f>
        <v>HOM data nitrite (verified 2024-05-10)</v>
      </c>
      <c r="D29" s="479"/>
    </row>
    <row r="30" spans="1:4" s="588" customFormat="1" ht="19.95" customHeight="1">
      <c r="A30" s="588">
        <f>ROW(A1368)</f>
        <v>1368</v>
      </c>
      <c r="B30" s="60" t="str">
        <f>A1368</f>
        <v>HOM data silicate (verified 2024-05-10)</v>
      </c>
      <c r="D30" s="479"/>
    </row>
    <row r="31" spans="1:4" s="588" customFormat="1" ht="19.95" customHeight="1">
      <c r="B31" s="60"/>
      <c r="D31" s="479"/>
    </row>
    <row r="32" spans="1:4" s="150" customFormat="1" ht="19.95" customHeight="1">
      <c r="A32" s="150" t="s">
        <v>2701</v>
      </c>
      <c r="B32" s="630"/>
      <c r="D32" s="631"/>
    </row>
    <row r="33" spans="1:4" s="588" customFormat="1" ht="19.95" customHeight="1">
      <c r="A33" s="588">
        <v>2000</v>
      </c>
      <c r="B33" s="60"/>
      <c r="D33" s="479"/>
    </row>
    <row r="34" spans="1:4" s="588" customFormat="1" ht="19.95" customHeight="1">
      <c r="B34" s="60"/>
      <c r="D34" s="479"/>
    </row>
    <row r="35" spans="1:4" s="150" customFormat="1" ht="19.95" customHeight="1">
      <c r="A35" s="150" t="s">
        <v>2128</v>
      </c>
      <c r="B35" s="630"/>
      <c r="D35" s="631"/>
    </row>
    <row r="36" spans="1:4" s="588" customFormat="1" ht="19.95" customHeight="1">
      <c r="B36" s="60"/>
      <c r="D36" s="479"/>
    </row>
    <row r="37" spans="1:4" s="588" customFormat="1" ht="19.95" customHeight="1">
      <c r="A37" s="588" t="s">
        <v>2123</v>
      </c>
      <c r="B37" s="60"/>
      <c r="D37" s="479"/>
    </row>
    <row r="38" spans="1:4" s="588" customFormat="1" ht="19.95" customHeight="1">
      <c r="B38" s="60"/>
      <c r="D38" s="479"/>
    </row>
    <row r="39" spans="1:4" s="588" customFormat="1" ht="19.95" customHeight="1">
      <c r="A39" s="523" t="s">
        <v>2124</v>
      </c>
      <c r="B39" s="60">
        <v>2.0000000000000001E-4</v>
      </c>
      <c r="C39" s="588" t="s">
        <v>64</v>
      </c>
      <c r="D39" s="479" t="s">
        <v>2125</v>
      </c>
    </row>
    <row r="40" spans="1:4" s="588" customFormat="1" ht="19.95" customHeight="1">
      <c r="B40" s="60"/>
      <c r="D40" s="479"/>
    </row>
    <row r="41" spans="1:4" s="588" customFormat="1" ht="19.95" customHeight="1">
      <c r="A41" s="588" t="s">
        <v>2126</v>
      </c>
      <c r="B41" s="60"/>
      <c r="D41" s="479"/>
    </row>
    <row r="42" spans="1:4" s="588" customFormat="1" ht="19.95" customHeight="1">
      <c r="A42" s="588" t="str">
        <f>"See RND line number: " &amp;ROW(RND!A30)</f>
        <v>See RND line number: 30</v>
      </c>
      <c r="B42" s="60"/>
      <c r="D42" s="479"/>
    </row>
    <row r="43" spans="1:4" s="588" customFormat="1" ht="19.95" customHeight="1">
      <c r="B43" s="60"/>
      <c r="D43" s="479"/>
    </row>
    <row r="44" spans="1:4" s="588" customFormat="1" ht="19.95" customHeight="1">
      <c r="A44" s="523" t="s">
        <v>2124</v>
      </c>
      <c r="B44" s="60">
        <f>RND!B51</f>
        <v>2E-3</v>
      </c>
      <c r="C44" s="588" t="s">
        <v>64</v>
      </c>
      <c r="D44" s="479" t="s">
        <v>2125</v>
      </c>
    </row>
    <row r="45" spans="1:4" s="588" customFormat="1" ht="19.95" customHeight="1">
      <c r="A45" s="523"/>
      <c r="B45" s="60"/>
      <c r="D45" s="479"/>
    </row>
    <row r="46" spans="1:4" s="588" customFormat="1" ht="19.95" customHeight="1">
      <c r="A46" s="588" t="s">
        <v>2177</v>
      </c>
      <c r="B46" s="60"/>
      <c r="D46" s="479"/>
    </row>
    <row r="47" spans="1:4" s="588" customFormat="1" ht="19.95" customHeight="1">
      <c r="A47" s="523"/>
      <c r="B47" s="60"/>
      <c r="D47" s="479"/>
    </row>
    <row r="48" spans="1:4" s="588" customFormat="1" ht="19.95" customHeight="1">
      <c r="A48" s="523" t="s">
        <v>2389</v>
      </c>
      <c r="B48" s="60">
        <f>SQRT(SUMSQ(u_m1,u_m1))</f>
        <v>2.8284271247461902E-4</v>
      </c>
      <c r="C48" s="588" t="s">
        <v>64</v>
      </c>
      <c r="D48" s="479" t="s">
        <v>2125</v>
      </c>
    </row>
    <row r="49" spans="1:29" s="481" customFormat="1" ht="19.95" customHeight="1">
      <c r="D49" s="479"/>
    </row>
    <row r="50" spans="1:29" s="149" customFormat="1" ht="19.95" customHeight="1">
      <c r="A50" s="150" t="s">
        <v>2127</v>
      </c>
      <c r="D50" s="163"/>
    </row>
    <row r="51" spans="1:29" s="481" customFormat="1" ht="19.95" customHeight="1">
      <c r="D51" s="479"/>
    </row>
    <row r="52" spans="1:29" s="488" customFormat="1" ht="19.95" customHeight="1">
      <c r="A52" s="499"/>
      <c r="B52" s="499"/>
      <c r="C52" s="499"/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500" t="s">
        <v>135</v>
      </c>
      <c r="Z52" s="500"/>
      <c r="AA52" s="500"/>
      <c r="AB52" s="500"/>
      <c r="AC52" s="500"/>
    </row>
    <row r="53" spans="1:29" s="488" customFormat="1" ht="19.95" customHeight="1">
      <c r="A53" s="493" t="s">
        <v>100</v>
      </c>
      <c r="B53" s="61" t="s">
        <v>2</v>
      </c>
      <c r="C53" s="61" t="s">
        <v>3</v>
      </c>
      <c r="D53" s="70" t="s">
        <v>75</v>
      </c>
      <c r="E53" s="61" t="s">
        <v>79</v>
      </c>
      <c r="F53" s="61" t="s">
        <v>80</v>
      </c>
      <c r="G53" s="59" t="s">
        <v>211</v>
      </c>
      <c r="H53" s="59" t="s">
        <v>212</v>
      </c>
      <c r="I53" s="59" t="s">
        <v>213</v>
      </c>
      <c r="J53" s="59" t="s">
        <v>214</v>
      </c>
      <c r="K53" s="59" t="s">
        <v>215</v>
      </c>
      <c r="L53" s="59" t="s">
        <v>216</v>
      </c>
      <c r="M53" s="88" t="s">
        <v>136</v>
      </c>
      <c r="N53" s="90" t="s">
        <v>137</v>
      </c>
      <c r="O53" s="88" t="s">
        <v>138</v>
      </c>
      <c r="P53" s="90" t="s">
        <v>139</v>
      </c>
      <c r="Q53" s="88" t="s">
        <v>140</v>
      </c>
      <c r="R53" s="90" t="s">
        <v>141</v>
      </c>
      <c r="S53" s="88" t="s">
        <v>142</v>
      </c>
      <c r="T53" s="90" t="s">
        <v>143</v>
      </c>
      <c r="U53" s="88" t="s">
        <v>144</v>
      </c>
      <c r="V53" s="90" t="s">
        <v>145</v>
      </c>
      <c r="W53" s="88" t="s">
        <v>146</v>
      </c>
      <c r="X53" s="90" t="s">
        <v>147</v>
      </c>
      <c r="Y53" s="91" t="s">
        <v>148</v>
      </c>
      <c r="Z53" s="91" t="s">
        <v>149</v>
      </c>
      <c r="AA53" s="91" t="s">
        <v>81</v>
      </c>
      <c r="AB53" s="91" t="s">
        <v>150</v>
      </c>
      <c r="AC53" s="91" t="s">
        <v>151</v>
      </c>
    </row>
    <row r="54" spans="1:29" s="488" customFormat="1" ht="19.95" customHeight="1">
      <c r="A54" s="490" t="s">
        <v>96</v>
      </c>
      <c r="B54" s="63" t="s">
        <v>89</v>
      </c>
      <c r="C54" s="63" t="s">
        <v>90</v>
      </c>
      <c r="D54" s="71" t="s">
        <v>91</v>
      </c>
      <c r="E54" s="63" t="s">
        <v>92</v>
      </c>
      <c r="F54" s="63" t="s">
        <v>74</v>
      </c>
      <c r="G54" s="135" t="s">
        <v>64</v>
      </c>
      <c r="H54" s="135" t="s">
        <v>64</v>
      </c>
      <c r="I54" s="135" t="s">
        <v>64</v>
      </c>
      <c r="J54" s="135" t="s">
        <v>64</v>
      </c>
      <c r="K54" s="135" t="s">
        <v>64</v>
      </c>
      <c r="L54" s="135" t="s">
        <v>64</v>
      </c>
      <c r="M54" s="92" t="s">
        <v>152</v>
      </c>
      <c r="N54" s="93" t="s">
        <v>153</v>
      </c>
      <c r="O54" s="92" t="s">
        <v>152</v>
      </c>
      <c r="P54" s="93" t="s">
        <v>153</v>
      </c>
      <c r="Q54" s="92" t="s">
        <v>64</v>
      </c>
      <c r="R54" s="93" t="s">
        <v>64</v>
      </c>
      <c r="S54" s="92" t="s">
        <v>64</v>
      </c>
      <c r="T54" s="93" t="s">
        <v>64</v>
      </c>
      <c r="U54" s="92" t="s">
        <v>64</v>
      </c>
      <c r="V54" s="93" t="s">
        <v>64</v>
      </c>
      <c r="W54" s="92" t="s">
        <v>152</v>
      </c>
      <c r="X54" s="93" t="s">
        <v>153</v>
      </c>
      <c r="Y54" s="501"/>
      <c r="Z54" s="501"/>
      <c r="AA54" s="501"/>
      <c r="AB54" s="501"/>
      <c r="AC54" s="501"/>
    </row>
    <row r="55" spans="1:29" s="488" customFormat="1" ht="19.95" customHeight="1">
      <c r="A55" s="492" t="s">
        <v>1190</v>
      </c>
      <c r="B55" s="66">
        <v>45314</v>
      </c>
      <c r="C55" s="66" t="s">
        <v>101</v>
      </c>
      <c r="D55" s="72" t="s">
        <v>94</v>
      </c>
      <c r="E55" s="83">
        <v>21.8</v>
      </c>
      <c r="F55" s="83">
        <v>18.899999999999999</v>
      </c>
      <c r="G55" s="67">
        <v>23.260100000000001</v>
      </c>
      <c r="H55" s="67">
        <v>-1E-4</v>
      </c>
      <c r="I55" s="67">
        <v>48.208100000000002</v>
      </c>
      <c r="J55" s="67">
        <v>-1E-4</v>
      </c>
      <c r="K55" s="67">
        <v>48.795000000000002</v>
      </c>
      <c r="L55" s="67">
        <v>0</v>
      </c>
      <c r="M55" s="191">
        <f>IF((AND(ISNUMBER(E55),ISNUMBER(F55))),(999.97495*(1-((((E55-3.983035)^2)*((E55+301.797)))/(522528.9*(E55+69.34881))))),"")</f>
        <v>997.81820031754728</v>
      </c>
      <c r="N55" s="192">
        <f>IF((AND(ISNUMBER(E55),ISNUMBER(F55))),((0.8394-(0.00128*E55)+(0.00011*(E55^2)))/2),"")</f>
        <v>0.4318862</v>
      </c>
      <c r="O55" s="136">
        <f>IF((AND(ISNUMBER(E55),ISNUMBER(F55))),(2.5242+(-0.003805*E55)+(-0.0113*(F55/100))+(-0.001618*760)),"")</f>
        <v>1.2094352999999995</v>
      </c>
      <c r="P55" s="159">
        <f>IF((AND(ISNUMBER(E55),ISNUMBER(F55))),(0.006),"")</f>
        <v>6.0000000000000001E-3</v>
      </c>
      <c r="Q55" s="136">
        <f>G55-H55/2</f>
        <v>23.260150000000003</v>
      </c>
      <c r="R55" s="137">
        <v>2.0000000000000001E-4</v>
      </c>
      <c r="S55" s="136">
        <f>I55-J55/2</f>
        <v>48.208150000000003</v>
      </c>
      <c r="T55" s="137">
        <v>2.0000000000000001E-4</v>
      </c>
      <c r="U55" s="136">
        <f>K55-L55/2</f>
        <v>48.795000000000002</v>
      </c>
      <c r="V55" s="137">
        <v>2.0000000000000001E-4</v>
      </c>
      <c r="W55" s="94">
        <f t="array" ref="W55:AC55">DenLiq(M55:V55)</f>
        <v>1021.261356231871</v>
      </c>
      <c r="X55" s="95">
        <v>0.44219330356518322</v>
      </c>
      <c r="Y55" s="99">
        <v>0.9993312834663497</v>
      </c>
      <c r="Z55" s="99">
        <v>1.018734290924715E-7</v>
      </c>
      <c r="AA55" s="99">
        <v>1.8063268998948521E-7</v>
      </c>
      <c r="AB55" s="99">
        <v>3.4198633556321834E-4</v>
      </c>
      <c r="AC55" s="99">
        <v>3.26447691968031E-4</v>
      </c>
    </row>
    <row r="56" spans="1:29" s="491" customFormat="1" ht="19.95" customHeight="1">
      <c r="A56" s="491" t="s">
        <v>1191</v>
      </c>
      <c r="B56" s="68">
        <v>45314</v>
      </c>
      <c r="C56" s="68" t="s">
        <v>101</v>
      </c>
      <c r="D56" s="73" t="s">
        <v>94</v>
      </c>
      <c r="E56" s="84">
        <v>21.8</v>
      </c>
      <c r="F56" s="84">
        <v>18.899999999999999</v>
      </c>
      <c r="G56" s="69">
        <v>23.2608</v>
      </c>
      <c r="H56" s="69">
        <v>2.0000000000000001E-4</v>
      </c>
      <c r="I56" s="69">
        <v>48.209299999999999</v>
      </c>
      <c r="J56" s="69">
        <v>-2.0000000000000001E-4</v>
      </c>
      <c r="K56" s="69">
        <v>48.794800000000002</v>
      </c>
      <c r="L56" s="69">
        <v>0</v>
      </c>
      <c r="M56" s="56">
        <f t="shared" ref="M56:M65" si="0">IF((AND(ISNUMBER(E56),ISNUMBER(F56))),(999.97495*(1-((((E56-3.983035)^2)*((E56+301.797)))/(522528.9*(E56+69.34881))))),"")</f>
        <v>997.81820031754728</v>
      </c>
      <c r="N56" s="193">
        <f t="shared" ref="N56:N65" si="1">IF((AND(ISNUMBER(E56),ISNUMBER(F56))),((0.8394-(0.00128*E56)+(0.00011*(E56^2)))/2),"")</f>
        <v>0.4318862</v>
      </c>
      <c r="O56" s="138">
        <f t="shared" ref="O56:O65" si="2">IF((AND(ISNUMBER(E56),ISNUMBER(F56))),(2.5242+(-0.003805*E56)+(-0.0113*(F56/100))+(-0.001618*760)),"")</f>
        <v>1.2094352999999995</v>
      </c>
      <c r="P56" s="160">
        <f t="shared" ref="P56:P65" si="3">IF((AND(ISNUMBER(E56),ISNUMBER(F56))),(0.006),"")</f>
        <v>6.0000000000000001E-3</v>
      </c>
      <c r="Q56" s="138">
        <f t="shared" ref="Q56:Q57" si="4">G56-H56/2</f>
        <v>23.2607</v>
      </c>
      <c r="R56" s="139">
        <v>2.0000000000000001E-4</v>
      </c>
      <c r="S56" s="138">
        <f t="shared" ref="S56:S57" si="5">I56-J56/2</f>
        <v>48.209400000000002</v>
      </c>
      <c r="T56" s="139">
        <v>2.0000000000000001E-4</v>
      </c>
      <c r="U56" s="138">
        <f t="shared" ref="U56:U57" si="6">K56-L56/2</f>
        <v>48.794800000000002</v>
      </c>
      <c r="V56" s="139">
        <v>2.0000000000000001E-4</v>
      </c>
      <c r="W56" s="97">
        <f t="array" ref="W56:AC56">DenLiq(M56:V56)</f>
        <v>1021.2027763091329</v>
      </c>
      <c r="X56" s="98">
        <v>0.44216790881327955</v>
      </c>
      <c r="Y56" s="99">
        <v>0.99933128486620615</v>
      </c>
      <c r="Z56" s="99">
        <v>1.0137658470528587E-7</v>
      </c>
      <c r="AA56" s="99">
        <v>1.7974164410093179E-7</v>
      </c>
      <c r="AB56" s="99">
        <v>3.4196714569753324E-4</v>
      </c>
      <c r="AC56" s="99">
        <v>3.2646686986764165E-4</v>
      </c>
    </row>
    <row r="57" spans="1:29" s="491" customFormat="1" ht="19.95" customHeight="1">
      <c r="A57" s="489" t="s">
        <v>1192</v>
      </c>
      <c r="B57" s="74">
        <v>45314</v>
      </c>
      <c r="C57" s="74" t="s">
        <v>101</v>
      </c>
      <c r="D57" s="75" t="s">
        <v>94</v>
      </c>
      <c r="E57" s="85">
        <v>21.8</v>
      </c>
      <c r="F57" s="85">
        <v>18.899999999999999</v>
      </c>
      <c r="G57" s="76">
        <v>23.260300000000001</v>
      </c>
      <c r="H57" s="76">
        <v>0</v>
      </c>
      <c r="I57" s="76">
        <v>48.207900000000002</v>
      </c>
      <c r="J57" s="76">
        <v>1E-4</v>
      </c>
      <c r="K57" s="76">
        <v>48.7928</v>
      </c>
      <c r="L57" s="76">
        <v>-2.0000000000000001E-4</v>
      </c>
      <c r="M57" s="169">
        <f t="shared" si="0"/>
        <v>997.81820031754728</v>
      </c>
      <c r="N57" s="194">
        <f t="shared" si="1"/>
        <v>0.4318862</v>
      </c>
      <c r="O57" s="140">
        <f t="shared" si="2"/>
        <v>1.2094352999999995</v>
      </c>
      <c r="P57" s="158">
        <f t="shared" si="3"/>
        <v>6.0000000000000001E-3</v>
      </c>
      <c r="Q57" s="140">
        <f t="shared" si="4"/>
        <v>23.260300000000001</v>
      </c>
      <c r="R57" s="141">
        <v>2.0000000000000001E-4</v>
      </c>
      <c r="S57" s="140">
        <f t="shared" si="5"/>
        <v>48.207850000000001</v>
      </c>
      <c r="T57" s="141">
        <v>2.0000000000000001E-4</v>
      </c>
      <c r="U57" s="140">
        <f t="shared" si="6"/>
        <v>48.792900000000003</v>
      </c>
      <c r="V57" s="141">
        <v>2.0000000000000001E-4</v>
      </c>
      <c r="W57" s="101">
        <f t="array" ref="W57:AC57">DenLiq(M57:V57)</f>
        <v>1021.1898724045265</v>
      </c>
      <c r="X57" s="102">
        <v>0.4421623303481042</v>
      </c>
      <c r="Y57" s="103">
        <v>0.99933121531145641</v>
      </c>
      <c r="Z57" s="103">
        <v>1.0126728900694628E-7</v>
      </c>
      <c r="AA57" s="103">
        <v>1.795644153066894E-7</v>
      </c>
      <c r="AB57" s="103">
        <v>3.419986497419364E-4</v>
      </c>
      <c r="AC57" s="103">
        <v>3.2650520709713002E-4</v>
      </c>
    </row>
    <row r="58" spans="1:29" s="586" customFormat="1" ht="19.95" customHeight="1">
      <c r="A58" s="586" t="s">
        <v>225</v>
      </c>
      <c r="B58" s="68">
        <v>45344</v>
      </c>
      <c r="C58" s="68" t="s">
        <v>101</v>
      </c>
      <c r="D58" s="73" t="s">
        <v>94</v>
      </c>
      <c r="E58" s="84">
        <v>21.8</v>
      </c>
      <c r="F58" s="84">
        <v>24.4</v>
      </c>
      <c r="G58" s="69">
        <v>23.2605</v>
      </c>
      <c r="H58" s="69">
        <v>-1E-4</v>
      </c>
      <c r="I58" s="69">
        <v>48.208300000000001</v>
      </c>
      <c r="J58" s="69">
        <v>1E-4</v>
      </c>
      <c r="K58" s="69">
        <v>48.8705</v>
      </c>
      <c r="L58" s="69">
        <v>-2.9999999999999997E-4</v>
      </c>
      <c r="M58" s="56">
        <f t="shared" si="0"/>
        <v>997.81820031754728</v>
      </c>
      <c r="N58" s="193">
        <f t="shared" si="1"/>
        <v>0.4318862</v>
      </c>
      <c r="O58" s="138">
        <f t="shared" si="2"/>
        <v>1.2088137999999997</v>
      </c>
      <c r="P58" s="160">
        <f t="shared" si="3"/>
        <v>6.0000000000000001E-3</v>
      </c>
      <c r="Q58" s="138">
        <f t="shared" ref="Q58:Q60" si="7">G58-H58/2</f>
        <v>23.260550000000002</v>
      </c>
      <c r="R58" s="139">
        <v>2.0000000000000001E-4</v>
      </c>
      <c r="S58" s="138">
        <f t="shared" ref="S58:S60" si="8">I58-J58/2</f>
        <v>48.20825</v>
      </c>
      <c r="T58" s="139">
        <v>2.0000000000000001E-4</v>
      </c>
      <c r="U58" s="138">
        <f t="shared" ref="U58:U60" si="9">K58-L58/2</f>
        <v>48.870649999999998</v>
      </c>
      <c r="V58" s="139">
        <v>2.0000000000000001E-4</v>
      </c>
      <c r="W58" s="97">
        <f t="array" ref="W58:AC58">DenLiq(M58:V58)</f>
        <v>1024.2797201221474</v>
      </c>
      <c r="X58" s="98">
        <v>0.44350135344053093</v>
      </c>
      <c r="Y58" s="99">
        <v>0.99933311345447984</v>
      </c>
      <c r="Z58" s="99">
        <v>1.2903045341419155E-7</v>
      </c>
      <c r="AA58" s="99">
        <v>2.2879084090224422E-7</v>
      </c>
      <c r="AB58" s="99">
        <v>3.4199561330262E-4</v>
      </c>
      <c r="AC58" s="99">
        <v>3.2453311092314014E-4</v>
      </c>
    </row>
    <row r="59" spans="1:29" s="586" customFormat="1" ht="19.95" customHeight="1">
      <c r="A59" s="586" t="s">
        <v>225</v>
      </c>
      <c r="B59" s="68">
        <v>45344</v>
      </c>
      <c r="C59" s="68" t="s">
        <v>101</v>
      </c>
      <c r="D59" s="73" t="s">
        <v>94</v>
      </c>
      <c r="E59" s="84">
        <v>21.8</v>
      </c>
      <c r="F59" s="84">
        <v>24.4</v>
      </c>
      <c r="G59" s="69">
        <v>23.261299999999999</v>
      </c>
      <c r="H59" s="69">
        <v>-1E-4</v>
      </c>
      <c r="I59" s="69">
        <v>48.209200000000003</v>
      </c>
      <c r="J59" s="69">
        <v>1E-4</v>
      </c>
      <c r="K59" s="69">
        <v>48.872999999999998</v>
      </c>
      <c r="L59" s="69">
        <v>0</v>
      </c>
      <c r="M59" s="56">
        <f t="shared" si="0"/>
        <v>997.81820031754728</v>
      </c>
      <c r="N59" s="193">
        <f t="shared" si="1"/>
        <v>0.4318862</v>
      </c>
      <c r="O59" s="138">
        <f t="shared" si="2"/>
        <v>1.2088137999999997</v>
      </c>
      <c r="P59" s="160">
        <f t="shared" si="3"/>
        <v>6.0000000000000001E-3</v>
      </c>
      <c r="Q59" s="138">
        <f t="shared" si="7"/>
        <v>23.26135</v>
      </c>
      <c r="R59" s="139">
        <v>2.0000000000000001E-4</v>
      </c>
      <c r="S59" s="138">
        <f t="shared" si="8"/>
        <v>48.209150000000001</v>
      </c>
      <c r="T59" s="139">
        <v>2.0000000000000001E-4</v>
      </c>
      <c r="U59" s="138">
        <f t="shared" si="9"/>
        <v>48.872999999999998</v>
      </c>
      <c r="V59" s="139">
        <v>2.0000000000000001E-4</v>
      </c>
      <c r="W59" s="97">
        <f t="array" ref="W59:AC59">DenLiq(M59:V59)</f>
        <v>1024.3375383449352</v>
      </c>
      <c r="X59" s="98">
        <v>0.44352640866553389</v>
      </c>
      <c r="Y59" s="99">
        <v>0.99933315392610211</v>
      </c>
      <c r="Z59" s="99">
        <v>1.2958028911493053E-7</v>
      </c>
      <c r="AA59" s="99">
        <v>2.2976394220477841E-7</v>
      </c>
      <c r="AB59" s="99">
        <v>3.4199288546880337E-4</v>
      </c>
      <c r="AC59" s="99">
        <v>3.2449384419787558E-4</v>
      </c>
    </row>
    <row r="60" spans="1:29" s="586" customFormat="1" ht="19.95" customHeight="1">
      <c r="A60" s="585" t="s">
        <v>225</v>
      </c>
      <c r="B60" s="74">
        <v>45344</v>
      </c>
      <c r="C60" s="74" t="s">
        <v>101</v>
      </c>
      <c r="D60" s="75" t="s">
        <v>94</v>
      </c>
      <c r="E60" s="85">
        <v>21.8</v>
      </c>
      <c r="F60" s="85">
        <v>24.4</v>
      </c>
      <c r="G60" s="76">
        <v>23.261099999999999</v>
      </c>
      <c r="H60" s="76">
        <v>-1E-4</v>
      </c>
      <c r="I60" s="76">
        <v>48.209400000000002</v>
      </c>
      <c r="J60" s="76">
        <v>0</v>
      </c>
      <c r="K60" s="76">
        <v>48.875100000000003</v>
      </c>
      <c r="L60" s="76">
        <v>1E-4</v>
      </c>
      <c r="M60" s="169">
        <f t="shared" si="0"/>
        <v>997.81820031754728</v>
      </c>
      <c r="N60" s="194">
        <f t="shared" si="1"/>
        <v>0.4318862</v>
      </c>
      <c r="O60" s="140">
        <f t="shared" si="2"/>
        <v>1.2088137999999997</v>
      </c>
      <c r="P60" s="158">
        <f t="shared" si="3"/>
        <v>6.0000000000000001E-3</v>
      </c>
      <c r="Q60" s="140">
        <f t="shared" si="7"/>
        <v>23.261150000000001</v>
      </c>
      <c r="R60" s="141">
        <v>2.0000000000000001E-4</v>
      </c>
      <c r="S60" s="140">
        <f t="shared" si="8"/>
        <v>48.209400000000002</v>
      </c>
      <c r="T60" s="141">
        <v>2.0000000000000001E-4</v>
      </c>
      <c r="U60" s="140">
        <f t="shared" si="9"/>
        <v>48.875050000000002</v>
      </c>
      <c r="V60" s="141">
        <v>2.0000000000000001E-4</v>
      </c>
      <c r="W60" s="101">
        <f t="array" ref="W60:AC60">DenLiq(M60:V60)</f>
        <v>1024.4089647252874</v>
      </c>
      <c r="X60" s="102">
        <v>0.44355735704675342</v>
      </c>
      <c r="Y60" s="103">
        <v>0.99933322134523461</v>
      </c>
      <c r="Z60" s="103">
        <v>1.3026106501424564E-7</v>
      </c>
      <c r="AA60" s="103">
        <v>2.3096272078118253E-7</v>
      </c>
      <c r="AB60" s="103">
        <v>3.4198057136943557E-4</v>
      </c>
      <c r="AC60" s="103">
        <v>3.2443685961018327E-4</v>
      </c>
    </row>
    <row r="61" spans="1:29" s="588" customFormat="1" ht="19.95" customHeight="1">
      <c r="A61" s="588" t="s">
        <v>1858</v>
      </c>
      <c r="B61" s="66">
        <v>45357</v>
      </c>
      <c r="C61" s="66" t="s">
        <v>101</v>
      </c>
      <c r="D61" s="72" t="s">
        <v>94</v>
      </c>
      <c r="E61" s="83">
        <v>22.7</v>
      </c>
      <c r="F61" s="83">
        <v>31.1</v>
      </c>
      <c r="G61" s="67">
        <v>23.260100000000001</v>
      </c>
      <c r="H61" s="67">
        <v>0</v>
      </c>
      <c r="I61" s="67">
        <v>48.205300000000001</v>
      </c>
      <c r="J61" s="67">
        <v>-2.0000000000000001E-4</v>
      </c>
      <c r="K61" s="67">
        <v>48.786099999999998</v>
      </c>
      <c r="L61" s="67">
        <v>0</v>
      </c>
      <c r="M61" s="191">
        <f t="shared" si="0"/>
        <v>997.61152312540366</v>
      </c>
      <c r="N61" s="192">
        <f t="shared" si="1"/>
        <v>0.43351295000000001</v>
      </c>
      <c r="O61" s="136">
        <f t="shared" si="2"/>
        <v>1.2046321999999998</v>
      </c>
      <c r="P61" s="159">
        <f t="shared" si="3"/>
        <v>6.0000000000000001E-3</v>
      </c>
      <c r="Q61" s="136">
        <f>G61-H61/2</f>
        <v>23.260100000000001</v>
      </c>
      <c r="R61" s="137">
        <v>2.0000000000000001E-4</v>
      </c>
      <c r="S61" s="136">
        <f>I61-J61/2</f>
        <v>48.205400000000004</v>
      </c>
      <c r="T61" s="137">
        <v>2.0000000000000001E-4</v>
      </c>
      <c r="U61" s="136">
        <f>K61-L61/2</f>
        <v>48.786099999999998</v>
      </c>
      <c r="V61" s="137">
        <v>2.0000000000000001E-4</v>
      </c>
      <c r="W61" s="94">
        <f t="array" ref="W61:AC61">DenLiq(M61:V61)</f>
        <v>1020.8068136835599</v>
      </c>
      <c r="X61" s="95">
        <v>0.44375196060549948</v>
      </c>
      <c r="Y61" s="99">
        <v>0.99933626580096468</v>
      </c>
      <c r="Z61" s="99">
        <v>9.9071359023836863E-8</v>
      </c>
      <c r="AA61" s="99">
        <v>1.7563116951038266E-7</v>
      </c>
      <c r="AB61" s="99">
        <v>3.3936220343312425E-4</v>
      </c>
      <c r="AC61" s="99">
        <v>3.2409729307371403E-4</v>
      </c>
    </row>
    <row r="62" spans="1:29" s="593" customFormat="1" ht="19.95" customHeight="1">
      <c r="A62" s="588" t="s">
        <v>1858</v>
      </c>
      <c r="B62" s="68">
        <v>45357</v>
      </c>
      <c r="C62" s="68" t="s">
        <v>101</v>
      </c>
      <c r="D62" s="73" t="s">
        <v>94</v>
      </c>
      <c r="E62" s="84">
        <v>22.7</v>
      </c>
      <c r="F62" s="84">
        <v>31.1</v>
      </c>
      <c r="G62" s="69">
        <v>23.2605</v>
      </c>
      <c r="H62" s="69">
        <v>-1E-4</v>
      </c>
      <c r="I62" s="69">
        <v>48.204000000000001</v>
      </c>
      <c r="J62" s="69">
        <v>0</v>
      </c>
      <c r="K62" s="69">
        <v>48.784999999999997</v>
      </c>
      <c r="L62" s="69">
        <v>-1E-4</v>
      </c>
      <c r="M62" s="56">
        <f t="shared" si="0"/>
        <v>997.61152312540366</v>
      </c>
      <c r="N62" s="193">
        <f t="shared" si="1"/>
        <v>0.43351295000000001</v>
      </c>
      <c r="O62" s="138">
        <f t="shared" si="2"/>
        <v>1.2046321999999998</v>
      </c>
      <c r="P62" s="160">
        <f t="shared" si="3"/>
        <v>6.0000000000000001E-3</v>
      </c>
      <c r="Q62" s="138">
        <f t="shared" ref="Q62:Q64" si="10">G62-H62/2</f>
        <v>23.260550000000002</v>
      </c>
      <c r="R62" s="139">
        <v>2.0000000000000001E-4</v>
      </c>
      <c r="S62" s="138">
        <f t="shared" ref="S62:S64" si="11">I62-J62/2</f>
        <v>48.204000000000001</v>
      </c>
      <c r="T62" s="139">
        <v>2.0000000000000001E-4</v>
      </c>
      <c r="U62" s="138">
        <f t="shared" ref="U62:U64" si="12">K62-L62/2</f>
        <v>48.785049999999998</v>
      </c>
      <c r="V62" s="139">
        <v>2.0000000000000001E-4</v>
      </c>
      <c r="W62" s="97">
        <f t="array" ref="W62:AC62">DenLiq(M62:V62)</f>
        <v>1020.8225153487009</v>
      </c>
      <c r="X62" s="98">
        <v>0.44375881400331918</v>
      </c>
      <c r="Y62" s="99">
        <v>0.99933617703532152</v>
      </c>
      <c r="Z62" s="99">
        <v>9.9202469600025776E-8</v>
      </c>
      <c r="AA62" s="99">
        <v>1.7588968677246752E-7</v>
      </c>
      <c r="AB62" s="99">
        <v>3.3941251462572261E-4</v>
      </c>
      <c r="AC62" s="99">
        <v>3.2413535789644189E-4</v>
      </c>
    </row>
    <row r="63" spans="1:29" s="593" customFormat="1" ht="19.95" customHeight="1">
      <c r="A63" s="589" t="s">
        <v>1858</v>
      </c>
      <c r="B63" s="74">
        <v>45357</v>
      </c>
      <c r="C63" s="74" t="s">
        <v>101</v>
      </c>
      <c r="D63" s="75" t="s">
        <v>94</v>
      </c>
      <c r="E63" s="85">
        <v>22.7</v>
      </c>
      <c r="F63" s="85">
        <v>31.1</v>
      </c>
      <c r="G63" s="76">
        <v>23.261199999999999</v>
      </c>
      <c r="H63" s="76">
        <v>-1E-4</v>
      </c>
      <c r="I63" s="76">
        <v>48.203600000000002</v>
      </c>
      <c r="J63" s="76">
        <v>0</v>
      </c>
      <c r="K63" s="76">
        <v>48.7806</v>
      </c>
      <c r="L63" s="76">
        <v>0</v>
      </c>
      <c r="M63" s="169">
        <f t="shared" si="0"/>
        <v>997.61152312540366</v>
      </c>
      <c r="N63" s="194">
        <f t="shared" si="1"/>
        <v>0.43351295000000001</v>
      </c>
      <c r="O63" s="140">
        <f t="shared" si="2"/>
        <v>1.2046321999999998</v>
      </c>
      <c r="P63" s="158">
        <f t="shared" si="3"/>
        <v>6.0000000000000001E-3</v>
      </c>
      <c r="Q63" s="140">
        <f t="shared" si="10"/>
        <v>23.26125</v>
      </c>
      <c r="R63" s="141">
        <v>2.0000000000000001E-4</v>
      </c>
      <c r="S63" s="140">
        <f t="shared" si="11"/>
        <v>48.203600000000002</v>
      </c>
      <c r="T63" s="141">
        <v>2.0000000000000001E-4</v>
      </c>
      <c r="U63" s="140">
        <f t="shared" si="12"/>
        <v>48.7806</v>
      </c>
      <c r="V63" s="141">
        <v>2.0000000000000001E-4</v>
      </c>
      <c r="W63" s="101">
        <f t="array" ref="W63:AC63">DenLiq(M63:V63)</f>
        <v>1020.6617479864916</v>
      </c>
      <c r="X63" s="102">
        <v>0.44368887956601677</v>
      </c>
      <c r="Y63" s="103">
        <v>0.99933602005912558</v>
      </c>
      <c r="Z63" s="103">
        <v>9.786385091124148E-8</v>
      </c>
      <c r="AA63" s="103">
        <v>1.7353157086147785E-7</v>
      </c>
      <c r="AB63" s="103">
        <v>3.3944239930287209E-4</v>
      </c>
      <c r="AC63" s="103">
        <v>3.2426614614976869E-4</v>
      </c>
    </row>
    <row r="64" spans="1:29" s="593" customFormat="1" ht="19.95" customHeight="1">
      <c r="A64" s="593" t="s">
        <v>225</v>
      </c>
      <c r="B64" s="68">
        <v>45357</v>
      </c>
      <c r="C64" s="68" t="s">
        <v>101</v>
      </c>
      <c r="D64" s="73" t="s">
        <v>94</v>
      </c>
      <c r="E64" s="84">
        <v>22.7</v>
      </c>
      <c r="F64" s="84">
        <v>31.1</v>
      </c>
      <c r="G64" s="69">
        <v>23.261399999999998</v>
      </c>
      <c r="H64" s="69">
        <v>0</v>
      </c>
      <c r="I64" s="69">
        <v>48.201999999999998</v>
      </c>
      <c r="J64" s="69">
        <v>-2.9999999999999997E-4</v>
      </c>
      <c r="K64" s="69">
        <v>48.861600000000003</v>
      </c>
      <c r="L64" s="69">
        <v>0</v>
      </c>
      <c r="M64" s="56">
        <f t="shared" si="0"/>
        <v>997.61152312540366</v>
      </c>
      <c r="N64" s="193">
        <f t="shared" si="1"/>
        <v>0.43351295000000001</v>
      </c>
      <c r="O64" s="138">
        <f t="shared" si="2"/>
        <v>1.2046321999999998</v>
      </c>
      <c r="P64" s="160">
        <f t="shared" si="3"/>
        <v>6.0000000000000001E-3</v>
      </c>
      <c r="Q64" s="138">
        <f t="shared" si="10"/>
        <v>23.261399999999998</v>
      </c>
      <c r="R64" s="139">
        <v>2.0000000000000001E-4</v>
      </c>
      <c r="S64" s="138">
        <f t="shared" si="11"/>
        <v>48.202149999999996</v>
      </c>
      <c r="T64" s="139">
        <v>2.0000000000000001E-4</v>
      </c>
      <c r="U64" s="138">
        <f t="shared" si="12"/>
        <v>48.861600000000003</v>
      </c>
      <c r="V64" s="139">
        <v>2.0000000000000001E-4</v>
      </c>
      <c r="W64" s="97">
        <f t="array" ref="W64:AC64">DenLiq(M64:V64)</f>
        <v>1023.9571833088689</v>
      </c>
      <c r="X64" s="98">
        <v>0.44512269393423604</v>
      </c>
      <c r="Y64" s="99">
        <v>0.99933793928428416</v>
      </c>
      <c r="Z64" s="99">
        <v>1.2702457609507734E-7</v>
      </c>
      <c r="AA64" s="99">
        <v>2.2526808715493937E-7</v>
      </c>
      <c r="AB64" s="99">
        <v>3.3948660452771007E-4</v>
      </c>
      <c r="AC64" s="99">
        <v>3.2222181852499066E-4</v>
      </c>
    </row>
    <row r="65" spans="1:29" s="593" customFormat="1" ht="19.95" customHeight="1">
      <c r="A65" s="589" t="s">
        <v>225</v>
      </c>
      <c r="B65" s="74">
        <v>45357</v>
      </c>
      <c r="C65" s="74" t="s">
        <v>101</v>
      </c>
      <c r="D65" s="75" t="s">
        <v>94</v>
      </c>
      <c r="E65" s="85">
        <v>22.7</v>
      </c>
      <c r="F65" s="85">
        <v>31.1</v>
      </c>
      <c r="G65" s="76">
        <v>23.2606</v>
      </c>
      <c r="H65" s="76">
        <v>0</v>
      </c>
      <c r="I65" s="76">
        <v>48.2012</v>
      </c>
      <c r="J65" s="76">
        <v>0</v>
      </c>
      <c r="K65" s="76">
        <v>48.863300000000002</v>
      </c>
      <c r="L65" s="76">
        <v>0</v>
      </c>
      <c r="M65" s="169">
        <f t="shared" si="0"/>
        <v>997.61152312540366</v>
      </c>
      <c r="N65" s="194">
        <f t="shared" si="1"/>
        <v>0.43351295000000001</v>
      </c>
      <c r="O65" s="140">
        <f t="shared" si="2"/>
        <v>1.2046321999999998</v>
      </c>
      <c r="P65" s="158">
        <f t="shared" si="3"/>
        <v>6.0000000000000001E-3</v>
      </c>
      <c r="Q65" s="140">
        <f t="shared" ref="Q65" si="13">G65-H65/2</f>
        <v>23.2606</v>
      </c>
      <c r="R65" s="141">
        <v>2.0000000000000001E-4</v>
      </c>
      <c r="S65" s="140">
        <f t="shared" ref="S65" si="14">I65-J65/2</f>
        <v>48.2012</v>
      </c>
      <c r="T65" s="141">
        <v>2.0000000000000001E-4</v>
      </c>
      <c r="U65" s="140">
        <f t="shared" ref="U65" si="15">K65-L65/2</f>
        <v>48.863300000000002</v>
      </c>
      <c r="V65" s="141">
        <v>2.0000000000000001E-4</v>
      </c>
      <c r="W65" s="101">
        <f t="array" ref="W65:AC65">DenLiq(M65:V65)</f>
        <v>1024.0632124384802</v>
      </c>
      <c r="X65" s="102">
        <v>0.44516882748573355</v>
      </c>
      <c r="Y65" s="103">
        <v>0.99933799531740541</v>
      </c>
      <c r="Z65" s="103">
        <v>1.2802252567172635E-7</v>
      </c>
      <c r="AA65" s="103">
        <v>2.2704060312841627E-7</v>
      </c>
      <c r="AB65" s="103">
        <v>3.3949070711706479E-4</v>
      </c>
      <c r="AC65" s="103">
        <v>3.221589123487512E-4</v>
      </c>
    </row>
    <row r="66" spans="1:29" s="228" customFormat="1" ht="19.95" customHeight="1">
      <c r="A66" s="228" t="s">
        <v>2122</v>
      </c>
      <c r="B66" s="693"/>
      <c r="C66" s="693"/>
      <c r="D66" s="73"/>
      <c r="E66" s="694"/>
      <c r="F66" s="694"/>
      <c r="G66" s="132"/>
      <c r="H66" s="132"/>
      <c r="I66" s="132"/>
      <c r="J66" s="132"/>
      <c r="K66" s="132"/>
      <c r="L66" s="132"/>
      <c r="M66" s="695"/>
      <c r="N66" s="696"/>
      <c r="O66" s="379"/>
      <c r="P66" s="484"/>
      <c r="Q66" s="379"/>
      <c r="R66" s="183"/>
      <c r="S66" s="379"/>
      <c r="T66" s="183"/>
      <c r="U66" s="379"/>
      <c r="V66" s="183"/>
      <c r="W66" s="697"/>
      <c r="X66" s="698"/>
      <c r="Y66" s="487"/>
      <c r="Z66" s="487"/>
      <c r="AA66" s="487"/>
      <c r="AB66" s="487"/>
      <c r="AC66" s="487"/>
    </row>
    <row r="67" spans="1:29" s="488" customFormat="1" ht="19.95" customHeight="1"/>
    <row r="68" spans="1:29" s="588" customFormat="1" ht="19.95" customHeight="1">
      <c r="A68" s="587" t="s">
        <v>100</v>
      </c>
      <c r="B68" s="587" t="s">
        <v>134</v>
      </c>
      <c r="C68" s="587" t="s">
        <v>261</v>
      </c>
      <c r="D68" s="164" t="s">
        <v>1859</v>
      </c>
      <c r="E68" s="587" t="s">
        <v>4</v>
      </c>
      <c r="F68" s="587" t="s">
        <v>1075</v>
      </c>
    </row>
    <row r="69" spans="1:29" s="488" customFormat="1" ht="19.95" customHeight="1">
      <c r="A69" s="488" t="s">
        <v>1189</v>
      </c>
      <c r="B69" s="154">
        <f>AVERAGE(W55:W57,W61:W63)/1000</f>
        <v>1.020990846994047</v>
      </c>
      <c r="C69" s="154">
        <f>STDEV(W55:W57,W61:W63)/1000</f>
        <v>2.5620708628963759E-4</v>
      </c>
      <c r="D69" s="154">
        <f>0.50110889/1000</f>
        <v>5.0110889000000002E-4</v>
      </c>
      <c r="E69" s="488" t="s">
        <v>227</v>
      </c>
      <c r="F69" s="356">
        <f>D69/dMOOS4</f>
        <v>4.9080644696800286E-4</v>
      </c>
      <c r="H69" s="488" t="s">
        <v>2569</v>
      </c>
    </row>
    <row r="70" spans="1:29" s="488" customFormat="1" ht="19.95" customHeight="1">
      <c r="A70" s="488" t="s">
        <v>225</v>
      </c>
      <c r="B70" s="154">
        <f>AVERAGE(W58:W60,W64:W65)/1000</f>
        <v>1.0242093237879437</v>
      </c>
      <c r="C70" s="154">
        <f>STDEV(W58:W60,W64:W65)/1000</f>
        <v>1.9116384856154078E-4</v>
      </c>
      <c r="D70" s="154">
        <f>MEDIAN(X58:X60,X64:X65)/1000</f>
        <v>4.4355735704675341E-4</v>
      </c>
      <c r="E70" s="488" t="s">
        <v>227</v>
      </c>
      <c r="F70" s="356">
        <f>D70/dMOOS4</f>
        <v>4.3443813267538494E-4</v>
      </c>
    </row>
    <row r="71" spans="1:29" s="488" customFormat="1" ht="19.95" customHeight="1">
      <c r="A71" s="488" t="s">
        <v>128</v>
      </c>
      <c r="B71" s="154">
        <v>1.0306999999999999</v>
      </c>
      <c r="E71" s="488" t="s">
        <v>227</v>
      </c>
      <c r="H71" s="488" t="s">
        <v>1400</v>
      </c>
    </row>
    <row r="72" spans="1:29" s="481" customFormat="1" ht="19.95" customHeight="1">
      <c r="A72" s="589" t="s">
        <v>226</v>
      </c>
      <c r="B72" s="155">
        <v>1.0232125309143969</v>
      </c>
      <c r="C72" s="589"/>
      <c r="D72" s="589"/>
      <c r="E72" s="589" t="s">
        <v>227</v>
      </c>
      <c r="F72" s="153"/>
      <c r="H72" s="481" t="str">
        <f>H71</f>
        <v>Data obtained from the certification of SALT-1 CRM</v>
      </c>
    </row>
    <row r="73" spans="1:29" s="588" customFormat="1" ht="19.95" customHeight="1">
      <c r="A73" s="593"/>
      <c r="B73" s="157"/>
      <c r="C73" s="593"/>
      <c r="D73" s="593"/>
      <c r="E73" s="593"/>
      <c r="F73" s="152"/>
    </row>
    <row r="74" spans="1:29" s="149" customFormat="1" ht="19.95" customHeight="1">
      <c r="A74" s="150" t="s">
        <v>1426</v>
      </c>
      <c r="D74" s="163"/>
    </row>
    <row r="75" spans="1:29" s="481" customFormat="1" ht="19.95" customHeight="1">
      <c r="D75" s="479"/>
    </row>
    <row r="76" spans="1:29" s="481" customFormat="1" ht="19.95" customHeight="1">
      <c r="A76" s="493" t="s">
        <v>1419</v>
      </c>
      <c r="D76" s="493" t="s">
        <v>1420</v>
      </c>
      <c r="E76" s="488"/>
      <c r="G76" s="493" t="s">
        <v>1421</v>
      </c>
      <c r="H76" s="50"/>
      <c r="J76" s="497" t="s">
        <v>1422</v>
      </c>
      <c r="K76" s="494"/>
      <c r="M76" s="497" t="s">
        <v>1424</v>
      </c>
      <c r="N76" s="494"/>
    </row>
    <row r="77" spans="1:29" s="488" customFormat="1" ht="19.95" customHeight="1">
      <c r="A77" s="497" t="s">
        <v>1418</v>
      </c>
      <c r="D77" s="493" t="s">
        <v>1406</v>
      </c>
      <c r="G77" s="493" t="s">
        <v>1406</v>
      </c>
      <c r="J77" s="497" t="s">
        <v>1423</v>
      </c>
      <c r="K77" s="494"/>
      <c r="M77" s="497" t="s">
        <v>1425</v>
      </c>
      <c r="N77" s="494"/>
    </row>
    <row r="78" spans="1:29" s="488" customFormat="1" ht="19.95" customHeight="1">
      <c r="A78" s="493"/>
      <c r="D78" s="493"/>
      <c r="E78" s="491"/>
      <c r="G78" s="493"/>
      <c r="H78" s="491"/>
      <c r="J78" s="497"/>
      <c r="K78" s="494"/>
      <c r="M78" s="497"/>
      <c r="N78" s="498"/>
    </row>
    <row r="79" spans="1:29" s="481" customFormat="1" ht="19.95" customHeight="1">
      <c r="A79" s="50" t="s">
        <v>123</v>
      </c>
      <c r="D79" s="491" t="s">
        <v>2734</v>
      </c>
      <c r="E79" s="491"/>
      <c r="G79" s="491" t="s">
        <v>118</v>
      </c>
      <c r="H79" s="491"/>
      <c r="J79" s="494" t="s">
        <v>123</v>
      </c>
      <c r="K79" s="494"/>
      <c r="M79" s="498" t="s">
        <v>118</v>
      </c>
      <c r="N79" s="498"/>
    </row>
    <row r="80" spans="1:29" s="481" customFormat="1" ht="19.95" customHeight="1">
      <c r="A80" s="53" t="s">
        <v>131</v>
      </c>
      <c r="D80" s="489" t="s">
        <v>119</v>
      </c>
      <c r="E80" s="489"/>
      <c r="G80" s="489" t="s">
        <v>119</v>
      </c>
      <c r="H80" s="489"/>
      <c r="J80" s="498" t="s">
        <v>131</v>
      </c>
      <c r="K80" s="494"/>
      <c r="M80" s="495" t="s">
        <v>119</v>
      </c>
      <c r="N80" s="495"/>
    </row>
    <row r="81" spans="1:14" s="481" customFormat="1" ht="19.95" customHeight="1">
      <c r="A81" s="50" t="s">
        <v>132</v>
      </c>
      <c r="D81" s="488" t="s">
        <v>120</v>
      </c>
      <c r="E81" s="488"/>
      <c r="G81" s="50" t="s">
        <v>120</v>
      </c>
      <c r="H81" s="50"/>
      <c r="J81" s="494" t="s">
        <v>132</v>
      </c>
      <c r="K81" s="494"/>
      <c r="M81" s="494" t="s">
        <v>120</v>
      </c>
      <c r="N81" s="494"/>
    </row>
    <row r="82" spans="1:14" s="481" customFormat="1" ht="19.95" customHeight="1">
      <c r="A82" s="495" t="s">
        <v>133</v>
      </c>
      <c r="B82" s="495"/>
      <c r="D82" s="488" t="s">
        <v>121</v>
      </c>
      <c r="E82" s="488"/>
      <c r="G82" s="50" t="s">
        <v>121</v>
      </c>
      <c r="H82" s="50"/>
      <c r="J82" s="495" t="s">
        <v>133</v>
      </c>
      <c r="K82" s="495"/>
      <c r="M82" s="494" t="s">
        <v>121</v>
      </c>
      <c r="N82" s="494"/>
    </row>
    <row r="83" spans="1:14" s="481" customFormat="1" ht="19.95" customHeight="1">
      <c r="A83" s="50" t="s">
        <v>15</v>
      </c>
      <c r="D83" s="488" t="s">
        <v>1401</v>
      </c>
      <c r="E83" s="488"/>
      <c r="G83" s="50" t="s">
        <v>1401</v>
      </c>
      <c r="H83" s="50"/>
      <c r="J83" s="494" t="s">
        <v>15</v>
      </c>
      <c r="K83" s="494"/>
      <c r="M83" s="494" t="s">
        <v>1401</v>
      </c>
      <c r="N83" s="494"/>
    </row>
    <row r="84" spans="1:14" s="481" customFormat="1" ht="19.95" customHeight="1">
      <c r="A84" s="50" t="s">
        <v>289</v>
      </c>
      <c r="D84" s="969" t="s">
        <v>122</v>
      </c>
      <c r="E84" s="488"/>
      <c r="G84" s="50" t="s">
        <v>122</v>
      </c>
      <c r="H84" s="50"/>
      <c r="J84" s="494" t="s">
        <v>289</v>
      </c>
      <c r="K84" s="494"/>
      <c r="M84" s="494" t="s">
        <v>122</v>
      </c>
      <c r="N84" s="494"/>
    </row>
    <row r="85" spans="1:14" s="481" customFormat="1" ht="19.95" customHeight="1">
      <c r="A85" s="494" t="s">
        <v>290</v>
      </c>
      <c r="D85" s="488" t="s">
        <v>291</v>
      </c>
      <c r="E85" s="488"/>
      <c r="G85" s="50" t="s">
        <v>291</v>
      </c>
      <c r="H85" s="50"/>
      <c r="J85" s="494" t="s">
        <v>290</v>
      </c>
      <c r="K85" s="494"/>
      <c r="M85" s="494" t="s">
        <v>291</v>
      </c>
      <c r="N85" s="494"/>
    </row>
    <row r="86" spans="1:14" s="481" customFormat="1" ht="19.95" customHeight="1">
      <c r="A86" s="495" t="s">
        <v>17</v>
      </c>
      <c r="B86" s="495"/>
      <c r="D86" s="488" t="s">
        <v>123</v>
      </c>
      <c r="E86" s="488"/>
      <c r="G86" s="50" t="s">
        <v>123</v>
      </c>
      <c r="H86" s="50"/>
      <c r="J86" s="495" t="s">
        <v>17</v>
      </c>
      <c r="K86" s="495"/>
      <c r="M86" s="494" t="s">
        <v>123</v>
      </c>
      <c r="N86" s="494"/>
    </row>
    <row r="87" spans="1:14" s="481" customFormat="1" ht="19.95" customHeight="1">
      <c r="A87" s="494" t="s">
        <v>1412</v>
      </c>
      <c r="D87" s="489" t="s">
        <v>124</v>
      </c>
      <c r="E87" s="489"/>
      <c r="G87" s="489" t="s">
        <v>124</v>
      </c>
      <c r="H87" s="489"/>
      <c r="J87" s="494" t="s">
        <v>1412</v>
      </c>
      <c r="K87" s="494"/>
      <c r="M87" s="495" t="s">
        <v>124</v>
      </c>
      <c r="N87" s="495"/>
    </row>
    <row r="88" spans="1:14" s="481" customFormat="1" ht="19.95" customHeight="1">
      <c r="A88" s="494" t="s">
        <v>1413</v>
      </c>
      <c r="D88" s="488" t="s">
        <v>125</v>
      </c>
      <c r="E88" s="488"/>
      <c r="G88" s="50" t="s">
        <v>125</v>
      </c>
      <c r="H88" s="50"/>
      <c r="J88" s="494" t="s">
        <v>1413</v>
      </c>
      <c r="K88" s="494"/>
      <c r="M88" s="494" t="s">
        <v>125</v>
      </c>
      <c r="N88" s="494"/>
    </row>
    <row r="89" spans="1:14" s="481" customFormat="1" ht="19.95" customHeight="1">
      <c r="A89" s="494" t="s">
        <v>1414</v>
      </c>
      <c r="D89" s="488" t="s">
        <v>126</v>
      </c>
      <c r="E89" s="488"/>
      <c r="G89" s="50" t="s">
        <v>126</v>
      </c>
      <c r="H89" s="50"/>
      <c r="J89" s="494" t="s">
        <v>1414</v>
      </c>
      <c r="K89" s="494"/>
      <c r="M89" s="494" t="s">
        <v>126</v>
      </c>
      <c r="N89" s="494"/>
    </row>
    <row r="90" spans="1:14" s="481" customFormat="1" ht="19.95" customHeight="1">
      <c r="A90" s="494" t="s">
        <v>1415</v>
      </c>
      <c r="D90" s="488" t="s">
        <v>127</v>
      </c>
      <c r="E90" s="488"/>
      <c r="G90" s="50" t="s">
        <v>127</v>
      </c>
      <c r="H90" s="50"/>
      <c r="J90" s="494" t="s">
        <v>1415</v>
      </c>
      <c r="K90" s="494"/>
      <c r="M90" s="494" t="s">
        <v>127</v>
      </c>
      <c r="N90" s="494"/>
    </row>
    <row r="91" spans="1:14" s="481" customFormat="1" ht="19.95" customHeight="1">
      <c r="A91" s="495" t="s">
        <v>1416</v>
      </c>
      <c r="B91" s="495"/>
      <c r="D91" s="488" t="s">
        <v>129</v>
      </c>
      <c r="E91" s="488"/>
      <c r="G91" s="50" t="s">
        <v>129</v>
      </c>
      <c r="H91" s="50"/>
      <c r="J91" s="495" t="s">
        <v>1416</v>
      </c>
      <c r="K91" s="495"/>
      <c r="M91" s="494" t="s">
        <v>129</v>
      </c>
      <c r="N91" s="494"/>
    </row>
    <row r="92" spans="1:14" s="481" customFormat="1" ht="19.95" customHeight="1">
      <c r="A92" s="494" t="s">
        <v>1407</v>
      </c>
      <c r="D92" s="489" t="s">
        <v>130</v>
      </c>
      <c r="E92" s="489"/>
      <c r="G92" s="489" t="s">
        <v>130</v>
      </c>
      <c r="H92" s="489"/>
      <c r="J92" s="494" t="s">
        <v>1407</v>
      </c>
      <c r="K92" s="494"/>
      <c r="M92" s="495" t="s">
        <v>130</v>
      </c>
      <c r="N92" s="495"/>
    </row>
    <row r="93" spans="1:14" s="481" customFormat="1" ht="19.95" customHeight="1">
      <c r="A93" s="494" t="s">
        <v>1408</v>
      </c>
      <c r="D93" s="489" t="s">
        <v>288</v>
      </c>
      <c r="E93" s="489"/>
      <c r="G93" s="489" t="s">
        <v>288</v>
      </c>
      <c r="H93" s="489"/>
      <c r="J93" s="494" t="s">
        <v>1408</v>
      </c>
      <c r="K93" s="494"/>
      <c r="M93" s="495" t="s">
        <v>288</v>
      </c>
      <c r="N93" s="495"/>
    </row>
    <row r="94" spans="1:14" s="481" customFormat="1" ht="19.95" customHeight="1">
      <c r="A94" s="494" t="s">
        <v>1409</v>
      </c>
      <c r="D94" s="488" t="s">
        <v>1412</v>
      </c>
      <c r="E94" s="488"/>
      <c r="G94" s="50" t="s">
        <v>1412</v>
      </c>
      <c r="H94" s="50"/>
      <c r="J94" s="494" t="s">
        <v>1409</v>
      </c>
      <c r="K94" s="494"/>
      <c r="M94" s="494" t="s">
        <v>1412</v>
      </c>
      <c r="N94" s="494"/>
    </row>
    <row r="95" spans="1:14" s="481" customFormat="1" ht="19.95" customHeight="1">
      <c r="A95" s="498" t="s">
        <v>1410</v>
      </c>
      <c r="B95" s="498"/>
      <c r="D95" s="488" t="s">
        <v>1413</v>
      </c>
      <c r="E95" s="488"/>
      <c r="G95" s="488" t="s">
        <v>1413</v>
      </c>
      <c r="H95" s="50"/>
      <c r="J95" s="498" t="s">
        <v>1410</v>
      </c>
      <c r="K95" s="498"/>
      <c r="M95" s="494" t="s">
        <v>1413</v>
      </c>
      <c r="N95" s="494"/>
    </row>
    <row r="96" spans="1:14" s="481" customFormat="1" ht="19.95" customHeight="1">
      <c r="A96" s="495" t="s">
        <v>1411</v>
      </c>
      <c r="B96" s="495"/>
      <c r="D96" s="488" t="s">
        <v>1414</v>
      </c>
      <c r="E96" s="488"/>
      <c r="G96" s="488" t="s">
        <v>1414</v>
      </c>
      <c r="H96" s="50"/>
      <c r="J96" s="495" t="s">
        <v>1411</v>
      </c>
      <c r="K96" s="495"/>
      <c r="M96" s="494" t="s">
        <v>1414</v>
      </c>
      <c r="N96" s="494"/>
    </row>
    <row r="97" spans="1:14" s="481" customFormat="1" ht="19.95" customHeight="1">
      <c r="A97" s="496" t="s">
        <v>226</v>
      </c>
      <c r="B97" s="496"/>
      <c r="D97" s="488" t="s">
        <v>1415</v>
      </c>
      <c r="E97" s="488"/>
      <c r="G97" s="488" t="s">
        <v>1415</v>
      </c>
      <c r="H97" s="50"/>
      <c r="J97" s="495" t="s">
        <v>128</v>
      </c>
      <c r="K97" s="495"/>
      <c r="M97" s="494" t="s">
        <v>1415</v>
      </c>
      <c r="N97" s="494"/>
    </row>
    <row r="98" spans="1:14" s="481" customFormat="1" ht="19.95" customHeight="1">
      <c r="A98" s="495" t="s">
        <v>128</v>
      </c>
      <c r="B98" s="495"/>
      <c r="D98" s="489" t="s">
        <v>1416</v>
      </c>
      <c r="E98" s="489"/>
      <c r="G98" s="489" t="s">
        <v>1416</v>
      </c>
      <c r="H98" s="489"/>
      <c r="J98" s="494" t="s">
        <v>1390</v>
      </c>
      <c r="K98" s="494"/>
      <c r="M98" s="495" t="s">
        <v>1416</v>
      </c>
      <c r="N98" s="495"/>
    </row>
    <row r="99" spans="1:14" s="481" customFormat="1" ht="19.95" customHeight="1">
      <c r="A99" s="184" t="s">
        <v>1390</v>
      </c>
      <c r="B99" s="184"/>
      <c r="D99" s="488" t="s">
        <v>1407</v>
      </c>
      <c r="E99" s="491"/>
      <c r="G99" s="488" t="s">
        <v>1407</v>
      </c>
      <c r="H99" s="491"/>
      <c r="J99" s="495" t="s">
        <v>1417</v>
      </c>
      <c r="K99" s="495"/>
      <c r="M99" s="494" t="s">
        <v>1407</v>
      </c>
      <c r="N99" s="498"/>
    </row>
    <row r="100" spans="1:14" s="481" customFormat="1" ht="19.95" customHeight="1">
      <c r="A100" s="506"/>
      <c r="B100" s="506"/>
      <c r="D100" s="488" t="s">
        <v>1408</v>
      </c>
      <c r="E100" s="488"/>
      <c r="G100" s="488" t="s">
        <v>1408</v>
      </c>
      <c r="M100" s="494" t="s">
        <v>1408</v>
      </c>
      <c r="N100" s="494"/>
    </row>
    <row r="101" spans="1:14" s="481" customFormat="1" ht="19.95" customHeight="1">
      <c r="A101" s="506"/>
      <c r="B101" s="506"/>
      <c r="D101" s="488" t="s">
        <v>1409</v>
      </c>
      <c r="E101" s="488"/>
      <c r="G101" s="488" t="s">
        <v>1409</v>
      </c>
      <c r="M101" s="494" t="s">
        <v>1409</v>
      </c>
      <c r="N101" s="494"/>
    </row>
    <row r="102" spans="1:14" s="481" customFormat="1" ht="19.95" customHeight="1">
      <c r="D102" s="488" t="s">
        <v>1410</v>
      </c>
      <c r="E102" s="488"/>
      <c r="G102" s="488" t="s">
        <v>1410</v>
      </c>
      <c r="M102" s="494" t="s">
        <v>1410</v>
      </c>
      <c r="N102" s="494"/>
    </row>
    <row r="103" spans="1:14" s="481" customFormat="1" ht="19.95" customHeight="1">
      <c r="D103" s="489" t="s">
        <v>1411</v>
      </c>
      <c r="E103" s="489"/>
      <c r="G103" s="489" t="s">
        <v>1411</v>
      </c>
      <c r="H103" s="489"/>
      <c r="M103" s="495" t="s">
        <v>1411</v>
      </c>
      <c r="N103" s="495"/>
    </row>
    <row r="104" spans="1:14" s="481" customFormat="1" ht="19.95" customHeight="1">
      <c r="A104" s="185"/>
      <c r="D104" s="489" t="s">
        <v>288</v>
      </c>
      <c r="E104" s="489"/>
      <c r="G104" s="489" t="s">
        <v>288</v>
      </c>
      <c r="H104" s="489"/>
      <c r="M104" s="495" t="s">
        <v>288</v>
      </c>
      <c r="N104" s="495"/>
    </row>
    <row r="105" spans="1:14" s="481" customFormat="1" ht="19.95" customHeight="1">
      <c r="A105" s="185"/>
      <c r="D105" s="968" t="s">
        <v>226</v>
      </c>
      <c r="E105" s="488"/>
      <c r="G105" s="79" t="s">
        <v>226</v>
      </c>
      <c r="H105" s="50"/>
      <c r="M105" s="496" t="s">
        <v>226</v>
      </c>
      <c r="N105" s="494"/>
    </row>
    <row r="106" spans="1:14" s="481" customFormat="1" ht="19.95" customHeight="1">
      <c r="A106" s="498"/>
      <c r="D106" s="489" t="s">
        <v>128</v>
      </c>
      <c r="E106" s="489"/>
      <c r="G106" s="489" t="s">
        <v>128</v>
      </c>
      <c r="H106" s="489"/>
      <c r="M106" s="495" t="s">
        <v>128</v>
      </c>
      <c r="N106" s="495"/>
    </row>
    <row r="107" spans="1:14" s="481" customFormat="1" ht="19.95" customHeight="1">
      <c r="A107" s="498"/>
      <c r="D107" s="967" t="s">
        <v>2735</v>
      </c>
      <c r="E107" s="488"/>
      <c r="G107" s="479"/>
    </row>
    <row r="108" spans="1:14" s="588" customFormat="1" ht="19.95" customHeight="1">
      <c r="A108" s="593"/>
      <c r="D108" s="479"/>
      <c r="G108" s="479"/>
    </row>
    <row r="109" spans="1:14" s="149" customFormat="1" ht="19.95" customHeight="1">
      <c r="A109" s="150" t="s">
        <v>1427</v>
      </c>
      <c r="D109" s="163"/>
    </row>
    <row r="110" spans="1:14" s="494" customFormat="1" ht="19.95" customHeight="1">
      <c r="A110" s="498"/>
      <c r="D110" s="479"/>
      <c r="G110" s="479"/>
    </row>
    <row r="111" spans="1:14" s="494" customFormat="1" ht="19.95" customHeight="1">
      <c r="A111" s="497" t="s">
        <v>1419</v>
      </c>
      <c r="D111" s="497" t="s">
        <v>1421</v>
      </c>
      <c r="G111" s="497" t="s">
        <v>1422</v>
      </c>
      <c r="J111" s="497" t="s">
        <v>1424</v>
      </c>
    </row>
    <row r="112" spans="1:14" s="494" customFormat="1" ht="19.95" customHeight="1">
      <c r="A112" s="497" t="s">
        <v>1418</v>
      </c>
      <c r="D112" s="497" t="s">
        <v>1406</v>
      </c>
      <c r="G112" s="497" t="s">
        <v>1423</v>
      </c>
      <c r="J112" s="497" t="s">
        <v>1425</v>
      </c>
    </row>
    <row r="113" spans="1:11" s="494" customFormat="1" ht="19.95" customHeight="1">
      <c r="A113" s="497"/>
      <c r="D113" s="497"/>
      <c r="E113" s="498"/>
      <c r="G113" s="497"/>
      <c r="J113" s="497"/>
      <c r="K113" s="498"/>
    </row>
    <row r="114" spans="1:11" s="494" customFormat="1" ht="19.95" customHeight="1">
      <c r="A114" s="589" t="s">
        <v>1847</v>
      </c>
      <c r="B114" s="589"/>
      <c r="D114" s="498" t="s">
        <v>118</v>
      </c>
      <c r="E114" s="498"/>
      <c r="G114" s="589" t="s">
        <v>1847</v>
      </c>
      <c r="H114" s="589"/>
      <c r="J114" s="498" t="s">
        <v>118</v>
      </c>
      <c r="K114" s="498"/>
    </row>
    <row r="115" spans="1:11" s="494" customFormat="1" ht="19.95" customHeight="1">
      <c r="A115" s="494" t="s">
        <v>123</v>
      </c>
      <c r="D115" s="495" t="s">
        <v>119</v>
      </c>
      <c r="E115" s="495"/>
      <c r="G115" s="494" t="s">
        <v>123</v>
      </c>
      <c r="J115" s="495" t="s">
        <v>119</v>
      </c>
      <c r="K115" s="495"/>
    </row>
    <row r="116" spans="1:11" s="494" customFormat="1" ht="19.95" customHeight="1">
      <c r="A116" s="498" t="s">
        <v>131</v>
      </c>
      <c r="D116" s="494" t="s">
        <v>120</v>
      </c>
      <c r="G116" s="498" t="s">
        <v>131</v>
      </c>
      <c r="J116" s="494" t="s">
        <v>120</v>
      </c>
    </row>
    <row r="117" spans="1:11" s="494" customFormat="1" ht="19.95" customHeight="1">
      <c r="A117" s="494" t="s">
        <v>132</v>
      </c>
      <c r="D117" s="494" t="s">
        <v>121</v>
      </c>
      <c r="G117" s="494" t="s">
        <v>132</v>
      </c>
      <c r="J117" s="494" t="s">
        <v>121</v>
      </c>
    </row>
    <row r="118" spans="1:11" s="494" customFormat="1" ht="19.95" customHeight="1">
      <c r="A118" s="495" t="s">
        <v>133</v>
      </c>
      <c r="B118" s="495"/>
      <c r="D118" s="494" t="s">
        <v>1401</v>
      </c>
      <c r="G118" s="495" t="s">
        <v>133</v>
      </c>
      <c r="H118" s="495"/>
      <c r="J118" s="494" t="s">
        <v>1401</v>
      </c>
    </row>
    <row r="119" spans="1:11" s="494" customFormat="1" ht="19.95" customHeight="1">
      <c r="A119" s="494" t="s">
        <v>15</v>
      </c>
      <c r="D119" s="494" t="s">
        <v>122</v>
      </c>
      <c r="G119" s="494" t="s">
        <v>15</v>
      </c>
      <c r="J119" s="494" t="s">
        <v>122</v>
      </c>
    </row>
    <row r="120" spans="1:11" s="494" customFormat="1" ht="19.95" customHeight="1">
      <c r="A120" s="494" t="s">
        <v>289</v>
      </c>
      <c r="D120" s="494" t="s">
        <v>291</v>
      </c>
      <c r="G120" s="494" t="s">
        <v>289</v>
      </c>
      <c r="J120" s="494" t="s">
        <v>291</v>
      </c>
    </row>
    <row r="121" spans="1:11" s="494" customFormat="1" ht="19.95" customHeight="1">
      <c r="A121" s="494" t="s">
        <v>290</v>
      </c>
      <c r="D121" s="494" t="s">
        <v>123</v>
      </c>
      <c r="G121" s="494" t="s">
        <v>290</v>
      </c>
      <c r="J121" s="494" t="s">
        <v>123</v>
      </c>
    </row>
    <row r="122" spans="1:11" s="494" customFormat="1" ht="19.95" customHeight="1">
      <c r="A122" s="495" t="s">
        <v>17</v>
      </c>
      <c r="B122" s="495"/>
      <c r="D122" s="495" t="s">
        <v>124</v>
      </c>
      <c r="E122" s="495"/>
      <c r="G122" s="495" t="s">
        <v>17</v>
      </c>
      <c r="H122" s="495"/>
      <c r="J122" s="495" t="s">
        <v>124</v>
      </c>
      <c r="K122" s="495"/>
    </row>
    <row r="123" spans="1:11" s="494" customFormat="1" ht="19.95" customHeight="1">
      <c r="A123" s="494" t="s">
        <v>1828</v>
      </c>
      <c r="D123" s="494" t="s">
        <v>125</v>
      </c>
      <c r="G123" s="588" t="s">
        <v>1828</v>
      </c>
      <c r="J123" s="494" t="s">
        <v>125</v>
      </c>
    </row>
    <row r="124" spans="1:11" s="494" customFormat="1" ht="19.95" customHeight="1">
      <c r="A124" s="494" t="s">
        <v>1829</v>
      </c>
      <c r="D124" s="494" t="s">
        <v>126</v>
      </c>
      <c r="G124" s="588" t="s">
        <v>1829</v>
      </c>
      <c r="J124" s="494" t="s">
        <v>126</v>
      </c>
    </row>
    <row r="125" spans="1:11" s="494" customFormat="1" ht="19.95" customHeight="1">
      <c r="A125" s="494" t="s">
        <v>1830</v>
      </c>
      <c r="D125" s="494" t="s">
        <v>127</v>
      </c>
      <c r="G125" s="588" t="s">
        <v>1830</v>
      </c>
      <c r="J125" s="494" t="s">
        <v>127</v>
      </c>
    </row>
    <row r="126" spans="1:11" s="494" customFormat="1" ht="19.95" customHeight="1">
      <c r="A126" s="494" t="s">
        <v>1831</v>
      </c>
      <c r="D126" s="494" t="s">
        <v>129</v>
      </c>
      <c r="G126" s="588" t="s">
        <v>1831</v>
      </c>
      <c r="J126" s="494" t="s">
        <v>129</v>
      </c>
    </row>
    <row r="127" spans="1:11" s="494" customFormat="1" ht="19.95" customHeight="1">
      <c r="A127" s="495" t="s">
        <v>1832</v>
      </c>
      <c r="B127" s="495"/>
      <c r="D127" s="495" t="s">
        <v>130</v>
      </c>
      <c r="E127" s="495"/>
      <c r="G127" s="589" t="s">
        <v>1832</v>
      </c>
      <c r="H127" s="495"/>
      <c r="J127" s="495" t="s">
        <v>130</v>
      </c>
      <c r="K127" s="495"/>
    </row>
    <row r="128" spans="1:11" s="494" customFormat="1" ht="19.95" customHeight="1">
      <c r="A128" s="588" t="s">
        <v>1833</v>
      </c>
      <c r="D128" s="495" t="s">
        <v>288</v>
      </c>
      <c r="E128" s="495"/>
      <c r="G128" s="588" t="s">
        <v>1833</v>
      </c>
      <c r="J128" s="495" t="s">
        <v>288</v>
      </c>
      <c r="K128" s="495"/>
    </row>
    <row r="129" spans="1:11" s="494" customFormat="1" ht="19.95" customHeight="1">
      <c r="A129" s="588" t="s">
        <v>1834</v>
      </c>
      <c r="D129" s="588" t="s">
        <v>1828</v>
      </c>
      <c r="G129" s="588" t="s">
        <v>1834</v>
      </c>
      <c r="J129" s="588" t="s">
        <v>1828</v>
      </c>
    </row>
    <row r="130" spans="1:11" s="494" customFormat="1" ht="19.95" customHeight="1">
      <c r="A130" s="588" t="s">
        <v>1835</v>
      </c>
      <c r="D130" s="588" t="s">
        <v>1829</v>
      </c>
      <c r="G130" s="588" t="s">
        <v>1835</v>
      </c>
      <c r="J130" s="588" t="s">
        <v>1829</v>
      </c>
    </row>
    <row r="131" spans="1:11" s="494" customFormat="1" ht="19.95" customHeight="1">
      <c r="A131" s="588" t="s">
        <v>1836</v>
      </c>
      <c r="B131" s="498"/>
      <c r="D131" s="588" t="s">
        <v>1830</v>
      </c>
      <c r="G131" s="588" t="s">
        <v>1836</v>
      </c>
      <c r="H131" s="498"/>
      <c r="J131" s="588" t="s">
        <v>1830</v>
      </c>
    </row>
    <row r="132" spans="1:11" s="494" customFormat="1" ht="19.95" customHeight="1">
      <c r="A132" s="589" t="s">
        <v>1837</v>
      </c>
      <c r="B132" s="495"/>
      <c r="D132" s="588" t="s">
        <v>1831</v>
      </c>
      <c r="G132" s="589" t="s">
        <v>1837</v>
      </c>
      <c r="H132" s="495"/>
      <c r="J132" s="588" t="s">
        <v>1831</v>
      </c>
    </row>
    <row r="133" spans="1:11" s="494" customFormat="1" ht="19.95" customHeight="1">
      <c r="A133" s="496" t="s">
        <v>226</v>
      </c>
      <c r="B133" s="496"/>
      <c r="D133" s="589" t="s">
        <v>1832</v>
      </c>
      <c r="E133" s="495"/>
      <c r="G133" s="495" t="s">
        <v>128</v>
      </c>
      <c r="H133" s="495"/>
      <c r="J133" s="589" t="s">
        <v>1832</v>
      </c>
      <c r="K133" s="495"/>
    </row>
    <row r="134" spans="1:11" s="494" customFormat="1" ht="19.95" customHeight="1">
      <c r="A134" s="495" t="s">
        <v>128</v>
      </c>
      <c r="B134" s="495"/>
      <c r="D134" s="588" t="s">
        <v>1833</v>
      </c>
      <c r="E134" s="498"/>
      <c r="G134" s="494" t="s">
        <v>1390</v>
      </c>
      <c r="J134" s="588" t="s">
        <v>1833</v>
      </c>
      <c r="K134" s="498"/>
    </row>
    <row r="135" spans="1:11" s="494" customFormat="1" ht="19.95" customHeight="1">
      <c r="A135" s="184" t="s">
        <v>1390</v>
      </c>
      <c r="B135" s="184"/>
      <c r="D135" s="588" t="s">
        <v>1834</v>
      </c>
      <c r="G135" s="495" t="s">
        <v>1417</v>
      </c>
      <c r="H135" s="495"/>
      <c r="J135" s="588" t="s">
        <v>1834</v>
      </c>
    </row>
    <row r="136" spans="1:11" s="494" customFormat="1" ht="19.95" customHeight="1">
      <c r="D136" s="588" t="s">
        <v>1835</v>
      </c>
      <c r="J136" s="588" t="s">
        <v>1835</v>
      </c>
    </row>
    <row r="137" spans="1:11" s="494" customFormat="1" ht="19.95" customHeight="1">
      <c r="D137" s="588" t="s">
        <v>1836</v>
      </c>
      <c r="J137" s="588" t="s">
        <v>1836</v>
      </c>
    </row>
    <row r="138" spans="1:11" s="494" customFormat="1" ht="19.95" customHeight="1">
      <c r="D138" s="589" t="s">
        <v>1837</v>
      </c>
      <c r="E138" s="495"/>
      <c r="J138" s="589" t="s">
        <v>1837</v>
      </c>
      <c r="K138" s="495"/>
    </row>
    <row r="139" spans="1:11" s="481" customFormat="1" ht="19.95" customHeight="1">
      <c r="A139" s="494"/>
      <c r="B139" s="494"/>
      <c r="C139" s="494"/>
      <c r="D139" s="495" t="s">
        <v>288</v>
      </c>
      <c r="E139" s="495"/>
      <c r="F139" s="494"/>
      <c r="G139" s="494"/>
      <c r="H139" s="494"/>
      <c r="I139" s="494"/>
      <c r="J139" s="495" t="s">
        <v>288</v>
      </c>
      <c r="K139" s="495"/>
    </row>
    <row r="140" spans="1:11" s="481" customFormat="1" ht="19.95" customHeight="1">
      <c r="A140" s="494"/>
      <c r="B140" s="494"/>
      <c r="C140" s="494"/>
      <c r="D140" s="496" t="s">
        <v>226</v>
      </c>
      <c r="E140" s="494"/>
      <c r="F140" s="494"/>
      <c r="G140" s="494"/>
      <c r="H140" s="494"/>
      <c r="I140" s="494"/>
      <c r="J140" s="496" t="s">
        <v>226</v>
      </c>
      <c r="K140" s="494"/>
    </row>
    <row r="141" spans="1:11" s="481" customFormat="1" ht="19.95" customHeight="1">
      <c r="A141" s="498"/>
      <c r="B141" s="494"/>
      <c r="C141" s="494"/>
      <c r="D141" s="495" t="s">
        <v>128</v>
      </c>
      <c r="E141" s="495"/>
      <c r="F141" s="494"/>
      <c r="G141" s="494"/>
      <c r="H141" s="494"/>
      <c r="I141" s="494"/>
      <c r="J141" s="495" t="s">
        <v>128</v>
      </c>
      <c r="K141" s="495"/>
    </row>
    <row r="142" spans="1:11" s="481" customFormat="1" ht="19.95" customHeight="1">
      <c r="D142" s="479"/>
    </row>
    <row r="143" spans="1:11" s="149" customFormat="1" ht="19.95" customHeight="1">
      <c r="A143" s="150" t="s">
        <v>1538</v>
      </c>
      <c r="D143" s="163"/>
    </row>
    <row r="145" spans="1:43" s="129" customFormat="1" ht="19.95" customHeight="1">
      <c r="A145" s="89" t="s">
        <v>1430</v>
      </c>
      <c r="E145" s="89" t="s">
        <v>1429</v>
      </c>
      <c r="I145" s="89" t="s">
        <v>1428</v>
      </c>
      <c r="M145" s="89" t="s">
        <v>1432</v>
      </c>
      <c r="Q145" s="89" t="s">
        <v>1434</v>
      </c>
    </row>
    <row r="146" spans="1:43" s="129" customFormat="1" ht="19.95" customHeight="1"/>
    <row r="147" spans="1:43" s="129" customFormat="1" ht="19.95" customHeight="1">
      <c r="A147" s="503">
        <v>0.5</v>
      </c>
      <c r="B147" s="512">
        <f>$B$153*A147</f>
        <v>0.53091524043690441</v>
      </c>
      <c r="C147" s="503" t="s">
        <v>156</v>
      </c>
      <c r="E147" s="503">
        <v>0.5</v>
      </c>
      <c r="F147" s="512">
        <f>$F$153*E147</f>
        <v>3.7995799422675051E-2</v>
      </c>
      <c r="G147" s="503" t="s">
        <v>156</v>
      </c>
      <c r="I147" s="503">
        <v>0.5</v>
      </c>
      <c r="J147" s="512">
        <f>$J$153*I147</f>
        <v>0.13155</v>
      </c>
      <c r="K147" s="503" t="s">
        <v>156</v>
      </c>
      <c r="M147" s="503">
        <v>0.5</v>
      </c>
      <c r="N147" s="512">
        <f>$N$153*M147</f>
        <v>3.8793363434772923E-2</v>
      </c>
      <c r="O147" s="503" t="s">
        <v>156</v>
      </c>
      <c r="Q147" s="503">
        <v>0.5</v>
      </c>
      <c r="R147" s="512">
        <f>$R$153*Q147</f>
        <v>0.21185000000000001</v>
      </c>
      <c r="S147" s="503" t="s">
        <v>156</v>
      </c>
    </row>
    <row r="148" spans="1:43" s="129" customFormat="1" ht="19.95" customHeight="1">
      <c r="A148" s="502">
        <v>1</v>
      </c>
      <c r="B148" s="114">
        <f t="shared" ref="B148" si="16">$B$153*A148</f>
        <v>1.0618304808738088</v>
      </c>
      <c r="C148" s="502" t="s">
        <v>156</v>
      </c>
      <c r="E148" s="502">
        <v>0.75</v>
      </c>
      <c r="F148" s="114">
        <f t="shared" ref="F148:F150" si="17">$F$153*E148</f>
        <v>5.6993699134012574E-2</v>
      </c>
      <c r="G148" s="502" t="s">
        <v>156</v>
      </c>
      <c r="I148" s="502">
        <v>0.75</v>
      </c>
      <c r="J148" s="114">
        <f>$J$153*I148</f>
        <v>0.197325</v>
      </c>
      <c r="K148" s="502" t="s">
        <v>156</v>
      </c>
      <c r="M148" s="502">
        <v>1</v>
      </c>
      <c r="N148" s="114">
        <f>$N$153*M148</f>
        <v>7.7586726869545847E-2</v>
      </c>
      <c r="O148" s="502" t="s">
        <v>156</v>
      </c>
      <c r="Q148" s="502">
        <v>0.75</v>
      </c>
      <c r="R148" s="114">
        <f t="shared" ref="R148:R151" si="18">$R$153*Q148</f>
        <v>0.31777500000000003</v>
      </c>
      <c r="S148" s="502" t="s">
        <v>156</v>
      </c>
    </row>
    <row r="149" spans="1:43" s="129" customFormat="1" ht="19.95" customHeight="1">
      <c r="A149" s="527">
        <v>2</v>
      </c>
      <c r="B149" s="114">
        <f t="shared" ref="B149" si="19">$B$153*A149</f>
        <v>2.1236609617476176</v>
      </c>
      <c r="C149" s="527" t="s">
        <v>156</v>
      </c>
      <c r="E149" s="502">
        <v>1</v>
      </c>
      <c r="F149" s="114">
        <f t="shared" si="17"/>
        <v>7.5991598845350103E-2</v>
      </c>
      <c r="G149" s="502" t="s">
        <v>156</v>
      </c>
      <c r="I149" s="502">
        <v>1</v>
      </c>
      <c r="J149" s="114">
        <f>$J$153*I149</f>
        <v>0.2631</v>
      </c>
      <c r="K149" s="502" t="s">
        <v>156</v>
      </c>
      <c r="M149" s="502">
        <v>2</v>
      </c>
      <c r="N149" s="114">
        <f>$N$153*M149</f>
        <v>0.15517345373909169</v>
      </c>
      <c r="O149" s="502" t="s">
        <v>156</v>
      </c>
      <c r="Q149" s="502">
        <v>1</v>
      </c>
      <c r="R149" s="114">
        <f t="shared" si="18"/>
        <v>0.42370000000000002</v>
      </c>
      <c r="S149" s="502" t="s">
        <v>156</v>
      </c>
    </row>
    <row r="150" spans="1:43" s="129" customFormat="1" ht="19.95" customHeight="1">
      <c r="A150" s="502">
        <v>3</v>
      </c>
      <c r="B150" s="114">
        <f>$B$153*A150</f>
        <v>3.1854914426214265</v>
      </c>
      <c r="C150" s="502" t="s">
        <v>156</v>
      </c>
      <c r="E150" s="502">
        <v>1.5</v>
      </c>
      <c r="F150" s="114">
        <f t="shared" si="17"/>
        <v>0.11398739826802515</v>
      </c>
      <c r="G150" s="502" t="s">
        <v>156</v>
      </c>
      <c r="I150" s="502">
        <v>1.5</v>
      </c>
      <c r="J150" s="114">
        <f>$J$153*I150</f>
        <v>0.39465</v>
      </c>
      <c r="K150" s="502" t="s">
        <v>156</v>
      </c>
      <c r="M150" s="502">
        <v>3</v>
      </c>
      <c r="N150" s="114">
        <f>$N$153*M150</f>
        <v>0.23276018060863754</v>
      </c>
      <c r="O150" s="502" t="s">
        <v>156</v>
      </c>
      <c r="Q150" s="502">
        <v>1.5</v>
      </c>
      <c r="R150" s="114">
        <f t="shared" si="18"/>
        <v>0.63555000000000006</v>
      </c>
      <c r="S150" s="502" t="s">
        <v>156</v>
      </c>
    </row>
    <row r="151" spans="1:43" s="129" customFormat="1" ht="19.95" customHeight="1">
      <c r="A151" s="504"/>
      <c r="B151" s="504"/>
      <c r="C151" s="504"/>
      <c r="E151" s="504">
        <v>2</v>
      </c>
      <c r="F151" s="122">
        <v>0.18</v>
      </c>
      <c r="G151" s="504" t="s">
        <v>156</v>
      </c>
      <c r="I151" s="504">
        <v>2</v>
      </c>
      <c r="J151" s="122">
        <f>$J$153*I151</f>
        <v>0.5262</v>
      </c>
      <c r="K151" s="504" t="s">
        <v>156</v>
      </c>
      <c r="M151" s="504"/>
      <c r="N151" s="504"/>
      <c r="O151" s="504"/>
      <c r="Q151" s="504">
        <v>2</v>
      </c>
      <c r="R151" s="122">
        <f t="shared" si="18"/>
        <v>0.84740000000000004</v>
      </c>
      <c r="S151" s="504" t="s">
        <v>156</v>
      </c>
    </row>
    <row r="152" spans="1:43" s="129" customFormat="1" ht="19.95" customHeight="1"/>
    <row r="153" spans="1:43" s="502" customFormat="1" ht="19.95" customHeight="1">
      <c r="A153" s="513" t="s">
        <v>178</v>
      </c>
      <c r="B153" s="113">
        <f>1.04*B69</f>
        <v>1.0618304808738088</v>
      </c>
      <c r="C153" s="513" t="s">
        <v>156</v>
      </c>
      <c r="E153" s="513" t="s">
        <v>1431</v>
      </c>
      <c r="F153" s="534">
        <v>7.5991598845350103E-2</v>
      </c>
      <c r="G153" s="513" t="s">
        <v>156</v>
      </c>
      <c r="I153" s="513" t="s">
        <v>177</v>
      </c>
      <c r="J153" s="112">
        <v>0.2631</v>
      </c>
      <c r="K153" s="513" t="s">
        <v>156</v>
      </c>
      <c r="M153" s="513" t="s">
        <v>1431</v>
      </c>
      <c r="N153" s="534">
        <f>0.0759915988453501*B69</f>
        <v>7.7586726869545847E-2</v>
      </c>
      <c r="O153" s="513" t="s">
        <v>156</v>
      </c>
      <c r="Q153" s="513" t="s">
        <v>1433</v>
      </c>
      <c r="R153" s="112">
        <v>0.42370000000000002</v>
      </c>
      <c r="S153" s="513" t="s">
        <v>156</v>
      </c>
    </row>
    <row r="154" spans="1:43" s="494" customFormat="1" ht="19.95" customHeight="1">
      <c r="A154" s="80"/>
      <c r="B154" s="80"/>
      <c r="C154" s="80"/>
      <c r="D154" s="80"/>
    </row>
    <row r="155" spans="1:43" s="134" customFormat="1" ht="19.95" customHeight="1">
      <c r="A155" s="133" t="s">
        <v>2263</v>
      </c>
    </row>
    <row r="156" spans="1:43" s="129" customFormat="1" ht="19.95" customHeight="1">
      <c r="A156" s="89"/>
    </row>
    <row r="157" spans="1:43" s="129" customFormat="1" ht="19.95" customHeight="1">
      <c r="A157" s="129" t="s">
        <v>98</v>
      </c>
      <c r="K157" s="563"/>
      <c r="L157" s="562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s="129" customFormat="1" ht="19.95" customHeight="1">
      <c r="A158" s="107" t="s">
        <v>180</v>
      </c>
      <c r="B158" s="108" t="s">
        <v>164</v>
      </c>
      <c r="C158" s="108" t="s">
        <v>154</v>
      </c>
      <c r="D158" s="108">
        <v>170309</v>
      </c>
      <c r="K158" s="563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s="129" customFormat="1" ht="19.95" customHeight="1">
      <c r="A159" s="527" t="s">
        <v>167</v>
      </c>
      <c r="B159" s="527"/>
      <c r="C159" s="527"/>
      <c r="D159" s="527"/>
      <c r="K159" s="563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s="129" customFormat="1" ht="19.95" customHeight="1">
      <c r="A160" s="106">
        <v>1.0005999999999999</v>
      </c>
      <c r="B160" s="527" t="s">
        <v>155</v>
      </c>
      <c r="C160" s="106">
        <v>1.8E-3</v>
      </c>
      <c r="D160" s="527" t="s">
        <v>155</v>
      </c>
      <c r="K160" s="563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s="129" customFormat="1" ht="19.95" customHeight="1">
      <c r="A161" s="527" t="s">
        <v>198</v>
      </c>
      <c r="B161" s="527"/>
      <c r="C161" s="527"/>
      <c r="D161" s="527"/>
      <c r="K161" s="563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s="129" customFormat="1" ht="19.95" customHeight="1">
      <c r="A162" s="109">
        <f>A160*1000</f>
        <v>1000.5999999999999</v>
      </c>
      <c r="B162" s="529" t="s">
        <v>156</v>
      </c>
      <c r="C162" s="110">
        <f>C160*1000/1.965</f>
        <v>0.91603053435114501</v>
      </c>
      <c r="D162" s="529" t="s">
        <v>156</v>
      </c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s="494" customFormat="1" ht="19.95" customHeight="1">
      <c r="A163" s="80"/>
      <c r="B163" s="80"/>
      <c r="C163" s="80"/>
      <c r="D163" s="80"/>
    </row>
    <row r="164" spans="1:43" s="494" customFormat="1" ht="19.95" customHeight="1">
      <c r="A164" s="129" t="s">
        <v>520</v>
      </c>
      <c r="B164" s="129"/>
      <c r="C164" s="129"/>
      <c r="D164" s="129"/>
    </row>
    <row r="165" spans="1:43" s="494" customFormat="1" ht="19.95" customHeight="1">
      <c r="A165" s="107" t="s">
        <v>1539</v>
      </c>
      <c r="B165" s="108">
        <v>67276</v>
      </c>
      <c r="C165" s="108" t="s">
        <v>154</v>
      </c>
      <c r="D165" s="108" t="s">
        <v>1540</v>
      </c>
    </row>
    <row r="166" spans="1:43" s="494" customFormat="1" ht="19.95" customHeight="1">
      <c r="A166" s="527" t="s">
        <v>2262</v>
      </c>
      <c r="B166" s="527"/>
      <c r="C166" s="527"/>
      <c r="D166" s="527"/>
    </row>
    <row r="167" spans="1:43" s="494" customFormat="1" ht="19.95" customHeight="1">
      <c r="A167" s="84">
        <f>pNO2v</f>
        <v>1004.0619057904013</v>
      </c>
      <c r="B167" s="527" t="s">
        <v>257</v>
      </c>
      <c r="C167" s="84">
        <f>pNO2u*2</f>
        <v>5.7729753812377398</v>
      </c>
      <c r="D167" s="527" t="s">
        <v>257</v>
      </c>
    </row>
    <row r="168" spans="1:43" s="494" customFormat="1" ht="19.95" customHeight="1">
      <c r="A168" s="527" t="s">
        <v>2129</v>
      </c>
      <c r="B168" s="527"/>
      <c r="C168" s="527"/>
      <c r="D168" s="527"/>
    </row>
    <row r="169" spans="1:43" s="494" customFormat="1" ht="19.95" customHeight="1">
      <c r="A169" s="109">
        <f>RND!B892</f>
        <v>1004.0619057904013</v>
      </c>
      <c r="B169" s="529" t="s">
        <v>156</v>
      </c>
      <c r="C169" s="109">
        <f>RND!C892</f>
        <v>2.8864876906188699</v>
      </c>
      <c r="D169" s="529" t="s">
        <v>156</v>
      </c>
    </row>
    <row r="170" spans="1:43" s="494" customFormat="1" ht="19.95" customHeight="1"/>
    <row r="171" spans="1:43" s="494" customFormat="1" ht="19.95" customHeight="1">
      <c r="A171" s="129" t="s">
        <v>97</v>
      </c>
      <c r="B171" s="129"/>
      <c r="C171" s="129"/>
      <c r="D171" s="129"/>
    </row>
    <row r="172" spans="1:43" s="494" customFormat="1" ht="19.95" customHeight="1">
      <c r="A172" s="107" t="s">
        <v>180</v>
      </c>
      <c r="B172" s="108" t="s">
        <v>197</v>
      </c>
      <c r="C172" s="108" t="s">
        <v>154</v>
      </c>
      <c r="D172" s="108">
        <v>170606</v>
      </c>
    </row>
    <row r="173" spans="1:43" s="494" customFormat="1" ht="19.95" customHeight="1">
      <c r="A173" s="527" t="s">
        <v>165</v>
      </c>
      <c r="B173" s="527"/>
      <c r="C173" s="527"/>
      <c r="D173" s="527"/>
    </row>
    <row r="174" spans="1:43" s="494" customFormat="1" ht="19.95" customHeight="1">
      <c r="A174" s="106">
        <v>1.0004999999999999</v>
      </c>
      <c r="B174" s="527" t="s">
        <v>155</v>
      </c>
      <c r="C174" s="106">
        <v>4.1000000000000003E-3</v>
      </c>
      <c r="D174" s="527" t="s">
        <v>155</v>
      </c>
    </row>
    <row r="175" spans="1:43" s="494" customFormat="1" ht="19.95" customHeight="1">
      <c r="A175" s="527" t="s">
        <v>166</v>
      </c>
      <c r="B175" s="527"/>
      <c r="C175" s="527"/>
      <c r="D175" s="527"/>
    </row>
    <row r="176" spans="1:43" s="494" customFormat="1" ht="19.95" customHeight="1">
      <c r="A176" s="109">
        <f>A174*1000</f>
        <v>1000.5</v>
      </c>
      <c r="B176" s="529" t="s">
        <v>156</v>
      </c>
      <c r="C176" s="109">
        <f>C174*1000/2.284</f>
        <v>1.7950963222416816</v>
      </c>
      <c r="D176" s="529" t="s">
        <v>156</v>
      </c>
    </row>
    <row r="177" spans="1:4" s="494" customFormat="1" ht="19.95" customHeight="1"/>
    <row r="178" spans="1:4" s="494" customFormat="1" ht="19.95" customHeight="1">
      <c r="A178" s="129" t="s">
        <v>521</v>
      </c>
      <c r="B178" s="129"/>
      <c r="C178" s="129"/>
      <c r="D178" s="129"/>
    </row>
    <row r="179" spans="1:4" s="494" customFormat="1" ht="19.95" customHeight="1">
      <c r="A179" s="107" t="s">
        <v>180</v>
      </c>
      <c r="B179" s="108" t="s">
        <v>1541</v>
      </c>
      <c r="C179" s="108" t="s">
        <v>154</v>
      </c>
      <c r="D179" s="108">
        <v>211509</v>
      </c>
    </row>
    <row r="180" spans="1:4" s="494" customFormat="1" ht="19.95" customHeight="1">
      <c r="A180" s="527" t="s">
        <v>1542</v>
      </c>
      <c r="B180" s="527"/>
      <c r="C180" s="527"/>
      <c r="D180" s="527"/>
    </row>
    <row r="181" spans="1:4" s="494" customFormat="1" ht="19.95" customHeight="1">
      <c r="A181" s="106">
        <v>10.018000000000001</v>
      </c>
      <c r="B181" s="527" t="s">
        <v>155</v>
      </c>
      <c r="C181" s="106">
        <v>2.5000000000000001E-2</v>
      </c>
      <c r="D181" s="527" t="s">
        <v>155</v>
      </c>
    </row>
    <row r="182" spans="1:4" s="494" customFormat="1" ht="19.95" customHeight="1">
      <c r="A182" s="527" t="s">
        <v>1556</v>
      </c>
      <c r="B182" s="527"/>
      <c r="C182" s="527"/>
      <c r="D182" s="527"/>
    </row>
    <row r="183" spans="1:4" s="494" customFormat="1" ht="19.95" customHeight="1">
      <c r="A183" s="535">
        <f>1000*A181*(MM_SiO2/MM_Si)</f>
        <v>21432.06367811999</v>
      </c>
      <c r="B183" s="529" t="s">
        <v>156</v>
      </c>
      <c r="C183" s="535">
        <f>(1000*C181*(MM_SiO2/MM_Si))/2.015</f>
        <v>26.542872554117213</v>
      </c>
      <c r="D183" s="529" t="s">
        <v>156</v>
      </c>
    </row>
    <row r="184" spans="1:4" s="494" customFormat="1" ht="19.95" customHeight="1">
      <c r="A184" s="80"/>
      <c r="B184" s="80"/>
      <c r="C184" s="80"/>
      <c r="D184" s="80"/>
    </row>
    <row r="185" spans="1:4" s="494" customFormat="1" ht="19.95" customHeight="1">
      <c r="A185" s="80" t="s">
        <v>2131</v>
      </c>
      <c r="B185" s="80"/>
      <c r="C185" s="80"/>
      <c r="D185" s="80"/>
    </row>
    <row r="186" spans="1:4" s="530" customFormat="1" ht="19.95" customHeight="1">
      <c r="A186" s="255" t="s">
        <v>2130</v>
      </c>
      <c r="B186" s="80"/>
      <c r="C186" s="80"/>
      <c r="D186" s="80"/>
    </row>
    <row r="187" spans="1:4" s="494" customFormat="1" ht="19.95" customHeight="1">
      <c r="B187" s="80"/>
      <c r="C187" s="80"/>
      <c r="D187" s="80"/>
    </row>
    <row r="188" spans="1:4" s="494" customFormat="1" ht="19.95" customHeight="1">
      <c r="A188" s="232" t="s">
        <v>1543</v>
      </c>
      <c r="B188" s="80"/>
      <c r="C188" s="80"/>
      <c r="D188" s="80"/>
    </row>
    <row r="189" spans="1:4" s="494" customFormat="1" ht="19.95" customHeight="1">
      <c r="A189" s="80" t="s">
        <v>1544</v>
      </c>
      <c r="B189" s="80"/>
      <c r="C189" s="80"/>
      <c r="D189" s="80"/>
    </row>
    <row r="190" spans="1:4" s="530" customFormat="1" ht="19.95" customHeight="1">
      <c r="A190" s="80">
        <f>AVERAGE(28.084,28.086)</f>
        <v>28.085000000000001</v>
      </c>
      <c r="B190" s="80" t="s">
        <v>1551</v>
      </c>
      <c r="C190" s="80"/>
      <c r="D190" s="80"/>
    </row>
    <row r="191" spans="1:4" s="494" customFormat="1" ht="19.95" customHeight="1">
      <c r="A191" s="80"/>
      <c r="B191" s="80"/>
      <c r="C191" s="80"/>
      <c r="D191" s="80"/>
    </row>
    <row r="192" spans="1:4" s="494" customFormat="1" ht="19.95" customHeight="1">
      <c r="A192" s="232" t="s">
        <v>1545</v>
      </c>
      <c r="B192" s="80"/>
      <c r="C192" s="80"/>
      <c r="D192" s="80"/>
    </row>
    <row r="193" spans="1:4" s="494" customFormat="1" ht="19.95" customHeight="1">
      <c r="A193" s="80" t="s">
        <v>1546</v>
      </c>
      <c r="B193" s="80"/>
      <c r="C193" s="80"/>
      <c r="D193" s="80"/>
    </row>
    <row r="194" spans="1:4" s="530" customFormat="1" ht="19.95" customHeight="1">
      <c r="A194" s="80">
        <f>AVERAGE(14.00643, 14.00728)</f>
        <v>14.006855</v>
      </c>
      <c r="B194" s="80" t="s">
        <v>1551</v>
      </c>
      <c r="C194" s="80"/>
      <c r="D194" s="80"/>
    </row>
    <row r="195" spans="1:4" s="494" customFormat="1" ht="19.95" customHeight="1">
      <c r="A195" s="80"/>
      <c r="B195" s="80"/>
      <c r="C195" s="80"/>
      <c r="D195" s="80"/>
    </row>
    <row r="196" spans="1:4" s="494" customFormat="1" ht="19.95" customHeight="1">
      <c r="A196" s="232" t="s">
        <v>1547</v>
      </c>
      <c r="B196" s="80"/>
      <c r="C196" s="80"/>
      <c r="D196" s="80"/>
    </row>
    <row r="197" spans="1:4" s="494" customFormat="1" ht="19.95" customHeight="1">
      <c r="A197" s="80" t="s">
        <v>1548</v>
      </c>
      <c r="B197" s="80"/>
      <c r="C197" s="80"/>
      <c r="D197" s="80"/>
    </row>
    <row r="198" spans="1:4" s="530" customFormat="1" ht="19.95" customHeight="1">
      <c r="A198" s="80">
        <f>AVERAGE(15.99903, 15.99977)</f>
        <v>15.9994</v>
      </c>
      <c r="B198" s="80" t="s">
        <v>1551</v>
      </c>
      <c r="C198" s="80"/>
      <c r="D198" s="80"/>
    </row>
    <row r="199" spans="1:4" s="494" customFormat="1" ht="19.95" customHeight="1">
      <c r="A199" s="80"/>
      <c r="B199" s="80"/>
      <c r="C199" s="80"/>
      <c r="D199" s="80"/>
    </row>
    <row r="200" spans="1:4" s="494" customFormat="1" ht="19.95" customHeight="1">
      <c r="A200" s="232" t="s">
        <v>1549</v>
      </c>
      <c r="B200" s="80"/>
      <c r="C200" s="80"/>
      <c r="D200" s="80"/>
    </row>
    <row r="201" spans="1:4" s="494" customFormat="1" ht="19.95" customHeight="1">
      <c r="A201" s="80" t="s">
        <v>1550</v>
      </c>
      <c r="B201" s="80"/>
      <c r="C201" s="80"/>
      <c r="D201" s="80"/>
    </row>
    <row r="202" spans="1:4" s="494" customFormat="1" ht="19.95" customHeight="1">
      <c r="A202" s="80">
        <v>30.973761998000001</v>
      </c>
      <c r="B202" s="80" t="s">
        <v>1551</v>
      </c>
      <c r="C202" s="80"/>
      <c r="D202" s="80"/>
    </row>
    <row r="203" spans="1:4" s="494" customFormat="1" ht="19.95" customHeight="1">
      <c r="A203" s="80"/>
      <c r="B203" s="80"/>
      <c r="C203" s="80"/>
      <c r="D203" s="80"/>
    </row>
    <row r="204" spans="1:4" s="494" customFormat="1" ht="19.95" customHeight="1">
      <c r="A204" s="232" t="s">
        <v>1552</v>
      </c>
      <c r="B204" s="80"/>
      <c r="C204" s="80"/>
      <c r="D204" s="80"/>
    </row>
    <row r="205" spans="1:4" s="494" customFormat="1" ht="19.95" customHeight="1">
      <c r="A205" s="80">
        <f>A194+3*A198</f>
        <v>62.005054999999999</v>
      </c>
      <c r="B205" s="80" t="s">
        <v>1551</v>
      </c>
      <c r="C205" s="80"/>
      <c r="D205" s="80"/>
    </row>
    <row r="206" spans="1:4" s="494" customFormat="1" ht="19.95" customHeight="1">
      <c r="A206" s="80"/>
      <c r="B206" s="80"/>
      <c r="C206" s="80"/>
      <c r="D206" s="80"/>
    </row>
    <row r="207" spans="1:4" s="494" customFormat="1" ht="19.95" customHeight="1">
      <c r="A207" s="232" t="s">
        <v>1553</v>
      </c>
      <c r="B207" s="80"/>
      <c r="C207" s="80"/>
      <c r="D207" s="80"/>
    </row>
    <row r="208" spans="1:4" s="494" customFormat="1" ht="19.95" customHeight="1">
      <c r="A208" s="80">
        <f>A194+2*A198</f>
        <v>46.005654999999997</v>
      </c>
      <c r="B208" s="80" t="s">
        <v>1551</v>
      </c>
      <c r="C208" s="80"/>
      <c r="D208" s="80"/>
    </row>
    <row r="209" spans="1:24" s="494" customFormat="1" ht="19.95" customHeight="1">
      <c r="A209" s="80"/>
      <c r="B209" s="80"/>
      <c r="C209" s="80"/>
      <c r="D209" s="80"/>
    </row>
    <row r="210" spans="1:24" s="494" customFormat="1" ht="19.95" customHeight="1">
      <c r="A210" s="232" t="s">
        <v>1554</v>
      </c>
      <c r="B210" s="80"/>
      <c r="C210" s="80"/>
      <c r="D210" s="80"/>
    </row>
    <row r="211" spans="1:24" s="494" customFormat="1" ht="19.95" customHeight="1">
      <c r="A211" s="80">
        <f>A202+4*A198</f>
        <v>94.971361997999992</v>
      </c>
      <c r="B211" s="80" t="s">
        <v>1551</v>
      </c>
      <c r="C211" s="80"/>
      <c r="D211" s="80"/>
    </row>
    <row r="212" spans="1:24" s="494" customFormat="1" ht="19.95" customHeight="1">
      <c r="A212" s="80"/>
      <c r="B212" s="80"/>
      <c r="C212" s="80"/>
      <c r="D212" s="80"/>
    </row>
    <row r="213" spans="1:24" s="494" customFormat="1" ht="19.95" customHeight="1">
      <c r="A213" s="232" t="s">
        <v>1555</v>
      </c>
      <c r="B213" s="80"/>
      <c r="C213" s="80"/>
      <c r="D213" s="80"/>
    </row>
    <row r="214" spans="1:24" s="494" customFormat="1" ht="19.95" customHeight="1">
      <c r="A214" s="80">
        <f>A190+2*A198</f>
        <v>60.083799999999997</v>
      </c>
      <c r="B214" s="80" t="s">
        <v>1551</v>
      </c>
      <c r="C214" s="80"/>
      <c r="D214" s="80"/>
    </row>
    <row r="215" spans="1:24" s="530" customFormat="1" ht="19.95" customHeight="1">
      <c r="A215" s="80"/>
      <c r="B215" s="80"/>
      <c r="C215" s="80"/>
      <c r="D215" s="80"/>
    </row>
    <row r="216" spans="1:24" s="149" customFormat="1" ht="19.95" customHeight="1">
      <c r="A216" s="537" t="s">
        <v>2148</v>
      </c>
      <c r="B216" s="536"/>
      <c r="C216" s="536"/>
      <c r="D216" s="536"/>
    </row>
    <row r="217" spans="1:24" s="530" customFormat="1" ht="19.95" customHeight="1">
      <c r="A217" s="80"/>
      <c r="B217" s="80"/>
      <c r="C217" s="80"/>
      <c r="D217" s="80"/>
    </row>
    <row r="218" spans="1:24" s="54" customFormat="1" ht="19.95" customHeight="1">
      <c r="A218" s="51"/>
      <c r="C218" s="54" t="s">
        <v>199</v>
      </c>
      <c r="D218" s="54" t="s">
        <v>199</v>
      </c>
      <c r="E218" s="54" t="s">
        <v>76</v>
      </c>
      <c r="F218" s="54" t="s">
        <v>76</v>
      </c>
      <c r="G218" s="54" t="s">
        <v>77</v>
      </c>
      <c r="H218" s="54" t="s">
        <v>77</v>
      </c>
      <c r="I218" s="54" t="s">
        <v>78</v>
      </c>
      <c r="J218" s="54" t="s">
        <v>78</v>
      </c>
      <c r="K218" s="54" t="s">
        <v>200</v>
      </c>
      <c r="L218" s="54" t="s">
        <v>200</v>
      </c>
      <c r="Q218" s="54" t="s">
        <v>72</v>
      </c>
      <c r="R218" s="54" t="s">
        <v>76</v>
      </c>
      <c r="S218" s="54" t="s">
        <v>77</v>
      </c>
      <c r="T218" s="54" t="s">
        <v>78</v>
      </c>
      <c r="U218" s="54" t="s">
        <v>73</v>
      </c>
    </row>
    <row r="219" spans="1:24" s="54" customFormat="1" ht="19.95" customHeight="1">
      <c r="A219" s="531" t="s">
        <v>4</v>
      </c>
      <c r="B219" s="61" t="s">
        <v>4</v>
      </c>
      <c r="C219" s="527" t="s">
        <v>201</v>
      </c>
      <c r="D219" s="527" t="s">
        <v>202</v>
      </c>
      <c r="E219" s="527" t="s">
        <v>203</v>
      </c>
      <c r="F219" s="527" t="s">
        <v>204</v>
      </c>
      <c r="G219" s="527" t="s">
        <v>205</v>
      </c>
      <c r="H219" s="527" t="s">
        <v>206</v>
      </c>
      <c r="I219" s="527" t="s">
        <v>207</v>
      </c>
      <c r="J219" s="527" t="s">
        <v>208</v>
      </c>
      <c r="K219" s="527" t="s">
        <v>209</v>
      </c>
      <c r="L219" s="527" t="s">
        <v>210</v>
      </c>
      <c r="M219" s="61" t="s">
        <v>2</v>
      </c>
      <c r="N219" s="61" t="s">
        <v>3</v>
      </c>
      <c r="O219" s="61" t="s">
        <v>79</v>
      </c>
      <c r="P219" s="61" t="s">
        <v>80</v>
      </c>
      <c r="Q219" s="61" t="s">
        <v>81</v>
      </c>
      <c r="R219" s="61" t="s">
        <v>82</v>
      </c>
      <c r="S219" s="61" t="s">
        <v>83</v>
      </c>
      <c r="T219" s="61" t="s">
        <v>84</v>
      </c>
      <c r="U219" s="61" t="s">
        <v>85</v>
      </c>
      <c r="V219" s="70" t="s">
        <v>75</v>
      </c>
      <c r="W219" s="70" t="s">
        <v>95</v>
      </c>
      <c r="X219" s="62" t="s">
        <v>86</v>
      </c>
    </row>
    <row r="220" spans="1:24" s="54" customFormat="1" ht="19.95" customHeight="1">
      <c r="A220" s="483" t="s">
        <v>87</v>
      </c>
      <c r="B220" s="63" t="s">
        <v>88</v>
      </c>
      <c r="C220" s="63" t="s">
        <v>64</v>
      </c>
      <c r="D220" s="63" t="s">
        <v>64</v>
      </c>
      <c r="E220" s="63" t="s">
        <v>64</v>
      </c>
      <c r="F220" s="63" t="s">
        <v>64</v>
      </c>
      <c r="G220" s="63" t="s">
        <v>64</v>
      </c>
      <c r="H220" s="63" t="s">
        <v>64</v>
      </c>
      <c r="I220" s="63" t="s">
        <v>64</v>
      </c>
      <c r="J220" s="63" t="s">
        <v>64</v>
      </c>
      <c r="K220" s="63" t="s">
        <v>64</v>
      </c>
      <c r="L220" s="63" t="s">
        <v>64</v>
      </c>
      <c r="M220" s="63" t="s">
        <v>89</v>
      </c>
      <c r="N220" s="63" t="s">
        <v>90</v>
      </c>
      <c r="O220" s="63" t="s">
        <v>92</v>
      </c>
      <c r="P220" s="63" t="s">
        <v>74</v>
      </c>
      <c r="Q220" s="63" t="s">
        <v>64</v>
      </c>
      <c r="R220" s="63" t="s">
        <v>64</v>
      </c>
      <c r="S220" s="63" t="s">
        <v>64</v>
      </c>
      <c r="T220" s="63" t="s">
        <v>64</v>
      </c>
      <c r="U220" s="63" t="s">
        <v>64</v>
      </c>
      <c r="V220" s="71" t="s">
        <v>91</v>
      </c>
      <c r="W220" s="71" t="s">
        <v>64</v>
      </c>
      <c r="X220" s="483" t="s">
        <v>93</v>
      </c>
    </row>
    <row r="221" spans="1:24" s="237" customFormat="1" ht="19.95" customHeight="1">
      <c r="A221" s="52" t="str">
        <f t="shared" ref="A221" si="20">"SALT"&amp;TEXT(B221,"0000")</f>
        <v>SALT0113</v>
      </c>
      <c r="B221" s="65">
        <v>113</v>
      </c>
      <c r="C221" s="67">
        <v>11.4885</v>
      </c>
      <c r="D221" s="67">
        <v>-1E-4</v>
      </c>
      <c r="E221" s="67">
        <v>21.803999999999998</v>
      </c>
      <c r="F221" s="67">
        <v>0</v>
      </c>
      <c r="G221" s="67">
        <v>25.876799999999999</v>
      </c>
      <c r="H221" s="67">
        <v>-1E-4</v>
      </c>
      <c r="I221" s="67">
        <v>123.5979</v>
      </c>
      <c r="J221" s="67">
        <v>1E-4</v>
      </c>
      <c r="K221" s="67">
        <v>7.3994</v>
      </c>
      <c r="L221" s="67">
        <v>1E-4</v>
      </c>
      <c r="M221" s="546">
        <v>45341</v>
      </c>
      <c r="N221" s="66" t="s">
        <v>101</v>
      </c>
      <c r="O221" s="83">
        <v>21.8</v>
      </c>
      <c r="P221" s="83">
        <v>12.1</v>
      </c>
      <c r="Q221" s="131">
        <f>C221-D221/2</f>
        <v>11.48855</v>
      </c>
      <c r="R221" s="131">
        <f>E221-F221/2</f>
        <v>21.803999999999998</v>
      </c>
      <c r="S221" s="131">
        <f>G221-H221/2</f>
        <v>25.876850000000001</v>
      </c>
      <c r="T221" s="131">
        <f>I221-J221/2</f>
        <v>123.59784999999999</v>
      </c>
      <c r="U221" s="131">
        <f>K221-L221/2</f>
        <v>7.3993500000000001</v>
      </c>
      <c r="V221" s="72" t="s">
        <v>94</v>
      </c>
      <c r="W221" s="67">
        <f>u_m1</f>
        <v>2.0000000000000001E-4</v>
      </c>
      <c r="X221" s="64">
        <f>(S221-R221)/(T221-R221)</f>
        <v>4.0010766858705145E-2</v>
      </c>
    </row>
    <row r="222" spans="1:24" s="237" customFormat="1" ht="19.95" customHeight="1">
      <c r="A222" s="237" t="str">
        <f t="shared" ref="A222" si="21">"SALT"&amp;TEXT(B222,"0000")</f>
        <v>SALT0309</v>
      </c>
      <c r="B222" s="906">
        <v>309</v>
      </c>
      <c r="C222" s="69">
        <v>11.4932</v>
      </c>
      <c r="D222" s="69">
        <v>0</v>
      </c>
      <c r="E222" s="69">
        <v>21.789899999999999</v>
      </c>
      <c r="F222" s="69">
        <v>0</v>
      </c>
      <c r="G222" s="69">
        <v>25.897300000000001</v>
      </c>
      <c r="H222" s="69">
        <v>0</v>
      </c>
      <c r="I222" s="69">
        <v>124.6211</v>
      </c>
      <c r="J222" s="69">
        <v>1E-4</v>
      </c>
      <c r="K222" s="69">
        <v>7.3762999999999996</v>
      </c>
      <c r="L222" s="69">
        <v>-1E-4</v>
      </c>
      <c r="M222" s="863">
        <v>45355</v>
      </c>
      <c r="N222" s="68" t="s">
        <v>101</v>
      </c>
      <c r="O222" s="84">
        <v>22.6</v>
      </c>
      <c r="P222" s="84">
        <v>32</v>
      </c>
      <c r="Q222" s="87">
        <f>C222-D222/2</f>
        <v>11.4932</v>
      </c>
      <c r="R222" s="87">
        <f>E222-F222/2</f>
        <v>21.789899999999999</v>
      </c>
      <c r="S222" s="87">
        <f>G222-H222/2</f>
        <v>25.897300000000001</v>
      </c>
      <c r="T222" s="87">
        <f>I222-J222/2</f>
        <v>124.62105</v>
      </c>
      <c r="U222" s="87">
        <f>K222-L222/2</f>
        <v>7.3763499999999995</v>
      </c>
      <c r="V222" s="73" t="s">
        <v>94</v>
      </c>
      <c r="W222" s="69">
        <f>u_m1</f>
        <v>2.0000000000000001E-4</v>
      </c>
      <c r="X222" s="907">
        <f>(S222-R222)/(T222-R222)</f>
        <v>3.9943149522299444E-2</v>
      </c>
    </row>
    <row r="223" spans="1:24" s="237" customFormat="1" ht="19.95" customHeight="1">
      <c r="A223" s="483" t="str">
        <f t="shared" ref="A223" si="22">"SALT"&amp;TEXT(B223,"0000")</f>
        <v>SALT0197</v>
      </c>
      <c r="B223" s="547">
        <v>197</v>
      </c>
      <c r="C223" s="76">
        <v>11.469099999999999</v>
      </c>
      <c r="D223" s="76">
        <v>-1E-4</v>
      </c>
      <c r="E223" s="76">
        <v>22.0245</v>
      </c>
      <c r="F223" s="76">
        <v>1E-4</v>
      </c>
      <c r="G223" s="76">
        <v>26.0884</v>
      </c>
      <c r="H223" s="76">
        <v>-1E-4</v>
      </c>
      <c r="I223" s="76">
        <v>123.6198</v>
      </c>
      <c r="J223" s="76">
        <v>0</v>
      </c>
      <c r="K223" s="76">
        <v>7.3891</v>
      </c>
      <c r="L223" s="76">
        <v>1E-4</v>
      </c>
      <c r="M223" s="548">
        <v>45419</v>
      </c>
      <c r="N223" s="74" t="s">
        <v>101</v>
      </c>
      <c r="O223" s="85">
        <v>22.5</v>
      </c>
      <c r="P223" s="85">
        <v>32.200000000000003</v>
      </c>
      <c r="Q223" s="188">
        <f>C223-D223/2</f>
        <v>11.469149999999999</v>
      </c>
      <c r="R223" s="188">
        <f>E223-F223/2</f>
        <v>22.024449999999998</v>
      </c>
      <c r="S223" s="188">
        <f>G223-H223/2</f>
        <v>26.088450000000002</v>
      </c>
      <c r="T223" s="188">
        <f>I223-J223/2</f>
        <v>123.6198</v>
      </c>
      <c r="U223" s="188">
        <f>K223-L223/2</f>
        <v>7.3890500000000001</v>
      </c>
      <c r="V223" s="75" t="s">
        <v>94</v>
      </c>
      <c r="W223" s="76">
        <f>u_m1</f>
        <v>2.0000000000000001E-4</v>
      </c>
      <c r="X223" s="549">
        <f>(S223-R223)/(T223-R223)</f>
        <v>4.0001830792452647E-2</v>
      </c>
    </row>
    <row r="224" spans="1:24" s="699" customFormat="1" ht="19.95" customHeight="1">
      <c r="B224" s="700"/>
      <c r="C224" s="132"/>
      <c r="D224" s="132"/>
      <c r="E224" s="132"/>
      <c r="F224" s="132"/>
      <c r="G224" s="132"/>
      <c r="H224" s="132"/>
      <c r="I224" s="132"/>
      <c r="J224" s="132"/>
      <c r="K224" s="132"/>
      <c r="L224" s="132"/>
      <c r="M224" s="701"/>
      <c r="N224" s="693"/>
      <c r="O224" s="694"/>
      <c r="P224" s="694"/>
      <c r="Q224" s="87"/>
      <c r="R224" s="87"/>
      <c r="S224" s="87"/>
      <c r="T224" s="87"/>
      <c r="U224" s="87"/>
      <c r="V224" s="73"/>
      <c r="W224" s="132"/>
      <c r="X224" s="702"/>
    </row>
    <row r="225" spans="1:24" s="699" customFormat="1" ht="19.95" customHeight="1">
      <c r="A225" s="70" t="s">
        <v>2141</v>
      </c>
      <c r="B225" s="700"/>
      <c r="C225" s="132"/>
      <c r="D225" s="132"/>
      <c r="E225" s="132"/>
      <c r="F225" s="132"/>
      <c r="G225" s="132"/>
      <c r="H225" s="132"/>
      <c r="I225" s="132"/>
      <c r="J225" s="132"/>
      <c r="K225" s="132"/>
      <c r="L225" s="132"/>
      <c r="M225" s="701"/>
      <c r="N225" s="693"/>
      <c r="O225" s="694"/>
      <c r="P225" s="694"/>
      <c r="Q225" s="87"/>
      <c r="R225" s="87"/>
      <c r="S225" s="87"/>
      <c r="T225" s="87"/>
      <c r="U225" s="87"/>
      <c r="V225" s="73"/>
      <c r="W225" s="132"/>
      <c r="X225" s="702"/>
    </row>
    <row r="226" spans="1:24" s="699" customFormat="1" ht="19.95" customHeight="1">
      <c r="B226" s="700"/>
      <c r="C226" s="132"/>
      <c r="D226" s="132"/>
      <c r="E226" s="132"/>
      <c r="F226" s="132"/>
      <c r="G226" s="132"/>
      <c r="H226" s="132"/>
      <c r="I226" s="132"/>
      <c r="J226" s="132"/>
      <c r="K226" s="132"/>
      <c r="L226" s="132"/>
      <c r="M226" s="701"/>
      <c r="N226" s="693"/>
      <c r="O226" s="694"/>
      <c r="P226" s="694"/>
      <c r="Q226" s="87"/>
      <c r="R226" s="87"/>
      <c r="S226" s="87"/>
      <c r="T226" s="87"/>
      <c r="U226" s="87"/>
      <c r="V226" s="73"/>
      <c r="W226" s="132"/>
      <c r="X226" s="702"/>
    </row>
    <row r="227" spans="1:24" s="699" customFormat="1" ht="19.95" customHeight="1">
      <c r="A227" s="704" t="s">
        <v>2139</v>
      </c>
      <c r="B227" s="587" t="s">
        <v>241</v>
      </c>
      <c r="C227" s="587" t="s">
        <v>2133</v>
      </c>
      <c r="D227" s="587" t="s">
        <v>2134</v>
      </c>
      <c r="E227" s="587" t="s">
        <v>2135</v>
      </c>
      <c r="F227" s="587" t="s">
        <v>2136</v>
      </c>
      <c r="G227" s="703" t="s">
        <v>2137</v>
      </c>
      <c r="H227" s="703"/>
      <c r="I227" s="132"/>
      <c r="J227" s="132"/>
      <c r="K227" s="132"/>
      <c r="L227" s="132"/>
      <c r="M227" s="701"/>
      <c r="N227" s="693"/>
      <c r="O227" s="694"/>
      <c r="P227" s="694"/>
      <c r="Q227" s="87"/>
      <c r="R227" s="87"/>
      <c r="S227" s="87"/>
      <c r="T227" s="87"/>
      <c r="U227" s="87"/>
      <c r="V227" s="73"/>
      <c r="W227" s="132"/>
      <c r="X227" s="702"/>
    </row>
    <row r="228" spans="1:24" s="699" customFormat="1" ht="19.95" customHeight="1">
      <c r="A228" s="590" t="s">
        <v>232</v>
      </c>
      <c r="B228" s="191">
        <v>28.815937864878659</v>
      </c>
      <c r="C228" s="191">
        <v>0.28447375625724775</v>
      </c>
      <c r="D228" s="191">
        <v>0.56894751251449549</v>
      </c>
      <c r="E228" s="162">
        <v>1.9744195562273824E-2</v>
      </c>
      <c r="F228" s="590" t="s">
        <v>156</v>
      </c>
      <c r="G228" s="705" t="s">
        <v>2138</v>
      </c>
      <c r="H228" s="705"/>
      <c r="I228" s="132"/>
      <c r="J228" s="132"/>
      <c r="K228" s="132"/>
      <c r="L228" s="132"/>
      <c r="M228" s="701"/>
      <c r="N228" s="693"/>
      <c r="O228" s="694"/>
      <c r="P228" s="694"/>
      <c r="Q228" s="87"/>
      <c r="R228" s="87"/>
      <c r="S228" s="87"/>
      <c r="T228" s="87"/>
      <c r="U228" s="87"/>
      <c r="V228" s="73"/>
      <c r="W228" s="132"/>
      <c r="X228" s="702"/>
    </row>
    <row r="229" spans="1:24" s="699" customFormat="1" ht="19.95" customHeight="1">
      <c r="A229" s="593" t="s">
        <v>228</v>
      </c>
      <c r="B229" s="197">
        <v>3.7551788447782908</v>
      </c>
      <c r="C229" s="197">
        <v>2.4486042127644939E-2</v>
      </c>
      <c r="D229" s="197">
        <v>4.8972084255289879E-2</v>
      </c>
      <c r="E229" s="206">
        <v>1.3041212224389072E-2</v>
      </c>
      <c r="F229" s="593" t="s">
        <v>156</v>
      </c>
      <c r="G229" s="706" t="s">
        <v>2138</v>
      </c>
      <c r="H229" s="132"/>
      <c r="I229" s="132"/>
      <c r="J229" s="132"/>
      <c r="K229" s="132"/>
      <c r="L229" s="132"/>
      <c r="M229" s="701"/>
      <c r="N229" s="693"/>
      <c r="O229" s="694"/>
      <c r="P229" s="694"/>
      <c r="Q229" s="87"/>
      <c r="R229" s="87"/>
      <c r="S229" s="87"/>
      <c r="T229" s="87"/>
      <c r="U229" s="87"/>
      <c r="V229" s="73"/>
      <c r="W229" s="132"/>
      <c r="X229" s="702"/>
    </row>
    <row r="230" spans="1:24" s="699" customFormat="1" ht="19.95" customHeight="1">
      <c r="A230" s="589" t="s">
        <v>1791</v>
      </c>
      <c r="B230" s="169">
        <v>13.07854196008752</v>
      </c>
      <c r="C230" s="169">
        <v>0.20902931923907384</v>
      </c>
      <c r="D230" s="169">
        <v>0.41805863847814767</v>
      </c>
      <c r="E230" s="208">
        <v>3.1965232803011175E-2</v>
      </c>
      <c r="F230" s="589" t="s">
        <v>156</v>
      </c>
      <c r="G230" s="707" t="s">
        <v>2138</v>
      </c>
      <c r="H230" s="187"/>
      <c r="I230" s="132"/>
      <c r="J230" s="132"/>
      <c r="K230" s="132"/>
      <c r="L230" s="132"/>
      <c r="M230" s="701"/>
      <c r="N230" s="693"/>
      <c r="O230" s="694"/>
      <c r="P230" s="694"/>
      <c r="Q230" s="87"/>
      <c r="R230" s="87"/>
      <c r="S230" s="87"/>
      <c r="T230" s="87"/>
      <c r="U230" s="87"/>
      <c r="V230" s="73"/>
      <c r="W230" s="132"/>
      <c r="X230" s="702"/>
    </row>
    <row r="231" spans="1:24" s="699" customFormat="1" ht="19.95" customHeight="1">
      <c r="B231" s="700"/>
      <c r="C231" s="132"/>
      <c r="D231" s="132"/>
      <c r="E231" s="132"/>
      <c r="F231" s="132"/>
      <c r="G231" s="132"/>
      <c r="H231" s="132"/>
      <c r="I231" s="132"/>
      <c r="J231" s="132"/>
      <c r="K231" s="132"/>
      <c r="L231" s="132"/>
      <c r="M231" s="701"/>
      <c r="N231" s="693"/>
      <c r="O231" s="694"/>
      <c r="P231" s="694"/>
      <c r="Q231" s="87"/>
      <c r="R231" s="87"/>
      <c r="S231" s="87"/>
      <c r="T231" s="87"/>
      <c r="U231" s="87"/>
      <c r="V231" s="73"/>
      <c r="W231" s="132"/>
      <c r="X231" s="702"/>
    </row>
    <row r="232" spans="1:24" s="699" customFormat="1" ht="19.95" customHeight="1">
      <c r="A232" s="70" t="s">
        <v>2132</v>
      </c>
      <c r="B232" s="700"/>
      <c r="C232" s="132"/>
      <c r="D232" s="132"/>
      <c r="E232" s="132"/>
      <c r="F232" s="132"/>
      <c r="G232" s="132"/>
      <c r="H232" s="132"/>
      <c r="I232" s="132"/>
      <c r="J232" s="132"/>
      <c r="K232" s="132"/>
      <c r="L232" s="132"/>
      <c r="M232" s="701"/>
      <c r="N232" s="693"/>
      <c r="O232" s="694"/>
      <c r="P232" s="694"/>
      <c r="Q232" s="87"/>
      <c r="R232" s="87"/>
      <c r="S232" s="87"/>
      <c r="T232" s="87"/>
      <c r="U232" s="87"/>
      <c r="V232" s="73"/>
      <c r="W232" s="132"/>
      <c r="X232" s="702"/>
    </row>
    <row r="233" spans="1:24" s="699" customFormat="1" ht="19.95" customHeight="1">
      <c r="B233" s="700"/>
      <c r="C233" s="132"/>
      <c r="D233" s="132"/>
      <c r="E233" s="132"/>
      <c r="F233" s="132"/>
      <c r="G233" s="132"/>
      <c r="H233" s="132"/>
      <c r="I233" s="132"/>
      <c r="J233" s="132"/>
      <c r="K233" s="132"/>
      <c r="L233" s="132"/>
      <c r="M233" s="701"/>
      <c r="N233" s="693"/>
      <c r="O233" s="694"/>
      <c r="P233" s="694"/>
      <c r="Q233" s="87"/>
      <c r="R233" s="87"/>
      <c r="S233" s="87"/>
      <c r="T233" s="87"/>
      <c r="U233" s="87"/>
      <c r="V233" s="73"/>
      <c r="W233" s="132"/>
      <c r="X233" s="702"/>
    </row>
    <row r="234" spans="1:24" s="699" customFormat="1" ht="19.95" customHeight="1">
      <c r="A234" s="531" t="s">
        <v>4</v>
      </c>
      <c r="B234" s="61" t="s">
        <v>4</v>
      </c>
      <c r="C234" s="708" t="s">
        <v>2140</v>
      </c>
      <c r="D234" s="708" t="s">
        <v>2140</v>
      </c>
      <c r="E234" s="592" t="s">
        <v>2142</v>
      </c>
      <c r="F234" s="592" t="s">
        <v>2143</v>
      </c>
      <c r="G234" s="592" t="s">
        <v>2144</v>
      </c>
      <c r="H234" s="592" t="s">
        <v>2145</v>
      </c>
      <c r="I234" s="592" t="s">
        <v>2146</v>
      </c>
      <c r="J234" s="592" t="s">
        <v>2147</v>
      </c>
      <c r="K234" s="132"/>
      <c r="L234" s="132"/>
      <c r="M234" s="701"/>
      <c r="N234" s="693"/>
      <c r="O234" s="694"/>
      <c r="P234" s="694"/>
      <c r="Q234" s="87"/>
      <c r="R234" s="87"/>
      <c r="S234" s="87"/>
      <c r="T234" s="87"/>
      <c r="U234" s="87"/>
      <c r="V234" s="73"/>
      <c r="W234" s="132"/>
      <c r="X234" s="702"/>
    </row>
    <row r="235" spans="1:24" s="699" customFormat="1" ht="19.95" customHeight="1">
      <c r="A235" s="483" t="s">
        <v>87</v>
      </c>
      <c r="B235" s="63" t="s">
        <v>88</v>
      </c>
      <c r="C235" s="557">
        <v>43227</v>
      </c>
      <c r="D235" s="557">
        <v>45341</v>
      </c>
      <c r="E235" s="589" t="s">
        <v>156</v>
      </c>
      <c r="F235" s="589" t="s">
        <v>156</v>
      </c>
      <c r="G235" s="589" t="s">
        <v>156</v>
      </c>
      <c r="H235" s="589" t="s">
        <v>156</v>
      </c>
      <c r="I235" s="589" t="s">
        <v>156</v>
      </c>
      <c r="J235" s="589" t="s">
        <v>156</v>
      </c>
      <c r="K235" s="132"/>
      <c r="L235" s="132"/>
      <c r="M235" s="701"/>
      <c r="N235" s="693"/>
      <c r="O235" s="694"/>
      <c r="P235" s="694"/>
      <c r="Q235" s="87"/>
      <c r="R235" s="87"/>
      <c r="S235" s="87"/>
      <c r="T235" s="87"/>
      <c r="U235" s="87"/>
      <c r="V235" s="73"/>
      <c r="W235" s="132"/>
      <c r="X235" s="702"/>
    </row>
    <row r="236" spans="1:24" s="699" customFormat="1" ht="19.95" customHeight="1">
      <c r="A236" s="52" t="str">
        <f t="shared" ref="A236:A237" si="23">"SALT"&amp;TEXT(B236,"0000")</f>
        <v>SALT0113</v>
      </c>
      <c r="B236" s="65">
        <v>113</v>
      </c>
      <c r="C236" s="131">
        <v>4.0666000000000002</v>
      </c>
      <c r="D236" s="131">
        <f>Q221-U221</f>
        <v>4.0891999999999999</v>
      </c>
      <c r="E236" s="709">
        <f>B228*X221*(C236/D236)</f>
        <v>1.1465757137101062</v>
      </c>
      <c r="F236" s="709">
        <f>C228*X221*(C236/D236)</f>
        <v>1.1319107559223012E-2</v>
      </c>
      <c r="G236" s="131">
        <f>B229*X221*(C236/D236)</f>
        <v>0.14941720391854724</v>
      </c>
      <c r="H236" s="131">
        <f>C229*X221*(C236/D236)</f>
        <v>9.7429073313829633E-4</v>
      </c>
      <c r="I236" s="131">
        <f>B230*X221*(C236/D236)</f>
        <v>0.52039043991872747</v>
      </c>
      <c r="J236" s="131">
        <f>C230*X221*(C236/D236)</f>
        <v>8.3172007802317597E-3</v>
      </c>
      <c r="K236" s="132"/>
      <c r="L236" s="132"/>
      <c r="M236" s="701"/>
      <c r="N236" s="693"/>
      <c r="O236" s="694"/>
      <c r="P236" s="694"/>
      <c r="Q236" s="87"/>
      <c r="R236" s="87"/>
      <c r="S236" s="87"/>
      <c r="T236" s="87"/>
      <c r="U236" s="87"/>
      <c r="V236" s="73"/>
      <c r="W236" s="132"/>
      <c r="X236" s="702"/>
    </row>
    <row r="237" spans="1:24" s="699" customFormat="1" ht="19.95" customHeight="1">
      <c r="A237" s="483" t="str">
        <f t="shared" si="23"/>
        <v>SALT0309</v>
      </c>
      <c r="B237" s="547">
        <v>309</v>
      </c>
      <c r="C237" s="188">
        <v>4.0945999999999998</v>
      </c>
      <c r="D237" s="188">
        <f>Q222-U222</f>
        <v>4.1168500000000003</v>
      </c>
      <c r="E237" s="710">
        <f>B228*X222*(C237/D237)</f>
        <v>1.1447786035986376</v>
      </c>
      <c r="F237" s="710">
        <f>C228*X222*(C237/D237)</f>
        <v>1.1301366312479124E-2</v>
      </c>
      <c r="G237" s="188">
        <f>B229*X222*(C237/D237)</f>
        <v>0.14918301164953388</v>
      </c>
      <c r="H237" s="188">
        <f>C229*X222*(C237/D237)</f>
        <v>9.7276365759753911E-4</v>
      </c>
      <c r="I237" s="188">
        <f>B230*X222*(C237/D237)</f>
        <v>0.5195747947674243</v>
      </c>
      <c r="J237" s="188">
        <f>C230*X222*(C237/D237)</f>
        <v>8.3041646366587354E-3</v>
      </c>
      <c r="K237" s="132"/>
      <c r="L237" s="132"/>
      <c r="M237" s="701"/>
      <c r="N237" s="693"/>
      <c r="O237" s="694"/>
      <c r="P237" s="694"/>
      <c r="Q237" s="87"/>
      <c r="R237" s="87"/>
      <c r="S237" s="87"/>
      <c r="T237" s="87"/>
      <c r="U237" s="87"/>
      <c r="V237" s="73"/>
      <c r="W237" s="132"/>
      <c r="X237" s="702"/>
    </row>
    <row r="238" spans="1:24" s="494" customFormat="1" ht="19.95" customHeight="1">
      <c r="A238" s="80"/>
      <c r="B238" s="80"/>
      <c r="C238" s="80"/>
      <c r="D238" s="80"/>
    </row>
    <row r="239" spans="1:24" s="149" customFormat="1" ht="19.95" customHeight="1">
      <c r="A239" s="537" t="s">
        <v>1626</v>
      </c>
      <c r="B239" s="536"/>
      <c r="C239" s="536"/>
      <c r="D239" s="536"/>
    </row>
    <row r="240" spans="1:24" s="148" customFormat="1" ht="19.95" customHeight="1">
      <c r="A240" s="711"/>
      <c r="B240" s="543"/>
      <c r="C240" s="543"/>
      <c r="D240" s="543"/>
    </row>
    <row r="241" spans="1:19" s="561" customFormat="1" ht="19.95" customHeight="1">
      <c r="A241" s="80"/>
      <c r="B241" s="80"/>
      <c r="C241" s="80"/>
      <c r="D241" s="80"/>
      <c r="E241" s="480" t="s">
        <v>1016</v>
      </c>
      <c r="F241" s="480" t="s">
        <v>1016</v>
      </c>
      <c r="G241" s="480" t="s">
        <v>1016</v>
      </c>
    </row>
    <row r="242" spans="1:19" s="588" customFormat="1" ht="19.95" customHeight="1">
      <c r="A242" s="80"/>
      <c r="B242" s="80"/>
      <c r="C242" s="232" t="s">
        <v>1627</v>
      </c>
      <c r="D242" s="232" t="s">
        <v>1627</v>
      </c>
      <c r="E242" s="588" t="s">
        <v>64</v>
      </c>
      <c r="F242" s="588" t="s">
        <v>64</v>
      </c>
      <c r="G242" s="588" t="s">
        <v>74</v>
      </c>
    </row>
    <row r="243" spans="1:19" s="561" customFormat="1" ht="19.95" customHeight="1">
      <c r="A243" s="567" t="s">
        <v>4</v>
      </c>
      <c r="B243" s="567" t="s">
        <v>2</v>
      </c>
      <c r="C243" s="589" t="s">
        <v>2149</v>
      </c>
      <c r="D243" s="236">
        <v>45049</v>
      </c>
      <c r="E243" s="589"/>
      <c r="F243" s="589" t="s">
        <v>1041</v>
      </c>
      <c r="G243" s="589"/>
      <c r="S243" s="60"/>
    </row>
    <row r="244" spans="1:19" s="561" customFormat="1" ht="19.95" customHeight="1">
      <c r="A244" s="80" t="s">
        <v>472</v>
      </c>
      <c r="B244" s="570">
        <v>45342</v>
      </c>
      <c r="C244" s="80">
        <v>65.546499999999995</v>
      </c>
      <c r="D244" s="80">
        <f>UNITS!E434</f>
        <v>65.557299999999998</v>
      </c>
      <c r="E244" s="60">
        <f>C244-D244</f>
        <v>-1.0800000000003251E-2</v>
      </c>
      <c r="F244" s="60">
        <f>UNITS!H434</f>
        <v>53.746299999999998</v>
      </c>
      <c r="G244" s="356">
        <f>E244/F244</f>
        <v>-2.0094406498685958E-4</v>
      </c>
      <c r="I244" s="60"/>
      <c r="N244" s="60"/>
    </row>
    <row r="245" spans="1:19" s="561" customFormat="1" ht="19.95" customHeight="1">
      <c r="A245" s="80" t="s">
        <v>1628</v>
      </c>
      <c r="B245" s="255">
        <v>45342</v>
      </c>
      <c r="C245" s="80">
        <v>62.682699999999997</v>
      </c>
      <c r="D245" s="80">
        <f>UNITS!E511</f>
        <v>62.693600000000004</v>
      </c>
      <c r="E245" s="60">
        <f t="shared" ref="E245:E253" si="24">C245-D245</f>
        <v>-1.0900000000006571E-2</v>
      </c>
      <c r="F245" s="561">
        <f>UNITS!H511</f>
        <v>50.848100000000002</v>
      </c>
      <c r="G245" s="356">
        <f t="shared" ref="G245:G253" si="25">E245/F245</f>
        <v>-2.1436395853545304E-4</v>
      </c>
      <c r="N245" s="588"/>
      <c r="O245" s="588"/>
    </row>
    <row r="246" spans="1:19" s="561" customFormat="1" ht="19.95" customHeight="1">
      <c r="A246" s="80" t="s">
        <v>1629</v>
      </c>
      <c r="B246" s="255">
        <v>45342</v>
      </c>
      <c r="C246" s="80">
        <v>65.537199999999999</v>
      </c>
      <c r="D246" s="80">
        <f>UNITS!E588</f>
        <v>65.548500000000004</v>
      </c>
      <c r="E246" s="60">
        <f t="shared" si="24"/>
        <v>-1.1300000000005639E-2</v>
      </c>
      <c r="F246" s="561">
        <f>UNITS!H588</f>
        <v>53.751200000000004</v>
      </c>
      <c r="G246" s="356">
        <f t="shared" si="25"/>
        <v>-2.1022786468033529E-4</v>
      </c>
      <c r="J246" s="588"/>
      <c r="N246" s="588"/>
      <c r="O246" s="588"/>
    </row>
    <row r="247" spans="1:19" s="561" customFormat="1" ht="19.95" customHeight="1">
      <c r="A247" s="80" t="s">
        <v>1632</v>
      </c>
      <c r="B247" s="255">
        <v>45342</v>
      </c>
      <c r="C247" s="80">
        <v>64.036600000000007</v>
      </c>
      <c r="D247" s="80">
        <f>UNITS!E665</f>
        <v>64.047600000000003</v>
      </c>
      <c r="E247" s="60">
        <f t="shared" si="24"/>
        <v>-1.099999999999568E-2</v>
      </c>
      <c r="F247" s="561">
        <f>UNITS!H665</f>
        <v>52.2179</v>
      </c>
      <c r="G247" s="356">
        <f t="shared" si="25"/>
        <v>-2.1065573299569075E-4</v>
      </c>
      <c r="J247" s="588"/>
      <c r="N247" s="588"/>
      <c r="O247" s="588"/>
    </row>
    <row r="248" spans="1:19" s="561" customFormat="1" ht="19.95" customHeight="1">
      <c r="A248" s="81" t="s">
        <v>1630</v>
      </c>
      <c r="B248" s="236">
        <v>45342</v>
      </c>
      <c r="C248" s="81">
        <v>63.293700000000001</v>
      </c>
      <c r="D248" s="81">
        <f>UNITS!E743</f>
        <v>63.305</v>
      </c>
      <c r="E248" s="81">
        <f t="shared" si="24"/>
        <v>-1.1299999999998533E-2</v>
      </c>
      <c r="F248" s="589">
        <f>UNITS!H743</f>
        <v>51.462499999999999</v>
      </c>
      <c r="G248" s="216">
        <f t="shared" si="25"/>
        <v>-2.1957736215688189E-4</v>
      </c>
    </row>
    <row r="249" spans="1:19" s="561" customFormat="1" ht="19.95" customHeight="1">
      <c r="A249" s="80" t="s">
        <v>1402</v>
      </c>
      <c r="B249" s="255">
        <v>45356</v>
      </c>
      <c r="C249" s="80">
        <v>66.255300000000005</v>
      </c>
      <c r="D249" s="80">
        <f>UNITS!E485</f>
        <v>66.264499999999998</v>
      </c>
      <c r="E249" s="60">
        <f t="shared" si="24"/>
        <v>-9.1999999999927695E-3</v>
      </c>
      <c r="F249" s="561">
        <f>UNITS!H485</f>
        <v>54.4696</v>
      </c>
      <c r="G249" s="356">
        <f t="shared" si="25"/>
        <v>-1.6890155242544041E-4</v>
      </c>
      <c r="N249" s="588"/>
      <c r="O249" s="588"/>
    </row>
    <row r="250" spans="1:19" s="561" customFormat="1" ht="19.95" customHeight="1">
      <c r="A250" s="80" t="s">
        <v>1403</v>
      </c>
      <c r="B250" s="255">
        <v>45356</v>
      </c>
      <c r="C250" s="80">
        <v>65.569800000000001</v>
      </c>
      <c r="D250" s="80">
        <f>UNITS!E563</f>
        <v>65.578900000000004</v>
      </c>
      <c r="E250" s="60">
        <f t="shared" si="24"/>
        <v>-9.1000000000036607E-3</v>
      </c>
      <c r="F250" s="561">
        <f>UNITS!H563</f>
        <v>53.743200000000002</v>
      </c>
      <c r="G250" s="356">
        <f t="shared" si="25"/>
        <v>-1.6932374700434028E-4</v>
      </c>
      <c r="I250" s="588"/>
      <c r="J250" s="588"/>
      <c r="N250" s="588"/>
      <c r="O250" s="588"/>
    </row>
    <row r="251" spans="1:19" s="561" customFormat="1" ht="19.95" customHeight="1">
      <c r="A251" s="80" t="s">
        <v>1404</v>
      </c>
      <c r="B251" s="255">
        <v>45356</v>
      </c>
      <c r="C251" s="80">
        <v>65.404200000000003</v>
      </c>
      <c r="D251" s="80">
        <f>UNITS!E640</f>
        <v>65.413200000000003</v>
      </c>
      <c r="E251" s="60">
        <f t="shared" si="24"/>
        <v>-9.0000000000003411E-3</v>
      </c>
      <c r="F251" s="561">
        <f>UNITS!H640</f>
        <v>53.537800000000004</v>
      </c>
      <c r="G251" s="356">
        <f t="shared" si="25"/>
        <v>-1.6810552544184373E-4</v>
      </c>
      <c r="I251" s="588"/>
      <c r="J251" s="588"/>
      <c r="N251" s="588"/>
      <c r="O251" s="588"/>
    </row>
    <row r="252" spans="1:19" s="561" customFormat="1" ht="19.95" customHeight="1">
      <c r="A252" s="80" t="s">
        <v>1405</v>
      </c>
      <c r="B252" s="255">
        <v>45356</v>
      </c>
      <c r="C252" s="80">
        <v>65.230699999999999</v>
      </c>
      <c r="D252" s="80">
        <f>UNITS!E717</f>
        <v>65.239900000000006</v>
      </c>
      <c r="E252" s="60">
        <f t="shared" si="24"/>
        <v>-9.2000000000069804E-3</v>
      </c>
      <c r="F252" s="561">
        <f>UNITS!H717</f>
        <v>53.398100000000007</v>
      </c>
      <c r="G252" s="356">
        <f t="shared" si="25"/>
        <v>-1.7229077439097983E-4</v>
      </c>
    </row>
    <row r="253" spans="1:19" s="561" customFormat="1" ht="19.95" customHeight="1">
      <c r="A253" s="81" t="s">
        <v>473</v>
      </c>
      <c r="B253" s="236">
        <v>45356</v>
      </c>
      <c r="C253" s="81">
        <v>66.390199999999993</v>
      </c>
      <c r="D253" s="81">
        <f>UNITS!E793</f>
        <v>66.400099999999995</v>
      </c>
      <c r="E253" s="81">
        <f t="shared" si="24"/>
        <v>-9.9000000000017963E-3</v>
      </c>
      <c r="F253" s="589">
        <f>UNITS!H793</f>
        <v>54.557699999999997</v>
      </c>
      <c r="G253" s="216">
        <f t="shared" si="25"/>
        <v>-1.8145926239562511E-4</v>
      </c>
      <c r="N253" s="588"/>
      <c r="O253" s="588"/>
    </row>
    <row r="254" spans="1:19" s="588" customFormat="1" ht="19.95" customHeight="1">
      <c r="A254" s="255" t="s">
        <v>2402</v>
      </c>
      <c r="B254" s="235">
        <v>45414</v>
      </c>
      <c r="C254" s="80">
        <v>62.826500000000003</v>
      </c>
      <c r="D254" s="80">
        <f>UNITS!E537</f>
        <v>62.839799999999997</v>
      </c>
      <c r="E254" s="80">
        <f t="shared" ref="E254:E255" si="26">C254-D254</f>
        <v>-1.3299999999993872E-2</v>
      </c>
      <c r="F254" s="593">
        <f>UNITS!H537</f>
        <v>51.021799999999999</v>
      </c>
      <c r="G254" s="712">
        <f t="shared" ref="G254:G255" si="27">E254/F254</f>
        <v>-2.6067288884347223E-4</v>
      </c>
    </row>
    <row r="255" spans="1:19" s="588" customFormat="1" ht="19.95" customHeight="1">
      <c r="A255" s="81" t="s">
        <v>2403</v>
      </c>
      <c r="B255" s="236">
        <v>45415</v>
      </c>
      <c r="C255" s="81">
        <v>64.528400000000005</v>
      </c>
      <c r="D255" s="81">
        <f>UNITS!E691</f>
        <v>64.541700000000006</v>
      </c>
      <c r="E255" s="81">
        <f t="shared" si="26"/>
        <v>-1.3300000000000978E-2</v>
      </c>
      <c r="F255" s="589">
        <f>UNITS!H691</f>
        <v>52.737900000000003</v>
      </c>
      <c r="G255" s="216">
        <f t="shared" si="27"/>
        <v>-2.521905498702257E-4</v>
      </c>
    </row>
    <row r="256" spans="1:19" s="588" customFormat="1" ht="19.95" customHeight="1">
      <c r="A256" s="80"/>
      <c r="B256" s="255"/>
      <c r="C256" s="80"/>
      <c r="D256" s="80"/>
      <c r="E256" s="80"/>
      <c r="F256" s="593"/>
      <c r="G256" s="712"/>
    </row>
    <row r="257" spans="1:7" s="149" customFormat="1" ht="19.95" customHeight="1">
      <c r="A257" s="537" t="s">
        <v>2476</v>
      </c>
      <c r="B257" s="536"/>
      <c r="C257" s="536"/>
      <c r="D257" s="536"/>
    </row>
    <row r="258" spans="1:7" s="588" customFormat="1" ht="19.95" customHeight="1">
      <c r="A258" s="80"/>
      <c r="B258" s="255"/>
      <c r="C258" s="80"/>
      <c r="D258" s="80"/>
      <c r="E258" s="80"/>
      <c r="F258" s="593"/>
      <c r="G258" s="712"/>
    </row>
    <row r="259" spans="1:7" s="588" customFormat="1" ht="19.95" customHeight="1">
      <c r="A259" s="80" t="s">
        <v>2191</v>
      </c>
      <c r="B259" s="255"/>
      <c r="C259" s="80"/>
      <c r="D259" s="80"/>
      <c r="E259" s="80"/>
      <c r="F259" s="593"/>
      <c r="G259" s="712"/>
    </row>
    <row r="260" spans="1:7" s="588" customFormat="1" ht="19.95" customHeight="1">
      <c r="A260" s="80" t="s">
        <v>2192</v>
      </c>
      <c r="B260" s="255"/>
      <c r="C260" s="80"/>
      <c r="D260" s="80"/>
      <c r="E260" s="80"/>
      <c r="F260" s="593"/>
      <c r="G260" s="712"/>
    </row>
    <row r="261" spans="1:7" s="588" customFormat="1" ht="19.95" customHeight="1">
      <c r="A261" s="80" t="s">
        <v>2472</v>
      </c>
      <c r="B261" s="255"/>
      <c r="C261" s="80"/>
      <c r="D261" s="80"/>
      <c r="E261" s="80"/>
      <c r="F261" s="593"/>
      <c r="G261" s="712"/>
    </row>
    <row r="262" spans="1:7" s="588" customFormat="1" ht="19.95" customHeight="1">
      <c r="A262" s="588" t="s">
        <v>2473</v>
      </c>
      <c r="B262" s="255"/>
      <c r="C262" s="80"/>
      <c r="D262" s="80"/>
      <c r="E262" s="80"/>
      <c r="F262" s="593"/>
      <c r="G262" s="712"/>
    </row>
    <row r="263" spans="1:7" s="588" customFormat="1" ht="19.95" customHeight="1">
      <c r="A263" s="80" t="s">
        <v>2474</v>
      </c>
      <c r="B263" s="255"/>
      <c r="C263" s="80"/>
      <c r="D263" s="80"/>
      <c r="E263" s="80"/>
      <c r="F263" s="593"/>
      <c r="G263" s="712"/>
    </row>
    <row r="264" spans="1:7" s="588" customFormat="1" ht="19.95" customHeight="1">
      <c r="A264" s="80"/>
      <c r="B264" s="255"/>
      <c r="C264" s="80"/>
      <c r="D264" s="80"/>
      <c r="E264" s="80"/>
      <c r="F264" s="593"/>
      <c r="G264" s="712"/>
    </row>
    <row r="265" spans="1:7" s="588" customFormat="1" ht="19.95" customHeight="1">
      <c r="A265" s="567" t="s">
        <v>298</v>
      </c>
      <c r="B265" s="713" t="s">
        <v>2466</v>
      </c>
      <c r="C265" s="713" t="s">
        <v>2475</v>
      </c>
      <c r="D265" s="80"/>
      <c r="E265" s="80"/>
      <c r="F265" s="593"/>
      <c r="G265" s="712"/>
    </row>
    <row r="266" spans="1:7" s="588" customFormat="1" ht="19.95" customHeight="1">
      <c r="A266" s="80" t="s">
        <v>520</v>
      </c>
      <c r="B266" s="80">
        <f>RND!B1530</f>
        <v>1.009577547618735</v>
      </c>
      <c r="C266" s="80">
        <f>RND!C1530</f>
        <v>1.3950164497718756E-3</v>
      </c>
      <c r="D266" s="80"/>
      <c r="E266" s="80"/>
      <c r="F266" s="593"/>
      <c r="G266" s="712"/>
    </row>
    <row r="267" spans="1:7" s="588" customFormat="1" ht="19.95" customHeight="1">
      <c r="A267" s="80" t="s">
        <v>97</v>
      </c>
      <c r="B267" s="80">
        <v>1</v>
      </c>
      <c r="C267" s="80">
        <v>0</v>
      </c>
      <c r="D267" s="80"/>
      <c r="E267" s="80"/>
      <c r="F267" s="593"/>
      <c r="G267" s="712"/>
    </row>
    <row r="268" spans="1:7" s="588" customFormat="1" ht="19.95" customHeight="1">
      <c r="A268" s="81" t="s">
        <v>521</v>
      </c>
      <c r="B268" s="81">
        <v>1</v>
      </c>
      <c r="C268" s="81">
        <v>0</v>
      </c>
      <c r="D268" s="80"/>
      <c r="E268" s="80"/>
      <c r="F268" s="593"/>
      <c r="G268" s="712"/>
    </row>
    <row r="269" spans="1:7" s="561" customFormat="1" ht="19.95" customHeight="1">
      <c r="A269" s="80"/>
      <c r="B269" s="80"/>
      <c r="C269" s="80"/>
      <c r="D269" s="80"/>
    </row>
    <row r="270" spans="1:7" s="149" customFormat="1" ht="19.95" customHeight="1">
      <c r="A270" s="537" t="s">
        <v>2174</v>
      </c>
      <c r="B270" s="536"/>
      <c r="C270" s="536"/>
      <c r="D270" s="536"/>
    </row>
    <row r="271" spans="1:7" s="148" customFormat="1" ht="19.95" customHeight="1">
      <c r="A271" s="543"/>
      <c r="B271" s="543"/>
      <c r="C271" s="543"/>
      <c r="D271" s="543"/>
    </row>
    <row r="272" spans="1:7" s="148" customFormat="1" ht="19.95" customHeight="1">
      <c r="A272" s="128" t="s">
        <v>1575</v>
      </c>
      <c r="B272" s="543"/>
      <c r="C272" s="543"/>
      <c r="D272" s="543"/>
    </row>
    <row r="273" spans="1:43" s="148" customFormat="1" ht="19.95" customHeight="1">
      <c r="A273" s="128" t="s">
        <v>1631</v>
      </c>
      <c r="B273" s="543"/>
      <c r="C273" s="543"/>
      <c r="D273" s="543"/>
    </row>
    <row r="274" spans="1:43" s="148" customFormat="1" ht="19.95" customHeight="1">
      <c r="A274" s="128" t="s">
        <v>1576</v>
      </c>
      <c r="B274" s="543"/>
      <c r="C274" s="543"/>
      <c r="D274" s="543"/>
    </row>
    <row r="275" spans="1:43" s="148" customFormat="1" ht="19.95" customHeight="1">
      <c r="A275" s="128"/>
      <c r="B275" s="543"/>
      <c r="C275" s="543"/>
      <c r="D275" s="543"/>
    </row>
    <row r="276" spans="1:43" s="129" customFormat="1" ht="19.95" customHeight="1">
      <c r="A276" s="128" t="s">
        <v>1564</v>
      </c>
    </row>
    <row r="277" spans="1:43" s="129" customFormat="1" ht="19.95" customHeight="1"/>
    <row r="278" spans="1:43" s="129" customFormat="1" ht="19.95" customHeight="1">
      <c r="B278" s="89" t="s">
        <v>158</v>
      </c>
      <c r="D278" s="89" t="s">
        <v>2156</v>
      </c>
      <c r="F278" s="89" t="s">
        <v>2157</v>
      </c>
      <c r="H278" s="89" t="s">
        <v>2158</v>
      </c>
      <c r="J278" s="588"/>
      <c r="K278" s="588"/>
      <c r="L278" s="588"/>
      <c r="M278" s="588"/>
      <c r="N278" s="588"/>
      <c r="O278" s="588"/>
      <c r="P278" s="89" t="s">
        <v>176</v>
      </c>
      <c r="R278" s="588"/>
      <c r="S278" s="588"/>
      <c r="T278" s="588"/>
      <c r="U278" s="588"/>
      <c r="V278" s="588"/>
      <c r="W278" s="588"/>
    </row>
    <row r="279" spans="1:43" s="129" customFormat="1" ht="19.95" customHeight="1">
      <c r="A279" s="89" t="s">
        <v>157</v>
      </c>
      <c r="B279" s="89" t="s">
        <v>1557</v>
      </c>
      <c r="C279" s="89" t="s">
        <v>1558</v>
      </c>
      <c r="D279" s="129" t="s">
        <v>169</v>
      </c>
      <c r="E279" s="129" t="s">
        <v>170</v>
      </c>
      <c r="F279" s="129" t="s">
        <v>169</v>
      </c>
      <c r="G279" s="129" t="s">
        <v>170</v>
      </c>
      <c r="H279" s="129" t="s">
        <v>169</v>
      </c>
      <c r="I279" s="129" t="s">
        <v>170</v>
      </c>
      <c r="J279" s="89" t="s">
        <v>140</v>
      </c>
      <c r="K279" s="89" t="s">
        <v>2153</v>
      </c>
      <c r="L279" s="89" t="s">
        <v>2154</v>
      </c>
      <c r="M279" s="714" t="s">
        <v>2150</v>
      </c>
      <c r="N279" s="714" t="s">
        <v>2151</v>
      </c>
      <c r="O279" s="714" t="s">
        <v>2152</v>
      </c>
      <c r="P279" s="89" t="s">
        <v>1557</v>
      </c>
      <c r="Q279" s="89" t="s">
        <v>1558</v>
      </c>
      <c r="R279" s="89" t="s">
        <v>179</v>
      </c>
      <c r="S279" s="89" t="s">
        <v>159</v>
      </c>
      <c r="T279" s="89" t="s">
        <v>160</v>
      </c>
      <c r="U279" s="89" t="s">
        <v>161</v>
      </c>
      <c r="V279" s="89" t="s">
        <v>79</v>
      </c>
      <c r="W279" s="89" t="s">
        <v>80</v>
      </c>
      <c r="X279" s="89" t="s">
        <v>3</v>
      </c>
      <c r="Y279" s="89" t="s">
        <v>75</v>
      </c>
    </row>
    <row r="280" spans="1:43" s="129" customFormat="1" ht="19.95" customHeight="1">
      <c r="A280" s="576" t="s">
        <v>162</v>
      </c>
      <c r="B280" s="576" t="s">
        <v>156</v>
      </c>
      <c r="C280" s="576" t="s">
        <v>156</v>
      </c>
      <c r="D280" s="576" t="s">
        <v>64</v>
      </c>
      <c r="E280" s="576" t="s">
        <v>64</v>
      </c>
      <c r="F280" s="576" t="s">
        <v>64</v>
      </c>
      <c r="G280" s="576" t="s">
        <v>64</v>
      </c>
      <c r="H280" s="576" t="s">
        <v>64</v>
      </c>
      <c r="I280" s="576" t="s">
        <v>64</v>
      </c>
      <c r="J280" s="576" t="s">
        <v>64</v>
      </c>
      <c r="K280" s="576" t="s">
        <v>64</v>
      </c>
      <c r="L280" s="576" t="s">
        <v>64</v>
      </c>
      <c r="M280" s="576" t="s">
        <v>64</v>
      </c>
      <c r="N280" s="576" t="s">
        <v>64</v>
      </c>
      <c r="O280" s="576" t="s">
        <v>64</v>
      </c>
      <c r="P280" s="576" t="s">
        <v>156</v>
      </c>
      <c r="Q280" s="576" t="s">
        <v>156</v>
      </c>
      <c r="R280" s="576" t="s">
        <v>74</v>
      </c>
      <c r="S280" s="576"/>
      <c r="T280" s="576" t="s">
        <v>163</v>
      </c>
      <c r="U280" s="576" t="s">
        <v>163</v>
      </c>
      <c r="V280" s="576" t="s">
        <v>92</v>
      </c>
      <c r="W280" s="576" t="s">
        <v>74</v>
      </c>
      <c r="X280" s="576" t="s">
        <v>90</v>
      </c>
      <c r="Y280" s="576" t="s">
        <v>91</v>
      </c>
    </row>
    <row r="281" spans="1:43" s="129" customFormat="1" ht="19.95" customHeight="1">
      <c r="A281" s="513" t="s">
        <v>1565</v>
      </c>
      <c r="B281" s="544">
        <f>pSiO2v</f>
        <v>21432.06367811999</v>
      </c>
      <c r="C281" s="544">
        <v>0</v>
      </c>
      <c r="D281" s="539">
        <v>11.7469</v>
      </c>
      <c r="E281" s="539">
        <v>0</v>
      </c>
      <c r="F281" s="539">
        <v>12.7981</v>
      </c>
      <c r="G281" s="539">
        <v>1E-4</v>
      </c>
      <c r="H281" s="539">
        <v>41.561999999999998</v>
      </c>
      <c r="I281" s="539">
        <v>1E-4</v>
      </c>
      <c r="J281" s="112">
        <f>D281-E281/2</f>
        <v>11.7469</v>
      </c>
      <c r="K281" s="112">
        <f>F281-G281/2</f>
        <v>12.79805</v>
      </c>
      <c r="L281" s="112">
        <f>H281-I281/2</f>
        <v>41.561949999999996</v>
      </c>
      <c r="M281" s="513">
        <f>u_m1</f>
        <v>2.0000000000000001E-4</v>
      </c>
      <c r="N281" s="513">
        <f>u_m1</f>
        <v>2.0000000000000001E-4</v>
      </c>
      <c r="O281" s="513">
        <f>u_m1</f>
        <v>2.0000000000000001E-4</v>
      </c>
      <c r="P281" s="545" cm="1">
        <f t="array" ref="P281:Q281">WnA1S(B281:C281,J281:L281,M281:O281)</f>
        <v>755.60207798597776</v>
      </c>
      <c r="Q281" s="545">
        <v>0.20344320120851853</v>
      </c>
      <c r="R281" s="513" t="s">
        <v>2155</v>
      </c>
      <c r="S281" s="513" t="s">
        <v>196</v>
      </c>
      <c r="T281" s="541">
        <v>20240220</v>
      </c>
      <c r="U281" s="513">
        <f>T281+1</f>
        <v>20240221</v>
      </c>
      <c r="V281" s="541">
        <v>21.5</v>
      </c>
      <c r="W281" s="541">
        <v>12.5</v>
      </c>
      <c r="X281" s="513" t="s">
        <v>101</v>
      </c>
      <c r="Y281" s="513" t="s">
        <v>94</v>
      </c>
    </row>
    <row r="282" spans="1:43" s="129" customFormat="1" ht="19.95" customHeight="1">
      <c r="A282" s="80" t="s">
        <v>1566</v>
      </c>
      <c r="B282" s="80"/>
      <c r="C282" s="80"/>
      <c r="D282" s="80"/>
      <c r="E282" s="588"/>
      <c r="F282" s="588"/>
      <c r="G282" s="588"/>
      <c r="H282" s="588"/>
      <c r="I282" s="588"/>
      <c r="J282" s="588"/>
      <c r="K282" s="588"/>
      <c r="L282" s="588"/>
      <c r="M282" s="588"/>
      <c r="N282" s="588"/>
      <c r="O282" s="588"/>
      <c r="P282" s="588"/>
      <c r="Q282" s="588"/>
      <c r="R282" s="588"/>
      <c r="S282" s="588"/>
      <c r="T282" s="588"/>
      <c r="U282" s="588"/>
      <c r="V282" s="588"/>
      <c r="W282" s="588"/>
    </row>
    <row r="283" spans="1:43" s="129" customFormat="1" ht="19.95" customHeight="1">
      <c r="A283" s="80"/>
      <c r="B283" s="80"/>
      <c r="C283" s="80"/>
      <c r="D283" s="80"/>
      <c r="E283" s="588"/>
      <c r="F283" s="588"/>
      <c r="G283" s="588"/>
      <c r="H283" s="588"/>
      <c r="I283" s="588"/>
      <c r="J283" s="588"/>
      <c r="K283" s="588"/>
      <c r="L283" s="588"/>
      <c r="M283" s="588"/>
      <c r="N283" s="588"/>
      <c r="O283" s="588"/>
      <c r="P283" s="588"/>
      <c r="Q283" s="588"/>
      <c r="R283" s="588"/>
      <c r="S283" s="588"/>
      <c r="T283" s="588"/>
      <c r="U283" s="588"/>
      <c r="V283" s="588"/>
      <c r="W283" s="588"/>
    </row>
    <row r="284" spans="1:43" s="129" customFormat="1" ht="19.95" customHeight="1">
      <c r="A284" s="128" t="s">
        <v>1573</v>
      </c>
      <c r="B284" s="80"/>
      <c r="C284" s="80"/>
      <c r="D284" s="80"/>
      <c r="E284" s="588"/>
      <c r="F284" s="588"/>
      <c r="G284" s="588"/>
      <c r="H284" s="588"/>
      <c r="I284" s="588"/>
      <c r="J284" s="588"/>
      <c r="K284" s="588"/>
      <c r="L284" s="588"/>
      <c r="M284" s="588"/>
      <c r="N284" s="588"/>
      <c r="O284" s="588"/>
      <c r="P284" s="588"/>
      <c r="Q284" s="588"/>
      <c r="R284" s="588"/>
      <c r="S284" s="588"/>
      <c r="T284" s="588"/>
      <c r="U284" s="588"/>
      <c r="V284" s="588"/>
      <c r="W284" s="588"/>
    </row>
    <row r="285" spans="1:43" s="129" customFormat="1" ht="19.95" customHeight="1"/>
    <row r="286" spans="1:43" s="129" customFormat="1" ht="19.95" customHeight="1">
      <c r="A286" s="104"/>
      <c r="B286" s="89" t="s">
        <v>158</v>
      </c>
      <c r="D286" s="89" t="s">
        <v>158</v>
      </c>
      <c r="F286" s="89" t="s">
        <v>158</v>
      </c>
      <c r="H286" s="89" t="s">
        <v>2156</v>
      </c>
      <c r="J286" s="89" t="s">
        <v>2159</v>
      </c>
      <c r="L286" s="89" t="s">
        <v>2160</v>
      </c>
      <c r="N286" s="89" t="s">
        <v>2161</v>
      </c>
      <c r="P286" s="89" t="s">
        <v>2162</v>
      </c>
      <c r="AB286" s="89" t="s">
        <v>176</v>
      </c>
      <c r="AD286" s="89" t="s">
        <v>176</v>
      </c>
      <c r="AF286" s="89" t="s">
        <v>176</v>
      </c>
      <c r="AH286" s="89" t="s">
        <v>179</v>
      </c>
      <c r="AI286" s="89" t="s">
        <v>179</v>
      </c>
      <c r="AJ286" s="89" t="s">
        <v>179</v>
      </c>
    </row>
    <row r="287" spans="1:43" s="129" customFormat="1" ht="19.95" customHeight="1">
      <c r="A287" s="89" t="s">
        <v>157</v>
      </c>
      <c r="B287" s="89" t="s">
        <v>1561</v>
      </c>
      <c r="C287" s="89" t="s">
        <v>1562</v>
      </c>
      <c r="D287" s="89" t="s">
        <v>168</v>
      </c>
      <c r="E287" s="89" t="s">
        <v>173</v>
      </c>
      <c r="F287" s="89" t="s">
        <v>1557</v>
      </c>
      <c r="G287" s="89" t="s">
        <v>1558</v>
      </c>
      <c r="H287" s="129" t="s">
        <v>169</v>
      </c>
      <c r="I287" s="129" t="s">
        <v>170</v>
      </c>
      <c r="J287" s="129" t="s">
        <v>169</v>
      </c>
      <c r="K287" s="129" t="s">
        <v>170</v>
      </c>
      <c r="L287" s="129" t="s">
        <v>169</v>
      </c>
      <c r="M287" s="129" t="s">
        <v>170</v>
      </c>
      <c r="N287" s="129" t="s">
        <v>169</v>
      </c>
      <c r="O287" s="129" t="s">
        <v>170</v>
      </c>
      <c r="P287" s="129" t="s">
        <v>169</v>
      </c>
      <c r="Q287" s="129" t="s">
        <v>170</v>
      </c>
      <c r="R287" s="89" t="s">
        <v>140</v>
      </c>
      <c r="S287" s="89" t="s">
        <v>2153</v>
      </c>
      <c r="T287" s="89" t="s">
        <v>2154</v>
      </c>
      <c r="U287" s="89" t="s">
        <v>2163</v>
      </c>
      <c r="V287" s="89" t="s">
        <v>2164</v>
      </c>
      <c r="W287" s="714" t="s">
        <v>2150</v>
      </c>
      <c r="X287" s="714" t="s">
        <v>2151</v>
      </c>
      <c r="Y287" s="714" t="s">
        <v>2152</v>
      </c>
      <c r="Z287" s="714" t="s">
        <v>2165</v>
      </c>
      <c r="AA287" s="714" t="s">
        <v>2166</v>
      </c>
      <c r="AB287" s="89" t="s">
        <v>1561</v>
      </c>
      <c r="AC287" s="89" t="s">
        <v>1562</v>
      </c>
      <c r="AD287" s="89" t="s">
        <v>168</v>
      </c>
      <c r="AE287" s="89" t="s">
        <v>173</v>
      </c>
      <c r="AF287" s="89" t="s">
        <v>1557</v>
      </c>
      <c r="AG287" s="89" t="s">
        <v>1558</v>
      </c>
      <c r="AH287" s="129" t="s">
        <v>1563</v>
      </c>
      <c r="AI287" s="129" t="s">
        <v>258</v>
      </c>
      <c r="AJ287" s="129" t="s">
        <v>1559</v>
      </c>
      <c r="AK287" s="89" t="s">
        <v>159</v>
      </c>
      <c r="AL287" s="89" t="s">
        <v>160</v>
      </c>
      <c r="AM287" s="89" t="s">
        <v>161</v>
      </c>
      <c r="AN287" s="89" t="s">
        <v>79</v>
      </c>
      <c r="AO287" s="89" t="s">
        <v>80</v>
      </c>
      <c r="AP287" s="89" t="s">
        <v>3</v>
      </c>
      <c r="AQ287" s="89" t="s">
        <v>75</v>
      </c>
    </row>
    <row r="288" spans="1:43" s="129" customFormat="1" ht="19.95" customHeight="1">
      <c r="A288" s="576" t="s">
        <v>162</v>
      </c>
      <c r="B288" s="576" t="s">
        <v>156</v>
      </c>
      <c r="C288" s="576" t="s">
        <v>156</v>
      </c>
      <c r="D288" s="576" t="s">
        <v>156</v>
      </c>
      <c r="E288" s="576" t="s">
        <v>156</v>
      </c>
      <c r="F288" s="576" t="s">
        <v>156</v>
      </c>
      <c r="G288" s="576" t="s">
        <v>156</v>
      </c>
      <c r="H288" s="576" t="s">
        <v>64</v>
      </c>
      <c r="I288" s="576" t="s">
        <v>64</v>
      </c>
      <c r="J288" s="576" t="s">
        <v>64</v>
      </c>
      <c r="K288" s="576" t="s">
        <v>64</v>
      </c>
      <c r="L288" s="576" t="s">
        <v>64</v>
      </c>
      <c r="M288" s="576" t="s">
        <v>64</v>
      </c>
      <c r="N288" s="576" t="s">
        <v>64</v>
      </c>
      <c r="O288" s="576" t="s">
        <v>64</v>
      </c>
      <c r="P288" s="576" t="s">
        <v>64</v>
      </c>
      <c r="Q288" s="576" t="s">
        <v>64</v>
      </c>
      <c r="R288" s="576" t="s">
        <v>64</v>
      </c>
      <c r="S288" s="576" t="s">
        <v>64</v>
      </c>
      <c r="T288" s="576" t="s">
        <v>64</v>
      </c>
      <c r="U288" s="576" t="s">
        <v>64</v>
      </c>
      <c r="V288" s="576" t="s">
        <v>64</v>
      </c>
      <c r="W288" s="576" t="s">
        <v>64</v>
      </c>
      <c r="X288" s="576" t="s">
        <v>64</v>
      </c>
      <c r="Y288" s="576" t="s">
        <v>64</v>
      </c>
      <c r="Z288" s="576" t="s">
        <v>64</v>
      </c>
      <c r="AA288" s="576" t="s">
        <v>64</v>
      </c>
      <c r="AB288" s="576" t="s">
        <v>156</v>
      </c>
      <c r="AC288" s="576" t="s">
        <v>156</v>
      </c>
      <c r="AD288" s="576" t="s">
        <v>156</v>
      </c>
      <c r="AE288" s="576" t="s">
        <v>156</v>
      </c>
      <c r="AF288" s="576" t="s">
        <v>156</v>
      </c>
      <c r="AG288" s="576" t="s">
        <v>156</v>
      </c>
      <c r="AH288" s="129" t="s">
        <v>74</v>
      </c>
      <c r="AI288" s="576" t="s">
        <v>74</v>
      </c>
      <c r="AJ288" s="576" t="s">
        <v>74</v>
      </c>
      <c r="AK288" s="576"/>
      <c r="AL288" s="576" t="s">
        <v>163</v>
      </c>
      <c r="AM288" s="576" t="s">
        <v>163</v>
      </c>
      <c r="AN288" s="576" t="s">
        <v>92</v>
      </c>
      <c r="AO288" s="576" t="s">
        <v>74</v>
      </c>
      <c r="AP288" s="576" t="s">
        <v>90</v>
      </c>
      <c r="AQ288" s="576" t="s">
        <v>91</v>
      </c>
    </row>
    <row r="289" spans="1:43" s="129" customFormat="1" ht="19.95" customHeight="1">
      <c r="A289" s="513" t="s">
        <v>1560</v>
      </c>
      <c r="B289" s="538">
        <f>pNO2v</f>
        <v>1004.0619057904013</v>
      </c>
      <c r="C289" s="538">
        <v>0</v>
      </c>
      <c r="D289" s="538">
        <f>pPO4v</f>
        <v>1000.5</v>
      </c>
      <c r="E289" s="538">
        <v>0</v>
      </c>
      <c r="F289" s="538">
        <f>P281</f>
        <v>755.60207798597776</v>
      </c>
      <c r="G289" s="538">
        <f>Q281</f>
        <v>0.20344320120851853</v>
      </c>
      <c r="H289" s="539">
        <v>16.4315</v>
      </c>
      <c r="I289" s="539">
        <v>0</v>
      </c>
      <c r="J289" s="539">
        <v>16.934100000000001</v>
      </c>
      <c r="K289" s="539">
        <v>0</v>
      </c>
      <c r="L289" s="539">
        <v>18.564800000000002</v>
      </c>
      <c r="M289" s="539">
        <v>1E-4</v>
      </c>
      <c r="N289" s="539">
        <v>22.245200000000001</v>
      </c>
      <c r="O289" s="539">
        <v>1E-4</v>
      </c>
      <c r="P289" s="539">
        <v>46.548999999999999</v>
      </c>
      <c r="Q289" s="539">
        <v>0</v>
      </c>
      <c r="R289" s="112">
        <f>H289-I289/2</f>
        <v>16.4315</v>
      </c>
      <c r="S289" s="112">
        <f>J289-K289/2</f>
        <v>16.934100000000001</v>
      </c>
      <c r="T289" s="112">
        <f>L289-M289/2</f>
        <v>18.56475</v>
      </c>
      <c r="U289" s="112">
        <f>N289-O289/2</f>
        <v>22.245149999999999</v>
      </c>
      <c r="V289" s="112">
        <f>P289-Q289/2</f>
        <v>46.548999999999999</v>
      </c>
      <c r="W289" s="513">
        <f>u_m1</f>
        <v>2.0000000000000001E-4</v>
      </c>
      <c r="X289" s="513">
        <f>u_m1</f>
        <v>2.0000000000000001E-4</v>
      </c>
      <c r="Y289" s="513">
        <f>u_m1</f>
        <v>2.0000000000000001E-4</v>
      </c>
      <c r="Z289" s="513">
        <f>u_m1</f>
        <v>2.0000000000000001E-4</v>
      </c>
      <c r="AA289" s="112">
        <f>u_m2</f>
        <v>2E-3</v>
      </c>
      <c r="AB289" s="717" cm="1">
        <f t="array" ref="AB289:AG289">WnAnS(B289:G289,R289:V289,W289:AA289)</f>
        <v>16.755757079779421</v>
      </c>
      <c r="AC289" s="717">
        <v>9.4955292418996851E-3</v>
      </c>
      <c r="AD289" s="717">
        <v>54.170011621150465</v>
      </c>
      <c r="AE289" s="717">
        <v>1.0067494889848568E-2</v>
      </c>
      <c r="AF289" s="717">
        <v>92.335615101505496</v>
      </c>
      <c r="AG289" s="717">
        <v>2.6578175726377086E-2</v>
      </c>
      <c r="AH289" s="513" t="s">
        <v>2155</v>
      </c>
      <c r="AI289" s="513" t="s">
        <v>2155</v>
      </c>
      <c r="AJ289" s="513" t="s">
        <v>2155</v>
      </c>
      <c r="AK289" s="513" t="s">
        <v>196</v>
      </c>
      <c r="AL289" s="541">
        <v>20240220</v>
      </c>
      <c r="AM289" s="513">
        <f>AL289+1</f>
        <v>20240221</v>
      </c>
      <c r="AN289" s="541">
        <v>21.5</v>
      </c>
      <c r="AO289" s="541">
        <v>12.5</v>
      </c>
      <c r="AP289" s="513" t="s">
        <v>101</v>
      </c>
      <c r="AQ289" s="513" t="s">
        <v>94</v>
      </c>
    </row>
    <row r="290" spans="1:43" s="129" customFormat="1" ht="19.95" customHeight="1">
      <c r="A290" s="80" t="s">
        <v>1633</v>
      </c>
    </row>
    <row r="291" spans="1:43" s="129" customFormat="1" ht="19.95" customHeight="1"/>
    <row r="292" spans="1:43" s="129" customFormat="1" ht="19.95" customHeight="1">
      <c r="A292" s="128" t="s">
        <v>1573</v>
      </c>
    </row>
    <row r="293" spans="1:43" s="129" customFormat="1" ht="19.95" customHeight="1"/>
    <row r="294" spans="1:43" s="148" customFormat="1" ht="19.95" customHeight="1">
      <c r="A294" s="86"/>
      <c r="B294" s="89" t="s">
        <v>158</v>
      </c>
      <c r="C294" s="129"/>
      <c r="D294" s="89" t="s">
        <v>158</v>
      </c>
      <c r="E294" s="129"/>
      <c r="F294" s="89" t="s">
        <v>158</v>
      </c>
      <c r="G294" s="129"/>
      <c r="H294" s="89" t="s">
        <v>2156</v>
      </c>
      <c r="I294" s="129"/>
      <c r="J294" s="89" t="s">
        <v>2167</v>
      </c>
      <c r="K294" s="129"/>
      <c r="L294" s="89" t="s">
        <v>2168</v>
      </c>
      <c r="M294" s="129"/>
      <c r="N294" s="132"/>
      <c r="O294" s="132"/>
      <c r="P294" s="87"/>
      <c r="Q294" s="564"/>
      <c r="R294" s="564"/>
      <c r="S294" s="564"/>
      <c r="T294" s="89" t="s">
        <v>176</v>
      </c>
      <c r="U294" s="129"/>
      <c r="V294" s="89" t="s">
        <v>176</v>
      </c>
      <c r="W294" s="129"/>
      <c r="X294" s="89" t="s">
        <v>176</v>
      </c>
      <c r="Y294" s="129"/>
      <c r="Z294" s="89" t="s">
        <v>179</v>
      </c>
      <c r="AA294" s="89"/>
      <c r="AB294" s="129"/>
      <c r="AC294" s="554"/>
      <c r="AD294" s="86"/>
      <c r="AE294" s="554"/>
      <c r="AF294" s="554"/>
      <c r="AG294" s="86"/>
      <c r="AH294" s="86"/>
    </row>
    <row r="295" spans="1:43" s="148" customFormat="1" ht="19.95" customHeight="1">
      <c r="A295" s="89" t="s">
        <v>157</v>
      </c>
      <c r="B295" s="89" t="s">
        <v>1561</v>
      </c>
      <c r="C295" s="89" t="s">
        <v>1562</v>
      </c>
      <c r="D295" s="89" t="s">
        <v>168</v>
      </c>
      <c r="E295" s="89" t="s">
        <v>173</v>
      </c>
      <c r="F295" s="89" t="s">
        <v>1557</v>
      </c>
      <c r="G295" s="89" t="s">
        <v>1558</v>
      </c>
      <c r="H295" s="129" t="s">
        <v>169</v>
      </c>
      <c r="I295" s="129" t="s">
        <v>170</v>
      </c>
      <c r="J295" s="129" t="s">
        <v>169</v>
      </c>
      <c r="K295" s="129" t="s">
        <v>170</v>
      </c>
      <c r="L295" s="129" t="s">
        <v>169</v>
      </c>
      <c r="M295" s="129" t="s">
        <v>170</v>
      </c>
      <c r="N295" s="89" t="s">
        <v>140</v>
      </c>
      <c r="O295" s="89" t="s">
        <v>2153</v>
      </c>
      <c r="P295" s="89" t="s">
        <v>2154</v>
      </c>
      <c r="Q295" s="714" t="s">
        <v>2150</v>
      </c>
      <c r="R295" s="714" t="s">
        <v>2151</v>
      </c>
      <c r="S295" s="714" t="s">
        <v>2152</v>
      </c>
      <c r="T295" s="89" t="s">
        <v>1561</v>
      </c>
      <c r="U295" s="89" t="s">
        <v>1562</v>
      </c>
      <c r="V295" s="89" t="s">
        <v>168</v>
      </c>
      <c r="W295" s="89" t="s">
        <v>173</v>
      </c>
      <c r="X295" s="89" t="s">
        <v>1557</v>
      </c>
      <c r="Y295" s="89" t="s">
        <v>1558</v>
      </c>
      <c r="Z295" s="129" t="s">
        <v>1563</v>
      </c>
      <c r="AA295" s="129" t="s">
        <v>258</v>
      </c>
      <c r="AB295" s="129" t="s">
        <v>1559</v>
      </c>
      <c r="AC295" s="89" t="s">
        <v>159</v>
      </c>
      <c r="AD295" s="89" t="s">
        <v>160</v>
      </c>
      <c r="AE295" s="89" t="s">
        <v>161</v>
      </c>
      <c r="AF295" s="89" t="s">
        <v>79</v>
      </c>
      <c r="AG295" s="89" t="s">
        <v>80</v>
      </c>
      <c r="AH295" s="89" t="s">
        <v>3</v>
      </c>
      <c r="AI295" s="89" t="s">
        <v>75</v>
      </c>
    </row>
    <row r="296" spans="1:43" s="148" customFormat="1" ht="19.95" customHeight="1">
      <c r="A296" s="576" t="s">
        <v>162</v>
      </c>
      <c r="B296" s="576" t="s">
        <v>156</v>
      </c>
      <c r="C296" s="576" t="s">
        <v>156</v>
      </c>
      <c r="D296" s="576" t="s">
        <v>156</v>
      </c>
      <c r="E296" s="576" t="s">
        <v>156</v>
      </c>
      <c r="F296" s="576" t="s">
        <v>156</v>
      </c>
      <c r="G296" s="576" t="s">
        <v>156</v>
      </c>
      <c r="H296" s="576" t="s">
        <v>64</v>
      </c>
      <c r="I296" s="576" t="s">
        <v>64</v>
      </c>
      <c r="J296" s="576" t="s">
        <v>64</v>
      </c>
      <c r="K296" s="576" t="s">
        <v>64</v>
      </c>
      <c r="L296" s="576" t="s">
        <v>64</v>
      </c>
      <c r="M296" s="576" t="s">
        <v>64</v>
      </c>
      <c r="N296" s="576" t="s">
        <v>64</v>
      </c>
      <c r="O296" s="576" t="s">
        <v>64</v>
      </c>
      <c r="P296" s="576" t="s">
        <v>64</v>
      </c>
      <c r="Q296" s="576" t="s">
        <v>64</v>
      </c>
      <c r="R296" s="576" t="s">
        <v>64</v>
      </c>
      <c r="S296" s="576" t="s">
        <v>64</v>
      </c>
      <c r="T296" s="576" t="s">
        <v>156</v>
      </c>
      <c r="U296" s="576" t="s">
        <v>156</v>
      </c>
      <c r="V296" s="576" t="s">
        <v>156</v>
      </c>
      <c r="W296" s="576" t="s">
        <v>156</v>
      </c>
      <c r="X296" s="576" t="s">
        <v>156</v>
      </c>
      <c r="Y296" s="576" t="s">
        <v>156</v>
      </c>
      <c r="Z296" s="576" t="s">
        <v>74</v>
      </c>
      <c r="AA296" s="576" t="s">
        <v>74</v>
      </c>
      <c r="AB296" s="576" t="s">
        <v>74</v>
      </c>
      <c r="AC296" s="576"/>
      <c r="AD296" s="576" t="s">
        <v>163</v>
      </c>
      <c r="AE296" s="576" t="s">
        <v>163</v>
      </c>
      <c r="AF296" s="576" t="s">
        <v>92</v>
      </c>
      <c r="AG296" s="576" t="s">
        <v>74</v>
      </c>
      <c r="AH296" s="576" t="s">
        <v>90</v>
      </c>
      <c r="AI296" s="576" t="s">
        <v>91</v>
      </c>
    </row>
    <row r="297" spans="1:43" s="148" customFormat="1" ht="19.95" customHeight="1">
      <c r="A297" s="578" t="s">
        <v>1568</v>
      </c>
      <c r="B297" s="715">
        <f>AB289</f>
        <v>16.755757079779421</v>
      </c>
      <c r="C297" s="715">
        <f t="shared" ref="C297:G297" si="28">AC289</f>
        <v>9.4955292418996851E-3</v>
      </c>
      <c r="D297" s="715">
        <f t="shared" si="28"/>
        <v>54.170011621150465</v>
      </c>
      <c r="E297" s="715">
        <f t="shared" si="28"/>
        <v>1.0067494889848568E-2</v>
      </c>
      <c r="F297" s="715">
        <f t="shared" si="28"/>
        <v>92.335615101505496</v>
      </c>
      <c r="G297" s="715">
        <f t="shared" si="28"/>
        <v>2.6578175726377086E-2</v>
      </c>
      <c r="H297" s="111">
        <v>8.2118000000000002</v>
      </c>
      <c r="I297" s="111">
        <v>-2.0000000000000001E-4</v>
      </c>
      <c r="J297" s="67">
        <v>9.9039999999999999</v>
      </c>
      <c r="K297" s="111">
        <v>0</v>
      </c>
      <c r="L297" s="67">
        <v>35.096899999999998</v>
      </c>
      <c r="M297" s="111">
        <v>1E-4</v>
      </c>
      <c r="N297" s="77">
        <f t="shared" ref="N297:N302" si="29">H297-I297/2</f>
        <v>8.2119</v>
      </c>
      <c r="O297" s="77">
        <f t="shared" ref="O297:O302" si="30">J297-K297/2</f>
        <v>9.9039999999999999</v>
      </c>
      <c r="P297" s="77">
        <f t="shared" ref="P297:P302" si="31">L297-M297/2</f>
        <v>35.096849999999996</v>
      </c>
      <c r="Q297" s="578">
        <f t="shared" ref="Q297:R302" si="32">u_m1</f>
        <v>2.0000000000000001E-4</v>
      </c>
      <c r="R297" s="578">
        <f t="shared" si="32"/>
        <v>2.0000000000000001E-4</v>
      </c>
      <c r="S297" s="512">
        <f t="shared" ref="S297:S302" si="33">u_m2</f>
        <v>2E-3</v>
      </c>
      <c r="T297" s="716" cm="1">
        <f t="array" ref="T297:Y297">WnA1S(B297:G297,N297:P297,Q297:S297)</f>
        <v>1.0545831982092124</v>
      </c>
      <c r="U297" s="716">
        <v>6.2805881312972146E-4</v>
      </c>
      <c r="V297" s="716">
        <v>3.409382448698945</v>
      </c>
      <c r="W297" s="716">
        <v>8.8951776605521421E-4</v>
      </c>
      <c r="X297" s="716">
        <v>5.8114705183850983</v>
      </c>
      <c r="Y297" s="584">
        <v>1.9825872379212787E-3</v>
      </c>
      <c r="Z297" s="470" t="s">
        <v>2155</v>
      </c>
      <c r="AA297" s="470" t="s">
        <v>2155</v>
      </c>
      <c r="AB297" s="470" t="s">
        <v>2155</v>
      </c>
      <c r="AC297" s="578" t="s">
        <v>196</v>
      </c>
      <c r="AD297" s="108">
        <v>20240220</v>
      </c>
      <c r="AE297" s="578">
        <f>AD297+1</f>
        <v>20240221</v>
      </c>
      <c r="AF297" s="108">
        <v>21.5</v>
      </c>
      <c r="AG297" s="108">
        <v>12.5</v>
      </c>
      <c r="AH297" s="578" t="s">
        <v>101</v>
      </c>
      <c r="AI297" s="578" t="s">
        <v>94</v>
      </c>
    </row>
    <row r="298" spans="1:43" s="148" customFormat="1" ht="19.95" customHeight="1">
      <c r="A298" s="575" t="s">
        <v>1567</v>
      </c>
      <c r="B298" s="552">
        <f t="shared" ref="B298:G298" si="34">T297</f>
        <v>1.0545831982092124</v>
      </c>
      <c r="C298" s="552">
        <f t="shared" si="34"/>
        <v>6.2805881312972146E-4</v>
      </c>
      <c r="D298" s="552">
        <f t="shared" si="34"/>
        <v>3.409382448698945</v>
      </c>
      <c r="E298" s="552">
        <f t="shared" si="34"/>
        <v>8.8951776605521421E-4</v>
      </c>
      <c r="F298" s="552">
        <f t="shared" si="34"/>
        <v>5.8114705183850983</v>
      </c>
      <c r="G298" s="552">
        <f t="shared" si="34"/>
        <v>1.9825872379212787E-3</v>
      </c>
      <c r="H298" s="69">
        <v>8.2263000000000002</v>
      </c>
      <c r="I298" s="69">
        <v>0</v>
      </c>
      <c r="J298" s="69">
        <v>9.2555999999999994</v>
      </c>
      <c r="K298" s="69">
        <v>0</v>
      </c>
      <c r="L298" s="69">
        <v>35.367899999999999</v>
      </c>
      <c r="M298" s="69">
        <v>-1E-4</v>
      </c>
      <c r="N298" s="114">
        <f t="shared" si="29"/>
        <v>8.2263000000000002</v>
      </c>
      <c r="O298" s="114">
        <f t="shared" si="30"/>
        <v>9.2555999999999994</v>
      </c>
      <c r="P298" s="114">
        <f t="shared" si="31"/>
        <v>35.36795</v>
      </c>
      <c r="Q298" s="575">
        <f t="shared" si="32"/>
        <v>2.0000000000000001E-4</v>
      </c>
      <c r="R298" s="575">
        <f t="shared" si="32"/>
        <v>2.0000000000000001E-4</v>
      </c>
      <c r="S298" s="114">
        <f t="shared" si="33"/>
        <v>2E-3</v>
      </c>
      <c r="T298" s="120" cm="1">
        <f t="array" ref="T298:Y298">WnA1S(B298:G298,N298:P298,Q298:S298)</f>
        <v>3.9993238654125358E-2</v>
      </c>
      <c r="U298" s="120">
        <v>2.6397847355276974E-5</v>
      </c>
      <c r="V298" s="120">
        <v>0.12929491591136949</v>
      </c>
      <c r="W298" s="120">
        <v>4.9919348887405668E-5</v>
      </c>
      <c r="X298" s="120">
        <v>0.22038993961582207</v>
      </c>
      <c r="Y298" s="120">
        <v>9.7913230033735247E-5</v>
      </c>
      <c r="Z298" s="471">
        <f>T298/F147</f>
        <v>1.0525700014685908</v>
      </c>
      <c r="AA298" s="471">
        <f>V298/J147</f>
        <v>0.98285758959611924</v>
      </c>
      <c r="AB298" s="471">
        <f>X298/R147</f>
        <v>1.0403112561520984</v>
      </c>
      <c r="AC298" s="575" t="s">
        <v>196</v>
      </c>
      <c r="AD298" s="106">
        <v>20240220</v>
      </c>
      <c r="AE298" s="575">
        <f>AD298+1</f>
        <v>20240221</v>
      </c>
      <c r="AF298" s="106">
        <v>21.5</v>
      </c>
      <c r="AG298" s="106">
        <v>12.5</v>
      </c>
      <c r="AH298" s="575" t="s">
        <v>101</v>
      </c>
      <c r="AI298" s="575" t="s">
        <v>94</v>
      </c>
    </row>
    <row r="299" spans="1:43" s="148" customFormat="1" ht="19.95" customHeight="1">
      <c r="A299" s="575" t="s">
        <v>1569</v>
      </c>
      <c r="B299" s="552">
        <f>B298</f>
        <v>1.0545831982092124</v>
      </c>
      <c r="C299" s="552">
        <f t="shared" ref="C299:G299" si="35">C298</f>
        <v>6.2805881312972146E-4</v>
      </c>
      <c r="D299" s="552">
        <f t="shared" si="35"/>
        <v>3.409382448698945</v>
      </c>
      <c r="E299" s="552">
        <f t="shared" si="35"/>
        <v>8.8951776605521421E-4</v>
      </c>
      <c r="F299" s="552">
        <f t="shared" si="35"/>
        <v>5.8114705183850983</v>
      </c>
      <c r="G299" s="552">
        <f t="shared" si="35"/>
        <v>1.9825872379212787E-3</v>
      </c>
      <c r="H299" s="69">
        <v>8.1959999999999997</v>
      </c>
      <c r="I299" s="69">
        <v>0</v>
      </c>
      <c r="J299" s="69">
        <v>9.7402999999999995</v>
      </c>
      <c r="K299" s="69">
        <v>-2.0000000000000001E-4</v>
      </c>
      <c r="L299" s="69">
        <v>35.4846</v>
      </c>
      <c r="M299" s="69">
        <v>0</v>
      </c>
      <c r="N299" s="114">
        <f t="shared" si="29"/>
        <v>8.1959999999999997</v>
      </c>
      <c r="O299" s="114">
        <f t="shared" si="30"/>
        <v>9.7403999999999993</v>
      </c>
      <c r="P299" s="114">
        <f t="shared" si="31"/>
        <v>35.4846</v>
      </c>
      <c r="Q299" s="575">
        <f t="shared" si="32"/>
        <v>2.0000000000000001E-4</v>
      </c>
      <c r="R299" s="575">
        <f t="shared" si="32"/>
        <v>2.0000000000000001E-4</v>
      </c>
      <c r="S299" s="114">
        <f t="shared" si="33"/>
        <v>2E-3</v>
      </c>
      <c r="T299" s="120" cm="1">
        <f t="array" ref="T299:Y299">WnA1S(B299:G299,N299:P299,Q299:S299)</f>
        <v>5.9684201143125955E-2</v>
      </c>
      <c r="U299" s="120">
        <v>3.7446670176971325E-5</v>
      </c>
      <c r="V299" s="120">
        <v>0.19295420995473014</v>
      </c>
      <c r="W299" s="120">
        <v>6.3127625686814744E-5</v>
      </c>
      <c r="X299" s="120">
        <v>0.32890053240525136</v>
      </c>
      <c r="Y299" s="120">
        <v>1.2963421879803492E-4</v>
      </c>
      <c r="Z299" s="471">
        <f>T299/F148</f>
        <v>1.0472070079674429</v>
      </c>
      <c r="AA299" s="471">
        <f>V299/J148</f>
        <v>0.97784979072459211</v>
      </c>
      <c r="AB299" s="471">
        <f>X299/R148</f>
        <v>1.0350107226976677</v>
      </c>
      <c r="AC299" s="575" t="s">
        <v>196</v>
      </c>
      <c r="AD299" s="106">
        <v>20240220</v>
      </c>
      <c r="AE299" s="575">
        <f t="shared" ref="AE299:AE302" si="36">AD299+1</f>
        <v>20240221</v>
      </c>
      <c r="AF299" s="106">
        <v>21.5</v>
      </c>
      <c r="AG299" s="106">
        <v>12.5</v>
      </c>
      <c r="AH299" s="575" t="s">
        <v>101</v>
      </c>
      <c r="AI299" s="575" t="s">
        <v>94</v>
      </c>
    </row>
    <row r="300" spans="1:43" s="148" customFormat="1" ht="19.95" customHeight="1">
      <c r="A300" s="575" t="s">
        <v>1570</v>
      </c>
      <c r="B300" s="552">
        <f>B298</f>
        <v>1.0545831982092124</v>
      </c>
      <c r="C300" s="552">
        <f t="shared" ref="C300:G300" si="37">C298</f>
        <v>6.2805881312972146E-4</v>
      </c>
      <c r="D300" s="552">
        <f t="shared" si="37"/>
        <v>3.409382448698945</v>
      </c>
      <c r="E300" s="552">
        <f t="shared" si="37"/>
        <v>8.8951776605521421E-4</v>
      </c>
      <c r="F300" s="552">
        <f t="shared" si="37"/>
        <v>5.8114705183850983</v>
      </c>
      <c r="G300" s="552">
        <f t="shared" si="37"/>
        <v>1.9825872379212787E-3</v>
      </c>
      <c r="H300" s="69">
        <v>8.1677999999999997</v>
      </c>
      <c r="I300" s="69">
        <v>-1E-4</v>
      </c>
      <c r="J300" s="69">
        <v>10.2194</v>
      </c>
      <c r="K300" s="69">
        <v>-1E-4</v>
      </c>
      <c r="L300" s="69">
        <v>35.643599999999999</v>
      </c>
      <c r="M300" s="69">
        <v>-1E-4</v>
      </c>
      <c r="N300" s="114">
        <f t="shared" si="29"/>
        <v>8.1678499999999996</v>
      </c>
      <c r="O300" s="114">
        <f t="shared" si="30"/>
        <v>10.21945</v>
      </c>
      <c r="P300" s="114">
        <f t="shared" si="31"/>
        <v>35.643650000000001</v>
      </c>
      <c r="Q300" s="575">
        <f t="shared" si="32"/>
        <v>2.0000000000000001E-4</v>
      </c>
      <c r="R300" s="575">
        <f t="shared" si="32"/>
        <v>2.0000000000000001E-4</v>
      </c>
      <c r="S300" s="114">
        <f t="shared" si="33"/>
        <v>2E-3</v>
      </c>
      <c r="T300" s="120" cm="1">
        <f t="array" ref="T300:Y300">WnA1S(B300:G300,N300:P300,Q300:S300)</f>
        <v>7.8745037067019727E-2</v>
      </c>
      <c r="U300" s="120">
        <v>4.8480345953317693E-5</v>
      </c>
      <c r="V300" s="120">
        <v>0.25457635562024611</v>
      </c>
      <c r="W300" s="120">
        <v>7.7396443217099431E-5</v>
      </c>
      <c r="X300" s="120">
        <v>0.43393869934702067</v>
      </c>
      <c r="Y300" s="120">
        <v>1.6279467600291707E-4</v>
      </c>
      <c r="Z300" s="471">
        <f>T300/F149</f>
        <v>1.0362334555859671</v>
      </c>
      <c r="AA300" s="471">
        <f>V300/J149</f>
        <v>0.96760302402222009</v>
      </c>
      <c r="AB300" s="471">
        <f>X300/R149</f>
        <v>1.0241649736771787</v>
      </c>
      <c r="AC300" s="575" t="s">
        <v>196</v>
      </c>
      <c r="AD300" s="106">
        <v>20240220</v>
      </c>
      <c r="AE300" s="575">
        <f t="shared" si="36"/>
        <v>20240221</v>
      </c>
      <c r="AF300" s="106">
        <v>21.5</v>
      </c>
      <c r="AG300" s="106">
        <v>12.5</v>
      </c>
      <c r="AH300" s="575" t="s">
        <v>101</v>
      </c>
      <c r="AI300" s="575" t="s">
        <v>94</v>
      </c>
    </row>
    <row r="301" spans="1:43" s="129" customFormat="1" ht="19.95" customHeight="1">
      <c r="A301" s="575" t="s">
        <v>1571</v>
      </c>
      <c r="B301" s="552">
        <f>B298</f>
        <v>1.0545831982092124</v>
      </c>
      <c r="C301" s="552">
        <f t="shared" ref="C301:G301" si="38">C298</f>
        <v>6.2805881312972146E-4</v>
      </c>
      <c r="D301" s="552">
        <f t="shared" si="38"/>
        <v>3.409382448698945</v>
      </c>
      <c r="E301" s="552">
        <f t="shared" si="38"/>
        <v>8.8951776605521421E-4</v>
      </c>
      <c r="F301" s="552">
        <f t="shared" si="38"/>
        <v>5.8114705183850983</v>
      </c>
      <c r="G301" s="552">
        <f t="shared" si="38"/>
        <v>1.9825872379212787E-3</v>
      </c>
      <c r="H301" s="69">
        <v>8.2250999999999994</v>
      </c>
      <c r="I301" s="69">
        <v>0</v>
      </c>
      <c r="J301" s="69">
        <v>11.305400000000001</v>
      </c>
      <c r="K301" s="69">
        <v>-1E-4</v>
      </c>
      <c r="L301" s="69">
        <v>36.3157</v>
      </c>
      <c r="M301" s="69">
        <v>0</v>
      </c>
      <c r="N301" s="114">
        <f t="shared" si="29"/>
        <v>8.2250999999999994</v>
      </c>
      <c r="O301" s="114">
        <f t="shared" si="30"/>
        <v>11.30545</v>
      </c>
      <c r="P301" s="114">
        <f t="shared" si="31"/>
        <v>36.3157</v>
      </c>
      <c r="Q301" s="575">
        <f t="shared" si="32"/>
        <v>2.0000000000000001E-4</v>
      </c>
      <c r="R301" s="575">
        <f t="shared" si="32"/>
        <v>2.0000000000000001E-4</v>
      </c>
      <c r="S301" s="114">
        <f t="shared" si="33"/>
        <v>2E-3</v>
      </c>
      <c r="T301" s="120" cm="1">
        <f t="array" ref="T301:Y301">WnA1S(B301:G301,N301:P301,Q301:S301)</f>
        <v>0.11564314591371307</v>
      </c>
      <c r="U301" s="120">
        <v>7.0174802006151455E-5</v>
      </c>
      <c r="V301" s="120">
        <v>0.37386496642470429</v>
      </c>
      <c r="W301" s="120">
        <v>1.0681120346987491E-4</v>
      </c>
      <c r="X301" s="120">
        <v>0.6372723690952683</v>
      </c>
      <c r="Y301" s="120">
        <v>2.2971426777654286E-4</v>
      </c>
      <c r="Z301" s="471">
        <f>T301/F150</f>
        <v>1.0145257078488155</v>
      </c>
      <c r="AA301" s="471">
        <f>V301/J150</f>
        <v>0.94733299486812184</v>
      </c>
      <c r="AB301" s="471">
        <f>X301/R150</f>
        <v>1.0027100449929482</v>
      </c>
      <c r="AC301" s="575" t="s">
        <v>196</v>
      </c>
      <c r="AD301" s="106">
        <v>20240220</v>
      </c>
      <c r="AE301" s="575">
        <f t="shared" si="36"/>
        <v>20240221</v>
      </c>
      <c r="AF301" s="106">
        <v>21.5</v>
      </c>
      <c r="AG301" s="106">
        <v>12.5</v>
      </c>
      <c r="AH301" s="575" t="s">
        <v>101</v>
      </c>
      <c r="AI301" s="575" t="s">
        <v>94</v>
      </c>
    </row>
    <row r="302" spans="1:43" s="129" customFormat="1" ht="19.95" customHeight="1">
      <c r="A302" s="576" t="s">
        <v>1572</v>
      </c>
      <c r="B302" s="553">
        <f>B298</f>
        <v>1.0545831982092124</v>
      </c>
      <c r="C302" s="553">
        <f t="shared" ref="C302:G302" si="39">C298</f>
        <v>6.2805881312972146E-4</v>
      </c>
      <c r="D302" s="553">
        <f t="shared" si="39"/>
        <v>3.409382448698945</v>
      </c>
      <c r="E302" s="553">
        <f t="shared" si="39"/>
        <v>8.8951776605521421E-4</v>
      </c>
      <c r="F302" s="553">
        <f t="shared" si="39"/>
        <v>5.8114705183850983</v>
      </c>
      <c r="G302" s="553">
        <f t="shared" si="39"/>
        <v>1.9825872379212787E-3</v>
      </c>
      <c r="H302" s="76">
        <v>8.2536000000000005</v>
      </c>
      <c r="I302" s="76">
        <v>-1E-4</v>
      </c>
      <c r="J302" s="76">
        <v>12.3651</v>
      </c>
      <c r="K302" s="76">
        <v>-1E-4</v>
      </c>
      <c r="L302" s="76">
        <v>35.758499999999998</v>
      </c>
      <c r="M302" s="76">
        <v>0</v>
      </c>
      <c r="N302" s="122">
        <f t="shared" si="29"/>
        <v>8.2536500000000004</v>
      </c>
      <c r="O302" s="122">
        <f t="shared" si="30"/>
        <v>12.36515</v>
      </c>
      <c r="P302" s="122">
        <f t="shared" si="31"/>
        <v>35.758499999999998</v>
      </c>
      <c r="Q302" s="576">
        <f t="shared" si="32"/>
        <v>2.0000000000000001E-4</v>
      </c>
      <c r="R302" s="576">
        <f t="shared" si="32"/>
        <v>2.0000000000000001E-4</v>
      </c>
      <c r="S302" s="122">
        <f t="shared" si="33"/>
        <v>2E-3</v>
      </c>
      <c r="T302" s="123" cm="1">
        <f t="array" ref="T302:Y302">WnA1S(B302:G302,N302:P302,Q302:S302)</f>
        <v>0.15764197294066962</v>
      </c>
      <c r="U302" s="123">
        <v>9.5207735481938493E-5</v>
      </c>
      <c r="V302" s="123">
        <v>0.50964378783471687</v>
      </c>
      <c r="W302" s="123">
        <v>1.4246624642777511E-4</v>
      </c>
      <c r="X302" s="123">
        <v>0.86871446440683486</v>
      </c>
      <c r="Y302" s="123">
        <v>3.0892120538601975E-4</v>
      </c>
      <c r="Z302" s="472">
        <f>T302/F151</f>
        <v>0.87578873855927564</v>
      </c>
      <c r="AA302" s="472">
        <f>V302/J151</f>
        <v>0.96853627486643268</v>
      </c>
      <c r="AB302" s="472">
        <f>X302/R151</f>
        <v>1.0251527783889955</v>
      </c>
      <c r="AC302" s="576" t="s">
        <v>196</v>
      </c>
      <c r="AD302" s="125">
        <v>20240220</v>
      </c>
      <c r="AE302" s="576">
        <f t="shared" si="36"/>
        <v>20240221</v>
      </c>
      <c r="AF302" s="125">
        <v>21.5</v>
      </c>
      <c r="AG302" s="125">
        <v>12.5</v>
      </c>
      <c r="AH302" s="576" t="s">
        <v>101</v>
      </c>
      <c r="AI302" s="576" t="s">
        <v>94</v>
      </c>
    </row>
    <row r="303" spans="1:43" s="129" customFormat="1" ht="19.95" customHeight="1">
      <c r="A303" s="86" t="s">
        <v>1580</v>
      </c>
    </row>
    <row r="304" spans="1:43" s="129" customFormat="1" ht="19.95" customHeight="1">
      <c r="A304" s="86"/>
    </row>
    <row r="305" spans="1:34" s="129" customFormat="1" ht="19.95" customHeight="1">
      <c r="A305" s="128" t="s">
        <v>1574</v>
      </c>
    </row>
    <row r="306" spans="1:34" s="129" customFormat="1" ht="19.95" customHeight="1">
      <c r="A306" s="86"/>
    </row>
    <row r="307" spans="1:34" s="129" customFormat="1" ht="19.95" customHeight="1">
      <c r="A307" s="86"/>
      <c r="B307" s="89" t="s">
        <v>158</v>
      </c>
      <c r="D307" s="89" t="s">
        <v>2156</v>
      </c>
      <c r="F307" s="89" t="s">
        <v>2167</v>
      </c>
      <c r="H307" s="89" t="s">
        <v>2158</v>
      </c>
      <c r="P307" s="89" t="s">
        <v>176</v>
      </c>
    </row>
    <row r="308" spans="1:34" s="129" customFormat="1" ht="19.95" customHeight="1">
      <c r="A308" s="89" t="s">
        <v>157</v>
      </c>
      <c r="B308" s="89" t="s">
        <v>1561</v>
      </c>
      <c r="C308" s="89" t="s">
        <v>1562</v>
      </c>
      <c r="D308" s="129" t="s">
        <v>169</v>
      </c>
      <c r="E308" s="129" t="s">
        <v>170</v>
      </c>
      <c r="F308" s="129" t="s">
        <v>169</v>
      </c>
      <c r="G308" s="129" t="s">
        <v>170</v>
      </c>
      <c r="H308" s="129" t="s">
        <v>169</v>
      </c>
      <c r="I308" s="129" t="s">
        <v>170</v>
      </c>
      <c r="J308" s="89" t="s">
        <v>140</v>
      </c>
      <c r="K308" s="89" t="s">
        <v>2153</v>
      </c>
      <c r="L308" s="89" t="s">
        <v>2154</v>
      </c>
      <c r="M308" s="714" t="s">
        <v>2150</v>
      </c>
      <c r="N308" s="714" t="s">
        <v>2151</v>
      </c>
      <c r="O308" s="714" t="s">
        <v>2152</v>
      </c>
      <c r="P308" s="89" t="s">
        <v>1561</v>
      </c>
      <c r="Q308" s="89" t="s">
        <v>1562</v>
      </c>
      <c r="R308" s="89" t="s">
        <v>179</v>
      </c>
      <c r="S308" s="89" t="s">
        <v>159</v>
      </c>
      <c r="T308" s="89" t="s">
        <v>160</v>
      </c>
      <c r="U308" s="89" t="s">
        <v>161</v>
      </c>
      <c r="V308" s="89" t="s">
        <v>79</v>
      </c>
      <c r="W308" s="89" t="s">
        <v>80</v>
      </c>
      <c r="X308" s="89" t="s">
        <v>3</v>
      </c>
      <c r="Y308" s="89" t="s">
        <v>75</v>
      </c>
    </row>
    <row r="309" spans="1:34" s="129" customFormat="1" ht="19.95" customHeight="1">
      <c r="A309" s="576" t="s">
        <v>162</v>
      </c>
      <c r="B309" s="576" t="s">
        <v>156</v>
      </c>
      <c r="C309" s="576" t="s">
        <v>156</v>
      </c>
      <c r="D309" s="576" t="s">
        <v>64</v>
      </c>
      <c r="E309" s="576" t="s">
        <v>64</v>
      </c>
      <c r="F309" s="576" t="s">
        <v>64</v>
      </c>
      <c r="G309" s="576" t="s">
        <v>64</v>
      </c>
      <c r="H309" s="576" t="s">
        <v>64</v>
      </c>
      <c r="I309" s="576" t="s">
        <v>64</v>
      </c>
      <c r="J309" s="576" t="s">
        <v>64</v>
      </c>
      <c r="K309" s="576" t="s">
        <v>64</v>
      </c>
      <c r="L309" s="576" t="s">
        <v>64</v>
      </c>
      <c r="M309" s="576" t="s">
        <v>64</v>
      </c>
      <c r="N309" s="576" t="s">
        <v>64</v>
      </c>
      <c r="O309" s="576" t="s">
        <v>64</v>
      </c>
      <c r="P309" s="576" t="s">
        <v>156</v>
      </c>
      <c r="Q309" s="576" t="s">
        <v>156</v>
      </c>
      <c r="R309" s="576" t="s">
        <v>74</v>
      </c>
      <c r="S309" s="576"/>
      <c r="T309" s="576" t="s">
        <v>163</v>
      </c>
      <c r="U309" s="576" t="s">
        <v>163</v>
      </c>
      <c r="V309" s="576" t="s">
        <v>92</v>
      </c>
      <c r="W309" s="576" t="s">
        <v>74</v>
      </c>
      <c r="X309" s="576" t="s">
        <v>90</v>
      </c>
      <c r="Y309" s="576" t="s">
        <v>91</v>
      </c>
    </row>
    <row r="310" spans="1:34" s="129" customFormat="1" ht="19.95" customHeight="1">
      <c r="A310" s="513" t="s">
        <v>1577</v>
      </c>
      <c r="B310" s="544">
        <f>pNO2v</f>
        <v>1004.0619057904013</v>
      </c>
      <c r="C310" s="544">
        <v>0</v>
      </c>
      <c r="D310" s="539">
        <v>11.8027</v>
      </c>
      <c r="E310" s="539">
        <v>-2.0000000000000001E-4</v>
      </c>
      <c r="F310" s="539">
        <v>14.8086</v>
      </c>
      <c r="G310" s="539">
        <v>-1E-4</v>
      </c>
      <c r="H310" s="539">
        <v>41.787999999999997</v>
      </c>
      <c r="I310" s="539">
        <v>1E-4</v>
      </c>
      <c r="J310" s="112">
        <f>D310-E310/2</f>
        <v>11.8028</v>
      </c>
      <c r="K310" s="112">
        <f>F310-G310/2</f>
        <v>14.80865</v>
      </c>
      <c r="L310" s="112">
        <f>H310-I310/2</f>
        <v>41.787949999999995</v>
      </c>
      <c r="M310" s="513">
        <f>u_m1</f>
        <v>2.0000000000000001E-4</v>
      </c>
      <c r="N310" s="513">
        <f>u_m1</f>
        <v>2.0000000000000001E-4</v>
      </c>
      <c r="O310" s="112">
        <f>u_m1</f>
        <v>2.0000000000000001E-4</v>
      </c>
      <c r="P310" s="545" cm="1">
        <f t="array" ref="P310:Q310">WnA1S(B310:C310,J310:L310,M310:O310)</f>
        <v>100.65180529428996</v>
      </c>
      <c r="Q310" s="545">
        <v>9.5185429975344037E-3</v>
      </c>
      <c r="R310" s="513" t="s">
        <v>2155</v>
      </c>
      <c r="S310" s="513" t="s">
        <v>2155</v>
      </c>
      <c r="T310" s="541">
        <v>20240220</v>
      </c>
      <c r="U310" s="513">
        <f>T310+1</f>
        <v>20240221</v>
      </c>
      <c r="V310" s="541">
        <v>21.5</v>
      </c>
      <c r="W310" s="541">
        <v>12.5</v>
      </c>
      <c r="X310" s="513" t="s">
        <v>101</v>
      </c>
      <c r="Y310" s="513" t="s">
        <v>94</v>
      </c>
    </row>
    <row r="311" spans="1:34" s="129" customFormat="1" ht="19.95" customHeight="1">
      <c r="A311" s="80" t="s">
        <v>1566</v>
      </c>
    </row>
    <row r="312" spans="1:34" s="129" customFormat="1" ht="19.95" customHeight="1">
      <c r="A312" s="104"/>
      <c r="Q312" s="718"/>
    </row>
    <row r="313" spans="1:34" s="129" customFormat="1" ht="19.95" customHeight="1">
      <c r="A313" s="104"/>
      <c r="B313" s="89" t="s">
        <v>158</v>
      </c>
      <c r="D313" s="89" t="s">
        <v>158</v>
      </c>
      <c r="F313" s="89" t="s">
        <v>2156</v>
      </c>
      <c r="H313" s="89" t="s">
        <v>2159</v>
      </c>
      <c r="J313" s="89" t="s">
        <v>2169</v>
      </c>
      <c r="L313" s="89" t="s">
        <v>2170</v>
      </c>
      <c r="Q313" s="718"/>
      <c r="V313" s="89" t="s">
        <v>176</v>
      </c>
      <c r="X313" s="89" t="s">
        <v>176</v>
      </c>
      <c r="Z313" s="89" t="s">
        <v>179</v>
      </c>
    </row>
    <row r="314" spans="1:34" s="129" customFormat="1" ht="19.95" customHeight="1">
      <c r="A314" s="89" t="s">
        <v>157</v>
      </c>
      <c r="B314" s="89" t="s">
        <v>1561</v>
      </c>
      <c r="C314" s="89" t="s">
        <v>1562</v>
      </c>
      <c r="D314" s="89" t="s">
        <v>181</v>
      </c>
      <c r="E314" s="89" t="s">
        <v>182</v>
      </c>
      <c r="F314" s="129" t="s">
        <v>169</v>
      </c>
      <c r="G314" s="129" t="s">
        <v>170</v>
      </c>
      <c r="H314" s="129" t="s">
        <v>169</v>
      </c>
      <c r="I314" s="129" t="s">
        <v>170</v>
      </c>
      <c r="J314" s="129" t="s">
        <v>169</v>
      </c>
      <c r="K314" s="129" t="s">
        <v>170</v>
      </c>
      <c r="L314" s="129" t="s">
        <v>169</v>
      </c>
      <c r="M314" s="129" t="s">
        <v>170</v>
      </c>
      <c r="N314" s="89" t="s">
        <v>140</v>
      </c>
      <c r="O314" s="89" t="s">
        <v>2153</v>
      </c>
      <c r="P314" s="89" t="s">
        <v>2154</v>
      </c>
      <c r="Q314" s="89" t="s">
        <v>2163</v>
      </c>
      <c r="R314" s="714" t="s">
        <v>2150</v>
      </c>
      <c r="S314" s="714" t="s">
        <v>2151</v>
      </c>
      <c r="T314" s="714" t="s">
        <v>2152</v>
      </c>
      <c r="U314" s="714" t="s">
        <v>2165</v>
      </c>
      <c r="V314" s="89" t="s">
        <v>1561</v>
      </c>
      <c r="W314" s="89" t="s">
        <v>1562</v>
      </c>
      <c r="X314" s="89" t="s">
        <v>181</v>
      </c>
      <c r="Y314" s="89" t="s">
        <v>182</v>
      </c>
      <c r="Z314" s="129" t="s">
        <v>1563</v>
      </c>
      <c r="AA314" s="129" t="s">
        <v>1579</v>
      </c>
      <c r="AB314" s="89" t="s">
        <v>159</v>
      </c>
      <c r="AC314" s="89" t="s">
        <v>160</v>
      </c>
      <c r="AD314" s="89" t="s">
        <v>161</v>
      </c>
      <c r="AE314" s="89" t="s">
        <v>79</v>
      </c>
      <c r="AF314" s="89" t="s">
        <v>80</v>
      </c>
      <c r="AG314" s="89" t="s">
        <v>3</v>
      </c>
      <c r="AH314" s="89" t="s">
        <v>75</v>
      </c>
    </row>
    <row r="315" spans="1:34" s="129" customFormat="1" ht="19.95" customHeight="1">
      <c r="A315" s="576" t="s">
        <v>162</v>
      </c>
      <c r="B315" s="576" t="s">
        <v>156</v>
      </c>
      <c r="C315" s="576" t="s">
        <v>156</v>
      </c>
      <c r="D315" s="576" t="s">
        <v>156</v>
      </c>
      <c r="E315" s="576" t="s">
        <v>156</v>
      </c>
      <c r="F315" s="576" t="s">
        <v>64</v>
      </c>
      <c r="G315" s="576" t="s">
        <v>64</v>
      </c>
      <c r="H315" s="576" t="s">
        <v>64</v>
      </c>
      <c r="I315" s="576" t="s">
        <v>64</v>
      </c>
      <c r="J315" s="576" t="s">
        <v>64</v>
      </c>
      <c r="K315" s="576" t="s">
        <v>64</v>
      </c>
      <c r="L315" s="576" t="s">
        <v>64</v>
      </c>
      <c r="M315" s="576" t="s">
        <v>64</v>
      </c>
      <c r="N315" s="576" t="s">
        <v>64</v>
      </c>
      <c r="O315" s="576" t="s">
        <v>64</v>
      </c>
      <c r="P315" s="576" t="s">
        <v>64</v>
      </c>
      <c r="Q315" s="576" t="s">
        <v>64</v>
      </c>
      <c r="R315" s="576" t="s">
        <v>64</v>
      </c>
      <c r="S315" s="576" t="s">
        <v>64</v>
      </c>
      <c r="T315" s="576" t="s">
        <v>64</v>
      </c>
      <c r="U315" s="576" t="s">
        <v>64</v>
      </c>
      <c r="V315" s="576" t="s">
        <v>156</v>
      </c>
      <c r="W315" s="576" t="s">
        <v>156</v>
      </c>
      <c r="X315" s="576" t="s">
        <v>156</v>
      </c>
      <c r="Y315" s="576" t="s">
        <v>156</v>
      </c>
      <c r="Z315" s="576" t="s">
        <v>74</v>
      </c>
      <c r="AA315" s="576" t="s">
        <v>74</v>
      </c>
      <c r="AB315" s="576"/>
      <c r="AC315" s="576" t="s">
        <v>163</v>
      </c>
      <c r="AD315" s="576" t="s">
        <v>163</v>
      </c>
      <c r="AE315" s="576" t="s">
        <v>92</v>
      </c>
      <c r="AF315" s="576" t="s">
        <v>74</v>
      </c>
      <c r="AG315" s="576" t="s">
        <v>90</v>
      </c>
      <c r="AH315" s="576" t="s">
        <v>91</v>
      </c>
    </row>
    <row r="316" spans="1:34" s="129" customFormat="1" ht="19.95" customHeight="1">
      <c r="A316" s="513" t="s">
        <v>1578</v>
      </c>
      <c r="B316" s="538">
        <f>P310</f>
        <v>100.65180529428996</v>
      </c>
      <c r="C316" s="538">
        <f>Q310</f>
        <v>9.5185429975344037E-3</v>
      </c>
      <c r="D316" s="538">
        <f>pNO3v</f>
        <v>1000.5999999999999</v>
      </c>
      <c r="E316" s="538">
        <v>0</v>
      </c>
      <c r="F316" s="539">
        <v>11.8131</v>
      </c>
      <c r="G316" s="539">
        <v>0</v>
      </c>
      <c r="H316" s="539">
        <v>12.592599999999999</v>
      </c>
      <c r="I316" s="539">
        <v>0</v>
      </c>
      <c r="J316" s="539">
        <v>13.5966</v>
      </c>
      <c r="K316" s="539">
        <v>0</v>
      </c>
      <c r="L316" s="539">
        <v>41.862499999999997</v>
      </c>
      <c r="M316" s="539">
        <v>1E-4</v>
      </c>
      <c r="N316" s="112">
        <f>F316-G316/2</f>
        <v>11.8131</v>
      </c>
      <c r="O316" s="112">
        <f>H316-I316/2</f>
        <v>12.592599999999999</v>
      </c>
      <c r="P316" s="112">
        <f>J316-K316/2</f>
        <v>13.5966</v>
      </c>
      <c r="Q316" s="112">
        <f>L316-M316/2</f>
        <v>41.862449999999995</v>
      </c>
      <c r="R316" s="513">
        <f>u_m1</f>
        <v>2.0000000000000001E-4</v>
      </c>
      <c r="S316" s="513">
        <f>u_m1</f>
        <v>2.0000000000000001E-4</v>
      </c>
      <c r="T316" s="112">
        <f>u_m1</f>
        <v>2.0000000000000001E-4</v>
      </c>
      <c r="U316" s="112">
        <f>u_m1</f>
        <v>2.0000000000000001E-4</v>
      </c>
      <c r="V316" s="540" cm="1">
        <f t="array" ref="V316:Y316">WnAnS(B316:E316,N316:Q316,R316:U316)</f>
        <v>2.6109743547497333</v>
      </c>
      <c r="W316" s="540">
        <v>9.793523575362098E-4</v>
      </c>
      <c r="X316" s="540">
        <v>33.431751435555221</v>
      </c>
      <c r="Y316" s="540">
        <v>9.4235097718588946E-3</v>
      </c>
      <c r="Z316" s="513" t="s">
        <v>2155</v>
      </c>
      <c r="AA316" s="513" t="s">
        <v>2155</v>
      </c>
      <c r="AB316" s="513" t="s">
        <v>196</v>
      </c>
      <c r="AC316" s="541">
        <v>20240220</v>
      </c>
      <c r="AD316" s="513">
        <f>AC316+1</f>
        <v>20240221</v>
      </c>
      <c r="AE316" s="541">
        <v>21.5</v>
      </c>
      <c r="AF316" s="541">
        <v>12.5</v>
      </c>
      <c r="AG316" s="513" t="s">
        <v>101</v>
      </c>
      <c r="AH316" s="513" t="s">
        <v>94</v>
      </c>
    </row>
    <row r="317" spans="1:34" s="129" customFormat="1" ht="19.95" customHeight="1">
      <c r="A317" s="86" t="s">
        <v>1566</v>
      </c>
      <c r="Q317" s="718"/>
      <c r="V317" s="78"/>
      <c r="W317" s="78"/>
      <c r="X317" s="78"/>
      <c r="Y317" s="78"/>
      <c r="Z317" s="78"/>
    </row>
    <row r="318" spans="1:34" s="129" customFormat="1" ht="19.95" customHeight="1">
      <c r="A318" s="86"/>
      <c r="Q318" s="718"/>
      <c r="V318" s="78"/>
      <c r="W318" s="78"/>
      <c r="X318" s="78"/>
      <c r="Y318" s="78"/>
      <c r="Z318" s="78"/>
    </row>
    <row r="319" spans="1:34" s="129" customFormat="1" ht="19.95" customHeight="1">
      <c r="A319" s="104"/>
      <c r="B319" s="89" t="s">
        <v>158</v>
      </c>
      <c r="D319" s="89" t="s">
        <v>158</v>
      </c>
      <c r="F319" s="89" t="s">
        <v>2156</v>
      </c>
      <c r="H319" s="89" t="s">
        <v>174</v>
      </c>
      <c r="J319" s="89" t="s">
        <v>175</v>
      </c>
      <c r="Q319" s="718"/>
      <c r="R319" s="89" t="s">
        <v>176</v>
      </c>
      <c r="T319" s="89" t="s">
        <v>176</v>
      </c>
      <c r="V319" s="89" t="s">
        <v>179</v>
      </c>
      <c r="X319" s="78"/>
      <c r="Y319" s="78"/>
      <c r="Z319" s="78"/>
    </row>
    <row r="320" spans="1:34" s="129" customFormat="1" ht="19.95" customHeight="1">
      <c r="A320" s="89" t="s">
        <v>157</v>
      </c>
      <c r="B320" s="89" t="s">
        <v>1561</v>
      </c>
      <c r="C320" s="89" t="s">
        <v>1562</v>
      </c>
      <c r="D320" s="89" t="s">
        <v>181</v>
      </c>
      <c r="E320" s="89" t="s">
        <v>182</v>
      </c>
      <c r="F320" s="129" t="s">
        <v>169</v>
      </c>
      <c r="G320" s="129" t="s">
        <v>170</v>
      </c>
      <c r="H320" s="129" t="s">
        <v>169</v>
      </c>
      <c r="I320" s="129" t="s">
        <v>170</v>
      </c>
      <c r="J320" s="129" t="s">
        <v>169</v>
      </c>
      <c r="K320" s="129" t="s">
        <v>170</v>
      </c>
      <c r="L320" s="89" t="s">
        <v>140</v>
      </c>
      <c r="M320" s="89" t="s">
        <v>2153</v>
      </c>
      <c r="N320" s="89" t="s">
        <v>2154</v>
      </c>
      <c r="O320" s="714" t="s">
        <v>2150</v>
      </c>
      <c r="P320" s="714" t="s">
        <v>2151</v>
      </c>
      <c r="Q320" s="714" t="s">
        <v>2152</v>
      </c>
      <c r="R320" s="89" t="s">
        <v>1561</v>
      </c>
      <c r="S320" s="89" t="s">
        <v>1562</v>
      </c>
      <c r="T320" s="89" t="s">
        <v>181</v>
      </c>
      <c r="U320" s="89" t="s">
        <v>182</v>
      </c>
      <c r="V320" s="129" t="s">
        <v>1563</v>
      </c>
      <c r="W320" s="129" t="s">
        <v>1579</v>
      </c>
      <c r="X320" s="89" t="s">
        <v>159</v>
      </c>
      <c r="Y320" s="89" t="s">
        <v>160</v>
      </c>
      <c r="Z320" s="89" t="s">
        <v>161</v>
      </c>
      <c r="AA320" s="89" t="s">
        <v>79</v>
      </c>
      <c r="AB320" s="89" t="s">
        <v>80</v>
      </c>
      <c r="AC320" s="89" t="s">
        <v>3</v>
      </c>
      <c r="AD320" s="89" t="s">
        <v>75</v>
      </c>
    </row>
    <row r="321" spans="1:30" s="129" customFormat="1" ht="19.95" customHeight="1">
      <c r="A321" s="576" t="s">
        <v>162</v>
      </c>
      <c r="B321" s="576" t="s">
        <v>156</v>
      </c>
      <c r="C321" s="576" t="s">
        <v>156</v>
      </c>
      <c r="D321" s="576" t="s">
        <v>156</v>
      </c>
      <c r="E321" s="576" t="s">
        <v>156</v>
      </c>
      <c r="F321" s="576" t="s">
        <v>64</v>
      </c>
      <c r="G321" s="576" t="s">
        <v>64</v>
      </c>
      <c r="H321" s="576" t="s">
        <v>64</v>
      </c>
      <c r="I321" s="576" t="s">
        <v>64</v>
      </c>
      <c r="J321" s="576" t="s">
        <v>64</v>
      </c>
      <c r="K321" s="576" t="s">
        <v>64</v>
      </c>
      <c r="L321" s="576" t="s">
        <v>64</v>
      </c>
      <c r="M321" s="576" t="s">
        <v>64</v>
      </c>
      <c r="N321" s="576" t="s">
        <v>64</v>
      </c>
      <c r="O321" s="576" t="s">
        <v>64</v>
      </c>
      <c r="P321" s="576" t="s">
        <v>64</v>
      </c>
      <c r="Q321" s="576" t="s">
        <v>64</v>
      </c>
      <c r="R321" s="576" t="s">
        <v>156</v>
      </c>
      <c r="S321" s="576" t="s">
        <v>156</v>
      </c>
      <c r="T321" s="576" t="s">
        <v>156</v>
      </c>
      <c r="U321" s="576" t="s">
        <v>156</v>
      </c>
      <c r="V321" s="576" t="s">
        <v>74</v>
      </c>
      <c r="W321" s="576" t="s">
        <v>74</v>
      </c>
      <c r="X321" s="576"/>
      <c r="Y321" s="576" t="s">
        <v>163</v>
      </c>
      <c r="Z321" s="576" t="s">
        <v>163</v>
      </c>
      <c r="AA321" s="576" t="s">
        <v>92</v>
      </c>
      <c r="AB321" s="576" t="s">
        <v>74</v>
      </c>
      <c r="AC321" s="576" t="s">
        <v>90</v>
      </c>
      <c r="AD321" s="576" t="s">
        <v>91</v>
      </c>
    </row>
    <row r="322" spans="1:30" s="129" customFormat="1" ht="19.95" customHeight="1">
      <c r="A322" s="578" t="s">
        <v>1622</v>
      </c>
      <c r="B322" s="550">
        <f>V316</f>
        <v>2.6109743547497333</v>
      </c>
      <c r="C322" s="550">
        <f t="shared" ref="C322:E322" si="40">W316</f>
        <v>9.793523575362098E-4</v>
      </c>
      <c r="D322" s="581">
        <f t="shared" si="40"/>
        <v>33.431751435555221</v>
      </c>
      <c r="E322" s="581">
        <f t="shared" si="40"/>
        <v>9.4235097718588946E-3</v>
      </c>
      <c r="F322" s="67">
        <v>8.1698000000000004</v>
      </c>
      <c r="G322" s="67">
        <v>0</v>
      </c>
      <c r="H322" s="67">
        <v>8.5915999999999997</v>
      </c>
      <c r="I322" s="67">
        <v>1E-4</v>
      </c>
      <c r="J322" s="67">
        <v>35.732500000000002</v>
      </c>
      <c r="K322" s="67">
        <v>1E-4</v>
      </c>
      <c r="L322" s="512">
        <f>F322-G322/2</f>
        <v>8.1698000000000004</v>
      </c>
      <c r="M322" s="512">
        <f>H322-I322/2</f>
        <v>8.5915499999999998</v>
      </c>
      <c r="N322" s="512">
        <f>J322-K322/2</f>
        <v>35.73245</v>
      </c>
      <c r="O322" s="578">
        <f t="shared" ref="O322:Q325" si="41">u_m1</f>
        <v>2.0000000000000001E-4</v>
      </c>
      <c r="P322" s="578">
        <f t="shared" si="41"/>
        <v>2.0000000000000001E-4</v>
      </c>
      <c r="Q322" s="512">
        <f t="shared" si="41"/>
        <v>2.0000000000000001E-4</v>
      </c>
      <c r="R322" s="551" cm="1">
        <f t="array" ref="R322:U322">WnA1S(B322:E322,L322:N322,O322:Q322)</f>
        <v>3.9951834606458327E-2</v>
      </c>
      <c r="S322" s="551">
        <v>3.0702077022803308E-5</v>
      </c>
      <c r="T322" s="584">
        <v>0.5115560792574515</v>
      </c>
      <c r="U322" s="584">
        <v>3.7217828675895569E-4</v>
      </c>
      <c r="V322" s="719">
        <f>R322/N147</f>
        <v>1.0298626122901988</v>
      </c>
      <c r="W322" s="719">
        <f>T322/B147</f>
        <v>0.96353624890571654</v>
      </c>
      <c r="X322" s="578" t="s">
        <v>196</v>
      </c>
      <c r="Y322" s="108">
        <v>20240220</v>
      </c>
      <c r="Z322" s="578">
        <f>Y322+1</f>
        <v>20240221</v>
      </c>
      <c r="AA322" s="108">
        <v>21.5</v>
      </c>
      <c r="AB322" s="108">
        <v>12.5</v>
      </c>
      <c r="AC322" s="578" t="s">
        <v>101</v>
      </c>
      <c r="AD322" s="578" t="s">
        <v>94</v>
      </c>
    </row>
    <row r="323" spans="1:30" s="129" customFormat="1" ht="19.95" customHeight="1">
      <c r="A323" s="575" t="s">
        <v>1623</v>
      </c>
      <c r="B323" s="552">
        <f>B322</f>
        <v>2.6109743547497333</v>
      </c>
      <c r="C323" s="552">
        <f t="shared" ref="C323:E323" si="42">C322</f>
        <v>9.793523575362098E-4</v>
      </c>
      <c r="D323" s="582">
        <f t="shared" si="42"/>
        <v>33.431751435555221</v>
      </c>
      <c r="E323" s="582">
        <f t="shared" si="42"/>
        <v>9.4235097718588946E-3</v>
      </c>
      <c r="F323" s="69">
        <v>8.1972000000000005</v>
      </c>
      <c r="G323" s="69">
        <v>0</v>
      </c>
      <c r="H323" s="69">
        <v>9.0408000000000008</v>
      </c>
      <c r="I323" s="69">
        <v>0</v>
      </c>
      <c r="J323" s="69">
        <v>35.627499999999998</v>
      </c>
      <c r="K323" s="69">
        <v>-2.0000000000000001E-4</v>
      </c>
      <c r="L323" s="114">
        <f>F323-G323/2</f>
        <v>8.1972000000000005</v>
      </c>
      <c r="M323" s="114">
        <f>H323-I323/2</f>
        <v>9.0408000000000008</v>
      </c>
      <c r="N323" s="114">
        <f>J323-K323/2</f>
        <v>35.627600000000001</v>
      </c>
      <c r="O323" s="575">
        <f t="shared" si="41"/>
        <v>2.0000000000000001E-4</v>
      </c>
      <c r="P323" s="575">
        <f t="shared" si="41"/>
        <v>2.0000000000000001E-4</v>
      </c>
      <c r="Q323" s="114">
        <f t="shared" si="41"/>
        <v>2.0000000000000001E-4</v>
      </c>
      <c r="R323" s="120" cm="1">
        <f t="array" ref="R323:U323">WnA1S(B323:E323,L323:N323,O323:Q323)</f>
        <v>8.02984267698202E-2</v>
      </c>
      <c r="S323" s="120">
        <v>4.0406347152467579E-5</v>
      </c>
      <c r="T323" s="118">
        <v>1.0281667606390865</v>
      </c>
      <c r="U323" s="118">
        <v>4.5048703793047686E-4</v>
      </c>
      <c r="V323" s="720">
        <f>R323/N148</f>
        <v>1.0349505644803627</v>
      </c>
      <c r="W323" s="720">
        <f>T323/B148</f>
        <v>0.96829652111039466</v>
      </c>
      <c r="X323" s="575" t="s">
        <v>196</v>
      </c>
      <c r="Y323" s="106">
        <v>20240220</v>
      </c>
      <c r="Z323" s="575">
        <f t="shared" ref="Z323:Z325" si="43">Y323+1</f>
        <v>20240221</v>
      </c>
      <c r="AA323" s="106">
        <v>21.5</v>
      </c>
      <c r="AB323" s="106">
        <v>12.5</v>
      </c>
      <c r="AC323" s="575" t="s">
        <v>101</v>
      </c>
      <c r="AD323" s="575" t="s">
        <v>94</v>
      </c>
    </row>
    <row r="324" spans="1:30" s="129" customFormat="1" ht="19.95" customHeight="1">
      <c r="A324" s="575" t="s">
        <v>1624</v>
      </c>
      <c r="B324" s="552">
        <f>B322</f>
        <v>2.6109743547497333</v>
      </c>
      <c r="C324" s="552">
        <f t="shared" ref="C324:E324" si="44">C322</f>
        <v>9.793523575362098E-4</v>
      </c>
      <c r="D324" s="582">
        <f t="shared" si="44"/>
        <v>33.431751435555221</v>
      </c>
      <c r="E324" s="582">
        <f t="shared" si="44"/>
        <v>9.4235097718588946E-3</v>
      </c>
      <c r="F324" s="69">
        <v>8.2821999999999996</v>
      </c>
      <c r="G324" s="69">
        <v>-2.0000000000000001E-4</v>
      </c>
      <c r="H324" s="69">
        <v>9.9693000000000005</v>
      </c>
      <c r="I324" s="69">
        <v>-1E-4</v>
      </c>
      <c r="J324" s="69">
        <v>36.1404</v>
      </c>
      <c r="K324" s="69">
        <v>1E-4</v>
      </c>
      <c r="L324" s="114">
        <f>F324-G324/2</f>
        <v>8.2822999999999993</v>
      </c>
      <c r="M324" s="114">
        <f>H324-I324/2</f>
        <v>9.9693500000000004</v>
      </c>
      <c r="N324" s="114">
        <f>J324-K324/2</f>
        <v>36.140349999999998</v>
      </c>
      <c r="O324" s="575">
        <f t="shared" si="41"/>
        <v>2.0000000000000001E-4</v>
      </c>
      <c r="P324" s="575">
        <f t="shared" si="41"/>
        <v>2.0000000000000001E-4</v>
      </c>
      <c r="Q324" s="114">
        <f t="shared" si="41"/>
        <v>2.0000000000000001E-4</v>
      </c>
      <c r="R324" s="119" cm="1">
        <f t="array" ref="R324:U324">WnA1S(B324:E324,L324:N324,O324:Q324)</f>
        <v>0.15811746641206187</v>
      </c>
      <c r="S324" s="119">
        <v>6.4983091232064178E-5</v>
      </c>
      <c r="T324" s="118">
        <v>2.0245866548216216</v>
      </c>
      <c r="U324" s="118">
        <v>6.643105609949896E-4</v>
      </c>
      <c r="V324" s="720">
        <f>R324/N149</f>
        <v>1.0189723989640667</v>
      </c>
      <c r="W324" s="720">
        <f>T324/B149</f>
        <v>0.95334739927390988</v>
      </c>
      <c r="X324" s="575" t="s">
        <v>196</v>
      </c>
      <c r="Y324" s="106">
        <v>20240220</v>
      </c>
      <c r="Z324" s="575">
        <f t="shared" si="43"/>
        <v>20240221</v>
      </c>
      <c r="AA324" s="106">
        <v>21.5</v>
      </c>
      <c r="AB324" s="106">
        <v>12.5</v>
      </c>
      <c r="AC324" s="575" t="s">
        <v>101</v>
      </c>
      <c r="AD324" s="575" t="s">
        <v>94</v>
      </c>
    </row>
    <row r="325" spans="1:30" s="129" customFormat="1" ht="19.95" customHeight="1">
      <c r="A325" s="576" t="s">
        <v>1625</v>
      </c>
      <c r="B325" s="553">
        <f>B322</f>
        <v>2.6109743547497333</v>
      </c>
      <c r="C325" s="553">
        <f t="shared" ref="C325:E325" si="45">C322</f>
        <v>9.793523575362098E-4</v>
      </c>
      <c r="D325" s="583">
        <f t="shared" si="45"/>
        <v>33.431751435555221</v>
      </c>
      <c r="E325" s="583">
        <f t="shared" si="45"/>
        <v>9.4235097718588946E-3</v>
      </c>
      <c r="F325" s="76">
        <v>8.2225999999999999</v>
      </c>
      <c r="G325" s="76">
        <v>2.0000000000000001E-4</v>
      </c>
      <c r="H325" s="76">
        <v>10.758599999999999</v>
      </c>
      <c r="I325" s="76">
        <v>1E-4</v>
      </c>
      <c r="J325" s="76">
        <v>35.567300000000003</v>
      </c>
      <c r="K325" s="76">
        <v>2.0000000000000001E-4</v>
      </c>
      <c r="L325" s="122">
        <f>F325-G325/2</f>
        <v>8.2225000000000001</v>
      </c>
      <c r="M325" s="122">
        <f>H325-I325/2</f>
        <v>10.75855</v>
      </c>
      <c r="N325" s="122">
        <f>J325-K325/2</f>
        <v>35.5672</v>
      </c>
      <c r="O325" s="576">
        <f t="shared" si="41"/>
        <v>2.0000000000000001E-4</v>
      </c>
      <c r="P325" s="576">
        <f t="shared" si="41"/>
        <v>2.0000000000000001E-4</v>
      </c>
      <c r="Q325" s="122">
        <f t="shared" si="41"/>
        <v>2.0000000000000001E-4</v>
      </c>
      <c r="R325" s="186" cm="1">
        <f t="array" ref="R325:U325">WnA1S(B325:E325,L325:N325,O325:Q325)</f>
        <v>0.24215155084396828</v>
      </c>
      <c r="S325" s="186">
        <v>9.479197165381983E-5</v>
      </c>
      <c r="T325" s="455">
        <v>3.1005859719850575</v>
      </c>
      <c r="U325" s="455">
        <v>9.4044452096656462E-4</v>
      </c>
      <c r="V325" s="721">
        <f>R325/N150</f>
        <v>1.0403478387530614</v>
      </c>
      <c r="W325" s="721">
        <f>T325/B150</f>
        <v>0.97334619409101342</v>
      </c>
      <c r="X325" s="576" t="s">
        <v>196</v>
      </c>
      <c r="Y325" s="125">
        <v>20240220</v>
      </c>
      <c r="Z325" s="576">
        <f t="shared" si="43"/>
        <v>20240221</v>
      </c>
      <c r="AA325" s="125">
        <v>21.5</v>
      </c>
      <c r="AB325" s="125">
        <v>12.5</v>
      </c>
      <c r="AC325" s="576" t="s">
        <v>101</v>
      </c>
      <c r="AD325" s="576" t="s">
        <v>94</v>
      </c>
    </row>
    <row r="326" spans="1:30" s="129" customFormat="1" ht="19.95" customHeight="1">
      <c r="A326" s="80" t="s">
        <v>1580</v>
      </c>
      <c r="Q326" s="718"/>
      <c r="V326" s="78"/>
      <c r="W326" s="78"/>
      <c r="X326" s="78"/>
      <c r="Y326" s="78"/>
      <c r="Z326" s="78"/>
    </row>
    <row r="327" spans="1:30" s="494" customFormat="1" ht="19.95" customHeight="1">
      <c r="A327" s="80"/>
      <c r="B327" s="80"/>
      <c r="C327" s="80"/>
      <c r="D327" s="80"/>
      <c r="T327" s="588"/>
      <c r="U327" s="588"/>
      <c r="V327" s="588"/>
      <c r="Y327" s="588"/>
    </row>
    <row r="328" spans="1:30" s="530" customFormat="1" ht="19.95" customHeight="1">
      <c r="A328" s="128" t="s">
        <v>1581</v>
      </c>
      <c r="B328" s="80"/>
      <c r="C328" s="80"/>
      <c r="D328" s="80"/>
      <c r="S328" s="588"/>
      <c r="T328" s="588"/>
      <c r="U328" s="588"/>
      <c r="V328" s="588"/>
      <c r="X328" s="588"/>
      <c r="Y328" s="226"/>
    </row>
    <row r="329" spans="1:30" s="530" customFormat="1" ht="19.95" customHeight="1">
      <c r="A329" s="80"/>
      <c r="B329" s="80"/>
      <c r="C329" s="80"/>
      <c r="D329" s="80"/>
      <c r="S329" s="588"/>
      <c r="T329" s="588"/>
      <c r="U329" s="588"/>
      <c r="V329" s="588"/>
      <c r="X329" s="588"/>
      <c r="Y329" s="588"/>
    </row>
    <row r="330" spans="1:30" s="129" customFormat="1" ht="19.95" customHeight="1">
      <c r="A330" s="128"/>
      <c r="E330" s="105" t="s">
        <v>172</v>
      </c>
      <c r="H330" s="105" t="s">
        <v>189</v>
      </c>
      <c r="K330" s="105" t="s">
        <v>190</v>
      </c>
      <c r="S330" s="588"/>
      <c r="T330" s="588"/>
      <c r="U330" s="588"/>
      <c r="V330" s="588"/>
      <c r="X330" s="588"/>
      <c r="Y330" s="588"/>
    </row>
    <row r="331" spans="1:30" s="129" customFormat="1" ht="19.95" customHeight="1">
      <c r="E331" s="527" t="s">
        <v>169</v>
      </c>
      <c r="F331" s="527" t="s">
        <v>170</v>
      </c>
      <c r="G331" s="527" t="s">
        <v>171</v>
      </c>
      <c r="H331" s="527" t="s">
        <v>169</v>
      </c>
      <c r="I331" s="527" t="s">
        <v>170</v>
      </c>
      <c r="J331" s="527" t="s">
        <v>171</v>
      </c>
      <c r="K331" s="527" t="s">
        <v>169</v>
      </c>
      <c r="L331" s="527" t="s">
        <v>170</v>
      </c>
      <c r="M331" s="527" t="s">
        <v>171</v>
      </c>
      <c r="O331" s="532" t="s">
        <v>220</v>
      </c>
      <c r="P331" s="532" t="s">
        <v>221</v>
      </c>
      <c r="U331" s="60"/>
      <c r="V331" s="60"/>
    </row>
    <row r="332" spans="1:30" s="129" customFormat="1" ht="19.95" customHeight="1">
      <c r="A332" s="526" t="s">
        <v>184</v>
      </c>
      <c r="B332" s="457" t="s">
        <v>185</v>
      </c>
      <c r="C332" s="529"/>
      <c r="D332" s="526" t="s">
        <v>96</v>
      </c>
      <c r="E332" s="529" t="s">
        <v>64</v>
      </c>
      <c r="F332" s="529" t="s">
        <v>64</v>
      </c>
      <c r="G332" s="529" t="s">
        <v>64</v>
      </c>
      <c r="H332" s="529" t="s">
        <v>64</v>
      </c>
      <c r="I332" s="529" t="s">
        <v>64</v>
      </c>
      <c r="J332" s="529" t="s">
        <v>64</v>
      </c>
      <c r="K332" s="529" t="s">
        <v>64</v>
      </c>
      <c r="L332" s="529" t="s">
        <v>64</v>
      </c>
      <c r="M332" s="529" t="s">
        <v>64</v>
      </c>
      <c r="N332" s="529" t="s">
        <v>2</v>
      </c>
      <c r="O332" s="529" t="s">
        <v>64</v>
      </c>
      <c r="P332" s="529" t="s">
        <v>64</v>
      </c>
      <c r="U332" s="60"/>
      <c r="V332" s="60"/>
    </row>
    <row r="333" spans="1:30" s="129" customFormat="1" ht="19.95" customHeight="1">
      <c r="A333" s="528" t="s">
        <v>110</v>
      </c>
      <c r="B333" s="175" t="str">
        <f t="shared" ref="B333:B353" si="46">A79</f>
        <v>Reag BLK DIW</v>
      </c>
      <c r="D333" s="528" t="s">
        <v>1596</v>
      </c>
      <c r="E333" s="130"/>
      <c r="F333" s="130"/>
      <c r="G333" s="131"/>
      <c r="H333" s="130"/>
      <c r="I333" s="130"/>
      <c r="J333" s="131"/>
      <c r="K333" s="130"/>
      <c r="L333" s="130"/>
      <c r="M333" s="131"/>
      <c r="N333" s="546">
        <v>45342</v>
      </c>
    </row>
    <row r="334" spans="1:30" s="129" customFormat="1" ht="19.95" customHeight="1">
      <c r="A334" s="527" t="s">
        <v>110</v>
      </c>
      <c r="B334" s="175" t="str">
        <f t="shared" si="46"/>
        <v>Reag BLK 3.5% NaCl</v>
      </c>
      <c r="D334" s="527" t="s">
        <v>1602</v>
      </c>
      <c r="E334" s="132"/>
      <c r="F334" s="132"/>
      <c r="G334" s="87"/>
      <c r="H334" s="132"/>
      <c r="I334" s="132"/>
      <c r="J334" s="87"/>
      <c r="K334" s="132"/>
      <c r="L334" s="132"/>
      <c r="M334" s="87"/>
      <c r="N334" s="556"/>
    </row>
    <row r="335" spans="1:30" s="129" customFormat="1" ht="19.95" customHeight="1">
      <c r="A335" s="527" t="s">
        <v>110</v>
      </c>
      <c r="B335" s="175" t="str">
        <f t="shared" si="46"/>
        <v>IntST BLK DIW</v>
      </c>
      <c r="D335" s="568" t="s">
        <v>1603</v>
      </c>
      <c r="E335" s="69">
        <v>6.1520000000000001</v>
      </c>
      <c r="F335" s="69">
        <v>-2.0000000000000001E-4</v>
      </c>
      <c r="G335" s="114">
        <f t="shared" ref="G335:G336" si="47">E335-F335/2</f>
        <v>6.1520999999999999</v>
      </c>
      <c r="H335" s="69">
        <v>11.1427</v>
      </c>
      <c r="I335" s="69">
        <v>-1E-4</v>
      </c>
      <c r="J335" s="114">
        <f t="shared" ref="J335:J336" si="48">H335-I335/2</f>
        <v>11.142749999999999</v>
      </c>
      <c r="K335" s="69">
        <v>11.643000000000001</v>
      </c>
      <c r="L335" s="69">
        <v>0</v>
      </c>
      <c r="M335" s="114">
        <f t="shared" ref="M335:M336" si="49">K335-L335/2</f>
        <v>11.643000000000001</v>
      </c>
      <c r="N335" s="558"/>
      <c r="O335" s="87">
        <f t="shared" ref="O335:O336" si="50">J335-G335</f>
        <v>4.9906499999999996</v>
      </c>
      <c r="P335" s="87">
        <f t="shared" ref="P335:P336" si="51">M335-J335</f>
        <v>0.50025000000000119</v>
      </c>
    </row>
    <row r="336" spans="1:30" s="129" customFormat="1" ht="19.95" customHeight="1">
      <c r="A336" s="529" t="s">
        <v>110</v>
      </c>
      <c r="B336" s="456" t="str">
        <f t="shared" si="46"/>
        <v>InST BLK 3.5% NaCl</v>
      </c>
      <c r="C336" s="529"/>
      <c r="D336" s="569" t="s">
        <v>1603</v>
      </c>
      <c r="E336" s="76">
        <v>6.1494999999999997</v>
      </c>
      <c r="F336" s="76">
        <v>2.9999999999999997E-4</v>
      </c>
      <c r="G336" s="122">
        <f t="shared" si="47"/>
        <v>6.1493500000000001</v>
      </c>
      <c r="H336" s="76">
        <v>11.246600000000001</v>
      </c>
      <c r="I336" s="76">
        <v>-1E-4</v>
      </c>
      <c r="J336" s="122">
        <f t="shared" si="48"/>
        <v>11.246650000000001</v>
      </c>
      <c r="K336" s="76">
        <v>11.745100000000001</v>
      </c>
      <c r="L336" s="76">
        <v>-2.0000000000000001E-4</v>
      </c>
      <c r="M336" s="122">
        <f t="shared" si="49"/>
        <v>11.745200000000001</v>
      </c>
      <c r="N336" s="559"/>
      <c r="O336" s="188">
        <f t="shared" si="50"/>
        <v>5.0973000000000006</v>
      </c>
      <c r="P336" s="188">
        <f t="shared" si="51"/>
        <v>0.49854999999999983</v>
      </c>
    </row>
    <row r="337" spans="1:16" s="129" customFormat="1" ht="19.95" customHeight="1">
      <c r="A337" s="527" t="s">
        <v>1582</v>
      </c>
      <c r="B337" s="175" t="str">
        <f t="shared" si="46"/>
        <v>A*B-1</v>
      </c>
      <c r="D337" s="527" t="s">
        <v>1374</v>
      </c>
      <c r="E337" s="69">
        <v>6.1460999999999997</v>
      </c>
      <c r="F337" s="69">
        <v>0</v>
      </c>
      <c r="G337" s="114">
        <f t="shared" ref="G337:G340" si="52">E337-F337/2</f>
        <v>6.1460999999999997</v>
      </c>
      <c r="H337" s="69">
        <v>11.133900000000001</v>
      </c>
      <c r="I337" s="69">
        <v>1E-4</v>
      </c>
      <c r="J337" s="114">
        <f t="shared" ref="J337:J340" si="53">H337-I337/2</f>
        <v>11.133850000000001</v>
      </c>
      <c r="K337" s="69">
        <v>11.630800000000001</v>
      </c>
      <c r="L337" s="69">
        <v>0</v>
      </c>
      <c r="M337" s="114">
        <f t="shared" ref="M337:M340" si="54">K337-L337/2</f>
        <v>11.630800000000001</v>
      </c>
      <c r="N337" s="558"/>
      <c r="O337" s="189">
        <f t="shared" ref="O337:O340" si="55">J337-G337</f>
        <v>4.987750000000001</v>
      </c>
      <c r="P337" s="189">
        <f t="shared" ref="P337:P340" si="56">M337-J337</f>
        <v>0.49695</v>
      </c>
    </row>
    <row r="338" spans="1:16" s="129" customFormat="1" ht="19.95" customHeight="1">
      <c r="A338" s="527" t="s">
        <v>1582</v>
      </c>
      <c r="B338" s="175" t="str">
        <f t="shared" si="46"/>
        <v>A*B-2A</v>
      </c>
      <c r="D338" s="527" t="s">
        <v>1586</v>
      </c>
      <c r="E338" s="69">
        <v>6.1231</v>
      </c>
      <c r="F338" s="69">
        <v>-1E-4</v>
      </c>
      <c r="G338" s="114">
        <f t="shared" si="52"/>
        <v>6.1231499999999999</v>
      </c>
      <c r="H338" s="69">
        <v>11.1036</v>
      </c>
      <c r="I338" s="69">
        <v>0</v>
      </c>
      <c r="J338" s="114">
        <f t="shared" si="53"/>
        <v>11.1036</v>
      </c>
      <c r="K338" s="69">
        <v>11.600899999999999</v>
      </c>
      <c r="L338" s="69">
        <v>1E-4</v>
      </c>
      <c r="M338" s="114">
        <f t="shared" si="54"/>
        <v>11.600849999999999</v>
      </c>
      <c r="N338" s="558"/>
      <c r="O338" s="189">
        <f t="shared" si="55"/>
        <v>4.9804500000000003</v>
      </c>
      <c r="P338" s="189">
        <f t="shared" si="56"/>
        <v>0.4972499999999993</v>
      </c>
    </row>
    <row r="339" spans="1:16" s="129" customFormat="1" ht="19.95" customHeight="1">
      <c r="A339" s="527" t="s">
        <v>1582</v>
      </c>
      <c r="B339" s="175" t="str">
        <f t="shared" si="46"/>
        <v>A*B-2B</v>
      </c>
      <c r="D339" s="527" t="s">
        <v>1587</v>
      </c>
      <c r="E339" s="69">
        <v>6.1215000000000002</v>
      </c>
      <c r="F339" s="69">
        <v>2.0000000000000001E-4</v>
      </c>
      <c r="G339" s="114">
        <f t="shared" si="52"/>
        <v>6.1214000000000004</v>
      </c>
      <c r="H339" s="69">
        <v>11.109500000000001</v>
      </c>
      <c r="I339" s="69">
        <v>0</v>
      </c>
      <c r="J339" s="114">
        <f t="shared" si="53"/>
        <v>11.109500000000001</v>
      </c>
      <c r="K339" s="69">
        <v>11.6066</v>
      </c>
      <c r="L339" s="69">
        <v>0</v>
      </c>
      <c r="M339" s="114">
        <f t="shared" si="54"/>
        <v>11.6066</v>
      </c>
      <c r="N339" s="558"/>
      <c r="O339" s="189">
        <f t="shared" si="55"/>
        <v>4.9881000000000002</v>
      </c>
      <c r="P339" s="189">
        <f t="shared" si="56"/>
        <v>0.49709999999999965</v>
      </c>
    </row>
    <row r="340" spans="1:16" s="129" customFormat="1" ht="19.95" customHeight="1">
      <c r="A340" s="529" t="s">
        <v>1582</v>
      </c>
      <c r="B340" s="456" t="str">
        <f t="shared" si="46"/>
        <v>A*B-3</v>
      </c>
      <c r="C340" s="529"/>
      <c r="D340" s="529" t="s">
        <v>1378</v>
      </c>
      <c r="E340" s="76">
        <v>6.0868000000000002</v>
      </c>
      <c r="F340" s="76">
        <v>-1E-4</v>
      </c>
      <c r="G340" s="122">
        <f t="shared" si="52"/>
        <v>6.0868500000000001</v>
      </c>
      <c r="H340" s="76">
        <v>11.0723</v>
      </c>
      <c r="I340" s="76">
        <v>-1E-4</v>
      </c>
      <c r="J340" s="122">
        <f t="shared" si="53"/>
        <v>11.07235</v>
      </c>
      <c r="K340" s="76">
        <v>11.570399999999999</v>
      </c>
      <c r="L340" s="76">
        <v>1E-4</v>
      </c>
      <c r="M340" s="122">
        <f t="shared" si="54"/>
        <v>11.570349999999999</v>
      </c>
      <c r="N340" s="559"/>
      <c r="O340" s="188">
        <f t="shared" si="55"/>
        <v>4.9855</v>
      </c>
      <c r="P340" s="188">
        <f t="shared" si="56"/>
        <v>0.49799999999999933</v>
      </c>
    </row>
    <row r="341" spans="1:16" s="129" customFormat="1" ht="19.95" customHeight="1">
      <c r="A341" s="527" t="s">
        <v>187</v>
      </c>
      <c r="B341" s="175" t="str">
        <f t="shared" si="46"/>
        <v>MOOS001a_i</v>
      </c>
      <c r="D341" s="527" t="s">
        <v>1604</v>
      </c>
      <c r="E341" s="69">
        <v>6.1317000000000004</v>
      </c>
      <c r="F341" s="69">
        <v>-2.0000000000000001E-4</v>
      </c>
      <c r="G341" s="114">
        <f t="shared" ref="G341:G353" si="57">E341-F341/2</f>
        <v>6.1318000000000001</v>
      </c>
      <c r="H341" s="69">
        <v>11.237399999999999</v>
      </c>
      <c r="I341" s="69">
        <v>1E-4</v>
      </c>
      <c r="J341" s="114">
        <f t="shared" ref="J341:J353" si="58">H341-I341/2</f>
        <v>11.237349999999999</v>
      </c>
      <c r="K341" s="69">
        <v>11.735300000000001</v>
      </c>
      <c r="L341" s="69">
        <v>-2.0000000000000001E-4</v>
      </c>
      <c r="M341" s="114">
        <f t="shared" ref="M341:M353" si="59">K341-L341/2</f>
        <v>11.7354</v>
      </c>
      <c r="N341" s="558"/>
      <c r="O341" s="77">
        <f t="shared" ref="O341:O353" si="60">J341-G341</f>
        <v>5.1055499999999991</v>
      </c>
      <c r="P341" s="77">
        <f t="shared" ref="P341:P353" si="61">M341-J341</f>
        <v>0.49805000000000099</v>
      </c>
    </row>
    <row r="342" spans="1:16" s="129" customFormat="1" ht="19.95" customHeight="1">
      <c r="A342" s="527" t="s">
        <v>187</v>
      </c>
      <c r="B342" s="175" t="str">
        <f t="shared" si="46"/>
        <v>MOOS078a_i</v>
      </c>
      <c r="D342" s="527" t="s">
        <v>1605</v>
      </c>
      <c r="E342" s="69">
        <v>6.1165000000000003</v>
      </c>
      <c r="F342" s="69">
        <v>1E-4</v>
      </c>
      <c r="G342" s="114">
        <f t="shared" si="57"/>
        <v>6.1164500000000004</v>
      </c>
      <c r="H342" s="69">
        <v>11.209099999999999</v>
      </c>
      <c r="I342" s="69">
        <v>-2.0000000000000001E-4</v>
      </c>
      <c r="J342" s="114">
        <f t="shared" si="58"/>
        <v>11.209199999999999</v>
      </c>
      <c r="K342" s="69">
        <v>11.7057</v>
      </c>
      <c r="L342" s="69">
        <v>-1E-4</v>
      </c>
      <c r="M342" s="114">
        <f t="shared" si="59"/>
        <v>11.70575</v>
      </c>
      <c r="N342" s="558"/>
      <c r="O342" s="77">
        <f t="shared" si="60"/>
        <v>5.0927499999999988</v>
      </c>
      <c r="P342" s="77">
        <f t="shared" si="61"/>
        <v>0.49655000000000094</v>
      </c>
    </row>
    <row r="343" spans="1:16" s="129" customFormat="1" ht="19.95" customHeight="1">
      <c r="A343" s="527" t="s">
        <v>187</v>
      </c>
      <c r="B343" s="175" t="str">
        <f t="shared" si="46"/>
        <v>MOOS155a_i</v>
      </c>
      <c r="D343" s="527" t="s">
        <v>1606</v>
      </c>
      <c r="E343" s="69">
        <v>6.1326999999999998</v>
      </c>
      <c r="F343" s="69">
        <v>0</v>
      </c>
      <c r="G343" s="114">
        <f t="shared" si="57"/>
        <v>6.1326999999999998</v>
      </c>
      <c r="H343" s="69">
        <v>11.215</v>
      </c>
      <c r="I343" s="69">
        <v>-1E-4</v>
      </c>
      <c r="J343" s="114">
        <f t="shared" si="58"/>
        <v>11.21505</v>
      </c>
      <c r="K343" s="69">
        <v>11.7121</v>
      </c>
      <c r="L343" s="69">
        <v>-1E-4</v>
      </c>
      <c r="M343" s="114">
        <f t="shared" si="59"/>
        <v>11.712149999999999</v>
      </c>
      <c r="N343" s="558"/>
      <c r="O343" s="77">
        <f t="shared" si="60"/>
        <v>5.0823499999999999</v>
      </c>
      <c r="P343" s="77">
        <f t="shared" si="61"/>
        <v>0.49709999999999965</v>
      </c>
    </row>
    <row r="344" spans="1:16" s="129" customFormat="1" ht="19.95" customHeight="1">
      <c r="A344" s="527" t="s">
        <v>187</v>
      </c>
      <c r="B344" s="175" t="str">
        <f t="shared" si="46"/>
        <v>MOOS232a_i</v>
      </c>
      <c r="D344" s="527" t="s">
        <v>1607</v>
      </c>
      <c r="E344" s="69">
        <v>6.1237000000000004</v>
      </c>
      <c r="F344" s="69">
        <v>-2.9999999999999997E-4</v>
      </c>
      <c r="G344" s="114">
        <f t="shared" si="57"/>
        <v>6.12385</v>
      </c>
      <c r="H344" s="69">
        <v>11.212</v>
      </c>
      <c r="I344" s="69">
        <v>1E-4</v>
      </c>
      <c r="J344" s="114">
        <f t="shared" si="58"/>
        <v>11.21195</v>
      </c>
      <c r="K344" s="69">
        <v>11.7081</v>
      </c>
      <c r="L344" s="69">
        <v>-1E-4</v>
      </c>
      <c r="M344" s="114">
        <f t="shared" si="59"/>
        <v>11.70815</v>
      </c>
      <c r="N344" s="558"/>
      <c r="O344" s="77">
        <f t="shared" si="60"/>
        <v>5.0880999999999998</v>
      </c>
      <c r="P344" s="77">
        <f t="shared" si="61"/>
        <v>0.49619999999999997</v>
      </c>
    </row>
    <row r="345" spans="1:16" s="129" customFormat="1" ht="19.95" customHeight="1">
      <c r="A345" s="527" t="s">
        <v>187</v>
      </c>
      <c r="B345" s="175" t="str">
        <f t="shared" si="46"/>
        <v>MOOS310a_i</v>
      </c>
      <c r="D345" s="527" t="s">
        <v>1608</v>
      </c>
      <c r="E345" s="69">
        <v>6.1463999999999999</v>
      </c>
      <c r="F345" s="69">
        <v>0</v>
      </c>
      <c r="G345" s="114">
        <f t="shared" si="57"/>
        <v>6.1463999999999999</v>
      </c>
      <c r="H345" s="69">
        <v>11.2257</v>
      </c>
      <c r="I345" s="69">
        <v>0</v>
      </c>
      <c r="J345" s="114">
        <f t="shared" si="58"/>
        <v>11.2257</v>
      </c>
      <c r="K345" s="69">
        <v>11.7225</v>
      </c>
      <c r="L345" s="69">
        <v>-2.9999999999999997E-4</v>
      </c>
      <c r="M345" s="114">
        <f t="shared" si="59"/>
        <v>11.72265</v>
      </c>
      <c r="N345" s="558"/>
      <c r="O345" s="114">
        <f t="shared" si="60"/>
        <v>5.0792999999999999</v>
      </c>
      <c r="P345" s="114">
        <f t="shared" si="61"/>
        <v>0.49695</v>
      </c>
    </row>
    <row r="346" spans="1:16" s="129" customFormat="1" ht="19.95" customHeight="1">
      <c r="A346" s="527" t="s">
        <v>187</v>
      </c>
      <c r="B346" s="175" t="str">
        <f t="shared" si="46"/>
        <v>MOOS001a_ii</v>
      </c>
      <c r="D346" s="527" t="s">
        <v>1609</v>
      </c>
      <c r="E346" s="69">
        <v>6.1299000000000001</v>
      </c>
      <c r="F346" s="69">
        <v>1E-4</v>
      </c>
      <c r="G346" s="114">
        <f t="shared" si="57"/>
        <v>6.1298500000000002</v>
      </c>
      <c r="H346" s="69">
        <v>11.2286</v>
      </c>
      <c r="I346" s="69">
        <v>0</v>
      </c>
      <c r="J346" s="114">
        <f t="shared" si="58"/>
        <v>11.2286</v>
      </c>
      <c r="K346" s="69">
        <v>11.725899999999999</v>
      </c>
      <c r="L346" s="69">
        <v>1E-4</v>
      </c>
      <c r="M346" s="114">
        <f t="shared" si="59"/>
        <v>11.725849999999999</v>
      </c>
      <c r="N346" s="558"/>
      <c r="O346" s="114">
        <f t="shared" si="60"/>
        <v>5.0987499999999999</v>
      </c>
      <c r="P346" s="114">
        <f t="shared" si="61"/>
        <v>0.4972499999999993</v>
      </c>
    </row>
    <row r="347" spans="1:16" s="129" customFormat="1" ht="19.95" customHeight="1">
      <c r="A347" s="527" t="s">
        <v>187</v>
      </c>
      <c r="B347" s="175" t="str">
        <f t="shared" si="46"/>
        <v>MOOS078a_ii</v>
      </c>
      <c r="D347" s="527" t="s">
        <v>1610</v>
      </c>
      <c r="E347" s="69">
        <v>6.1388999999999996</v>
      </c>
      <c r="F347" s="69">
        <v>-1E-4</v>
      </c>
      <c r="G347" s="114">
        <f t="shared" si="57"/>
        <v>6.1389499999999995</v>
      </c>
      <c r="H347" s="69">
        <v>11.230399999999999</v>
      </c>
      <c r="I347" s="69">
        <v>-1E-4</v>
      </c>
      <c r="J347" s="114">
        <f t="shared" si="58"/>
        <v>11.230449999999999</v>
      </c>
      <c r="K347" s="69">
        <v>11.7279</v>
      </c>
      <c r="L347" s="69">
        <v>0</v>
      </c>
      <c r="M347" s="114">
        <f t="shared" si="59"/>
        <v>11.7279</v>
      </c>
      <c r="N347" s="558"/>
      <c r="O347" s="114">
        <f t="shared" si="60"/>
        <v>5.0914999999999999</v>
      </c>
      <c r="P347" s="114">
        <f t="shared" si="61"/>
        <v>0.49745000000000061</v>
      </c>
    </row>
    <row r="348" spans="1:16" s="129" customFormat="1" ht="19.95" customHeight="1">
      <c r="A348" s="527" t="s">
        <v>187</v>
      </c>
      <c r="B348" s="175" t="str">
        <f t="shared" si="46"/>
        <v>MOOS155a_ii</v>
      </c>
      <c r="D348" s="527" t="s">
        <v>1611</v>
      </c>
      <c r="E348" s="69">
        <v>6.1550000000000002</v>
      </c>
      <c r="F348" s="69">
        <v>-1E-4</v>
      </c>
      <c r="G348" s="114">
        <f t="shared" si="57"/>
        <v>6.1550500000000001</v>
      </c>
      <c r="H348" s="69">
        <v>11.2334</v>
      </c>
      <c r="I348" s="69">
        <v>0</v>
      </c>
      <c r="J348" s="114">
        <f t="shared" si="58"/>
        <v>11.2334</v>
      </c>
      <c r="K348" s="69">
        <v>11.731</v>
      </c>
      <c r="L348" s="69">
        <v>-2.0000000000000001E-4</v>
      </c>
      <c r="M348" s="114">
        <f t="shared" si="59"/>
        <v>11.7311</v>
      </c>
      <c r="N348" s="558"/>
      <c r="O348" s="114">
        <f t="shared" si="60"/>
        <v>5.0783499999999995</v>
      </c>
      <c r="P348" s="114">
        <f t="shared" si="61"/>
        <v>0.49770000000000003</v>
      </c>
    </row>
    <row r="349" spans="1:16" s="129" customFormat="1" ht="19.95" customHeight="1">
      <c r="A349" s="527" t="s">
        <v>187</v>
      </c>
      <c r="B349" s="175" t="str">
        <f t="shared" si="46"/>
        <v>MOOS232a_ii</v>
      </c>
      <c r="D349" s="527" t="s">
        <v>1612</v>
      </c>
      <c r="E349" s="69">
        <v>6.1222000000000003</v>
      </c>
      <c r="F349" s="69">
        <v>-1E-4</v>
      </c>
      <c r="G349" s="114">
        <f t="shared" si="57"/>
        <v>6.1222500000000002</v>
      </c>
      <c r="H349" s="69">
        <v>11.199199999999999</v>
      </c>
      <c r="I349" s="69">
        <v>1E-4</v>
      </c>
      <c r="J349" s="114">
        <f t="shared" si="58"/>
        <v>11.199149999999999</v>
      </c>
      <c r="K349" s="69">
        <v>11.6967</v>
      </c>
      <c r="L349" s="69">
        <v>1E-4</v>
      </c>
      <c r="M349" s="114">
        <f t="shared" si="59"/>
        <v>11.69665</v>
      </c>
      <c r="N349" s="558"/>
      <c r="O349" s="114">
        <f t="shared" si="60"/>
        <v>5.0768999999999993</v>
      </c>
      <c r="P349" s="114">
        <f t="shared" si="61"/>
        <v>0.4975000000000005</v>
      </c>
    </row>
    <row r="350" spans="1:16" s="129" customFormat="1" ht="19.95" customHeight="1">
      <c r="A350" s="529" t="s">
        <v>187</v>
      </c>
      <c r="B350" s="456" t="str">
        <f t="shared" si="46"/>
        <v>MOOS310a_ii</v>
      </c>
      <c r="C350" s="529"/>
      <c r="D350" s="529" t="s">
        <v>1613</v>
      </c>
      <c r="E350" s="76">
        <v>6.1513</v>
      </c>
      <c r="F350" s="76">
        <v>1E-4</v>
      </c>
      <c r="G350" s="122">
        <f t="shared" si="57"/>
        <v>6.1512500000000001</v>
      </c>
      <c r="H350" s="76">
        <v>11.2281</v>
      </c>
      <c r="I350" s="76">
        <v>-2.0000000000000001E-4</v>
      </c>
      <c r="J350" s="122">
        <f t="shared" si="58"/>
        <v>11.228199999999999</v>
      </c>
      <c r="K350" s="76">
        <v>11.7254</v>
      </c>
      <c r="L350" s="76">
        <v>2.0000000000000001E-4</v>
      </c>
      <c r="M350" s="122">
        <f t="shared" si="59"/>
        <v>11.725300000000001</v>
      </c>
      <c r="N350" s="559"/>
      <c r="O350" s="122">
        <f t="shared" si="60"/>
        <v>5.0769499999999992</v>
      </c>
      <c r="P350" s="122">
        <f t="shared" si="61"/>
        <v>0.49710000000000143</v>
      </c>
    </row>
    <row r="351" spans="1:16" s="129" customFormat="1" ht="19.95" customHeight="1">
      <c r="A351" s="129" t="s">
        <v>188</v>
      </c>
      <c r="B351" s="175" t="str">
        <f t="shared" si="46"/>
        <v>SALT-1</v>
      </c>
      <c r="D351" s="129" t="s">
        <v>1588</v>
      </c>
      <c r="E351" s="69">
        <v>6.1383999999999999</v>
      </c>
      <c r="F351" s="69">
        <v>0</v>
      </c>
      <c r="G351" s="114">
        <f t="shared" si="57"/>
        <v>6.1383999999999999</v>
      </c>
      <c r="H351" s="69">
        <v>11.252599999999999</v>
      </c>
      <c r="I351" s="69">
        <v>-1E-4</v>
      </c>
      <c r="J351" s="114">
        <f t="shared" si="58"/>
        <v>11.252649999999999</v>
      </c>
      <c r="K351" s="69">
        <v>11.7507</v>
      </c>
      <c r="L351" s="69">
        <v>0</v>
      </c>
      <c r="M351" s="114">
        <f t="shared" si="59"/>
        <v>11.7507</v>
      </c>
      <c r="N351" s="558"/>
      <c r="O351" s="114">
        <f t="shared" si="60"/>
        <v>5.1142499999999993</v>
      </c>
      <c r="P351" s="114">
        <f t="shared" si="61"/>
        <v>0.49805000000000099</v>
      </c>
    </row>
    <row r="352" spans="1:16" s="129" customFormat="1" ht="19.95" customHeight="1">
      <c r="A352" s="529" t="s">
        <v>188</v>
      </c>
      <c r="B352" s="456" t="str">
        <f t="shared" si="46"/>
        <v>MOOS-3</v>
      </c>
      <c r="C352" s="529"/>
      <c r="D352" s="529" t="s">
        <v>193</v>
      </c>
      <c r="E352" s="76">
        <v>6.1021000000000001</v>
      </c>
      <c r="F352" s="76">
        <v>0</v>
      </c>
      <c r="G352" s="122">
        <f t="shared" si="57"/>
        <v>6.1021000000000001</v>
      </c>
      <c r="H352" s="76">
        <v>11.2455</v>
      </c>
      <c r="I352" s="76">
        <v>1E-4</v>
      </c>
      <c r="J352" s="122">
        <f t="shared" si="58"/>
        <v>11.24545</v>
      </c>
      <c r="K352" s="76">
        <v>11.742599999999999</v>
      </c>
      <c r="L352" s="76">
        <v>0</v>
      </c>
      <c r="M352" s="122">
        <f t="shared" si="59"/>
        <v>11.742599999999999</v>
      </c>
      <c r="N352" s="559"/>
      <c r="O352" s="122">
        <f t="shared" si="60"/>
        <v>5.1433499999999999</v>
      </c>
      <c r="P352" s="122">
        <f t="shared" si="61"/>
        <v>0.49714999999999954</v>
      </c>
    </row>
    <row r="353" spans="1:16" s="129" customFormat="1" ht="19.95" customHeight="1">
      <c r="A353" s="529" t="s">
        <v>1582</v>
      </c>
      <c r="B353" s="456" t="str">
        <f t="shared" si="46"/>
        <v>A*B-2C</v>
      </c>
      <c r="C353" s="529"/>
      <c r="D353" s="529" t="s">
        <v>1589</v>
      </c>
      <c r="E353" s="76">
        <v>6.1265999999999998</v>
      </c>
      <c r="F353" s="76">
        <v>-1E-4</v>
      </c>
      <c r="G353" s="122">
        <f t="shared" si="57"/>
        <v>6.1266499999999997</v>
      </c>
      <c r="H353" s="76">
        <v>11.114000000000001</v>
      </c>
      <c r="I353" s="76">
        <v>0</v>
      </c>
      <c r="J353" s="122">
        <f t="shared" si="58"/>
        <v>11.114000000000001</v>
      </c>
      <c r="K353" s="76">
        <v>11.6104</v>
      </c>
      <c r="L353" s="76">
        <v>1E-4</v>
      </c>
      <c r="M353" s="122">
        <f t="shared" si="59"/>
        <v>11.61035</v>
      </c>
      <c r="N353" s="566"/>
      <c r="O353" s="122">
        <f t="shared" si="60"/>
        <v>4.9873500000000011</v>
      </c>
      <c r="P353" s="122">
        <f t="shared" si="61"/>
        <v>0.49634999999999962</v>
      </c>
    </row>
    <row r="354" spans="1:16" s="129" customFormat="1" ht="19.95" customHeight="1">
      <c r="A354" s="533" t="s">
        <v>1582</v>
      </c>
      <c r="B354" s="456" t="str">
        <f>J99</f>
        <v>A*B-4</v>
      </c>
      <c r="C354" s="533"/>
      <c r="D354" s="533" t="s">
        <v>1621</v>
      </c>
      <c r="E354" s="76">
        <v>6.1146000000000003</v>
      </c>
      <c r="F354" s="76">
        <v>1E-4</v>
      </c>
      <c r="G354" s="122">
        <f t="shared" ref="G354" si="62">E354-F354/2</f>
        <v>6.1145500000000004</v>
      </c>
      <c r="H354" s="76">
        <v>11.099500000000001</v>
      </c>
      <c r="I354" s="76">
        <v>0</v>
      </c>
      <c r="J354" s="122">
        <f t="shared" ref="J354" si="63">H354-I354/2</f>
        <v>11.099500000000001</v>
      </c>
      <c r="K354" s="76">
        <v>11.5977</v>
      </c>
      <c r="L354" s="76">
        <v>-2.9999999999999997E-4</v>
      </c>
      <c r="M354" s="122">
        <f t="shared" ref="M354" si="64">K354-L354/2</f>
        <v>11.597849999999999</v>
      </c>
      <c r="N354" s="548">
        <v>45342</v>
      </c>
      <c r="O354" s="122">
        <f t="shared" ref="O354" si="65">J354-G354</f>
        <v>4.9849500000000004</v>
      </c>
      <c r="P354" s="122">
        <f t="shared" ref="P354" si="66">M354-J354</f>
        <v>0.49834999999999852</v>
      </c>
    </row>
    <row r="355" spans="1:16" s="530" customFormat="1" ht="19.95" customHeight="1">
      <c r="A355" s="80"/>
      <c r="B355" s="80"/>
      <c r="C355" s="80"/>
      <c r="D355" s="80"/>
    </row>
    <row r="356" spans="1:16" s="530" customFormat="1" ht="19.95" customHeight="1">
      <c r="A356" s="199" t="s">
        <v>1583</v>
      </c>
      <c r="B356" s="80"/>
      <c r="C356" s="80"/>
      <c r="D356" s="80"/>
    </row>
    <row r="357" spans="1:16" s="530" customFormat="1" ht="19.95" customHeight="1">
      <c r="A357" s="199" t="s">
        <v>1584</v>
      </c>
      <c r="B357" s="80"/>
      <c r="C357" s="80"/>
      <c r="D357" s="80"/>
    </row>
    <row r="358" spans="1:16" s="530" customFormat="1" ht="19.95" customHeight="1">
      <c r="A358" s="199" t="s">
        <v>1585</v>
      </c>
      <c r="B358" s="80"/>
      <c r="C358" s="80"/>
      <c r="D358" s="80"/>
    </row>
    <row r="359" spans="1:16" s="530" customFormat="1" ht="19.95" customHeight="1">
      <c r="A359" s="199" t="s">
        <v>1618</v>
      </c>
      <c r="B359" s="80"/>
      <c r="C359" s="80"/>
      <c r="D359" s="80"/>
    </row>
    <row r="360" spans="1:16" s="530" customFormat="1" ht="19.95" customHeight="1">
      <c r="A360" s="80"/>
      <c r="B360" s="80"/>
      <c r="C360" s="80"/>
      <c r="D360" s="80"/>
    </row>
    <row r="361" spans="1:16" s="129" customFormat="1" ht="19.95" customHeight="1">
      <c r="A361" s="128" t="s">
        <v>1590</v>
      </c>
    </row>
    <row r="362" spans="1:16" s="129" customFormat="1" ht="19.95" customHeight="1"/>
    <row r="363" spans="1:16" s="129" customFormat="1" ht="19.95" customHeight="1">
      <c r="A363" s="128"/>
      <c r="E363" s="105" t="s">
        <v>172</v>
      </c>
      <c r="H363" s="105" t="s">
        <v>189</v>
      </c>
      <c r="K363" s="105" t="s">
        <v>195</v>
      </c>
    </row>
    <row r="364" spans="1:16" s="129" customFormat="1" ht="19.95" customHeight="1">
      <c r="E364" s="527" t="s">
        <v>169</v>
      </c>
      <c r="F364" s="527" t="s">
        <v>170</v>
      </c>
      <c r="G364" s="527" t="s">
        <v>171</v>
      </c>
      <c r="H364" s="527" t="s">
        <v>169</v>
      </c>
      <c r="I364" s="527" t="s">
        <v>170</v>
      </c>
      <c r="J364" s="527" t="s">
        <v>171</v>
      </c>
      <c r="K364" s="527" t="s">
        <v>169</v>
      </c>
      <c r="L364" s="527" t="s">
        <v>170</v>
      </c>
      <c r="M364" s="527" t="s">
        <v>171</v>
      </c>
      <c r="O364" s="532" t="s">
        <v>218</v>
      </c>
      <c r="P364" s="532" t="s">
        <v>219</v>
      </c>
    </row>
    <row r="365" spans="1:16" s="129" customFormat="1" ht="19.95" customHeight="1">
      <c r="A365" s="526" t="s">
        <v>184</v>
      </c>
      <c r="B365" s="526" t="s">
        <v>185</v>
      </c>
      <c r="C365" s="526"/>
      <c r="D365" s="526" t="s">
        <v>96</v>
      </c>
      <c r="E365" s="529" t="s">
        <v>64</v>
      </c>
      <c r="F365" s="529" t="s">
        <v>64</v>
      </c>
      <c r="G365" s="529" t="s">
        <v>64</v>
      </c>
      <c r="H365" s="529" t="s">
        <v>64</v>
      </c>
      <c r="I365" s="529" t="s">
        <v>64</v>
      </c>
      <c r="J365" s="529" t="s">
        <v>64</v>
      </c>
      <c r="K365" s="529" t="s">
        <v>64</v>
      </c>
      <c r="L365" s="529" t="s">
        <v>64</v>
      </c>
      <c r="M365" s="529" t="s">
        <v>64</v>
      </c>
      <c r="N365" s="529" t="s">
        <v>2</v>
      </c>
      <c r="O365" s="529" t="s">
        <v>64</v>
      </c>
      <c r="P365" s="529" t="s">
        <v>64</v>
      </c>
    </row>
    <row r="366" spans="1:16" s="129" customFormat="1" ht="19.95" customHeight="1">
      <c r="A366" s="527" t="s">
        <v>110</v>
      </c>
      <c r="B366" s="527" t="str">
        <f>D81</f>
        <v>Baseline DIW</v>
      </c>
      <c r="C366" s="527"/>
      <c r="D366" s="527" t="s">
        <v>1591</v>
      </c>
      <c r="E366" s="132"/>
      <c r="F366" s="132"/>
      <c r="G366" s="87"/>
      <c r="H366" s="132"/>
      <c r="I366" s="132"/>
      <c r="J366" s="87"/>
      <c r="K366" s="132"/>
      <c r="L366" s="132"/>
      <c r="M366" s="87"/>
      <c r="N366" s="546">
        <v>45342</v>
      </c>
    </row>
    <row r="367" spans="1:16" s="129" customFormat="1" ht="19.95" customHeight="1">
      <c r="A367" s="129" t="s">
        <v>110</v>
      </c>
      <c r="B367" s="527" t="str">
        <f>D82</f>
        <v>Baseline LNSW</v>
      </c>
      <c r="C367" s="527"/>
      <c r="D367" s="527" t="s">
        <v>1592</v>
      </c>
      <c r="E367" s="132"/>
      <c r="F367" s="132"/>
      <c r="G367" s="87"/>
      <c r="H367" s="132"/>
      <c r="I367" s="132"/>
      <c r="J367" s="87"/>
      <c r="K367" s="132"/>
      <c r="L367" s="132"/>
      <c r="M367" s="87"/>
      <c r="N367" s="556"/>
    </row>
    <row r="368" spans="1:16" s="129" customFormat="1" ht="19.95" customHeight="1">
      <c r="A368" s="129" t="s">
        <v>110</v>
      </c>
      <c r="B368" s="527" t="str">
        <f>D83</f>
        <v>Baseline MOOS-4</v>
      </c>
      <c r="C368" s="527"/>
      <c r="D368" s="527" t="s">
        <v>1593</v>
      </c>
      <c r="E368" s="132"/>
      <c r="F368" s="132"/>
      <c r="G368" s="87"/>
      <c r="H368" s="132"/>
      <c r="I368" s="132"/>
      <c r="J368" s="87"/>
      <c r="K368" s="132"/>
      <c r="L368" s="132"/>
      <c r="M368" s="87"/>
      <c r="N368" s="556"/>
    </row>
    <row r="369" spans="1:16" s="129" customFormat="1" ht="19.95" customHeight="1">
      <c r="A369" s="129" t="s">
        <v>110</v>
      </c>
      <c r="B369" s="527" t="str">
        <f t="shared" ref="B369:B376" si="67">D85</f>
        <v>Baseline MOOS-3</v>
      </c>
      <c r="C369" s="527"/>
      <c r="D369" s="129" t="s">
        <v>1595</v>
      </c>
      <c r="N369" s="556"/>
    </row>
    <row r="370" spans="1:16" s="129" customFormat="1" ht="19.95" customHeight="1">
      <c r="A370" s="129" t="s">
        <v>110</v>
      </c>
      <c r="B370" s="527" t="str">
        <f t="shared" si="67"/>
        <v>Reag BLK DIW</v>
      </c>
      <c r="C370" s="527"/>
      <c r="D370" s="527" t="s">
        <v>1596</v>
      </c>
      <c r="E370" s="132"/>
      <c r="F370" s="132"/>
      <c r="G370" s="87"/>
      <c r="H370" s="132"/>
      <c r="I370" s="132"/>
      <c r="J370" s="87"/>
      <c r="K370" s="132"/>
      <c r="L370" s="132"/>
      <c r="M370" s="87"/>
      <c r="N370" s="556"/>
    </row>
    <row r="371" spans="1:16" s="129" customFormat="1" ht="19.95" customHeight="1">
      <c r="A371" s="529" t="s">
        <v>110</v>
      </c>
      <c r="B371" s="529" t="str">
        <f t="shared" si="67"/>
        <v>Reag BLK LNSW</v>
      </c>
      <c r="C371" s="529"/>
      <c r="D371" s="529" t="s">
        <v>1597</v>
      </c>
      <c r="E371" s="187"/>
      <c r="F371" s="187"/>
      <c r="G371" s="188"/>
      <c r="H371" s="187"/>
      <c r="I371" s="187"/>
      <c r="J371" s="188"/>
      <c r="K371" s="187"/>
      <c r="L371" s="187"/>
      <c r="M371" s="188"/>
      <c r="N371" s="557"/>
      <c r="O371" s="529"/>
      <c r="P371" s="529"/>
    </row>
    <row r="372" spans="1:16" s="129" customFormat="1" ht="19.95" customHeight="1">
      <c r="A372" s="129" t="s">
        <v>186</v>
      </c>
      <c r="B372" s="527" t="str">
        <f t="shared" si="67"/>
        <v>CAL-1</v>
      </c>
      <c r="C372" s="527"/>
      <c r="D372" s="129" t="s">
        <v>125</v>
      </c>
      <c r="E372" s="69">
        <v>6.1189999999999998</v>
      </c>
      <c r="F372" s="69">
        <v>1E-4</v>
      </c>
      <c r="G372" s="114">
        <f t="shared" ref="G372:G384" si="68">E372-F372/2</f>
        <v>6.1189499999999999</v>
      </c>
      <c r="H372" s="69">
        <v>11.233000000000001</v>
      </c>
      <c r="I372" s="69">
        <v>-2.0000000000000001E-4</v>
      </c>
      <c r="J372" s="114">
        <f t="shared" ref="J372:J384" si="69">H372-I372/2</f>
        <v>11.2331</v>
      </c>
      <c r="K372" s="69">
        <v>11.4339</v>
      </c>
      <c r="L372" s="69">
        <v>0</v>
      </c>
      <c r="M372" s="114">
        <f t="shared" ref="M372:M384" si="70">K372-L372/2</f>
        <v>11.4339</v>
      </c>
      <c r="N372" s="556"/>
      <c r="O372" s="77">
        <f t="shared" ref="O372:O387" si="71">J372-G372</f>
        <v>5.1141500000000004</v>
      </c>
      <c r="P372" s="77">
        <f t="shared" ref="P372:P387" si="72">M372-G372</f>
        <v>5.3149499999999996</v>
      </c>
    </row>
    <row r="373" spans="1:16" s="129" customFormat="1" ht="19.95" customHeight="1">
      <c r="A373" s="129" t="s">
        <v>186</v>
      </c>
      <c r="B373" s="527" t="str">
        <f t="shared" si="67"/>
        <v>CAL-2</v>
      </c>
      <c r="C373" s="527"/>
      <c r="D373" s="129" t="s">
        <v>126</v>
      </c>
      <c r="E373" s="69">
        <v>6.1569000000000003</v>
      </c>
      <c r="F373" s="69">
        <v>0</v>
      </c>
      <c r="G373" s="114">
        <f t="shared" si="68"/>
        <v>6.1569000000000003</v>
      </c>
      <c r="H373" s="69">
        <v>11.2804</v>
      </c>
      <c r="I373" s="69">
        <v>-2.0000000000000001E-4</v>
      </c>
      <c r="J373" s="114">
        <f t="shared" si="69"/>
        <v>11.2805</v>
      </c>
      <c r="K373" s="69">
        <v>11.4817</v>
      </c>
      <c r="L373" s="69">
        <v>1E-4</v>
      </c>
      <c r="M373" s="114">
        <f t="shared" si="70"/>
        <v>11.48165</v>
      </c>
      <c r="N373" s="556"/>
      <c r="O373" s="77">
        <f t="shared" si="71"/>
        <v>5.1235999999999997</v>
      </c>
      <c r="P373" s="77">
        <f t="shared" si="72"/>
        <v>5.3247499999999999</v>
      </c>
    </row>
    <row r="374" spans="1:16" s="129" customFormat="1" ht="19.95" customHeight="1">
      <c r="A374" s="129" t="s">
        <v>186</v>
      </c>
      <c r="B374" s="527" t="str">
        <f t="shared" si="67"/>
        <v>CAL-3</v>
      </c>
      <c r="C374" s="527"/>
      <c r="D374" s="129" t="s">
        <v>127</v>
      </c>
      <c r="E374" s="69">
        <v>6.11</v>
      </c>
      <c r="F374" s="69">
        <v>-1E-4</v>
      </c>
      <c r="G374" s="114">
        <f t="shared" si="68"/>
        <v>6.1100500000000002</v>
      </c>
      <c r="H374" s="69">
        <v>11.2279</v>
      </c>
      <c r="I374" s="69">
        <v>0</v>
      </c>
      <c r="J374" s="114">
        <f t="shared" si="69"/>
        <v>11.2279</v>
      </c>
      <c r="K374" s="69">
        <v>11.429399999999999</v>
      </c>
      <c r="L374" s="69">
        <v>0</v>
      </c>
      <c r="M374" s="114">
        <f t="shared" si="70"/>
        <v>11.429399999999999</v>
      </c>
      <c r="N374" s="556"/>
      <c r="O374" s="77">
        <f t="shared" si="71"/>
        <v>5.1178499999999998</v>
      </c>
      <c r="P374" s="77">
        <f t="shared" si="72"/>
        <v>5.3193499999999991</v>
      </c>
    </row>
    <row r="375" spans="1:16" s="129" customFormat="1" ht="19.95" customHeight="1">
      <c r="A375" s="129" t="s">
        <v>186</v>
      </c>
      <c r="B375" s="527" t="str">
        <f t="shared" si="67"/>
        <v>CAL-4</v>
      </c>
      <c r="C375" s="527"/>
      <c r="D375" s="129" t="s">
        <v>129</v>
      </c>
      <c r="E375" s="69">
        <v>6.1104000000000003</v>
      </c>
      <c r="F375" s="69">
        <v>0</v>
      </c>
      <c r="G375" s="114">
        <f t="shared" si="68"/>
        <v>6.1104000000000003</v>
      </c>
      <c r="H375" s="69">
        <v>11.2195</v>
      </c>
      <c r="I375" s="69">
        <v>-1E-4</v>
      </c>
      <c r="J375" s="114">
        <f t="shared" si="69"/>
        <v>11.21955</v>
      </c>
      <c r="K375" s="69">
        <v>11.420199999999999</v>
      </c>
      <c r="L375" s="69">
        <v>0</v>
      </c>
      <c r="M375" s="114">
        <f t="shared" si="70"/>
        <v>11.420199999999999</v>
      </c>
      <c r="N375" s="556"/>
      <c r="O375" s="77">
        <f t="shared" si="71"/>
        <v>5.1091499999999996</v>
      </c>
      <c r="P375" s="77">
        <f t="shared" si="72"/>
        <v>5.3097999999999992</v>
      </c>
    </row>
    <row r="376" spans="1:16" s="129" customFormat="1" ht="19.95" customHeight="1">
      <c r="A376" s="529" t="s">
        <v>186</v>
      </c>
      <c r="B376" s="529" t="str">
        <f t="shared" si="67"/>
        <v>CAL-5</v>
      </c>
      <c r="C376" s="529"/>
      <c r="D376" s="529" t="s">
        <v>130</v>
      </c>
      <c r="E376" s="76">
        <v>6.1311999999999998</v>
      </c>
      <c r="F376" s="76">
        <v>0</v>
      </c>
      <c r="G376" s="122">
        <f t="shared" si="68"/>
        <v>6.1311999999999998</v>
      </c>
      <c r="H376" s="76">
        <v>11.2752</v>
      </c>
      <c r="I376" s="76">
        <v>2.0000000000000001E-4</v>
      </c>
      <c r="J376" s="122">
        <f t="shared" si="69"/>
        <v>11.2751</v>
      </c>
      <c r="K376" s="76">
        <v>11.475899999999999</v>
      </c>
      <c r="L376" s="76">
        <v>2.0000000000000001E-4</v>
      </c>
      <c r="M376" s="122">
        <f t="shared" si="70"/>
        <v>11.4758</v>
      </c>
      <c r="N376" s="557"/>
      <c r="O376" s="122">
        <f t="shared" si="71"/>
        <v>5.1439000000000004</v>
      </c>
      <c r="P376" s="122">
        <f t="shared" si="72"/>
        <v>5.3445999999999998</v>
      </c>
    </row>
    <row r="377" spans="1:16" s="129" customFormat="1" ht="19.95" customHeight="1">
      <c r="A377" s="129" t="s">
        <v>187</v>
      </c>
      <c r="B377" s="527" t="str">
        <f t="shared" ref="B377:B386" si="73">D94</f>
        <v>MOOS001a_i</v>
      </c>
      <c r="C377" s="527"/>
      <c r="D377" s="527" t="s">
        <v>1604</v>
      </c>
      <c r="E377" s="69">
        <v>6.1006</v>
      </c>
      <c r="F377" s="69">
        <v>-2.0000000000000001E-4</v>
      </c>
      <c r="G377" s="114">
        <f t="shared" si="68"/>
        <v>6.1006999999999998</v>
      </c>
      <c r="H377" s="69">
        <v>11.2049</v>
      </c>
      <c r="I377" s="69">
        <v>-1E-4</v>
      </c>
      <c r="J377" s="114">
        <f t="shared" si="69"/>
        <v>11.20495</v>
      </c>
      <c r="K377" s="69">
        <v>11.406000000000001</v>
      </c>
      <c r="L377" s="69">
        <v>-1E-4</v>
      </c>
      <c r="M377" s="114">
        <f t="shared" si="70"/>
        <v>11.40605</v>
      </c>
      <c r="N377" s="556"/>
      <c r="O377" s="77">
        <f t="shared" si="71"/>
        <v>5.1042500000000004</v>
      </c>
      <c r="P377" s="77">
        <f t="shared" si="72"/>
        <v>5.3053500000000007</v>
      </c>
    </row>
    <row r="378" spans="1:16" s="129" customFormat="1" ht="19.95" customHeight="1">
      <c r="A378" s="129" t="s">
        <v>187</v>
      </c>
      <c r="B378" s="527" t="str">
        <f t="shared" si="73"/>
        <v>MOOS078a_i</v>
      </c>
      <c r="C378" s="527"/>
      <c r="D378" s="527" t="s">
        <v>1605</v>
      </c>
      <c r="E378" s="69">
        <v>6.1436999999999999</v>
      </c>
      <c r="F378" s="69">
        <v>0</v>
      </c>
      <c r="G378" s="114">
        <f t="shared" si="68"/>
        <v>6.1436999999999999</v>
      </c>
      <c r="H378" s="69">
        <v>11.235200000000001</v>
      </c>
      <c r="I378" s="69">
        <v>-1E-4</v>
      </c>
      <c r="J378" s="114">
        <f t="shared" si="69"/>
        <v>11.235250000000001</v>
      </c>
      <c r="K378" s="69">
        <v>11.436299999999999</v>
      </c>
      <c r="L378" s="69">
        <v>2.0000000000000001E-4</v>
      </c>
      <c r="M378" s="114">
        <f t="shared" si="70"/>
        <v>11.436199999999999</v>
      </c>
      <c r="N378" s="556"/>
      <c r="O378" s="77">
        <f t="shared" si="71"/>
        <v>5.0915500000000007</v>
      </c>
      <c r="P378" s="77">
        <f t="shared" si="72"/>
        <v>5.2924999999999995</v>
      </c>
    </row>
    <row r="379" spans="1:16" s="129" customFormat="1" ht="19.95" customHeight="1">
      <c r="A379" s="129" t="s">
        <v>187</v>
      </c>
      <c r="B379" s="527" t="str">
        <f t="shared" si="73"/>
        <v>MOOS155a_i</v>
      </c>
      <c r="C379" s="527"/>
      <c r="D379" s="527" t="s">
        <v>1606</v>
      </c>
      <c r="E379" s="69">
        <v>6.1262999999999996</v>
      </c>
      <c r="F379" s="69">
        <v>1E-4</v>
      </c>
      <c r="G379" s="114">
        <f t="shared" si="68"/>
        <v>6.1262499999999998</v>
      </c>
      <c r="H379" s="69">
        <v>11.228</v>
      </c>
      <c r="I379" s="69">
        <v>2.0000000000000001E-4</v>
      </c>
      <c r="J379" s="114">
        <f t="shared" si="69"/>
        <v>11.2279</v>
      </c>
      <c r="K379" s="69">
        <v>11.428599999999999</v>
      </c>
      <c r="L379" s="69">
        <v>-1E-4</v>
      </c>
      <c r="M379" s="114">
        <f t="shared" si="70"/>
        <v>11.428649999999999</v>
      </c>
      <c r="N379" s="556"/>
      <c r="O379" s="114">
        <f t="shared" si="71"/>
        <v>5.1016500000000002</v>
      </c>
      <c r="P379" s="114">
        <f t="shared" si="72"/>
        <v>5.3023999999999996</v>
      </c>
    </row>
    <row r="380" spans="1:16" s="129" customFormat="1" ht="19.95" customHeight="1">
      <c r="A380" s="129" t="s">
        <v>187</v>
      </c>
      <c r="B380" s="527" t="str">
        <f t="shared" si="73"/>
        <v>MOOS232a_i</v>
      </c>
      <c r="C380" s="527"/>
      <c r="D380" s="527" t="s">
        <v>1607</v>
      </c>
      <c r="E380" s="69">
        <v>6.1150000000000002</v>
      </c>
      <c r="F380" s="69">
        <v>-1E-4</v>
      </c>
      <c r="G380" s="114">
        <f t="shared" si="68"/>
        <v>6.1150500000000001</v>
      </c>
      <c r="H380" s="69">
        <v>11.214700000000001</v>
      </c>
      <c r="I380" s="69">
        <v>0</v>
      </c>
      <c r="J380" s="114">
        <f t="shared" si="69"/>
        <v>11.214700000000001</v>
      </c>
      <c r="K380" s="69">
        <v>11.415900000000001</v>
      </c>
      <c r="L380" s="69">
        <v>1E-4</v>
      </c>
      <c r="M380" s="114">
        <f t="shared" si="70"/>
        <v>11.415850000000001</v>
      </c>
      <c r="N380" s="556"/>
      <c r="O380" s="114">
        <f t="shared" si="71"/>
        <v>5.0996500000000005</v>
      </c>
      <c r="P380" s="114">
        <f t="shared" si="72"/>
        <v>5.3008000000000006</v>
      </c>
    </row>
    <row r="381" spans="1:16" s="129" customFormat="1" ht="19.95" customHeight="1">
      <c r="A381" s="129" t="s">
        <v>187</v>
      </c>
      <c r="B381" s="527" t="str">
        <f t="shared" si="73"/>
        <v>MOOS310a_i</v>
      </c>
      <c r="C381" s="527"/>
      <c r="D381" s="527" t="s">
        <v>1608</v>
      </c>
      <c r="E381" s="69">
        <v>6.1025999999999998</v>
      </c>
      <c r="F381" s="69">
        <v>0</v>
      </c>
      <c r="G381" s="114">
        <f t="shared" si="68"/>
        <v>6.1025999999999998</v>
      </c>
      <c r="H381" s="69">
        <v>11.191800000000001</v>
      </c>
      <c r="I381" s="69">
        <v>0</v>
      </c>
      <c r="J381" s="114">
        <f t="shared" si="69"/>
        <v>11.191800000000001</v>
      </c>
      <c r="K381" s="69">
        <v>11.392300000000001</v>
      </c>
      <c r="L381" s="69">
        <v>0</v>
      </c>
      <c r="M381" s="114">
        <f t="shared" si="70"/>
        <v>11.392300000000001</v>
      </c>
      <c r="N381" s="556"/>
      <c r="O381" s="114">
        <f t="shared" si="71"/>
        <v>5.0892000000000008</v>
      </c>
      <c r="P381" s="114">
        <f t="shared" si="72"/>
        <v>5.2897000000000007</v>
      </c>
    </row>
    <row r="382" spans="1:16" s="129" customFormat="1" ht="19.95" customHeight="1">
      <c r="A382" s="527" t="s">
        <v>187</v>
      </c>
      <c r="B382" s="527" t="str">
        <f t="shared" si="73"/>
        <v>MOOS001a_ii</v>
      </c>
      <c r="C382" s="527"/>
      <c r="D382" s="527" t="s">
        <v>1609</v>
      </c>
      <c r="E382" s="69">
        <v>6.1283000000000003</v>
      </c>
      <c r="F382" s="69">
        <v>1E-4</v>
      </c>
      <c r="G382" s="114">
        <f t="shared" si="68"/>
        <v>6.1282500000000004</v>
      </c>
      <c r="H382" s="69">
        <v>11.238099999999999</v>
      </c>
      <c r="I382" s="69">
        <v>-1E-4</v>
      </c>
      <c r="J382" s="114">
        <f t="shared" si="69"/>
        <v>11.238149999999999</v>
      </c>
      <c r="K382" s="69">
        <v>11.4391</v>
      </c>
      <c r="L382" s="69">
        <v>0</v>
      </c>
      <c r="M382" s="114">
        <f t="shared" si="70"/>
        <v>11.4391</v>
      </c>
      <c r="N382" s="556"/>
      <c r="O382" s="114">
        <f t="shared" si="71"/>
        <v>5.1098999999999988</v>
      </c>
      <c r="P382" s="114">
        <f t="shared" si="72"/>
        <v>5.3108499999999994</v>
      </c>
    </row>
    <row r="383" spans="1:16" s="129" customFormat="1" ht="19.95" customHeight="1">
      <c r="A383" s="527" t="s">
        <v>187</v>
      </c>
      <c r="B383" s="527" t="str">
        <f t="shared" si="73"/>
        <v>MOOS078a_ii</v>
      </c>
      <c r="C383" s="527"/>
      <c r="D383" s="527" t="s">
        <v>1610</v>
      </c>
      <c r="E383" s="69">
        <v>6.1555999999999997</v>
      </c>
      <c r="F383" s="69">
        <v>0</v>
      </c>
      <c r="G383" s="114">
        <f t="shared" si="68"/>
        <v>6.1555999999999997</v>
      </c>
      <c r="H383" s="69">
        <v>11.2493</v>
      </c>
      <c r="I383" s="69">
        <v>-1E-4</v>
      </c>
      <c r="J383" s="114">
        <f t="shared" si="69"/>
        <v>11.24935</v>
      </c>
      <c r="K383" s="69">
        <v>11.450100000000001</v>
      </c>
      <c r="L383" s="69">
        <v>0</v>
      </c>
      <c r="M383" s="114">
        <f t="shared" si="70"/>
        <v>11.450100000000001</v>
      </c>
      <c r="N383" s="556"/>
      <c r="O383" s="114">
        <f t="shared" si="71"/>
        <v>5.09375</v>
      </c>
      <c r="P383" s="114">
        <f t="shared" si="72"/>
        <v>5.2945000000000011</v>
      </c>
    </row>
    <row r="384" spans="1:16" s="129" customFormat="1" ht="19.95" customHeight="1">
      <c r="A384" s="527" t="s">
        <v>187</v>
      </c>
      <c r="B384" s="527" t="str">
        <f t="shared" si="73"/>
        <v>MOOS155a_ii</v>
      </c>
      <c r="C384" s="527"/>
      <c r="D384" s="527" t="s">
        <v>1611</v>
      </c>
      <c r="E384" s="69">
        <v>6.1338999999999997</v>
      </c>
      <c r="F384" s="69">
        <v>-1E-4</v>
      </c>
      <c r="G384" s="114">
        <f t="shared" si="68"/>
        <v>6.1339499999999996</v>
      </c>
      <c r="H384" s="69">
        <v>11.2301</v>
      </c>
      <c r="I384" s="69">
        <v>0</v>
      </c>
      <c r="J384" s="114">
        <f t="shared" si="69"/>
        <v>11.2301</v>
      </c>
      <c r="K384" s="69">
        <v>11.4305</v>
      </c>
      <c r="L384" s="69">
        <v>0</v>
      </c>
      <c r="M384" s="114">
        <f t="shared" si="70"/>
        <v>11.4305</v>
      </c>
      <c r="N384" s="556"/>
      <c r="O384" s="114">
        <f t="shared" si="71"/>
        <v>5.0961500000000006</v>
      </c>
      <c r="P384" s="114">
        <f t="shared" si="72"/>
        <v>5.2965500000000008</v>
      </c>
    </row>
    <row r="385" spans="1:16" s="530" customFormat="1" ht="19.95" customHeight="1">
      <c r="A385" s="80" t="s">
        <v>187</v>
      </c>
      <c r="B385" s="80" t="str">
        <f t="shared" si="73"/>
        <v>MOOS232a_ii</v>
      </c>
      <c r="C385" s="80"/>
      <c r="D385" s="527" t="s">
        <v>1612</v>
      </c>
      <c r="E385" s="69">
        <v>6.1146000000000003</v>
      </c>
      <c r="F385" s="69">
        <v>1E-4</v>
      </c>
      <c r="G385" s="114">
        <f t="shared" ref="G385:G387" si="74">E385-F385/2</f>
        <v>6.1145500000000004</v>
      </c>
      <c r="H385" s="69">
        <v>11.1989</v>
      </c>
      <c r="I385" s="69">
        <v>-2.0000000000000001E-4</v>
      </c>
      <c r="J385" s="114">
        <f t="shared" ref="J385:J387" si="75">H385-I385/2</f>
        <v>11.199</v>
      </c>
      <c r="K385" s="69">
        <v>11.399699999999999</v>
      </c>
      <c r="L385" s="69">
        <v>0</v>
      </c>
      <c r="M385" s="114">
        <f t="shared" ref="M385:M387" si="76">K385-L385/2</f>
        <v>11.399699999999999</v>
      </c>
      <c r="N385" s="556"/>
      <c r="O385" s="114">
        <f t="shared" si="71"/>
        <v>5.0844499999999995</v>
      </c>
      <c r="P385" s="114">
        <f t="shared" si="72"/>
        <v>5.2851499999999989</v>
      </c>
    </row>
    <row r="386" spans="1:16" s="530" customFormat="1" ht="19.95" customHeight="1">
      <c r="A386" s="81" t="s">
        <v>187</v>
      </c>
      <c r="B386" s="81" t="str">
        <f t="shared" si="73"/>
        <v>MOOS310a_ii</v>
      </c>
      <c r="C386" s="81"/>
      <c r="D386" s="529" t="s">
        <v>1613</v>
      </c>
      <c r="E386" s="76">
        <v>6.1487999999999996</v>
      </c>
      <c r="F386" s="76">
        <v>0</v>
      </c>
      <c r="G386" s="122">
        <f t="shared" si="74"/>
        <v>6.1487999999999996</v>
      </c>
      <c r="H386" s="76">
        <v>11.2456</v>
      </c>
      <c r="I386" s="76">
        <v>0</v>
      </c>
      <c r="J386" s="122">
        <f t="shared" si="75"/>
        <v>11.2456</v>
      </c>
      <c r="K386" s="76">
        <v>11.445499999999999</v>
      </c>
      <c r="L386" s="76">
        <v>-1E-4</v>
      </c>
      <c r="M386" s="122">
        <f t="shared" si="76"/>
        <v>11.445549999999999</v>
      </c>
      <c r="N386" s="557"/>
      <c r="O386" s="122">
        <f t="shared" si="71"/>
        <v>5.0968</v>
      </c>
      <c r="P386" s="122">
        <f t="shared" si="72"/>
        <v>5.2967499999999994</v>
      </c>
    </row>
    <row r="387" spans="1:16" s="530" customFormat="1" ht="19.95" customHeight="1">
      <c r="A387" s="81" t="s">
        <v>188</v>
      </c>
      <c r="B387" s="81" t="str">
        <f>D106</f>
        <v>MOOS-3</v>
      </c>
      <c r="C387" s="81"/>
      <c r="D387" s="529" t="s">
        <v>193</v>
      </c>
      <c r="E387" s="76">
        <v>6.1155999999999997</v>
      </c>
      <c r="F387" s="76">
        <v>1E-4</v>
      </c>
      <c r="G387" s="122">
        <f t="shared" si="74"/>
        <v>6.1155499999999998</v>
      </c>
      <c r="H387" s="76">
        <v>11.2608</v>
      </c>
      <c r="I387" s="76">
        <v>0</v>
      </c>
      <c r="J387" s="122">
        <f t="shared" si="75"/>
        <v>11.2608</v>
      </c>
      <c r="K387" s="76">
        <v>11.4618</v>
      </c>
      <c r="L387" s="76">
        <v>0</v>
      </c>
      <c r="M387" s="122">
        <f t="shared" si="76"/>
        <v>11.4618</v>
      </c>
      <c r="N387" s="548">
        <v>45342</v>
      </c>
      <c r="O387" s="122">
        <f t="shared" si="71"/>
        <v>5.1452499999999999</v>
      </c>
      <c r="P387" s="122">
        <f t="shared" si="72"/>
        <v>5.3462500000000004</v>
      </c>
    </row>
    <row r="388" spans="1:16" s="530" customFormat="1" ht="19.95" customHeight="1">
      <c r="A388" s="80"/>
      <c r="B388" s="80"/>
      <c r="C388" s="80"/>
      <c r="D388" s="80"/>
    </row>
    <row r="389" spans="1:16" s="530" customFormat="1" ht="19.95" customHeight="1">
      <c r="A389" s="199" t="s">
        <v>1598</v>
      </c>
      <c r="B389" s="80"/>
      <c r="C389" s="80"/>
      <c r="D389" s="80"/>
    </row>
    <row r="390" spans="1:16" s="530" customFormat="1" ht="19.95" customHeight="1">
      <c r="A390" s="199" t="s">
        <v>1599</v>
      </c>
      <c r="B390" s="80"/>
      <c r="C390" s="80"/>
      <c r="D390" s="80"/>
    </row>
    <row r="391" spans="1:16" s="530" customFormat="1" ht="19.95" customHeight="1">
      <c r="A391" s="80"/>
      <c r="B391" s="80"/>
      <c r="C391" s="80"/>
      <c r="D391" s="80"/>
    </row>
    <row r="392" spans="1:16" s="530" customFormat="1" ht="19.95" customHeight="1">
      <c r="A392" s="128" t="s">
        <v>194</v>
      </c>
      <c r="B392" s="129"/>
      <c r="C392" s="129"/>
      <c r="D392" s="129"/>
      <c r="E392" s="129"/>
      <c r="F392" s="129"/>
      <c r="G392" s="129"/>
      <c r="H392" s="129"/>
      <c r="I392" s="129"/>
      <c r="J392" s="129"/>
      <c r="K392" s="129"/>
      <c r="L392" s="129"/>
      <c r="M392" s="129"/>
      <c r="N392" s="129"/>
      <c r="O392" s="129"/>
      <c r="P392" s="129"/>
    </row>
    <row r="393" spans="1:16" s="530" customFormat="1" ht="19.95" customHeight="1">
      <c r="A393" s="129"/>
      <c r="B393" s="129"/>
      <c r="C393" s="129"/>
      <c r="D393" s="129"/>
      <c r="E393" s="129"/>
      <c r="F393" s="129"/>
      <c r="G393" s="129"/>
      <c r="H393" s="129"/>
      <c r="I393" s="129"/>
      <c r="J393" s="129"/>
      <c r="K393" s="129"/>
      <c r="L393" s="129"/>
      <c r="M393" s="129"/>
      <c r="N393" s="129"/>
      <c r="O393" s="129"/>
      <c r="P393" s="129"/>
    </row>
    <row r="394" spans="1:16" s="530" customFormat="1" ht="19.95" customHeight="1">
      <c r="A394" s="128"/>
      <c r="B394" s="129"/>
      <c r="C394" s="129"/>
      <c r="D394" s="129"/>
      <c r="E394" s="105" t="s">
        <v>172</v>
      </c>
      <c r="F394" s="129"/>
      <c r="G394" s="129"/>
      <c r="H394" s="105" t="s">
        <v>189</v>
      </c>
      <c r="I394" s="129"/>
      <c r="J394" s="129"/>
      <c r="K394" s="105" t="s">
        <v>195</v>
      </c>
      <c r="L394" s="129"/>
      <c r="M394" s="129"/>
      <c r="N394" s="129"/>
      <c r="O394" s="129"/>
      <c r="P394" s="129"/>
    </row>
    <row r="395" spans="1:16" s="530" customFormat="1" ht="19.95" customHeight="1">
      <c r="A395" s="129"/>
      <c r="B395" s="129"/>
      <c r="C395" s="129"/>
      <c r="D395" s="129"/>
      <c r="E395" s="527" t="s">
        <v>169</v>
      </c>
      <c r="F395" s="527" t="s">
        <v>170</v>
      </c>
      <c r="G395" s="527" t="s">
        <v>171</v>
      </c>
      <c r="H395" s="527" t="s">
        <v>169</v>
      </c>
      <c r="I395" s="527" t="s">
        <v>170</v>
      </c>
      <c r="J395" s="527" t="s">
        <v>171</v>
      </c>
      <c r="K395" s="527" t="s">
        <v>169</v>
      </c>
      <c r="L395" s="527" t="s">
        <v>170</v>
      </c>
      <c r="M395" s="527" t="s">
        <v>171</v>
      </c>
      <c r="N395" s="129"/>
      <c r="O395" s="532" t="s">
        <v>218</v>
      </c>
      <c r="P395" s="532" t="s">
        <v>219</v>
      </c>
    </row>
    <row r="396" spans="1:16" s="530" customFormat="1" ht="19.95" customHeight="1">
      <c r="A396" s="526" t="s">
        <v>184</v>
      </c>
      <c r="B396" s="526" t="s">
        <v>185</v>
      </c>
      <c r="C396" s="526"/>
      <c r="D396" s="526" t="s">
        <v>96</v>
      </c>
      <c r="E396" s="529" t="s">
        <v>64</v>
      </c>
      <c r="F396" s="529" t="s">
        <v>64</v>
      </c>
      <c r="G396" s="529" t="s">
        <v>64</v>
      </c>
      <c r="H396" s="529" t="s">
        <v>64</v>
      </c>
      <c r="I396" s="529" t="s">
        <v>64</v>
      </c>
      <c r="J396" s="529" t="s">
        <v>64</v>
      </c>
      <c r="K396" s="529" t="s">
        <v>64</v>
      </c>
      <c r="L396" s="529" t="s">
        <v>64</v>
      </c>
      <c r="M396" s="529" t="s">
        <v>64</v>
      </c>
      <c r="N396" s="529" t="s">
        <v>2</v>
      </c>
      <c r="O396" s="529" t="s">
        <v>64</v>
      </c>
      <c r="P396" s="529" t="s">
        <v>64</v>
      </c>
    </row>
    <row r="397" spans="1:16" s="530" customFormat="1" ht="19.95" customHeight="1">
      <c r="A397" s="527" t="s">
        <v>110</v>
      </c>
      <c r="B397" s="527" t="str">
        <f t="shared" ref="B397:B408" si="77">G81</f>
        <v>Baseline DIW</v>
      </c>
      <c r="C397" s="527"/>
      <c r="D397" s="527" t="s">
        <v>1591</v>
      </c>
      <c r="E397" s="132"/>
      <c r="F397" s="132"/>
      <c r="G397" s="87"/>
      <c r="H397" s="132"/>
      <c r="I397" s="132"/>
      <c r="J397" s="87"/>
      <c r="K397" s="132"/>
      <c r="L397" s="132"/>
      <c r="M397" s="87"/>
      <c r="N397" s="546">
        <v>45342</v>
      </c>
      <c r="O397" s="129"/>
      <c r="P397" s="129"/>
    </row>
    <row r="398" spans="1:16" s="530" customFormat="1" ht="19.95" customHeight="1">
      <c r="A398" s="129" t="s">
        <v>110</v>
      </c>
      <c r="B398" s="527" t="str">
        <f t="shared" si="77"/>
        <v>Baseline LNSW</v>
      </c>
      <c r="C398" s="527"/>
      <c r="D398" s="527" t="s">
        <v>1592</v>
      </c>
      <c r="E398" s="132"/>
      <c r="F398" s="132"/>
      <c r="G398" s="87"/>
      <c r="H398" s="132"/>
      <c r="I398" s="132"/>
      <c r="J398" s="87"/>
      <c r="K398" s="132"/>
      <c r="L398" s="132"/>
      <c r="M398" s="87"/>
      <c r="N398" s="556"/>
      <c r="O398" s="129"/>
      <c r="P398" s="129"/>
    </row>
    <row r="399" spans="1:16" s="530" customFormat="1" ht="19.95" customHeight="1">
      <c r="A399" s="129" t="s">
        <v>110</v>
      </c>
      <c r="B399" s="527" t="str">
        <f t="shared" si="77"/>
        <v>Baseline MOOS-4</v>
      </c>
      <c r="C399" s="527"/>
      <c r="D399" s="527" t="s">
        <v>1593</v>
      </c>
      <c r="E399" s="132"/>
      <c r="F399" s="132"/>
      <c r="G399" s="87"/>
      <c r="H399" s="132"/>
      <c r="I399" s="132"/>
      <c r="J399" s="87"/>
      <c r="K399" s="132"/>
      <c r="L399" s="132"/>
      <c r="M399" s="87"/>
      <c r="N399" s="556"/>
      <c r="O399" s="129"/>
      <c r="P399" s="129"/>
    </row>
    <row r="400" spans="1:16" s="530" customFormat="1" ht="19.95" customHeight="1">
      <c r="A400" s="129" t="s">
        <v>110</v>
      </c>
      <c r="B400" s="527" t="str">
        <f t="shared" si="77"/>
        <v>Baseline SALT-1</v>
      </c>
      <c r="C400" s="527"/>
      <c r="D400" s="527" t="s">
        <v>1594</v>
      </c>
      <c r="E400" s="132"/>
      <c r="F400" s="132"/>
      <c r="G400" s="87"/>
      <c r="H400" s="132"/>
      <c r="I400" s="132"/>
      <c r="J400" s="87"/>
      <c r="K400" s="132"/>
      <c r="L400" s="132"/>
      <c r="M400" s="87"/>
      <c r="N400" s="556"/>
      <c r="O400" s="129"/>
      <c r="P400" s="129"/>
    </row>
    <row r="401" spans="1:18" s="530" customFormat="1" ht="19.95" customHeight="1">
      <c r="A401" s="129" t="s">
        <v>110</v>
      </c>
      <c r="B401" s="527" t="str">
        <f t="shared" si="77"/>
        <v>Baseline MOOS-3</v>
      </c>
      <c r="C401" s="527"/>
      <c r="D401" s="129" t="s">
        <v>1595</v>
      </c>
      <c r="E401" s="129"/>
      <c r="F401" s="129"/>
      <c r="G401" s="129"/>
      <c r="H401" s="129"/>
      <c r="I401" s="129"/>
      <c r="J401" s="129"/>
      <c r="K401" s="129"/>
      <c r="L401" s="129"/>
      <c r="M401" s="129"/>
      <c r="N401" s="556"/>
      <c r="O401" s="129"/>
      <c r="P401" s="129"/>
    </row>
    <row r="402" spans="1:18" s="530" customFormat="1" ht="19.95" customHeight="1">
      <c r="A402" s="129" t="s">
        <v>110</v>
      </c>
      <c r="B402" s="527" t="str">
        <f t="shared" si="77"/>
        <v>Reag BLK DIW</v>
      </c>
      <c r="C402" s="527"/>
      <c r="D402" s="527" t="s">
        <v>1596</v>
      </c>
      <c r="E402" s="132"/>
      <c r="F402" s="132"/>
      <c r="G402" s="87"/>
      <c r="H402" s="132"/>
      <c r="I402" s="132"/>
      <c r="J402" s="87"/>
      <c r="K402" s="132"/>
      <c r="L402" s="132"/>
      <c r="M402" s="87"/>
      <c r="N402" s="556"/>
      <c r="O402" s="129"/>
      <c r="P402" s="129"/>
    </row>
    <row r="403" spans="1:18" s="530" customFormat="1" ht="19.95" customHeight="1">
      <c r="A403" s="529" t="s">
        <v>110</v>
      </c>
      <c r="B403" s="529" t="str">
        <f t="shared" si="77"/>
        <v>Reag BLK LNSW</v>
      </c>
      <c r="C403" s="529"/>
      <c r="D403" s="529" t="s">
        <v>1597</v>
      </c>
      <c r="E403" s="187"/>
      <c r="F403" s="187"/>
      <c r="G403" s="188"/>
      <c r="H403" s="187"/>
      <c r="I403" s="187"/>
      <c r="J403" s="188"/>
      <c r="K403" s="187"/>
      <c r="L403" s="187"/>
      <c r="M403" s="188"/>
      <c r="N403" s="557"/>
      <c r="O403" s="529"/>
      <c r="P403" s="529"/>
    </row>
    <row r="404" spans="1:18" s="530" customFormat="1" ht="19.95" customHeight="1">
      <c r="A404" s="129" t="s">
        <v>186</v>
      </c>
      <c r="B404" s="527" t="str">
        <f t="shared" si="77"/>
        <v>CAL-1</v>
      </c>
      <c r="C404" s="527"/>
      <c r="D404" s="129" t="s">
        <v>125</v>
      </c>
      <c r="E404" s="69">
        <v>6.1279000000000003</v>
      </c>
      <c r="F404" s="69">
        <v>-1E-4</v>
      </c>
      <c r="G404" s="114">
        <f t="shared" ref="G404:G420" si="78">E404-F404/2</f>
        <v>6.1279500000000002</v>
      </c>
      <c r="H404" s="69">
        <v>12.2898</v>
      </c>
      <c r="I404" s="69">
        <v>-1E-4</v>
      </c>
      <c r="J404" s="114">
        <f t="shared" ref="J404:J420" si="79">H404-I404/2</f>
        <v>12.289849999999999</v>
      </c>
      <c r="K404" s="69">
        <v>13.0738</v>
      </c>
      <c r="L404" s="69">
        <v>0</v>
      </c>
      <c r="M404" s="114">
        <f t="shared" ref="M404:M420" si="80">K404-L404/2</f>
        <v>13.0738</v>
      </c>
      <c r="N404" s="556"/>
      <c r="O404" s="77">
        <f t="shared" ref="O404:O420" si="81">J404-G404</f>
        <v>6.1618999999999993</v>
      </c>
      <c r="P404" s="77">
        <f t="shared" ref="P404:P420" si="82">M404-G404</f>
        <v>6.9458500000000001</v>
      </c>
      <c r="R404" s="60"/>
    </row>
    <row r="405" spans="1:18" s="530" customFormat="1" ht="19.95" customHeight="1">
      <c r="A405" s="129" t="s">
        <v>186</v>
      </c>
      <c r="B405" s="527" t="str">
        <f t="shared" si="77"/>
        <v>CAL-2</v>
      </c>
      <c r="C405" s="527"/>
      <c r="D405" s="129" t="s">
        <v>126</v>
      </c>
      <c r="E405" s="69">
        <v>6.1151999999999997</v>
      </c>
      <c r="F405" s="69">
        <v>1E-4</v>
      </c>
      <c r="G405" s="114">
        <f t="shared" si="78"/>
        <v>6.1151499999999999</v>
      </c>
      <c r="H405" s="69">
        <v>12.2578</v>
      </c>
      <c r="I405" s="69">
        <v>0</v>
      </c>
      <c r="J405" s="114">
        <f t="shared" si="79"/>
        <v>12.2578</v>
      </c>
      <c r="K405" s="69">
        <v>13.042299999999999</v>
      </c>
      <c r="L405" s="69">
        <v>-1E-4</v>
      </c>
      <c r="M405" s="114">
        <f t="shared" si="80"/>
        <v>13.042349999999999</v>
      </c>
      <c r="N405" s="556"/>
      <c r="O405" s="77">
        <f t="shared" si="81"/>
        <v>6.1426499999999997</v>
      </c>
      <c r="P405" s="77">
        <f t="shared" si="82"/>
        <v>6.9271999999999991</v>
      </c>
      <c r="R405" s="60"/>
    </row>
    <row r="406" spans="1:18" s="530" customFormat="1" ht="19.95" customHeight="1">
      <c r="A406" s="129" t="s">
        <v>186</v>
      </c>
      <c r="B406" s="527" t="str">
        <f t="shared" si="77"/>
        <v>CAL-3</v>
      </c>
      <c r="C406" s="527"/>
      <c r="D406" s="129" t="s">
        <v>127</v>
      </c>
      <c r="E406" s="69">
        <v>6.1109</v>
      </c>
      <c r="F406" s="69">
        <v>-1E-4</v>
      </c>
      <c r="G406" s="114">
        <f t="shared" si="78"/>
        <v>6.1109499999999999</v>
      </c>
      <c r="H406" s="69">
        <v>12.2486</v>
      </c>
      <c r="I406" s="69">
        <v>-1E-4</v>
      </c>
      <c r="J406" s="114">
        <f t="shared" si="79"/>
        <v>12.24865</v>
      </c>
      <c r="K406" s="69">
        <v>13.032400000000001</v>
      </c>
      <c r="L406" s="69">
        <v>-1E-4</v>
      </c>
      <c r="M406" s="114">
        <f t="shared" si="80"/>
        <v>13.032450000000001</v>
      </c>
      <c r="N406" s="556"/>
      <c r="O406" s="77">
        <f t="shared" si="81"/>
        <v>6.1376999999999997</v>
      </c>
      <c r="P406" s="77">
        <f t="shared" si="82"/>
        <v>6.9215000000000009</v>
      </c>
      <c r="R406" s="60"/>
    </row>
    <row r="407" spans="1:18" s="530" customFormat="1" ht="19.95" customHeight="1">
      <c r="A407" s="129" t="s">
        <v>186</v>
      </c>
      <c r="B407" s="527" t="str">
        <f t="shared" si="77"/>
        <v>CAL-4</v>
      </c>
      <c r="C407" s="527"/>
      <c r="D407" s="129" t="s">
        <v>129</v>
      </c>
      <c r="E407" s="69">
        <v>6.1219999999999999</v>
      </c>
      <c r="F407" s="69">
        <v>1E-4</v>
      </c>
      <c r="G407" s="114">
        <f t="shared" si="78"/>
        <v>6.12195</v>
      </c>
      <c r="H407" s="69">
        <v>12.2705</v>
      </c>
      <c r="I407" s="69">
        <v>0</v>
      </c>
      <c r="J407" s="114">
        <f t="shared" si="79"/>
        <v>12.2705</v>
      </c>
      <c r="K407" s="69">
        <v>13.055300000000001</v>
      </c>
      <c r="L407" s="69">
        <v>4.0000000000000002E-4</v>
      </c>
      <c r="M407" s="114">
        <f t="shared" si="80"/>
        <v>13.055100000000001</v>
      </c>
      <c r="N407" s="556"/>
      <c r="O407" s="77">
        <f t="shared" si="81"/>
        <v>6.1485500000000002</v>
      </c>
      <c r="P407" s="77">
        <f t="shared" si="82"/>
        <v>6.9331500000000013</v>
      </c>
      <c r="R407" s="60"/>
    </row>
    <row r="408" spans="1:18" s="530" customFormat="1" ht="19.95" customHeight="1">
      <c r="A408" s="529" t="s">
        <v>186</v>
      </c>
      <c r="B408" s="529" t="str">
        <f t="shared" si="77"/>
        <v>CAL-5</v>
      </c>
      <c r="C408" s="529"/>
      <c r="D408" s="529" t="s">
        <v>130</v>
      </c>
      <c r="E408" s="76">
        <v>6.109</v>
      </c>
      <c r="F408" s="76">
        <v>1E-4</v>
      </c>
      <c r="G408" s="122">
        <f t="shared" si="78"/>
        <v>6.1089500000000001</v>
      </c>
      <c r="H408" s="76">
        <v>12.2521</v>
      </c>
      <c r="I408" s="76">
        <v>0</v>
      </c>
      <c r="J408" s="122">
        <f t="shared" si="79"/>
        <v>12.2521</v>
      </c>
      <c r="K408" s="76">
        <v>13.036899999999999</v>
      </c>
      <c r="L408" s="76">
        <v>-4.0000000000000002E-4</v>
      </c>
      <c r="M408" s="122">
        <f t="shared" si="80"/>
        <v>13.037099999999999</v>
      </c>
      <c r="N408" s="557"/>
      <c r="O408" s="122">
        <f t="shared" si="81"/>
        <v>6.1431500000000003</v>
      </c>
      <c r="P408" s="122">
        <f t="shared" si="82"/>
        <v>6.9281499999999987</v>
      </c>
      <c r="R408" s="60"/>
    </row>
    <row r="409" spans="1:18" s="530" customFormat="1" ht="19.95" customHeight="1">
      <c r="A409" s="129" t="s">
        <v>187</v>
      </c>
      <c r="B409" s="527" t="str">
        <f t="shared" ref="B409:B418" si="83">G94</f>
        <v>MOOS001a_i</v>
      </c>
      <c r="C409" s="527"/>
      <c r="D409" s="527" t="s">
        <v>1604</v>
      </c>
      <c r="E409" s="69">
        <v>6.1436999999999999</v>
      </c>
      <c r="F409" s="69">
        <v>-1E-4</v>
      </c>
      <c r="G409" s="114">
        <f t="shared" si="78"/>
        <v>6.1437499999999998</v>
      </c>
      <c r="H409" s="69">
        <v>12.269600000000001</v>
      </c>
      <c r="I409" s="69">
        <v>0</v>
      </c>
      <c r="J409" s="114">
        <f t="shared" si="79"/>
        <v>12.269600000000001</v>
      </c>
      <c r="K409" s="69">
        <v>13.055400000000001</v>
      </c>
      <c r="L409" s="69">
        <v>1E-4</v>
      </c>
      <c r="M409" s="114">
        <f t="shared" si="80"/>
        <v>13.055350000000001</v>
      </c>
      <c r="N409" s="556"/>
      <c r="O409" s="77">
        <f t="shared" si="81"/>
        <v>6.1258500000000007</v>
      </c>
      <c r="P409" s="77">
        <f t="shared" si="82"/>
        <v>6.9116000000000009</v>
      </c>
      <c r="R409" s="60"/>
    </row>
    <row r="410" spans="1:18" s="530" customFormat="1" ht="19.95" customHeight="1">
      <c r="A410" s="129" t="s">
        <v>187</v>
      </c>
      <c r="B410" s="527" t="str">
        <f t="shared" si="83"/>
        <v>MOOS078a_i</v>
      </c>
      <c r="C410" s="527"/>
      <c r="D410" s="527" t="s">
        <v>1605</v>
      </c>
      <c r="E410" s="69">
        <v>6.1502999999999997</v>
      </c>
      <c r="F410" s="69">
        <v>0</v>
      </c>
      <c r="G410" s="114">
        <f t="shared" si="78"/>
        <v>6.1502999999999997</v>
      </c>
      <c r="H410" s="69">
        <v>12.2797</v>
      </c>
      <c r="I410" s="69">
        <v>0</v>
      </c>
      <c r="J410" s="114">
        <f t="shared" si="79"/>
        <v>12.2797</v>
      </c>
      <c r="K410" s="69">
        <v>13.0654</v>
      </c>
      <c r="L410" s="69">
        <v>1E-4</v>
      </c>
      <c r="M410" s="114">
        <f t="shared" si="80"/>
        <v>13.06535</v>
      </c>
      <c r="N410" s="556"/>
      <c r="O410" s="77">
        <f t="shared" si="81"/>
        <v>6.1294000000000004</v>
      </c>
      <c r="P410" s="77">
        <f t="shared" si="82"/>
        <v>6.9150500000000008</v>
      </c>
      <c r="R410" s="60"/>
    </row>
    <row r="411" spans="1:18" s="530" customFormat="1" ht="19.95" customHeight="1">
      <c r="A411" s="129" t="s">
        <v>187</v>
      </c>
      <c r="B411" s="527" t="str">
        <f t="shared" si="83"/>
        <v>MOOS155a_i</v>
      </c>
      <c r="C411" s="527"/>
      <c r="D411" s="527" t="s">
        <v>1606</v>
      </c>
      <c r="E411" s="69">
        <v>6.1311999999999998</v>
      </c>
      <c r="F411" s="69">
        <v>0</v>
      </c>
      <c r="G411" s="114">
        <f t="shared" si="78"/>
        <v>6.1311999999999998</v>
      </c>
      <c r="H411" s="69">
        <v>12.2628</v>
      </c>
      <c r="I411" s="69">
        <v>-2.9999999999999997E-4</v>
      </c>
      <c r="J411" s="114">
        <f t="shared" si="79"/>
        <v>12.26295</v>
      </c>
      <c r="K411" s="69">
        <v>13.0482</v>
      </c>
      <c r="L411" s="69">
        <v>-1E-4</v>
      </c>
      <c r="M411" s="114">
        <f t="shared" si="80"/>
        <v>13.048249999999999</v>
      </c>
      <c r="N411" s="556"/>
      <c r="O411" s="114">
        <f t="shared" si="81"/>
        <v>6.1317500000000003</v>
      </c>
      <c r="P411" s="114">
        <f t="shared" si="82"/>
        <v>6.9170499999999997</v>
      </c>
      <c r="R411" s="60"/>
    </row>
    <row r="412" spans="1:18" s="530" customFormat="1" ht="19.95" customHeight="1">
      <c r="A412" s="129" t="s">
        <v>187</v>
      </c>
      <c r="B412" s="527" t="str">
        <f t="shared" si="83"/>
        <v>MOOS232a_i</v>
      </c>
      <c r="C412" s="527"/>
      <c r="D412" s="527" t="s">
        <v>1607</v>
      </c>
      <c r="E412" s="69">
        <v>6.1332000000000004</v>
      </c>
      <c r="F412" s="69">
        <v>1E-4</v>
      </c>
      <c r="G412" s="114">
        <f t="shared" si="78"/>
        <v>6.1331500000000005</v>
      </c>
      <c r="H412" s="69">
        <v>12.2776</v>
      </c>
      <c r="I412" s="69">
        <v>1E-4</v>
      </c>
      <c r="J412" s="114">
        <f t="shared" si="79"/>
        <v>12.27755</v>
      </c>
      <c r="K412" s="69">
        <v>13.0586</v>
      </c>
      <c r="L412" s="69">
        <v>0</v>
      </c>
      <c r="M412" s="114">
        <f t="shared" si="80"/>
        <v>13.0586</v>
      </c>
      <c r="N412" s="556"/>
      <c r="O412" s="114">
        <f t="shared" si="81"/>
        <v>6.1443999999999992</v>
      </c>
      <c r="P412" s="114">
        <f t="shared" si="82"/>
        <v>6.9254499999999997</v>
      </c>
      <c r="R412" s="60"/>
    </row>
    <row r="413" spans="1:18" s="530" customFormat="1" ht="19.95" customHeight="1">
      <c r="A413" s="129" t="s">
        <v>187</v>
      </c>
      <c r="B413" s="527" t="str">
        <f t="shared" si="83"/>
        <v>MOOS310a_i</v>
      </c>
      <c r="C413" s="527"/>
      <c r="D413" s="527" t="s">
        <v>1608</v>
      </c>
      <c r="E413" s="69">
        <v>6.1132999999999997</v>
      </c>
      <c r="F413" s="69">
        <v>-2.0000000000000001E-4</v>
      </c>
      <c r="G413" s="114">
        <f t="shared" si="78"/>
        <v>6.1133999999999995</v>
      </c>
      <c r="H413" s="69">
        <v>12.239100000000001</v>
      </c>
      <c r="I413" s="69">
        <v>-2.0000000000000001E-4</v>
      </c>
      <c r="J413" s="114">
        <f t="shared" si="79"/>
        <v>12.2392</v>
      </c>
      <c r="K413" s="69">
        <v>13.022399999999999</v>
      </c>
      <c r="L413" s="69">
        <v>1E-4</v>
      </c>
      <c r="M413" s="114">
        <f t="shared" si="80"/>
        <v>13.022349999999999</v>
      </c>
      <c r="N413" s="556"/>
      <c r="O413" s="114">
        <f t="shared" si="81"/>
        <v>6.1258000000000008</v>
      </c>
      <c r="P413" s="114">
        <f t="shared" si="82"/>
        <v>6.9089499999999999</v>
      </c>
      <c r="R413" s="60"/>
    </row>
    <row r="414" spans="1:18" s="530" customFormat="1" ht="19.95" customHeight="1">
      <c r="A414" s="527" t="s">
        <v>187</v>
      </c>
      <c r="B414" s="527" t="str">
        <f t="shared" si="83"/>
        <v>MOOS001a_ii</v>
      </c>
      <c r="C414" s="527"/>
      <c r="D414" s="527" t="s">
        <v>1609</v>
      </c>
      <c r="E414" s="69">
        <v>6.1272000000000002</v>
      </c>
      <c r="F414" s="69">
        <v>0</v>
      </c>
      <c r="G414" s="114">
        <f t="shared" si="78"/>
        <v>6.1272000000000002</v>
      </c>
      <c r="H414" s="69">
        <v>12.2514</v>
      </c>
      <c r="I414" s="69">
        <v>2.0000000000000001E-4</v>
      </c>
      <c r="J414" s="114">
        <f t="shared" si="79"/>
        <v>12.251300000000001</v>
      </c>
      <c r="K414" s="69">
        <v>13.035299999999999</v>
      </c>
      <c r="L414" s="69">
        <v>1E-4</v>
      </c>
      <c r="M414" s="114">
        <f t="shared" si="80"/>
        <v>13.03525</v>
      </c>
      <c r="N414" s="556"/>
      <c r="O414" s="114">
        <f t="shared" si="81"/>
        <v>6.1241000000000003</v>
      </c>
      <c r="P414" s="114">
        <f t="shared" si="82"/>
        <v>6.9080499999999994</v>
      </c>
      <c r="R414" s="60"/>
    </row>
    <row r="415" spans="1:18" s="530" customFormat="1" ht="19.95" customHeight="1">
      <c r="A415" s="527" t="s">
        <v>187</v>
      </c>
      <c r="B415" s="527" t="str">
        <f t="shared" si="83"/>
        <v>MOOS078a_ii</v>
      </c>
      <c r="C415" s="527"/>
      <c r="D415" s="527" t="s">
        <v>1610</v>
      </c>
      <c r="E415" s="69">
        <v>6.1452</v>
      </c>
      <c r="F415" s="69">
        <v>-1E-4</v>
      </c>
      <c r="G415" s="114">
        <f t="shared" si="78"/>
        <v>6.1452499999999999</v>
      </c>
      <c r="H415" s="69">
        <v>12.286899999999999</v>
      </c>
      <c r="I415" s="69">
        <v>0</v>
      </c>
      <c r="J415" s="114">
        <f t="shared" si="79"/>
        <v>12.286899999999999</v>
      </c>
      <c r="K415" s="69">
        <v>13.071099999999999</v>
      </c>
      <c r="L415" s="69">
        <v>0</v>
      </c>
      <c r="M415" s="114">
        <f t="shared" si="80"/>
        <v>13.071099999999999</v>
      </c>
      <c r="N415" s="556"/>
      <c r="O415" s="114">
        <f t="shared" si="81"/>
        <v>6.1416499999999994</v>
      </c>
      <c r="P415" s="114">
        <f t="shared" si="82"/>
        <v>6.9258499999999996</v>
      </c>
      <c r="R415" s="60"/>
    </row>
    <row r="416" spans="1:18" s="530" customFormat="1" ht="19.95" customHeight="1">
      <c r="A416" s="527" t="s">
        <v>187</v>
      </c>
      <c r="B416" s="527" t="str">
        <f t="shared" si="83"/>
        <v>MOOS155a_ii</v>
      </c>
      <c r="C416" s="527"/>
      <c r="D416" s="527" t="s">
        <v>1611</v>
      </c>
      <c r="E416" s="69">
        <v>6.1124999999999998</v>
      </c>
      <c r="F416" s="69">
        <v>-1E-4</v>
      </c>
      <c r="G416" s="114">
        <f t="shared" si="78"/>
        <v>6.1125499999999997</v>
      </c>
      <c r="H416" s="69">
        <v>12.2303</v>
      </c>
      <c r="I416" s="69">
        <v>-1E-4</v>
      </c>
      <c r="J416" s="114">
        <f t="shared" si="79"/>
        <v>12.23035</v>
      </c>
      <c r="K416" s="69">
        <v>13.0138</v>
      </c>
      <c r="L416" s="69">
        <v>1E-4</v>
      </c>
      <c r="M416" s="114">
        <f t="shared" si="80"/>
        <v>13.01375</v>
      </c>
      <c r="N416" s="556"/>
      <c r="O416" s="114">
        <f t="shared" si="81"/>
        <v>6.1177999999999999</v>
      </c>
      <c r="P416" s="114">
        <f t="shared" si="82"/>
        <v>6.9012000000000002</v>
      </c>
      <c r="R416" s="60"/>
    </row>
    <row r="417" spans="1:18" s="530" customFormat="1" ht="19.95" customHeight="1">
      <c r="A417" s="80" t="s">
        <v>187</v>
      </c>
      <c r="B417" s="80" t="str">
        <f t="shared" si="83"/>
        <v>MOOS232a_ii</v>
      </c>
      <c r="C417" s="80"/>
      <c r="D417" s="527" t="s">
        <v>1612</v>
      </c>
      <c r="E417" s="69">
        <v>6.1496000000000004</v>
      </c>
      <c r="F417" s="69">
        <v>0</v>
      </c>
      <c r="G417" s="114">
        <f t="shared" si="78"/>
        <v>6.1496000000000004</v>
      </c>
      <c r="H417" s="69">
        <v>12.2887</v>
      </c>
      <c r="I417" s="69">
        <v>0</v>
      </c>
      <c r="J417" s="114">
        <f t="shared" si="79"/>
        <v>12.2887</v>
      </c>
      <c r="K417" s="69">
        <v>13.072800000000001</v>
      </c>
      <c r="L417" s="69">
        <v>2.0000000000000001E-4</v>
      </c>
      <c r="M417" s="114">
        <f t="shared" si="80"/>
        <v>13.072700000000001</v>
      </c>
      <c r="N417" s="556"/>
      <c r="O417" s="114">
        <f t="shared" si="81"/>
        <v>6.1391</v>
      </c>
      <c r="P417" s="114">
        <f t="shared" si="82"/>
        <v>6.9231000000000007</v>
      </c>
      <c r="R417" s="60"/>
    </row>
    <row r="418" spans="1:18" s="530" customFormat="1" ht="19.95" customHeight="1">
      <c r="A418" s="81" t="s">
        <v>187</v>
      </c>
      <c r="B418" s="81" t="str">
        <f t="shared" si="83"/>
        <v>MOOS310a_ii</v>
      </c>
      <c r="C418" s="81"/>
      <c r="D418" s="529" t="s">
        <v>1613</v>
      </c>
      <c r="E418" s="76">
        <v>6.1204000000000001</v>
      </c>
      <c r="F418" s="76">
        <v>0</v>
      </c>
      <c r="G418" s="122">
        <f t="shared" si="78"/>
        <v>6.1204000000000001</v>
      </c>
      <c r="H418" s="76">
        <v>12.2386</v>
      </c>
      <c r="I418" s="76">
        <v>-2.0000000000000001E-4</v>
      </c>
      <c r="J418" s="122">
        <f t="shared" si="79"/>
        <v>12.2387</v>
      </c>
      <c r="K418" s="76">
        <v>13.0229</v>
      </c>
      <c r="L418" s="76">
        <v>0</v>
      </c>
      <c r="M418" s="122">
        <f t="shared" si="80"/>
        <v>13.0229</v>
      </c>
      <c r="N418" s="557"/>
      <c r="O418" s="122">
        <f t="shared" si="81"/>
        <v>6.1182999999999996</v>
      </c>
      <c r="P418" s="122">
        <f t="shared" si="82"/>
        <v>6.9024999999999999</v>
      </c>
      <c r="R418" s="60"/>
    </row>
    <row r="419" spans="1:18" s="530" customFormat="1" ht="19.95" customHeight="1">
      <c r="A419" s="80" t="s">
        <v>188</v>
      </c>
      <c r="B419" s="80" t="str">
        <f>G105</f>
        <v>SALT-1</v>
      </c>
      <c r="C419" s="80"/>
      <c r="D419" s="527" t="s">
        <v>1588</v>
      </c>
      <c r="E419" s="69">
        <v>6.1394000000000002</v>
      </c>
      <c r="F419" s="69">
        <v>1E-4</v>
      </c>
      <c r="G419" s="114">
        <f t="shared" si="78"/>
        <v>6.1393500000000003</v>
      </c>
      <c r="H419" s="69">
        <v>12.2784</v>
      </c>
      <c r="I419" s="69">
        <v>-2.0000000000000001E-4</v>
      </c>
      <c r="J419" s="114">
        <f t="shared" si="79"/>
        <v>12.278499999999999</v>
      </c>
      <c r="K419" s="69">
        <v>13.0634</v>
      </c>
      <c r="L419" s="69">
        <v>0</v>
      </c>
      <c r="M419" s="114">
        <f t="shared" si="80"/>
        <v>13.0634</v>
      </c>
      <c r="N419" s="556"/>
      <c r="O419" s="114">
        <f t="shared" si="81"/>
        <v>6.139149999999999</v>
      </c>
      <c r="P419" s="114">
        <f t="shared" si="82"/>
        <v>6.9240499999999994</v>
      </c>
      <c r="R419" s="60"/>
    </row>
    <row r="420" spans="1:18" s="530" customFormat="1" ht="19.95" customHeight="1">
      <c r="A420" s="81" t="s">
        <v>188</v>
      </c>
      <c r="B420" s="81" t="str">
        <f>G106</f>
        <v>MOOS-3</v>
      </c>
      <c r="C420" s="81"/>
      <c r="D420" s="529" t="s">
        <v>193</v>
      </c>
      <c r="E420" s="76">
        <v>6.1524999999999999</v>
      </c>
      <c r="F420" s="76">
        <v>0</v>
      </c>
      <c r="G420" s="122">
        <f t="shared" si="78"/>
        <v>6.1524999999999999</v>
      </c>
      <c r="H420" s="76">
        <v>12.3063</v>
      </c>
      <c r="I420" s="76">
        <v>2.0000000000000001E-4</v>
      </c>
      <c r="J420" s="122">
        <f t="shared" si="79"/>
        <v>12.3062</v>
      </c>
      <c r="K420" s="76">
        <v>13.088800000000001</v>
      </c>
      <c r="L420" s="76">
        <v>-1E-4</v>
      </c>
      <c r="M420" s="122">
        <f t="shared" si="80"/>
        <v>13.088850000000001</v>
      </c>
      <c r="N420" s="548">
        <v>45342</v>
      </c>
      <c r="O420" s="122">
        <f t="shared" si="81"/>
        <v>6.1537000000000006</v>
      </c>
      <c r="P420" s="122">
        <f t="shared" si="82"/>
        <v>6.9363500000000009</v>
      </c>
      <c r="R420" s="60"/>
    </row>
    <row r="421" spans="1:18" s="530" customFormat="1" ht="19.95" customHeight="1">
      <c r="A421" s="80"/>
      <c r="B421" s="80"/>
      <c r="C421" s="80"/>
      <c r="D421" s="80"/>
    </row>
    <row r="422" spans="1:18" s="530" customFormat="1" ht="19.95" customHeight="1">
      <c r="A422" s="199" t="s">
        <v>1600</v>
      </c>
      <c r="B422" s="80"/>
      <c r="C422" s="80"/>
      <c r="D422" s="80"/>
    </row>
    <row r="423" spans="1:18" s="530" customFormat="1" ht="19.95" customHeight="1">
      <c r="A423" s="199" t="s">
        <v>1601</v>
      </c>
      <c r="B423" s="80"/>
      <c r="C423" s="80"/>
      <c r="D423" s="80"/>
    </row>
    <row r="424" spans="1:18" s="530" customFormat="1" ht="19.95" customHeight="1">
      <c r="A424" s="80"/>
      <c r="B424" s="80"/>
      <c r="C424" s="80"/>
      <c r="D424" s="80"/>
    </row>
    <row r="425" spans="1:18" s="530" customFormat="1" ht="19.95" customHeight="1">
      <c r="B425" s="80"/>
      <c r="C425" s="80"/>
      <c r="D425" s="80"/>
    </row>
    <row r="426" spans="1:18" s="530" customFormat="1" ht="19.95" customHeight="1">
      <c r="A426" s="560" t="s">
        <v>1614</v>
      </c>
      <c r="B426" s="80"/>
      <c r="C426" s="80"/>
      <c r="D426" s="80"/>
    </row>
    <row r="427" spans="1:18" s="530" customFormat="1" ht="19.95" customHeight="1">
      <c r="A427" s="80"/>
      <c r="B427" s="80"/>
      <c r="C427" s="80"/>
      <c r="D427" s="80"/>
    </row>
    <row r="428" spans="1:18" s="530" customFormat="1" ht="19.95" customHeight="1">
      <c r="A428" s="80"/>
      <c r="B428" s="80"/>
      <c r="C428" s="80"/>
      <c r="D428" s="80"/>
    </row>
    <row r="429" spans="1:18" s="530" customFormat="1" ht="19.95" customHeight="1">
      <c r="A429" s="199" t="s">
        <v>1615</v>
      </c>
      <c r="B429" s="80"/>
      <c r="C429" s="80"/>
      <c r="D429" s="80"/>
    </row>
    <row r="430" spans="1:18" s="530" customFormat="1" ht="19.95" customHeight="1">
      <c r="A430" s="199" t="s">
        <v>1616</v>
      </c>
      <c r="B430" s="80"/>
      <c r="C430" s="80"/>
      <c r="D430" s="80"/>
    </row>
    <row r="431" spans="1:18" s="530" customFormat="1" ht="19.95" customHeight="1">
      <c r="A431" s="199" t="s">
        <v>1585</v>
      </c>
      <c r="B431" s="80"/>
      <c r="C431" s="80"/>
      <c r="D431" s="80"/>
    </row>
    <row r="432" spans="1:18" s="530" customFormat="1" ht="19.95" customHeight="1">
      <c r="A432" s="199" t="s">
        <v>1617</v>
      </c>
      <c r="B432" s="80"/>
      <c r="C432" s="80"/>
      <c r="D432" s="80"/>
    </row>
    <row r="433" spans="1:25" s="571" customFormat="1" ht="19.95" customHeight="1">
      <c r="A433" s="199"/>
      <c r="B433" s="80"/>
      <c r="C433" s="80"/>
      <c r="D433" s="80"/>
    </row>
    <row r="434" spans="1:25" s="129" customFormat="1" ht="19.95" customHeight="1">
      <c r="A434" s="128" t="s">
        <v>1564</v>
      </c>
    </row>
    <row r="435" spans="1:25" s="129" customFormat="1" ht="19.95" customHeight="1">
      <c r="A435" s="128"/>
    </row>
    <row r="436" spans="1:25" s="129" customFormat="1" ht="19.95" customHeight="1">
      <c r="A436" s="104"/>
      <c r="B436" s="89" t="s">
        <v>158</v>
      </c>
      <c r="D436" s="89" t="s">
        <v>2156</v>
      </c>
      <c r="F436" s="89" t="s">
        <v>2167</v>
      </c>
      <c r="H436" s="89" t="s">
        <v>2158</v>
      </c>
      <c r="P436" s="89" t="s">
        <v>176</v>
      </c>
    </row>
    <row r="437" spans="1:25" s="129" customFormat="1" ht="19.95" customHeight="1">
      <c r="A437" s="89" t="s">
        <v>157</v>
      </c>
      <c r="B437" s="89" t="s">
        <v>1557</v>
      </c>
      <c r="C437" s="89" t="s">
        <v>1558</v>
      </c>
      <c r="D437" s="129" t="s">
        <v>169</v>
      </c>
      <c r="E437" s="129" t="s">
        <v>170</v>
      </c>
      <c r="F437" s="129" t="s">
        <v>169</v>
      </c>
      <c r="G437" s="129" t="s">
        <v>170</v>
      </c>
      <c r="H437" s="129" t="s">
        <v>169</v>
      </c>
      <c r="I437" s="129" t="s">
        <v>170</v>
      </c>
      <c r="J437" s="89" t="s">
        <v>140</v>
      </c>
      <c r="K437" s="89" t="s">
        <v>2153</v>
      </c>
      <c r="L437" s="89" t="s">
        <v>2154</v>
      </c>
      <c r="M437" s="105" t="s">
        <v>2171</v>
      </c>
      <c r="N437" s="105" t="s">
        <v>2172</v>
      </c>
      <c r="O437" s="105" t="s">
        <v>2173</v>
      </c>
      <c r="P437" s="89" t="s">
        <v>1557</v>
      </c>
      <c r="Q437" s="89" t="s">
        <v>1558</v>
      </c>
      <c r="R437" s="89" t="s">
        <v>179</v>
      </c>
      <c r="S437" s="89" t="s">
        <v>159</v>
      </c>
      <c r="T437" s="89" t="s">
        <v>160</v>
      </c>
      <c r="U437" s="89" t="s">
        <v>161</v>
      </c>
      <c r="V437" s="89" t="s">
        <v>79</v>
      </c>
      <c r="W437" s="89" t="s">
        <v>80</v>
      </c>
      <c r="X437" s="89" t="s">
        <v>3</v>
      </c>
      <c r="Y437" s="89" t="s">
        <v>75</v>
      </c>
    </row>
    <row r="438" spans="1:25" s="129" customFormat="1" ht="19.95" customHeight="1">
      <c r="A438" s="576" t="s">
        <v>162</v>
      </c>
      <c r="B438" s="576" t="s">
        <v>156</v>
      </c>
      <c r="C438" s="576" t="s">
        <v>156</v>
      </c>
      <c r="D438" s="576" t="s">
        <v>64</v>
      </c>
      <c r="E438" s="576" t="s">
        <v>64</v>
      </c>
      <c r="F438" s="576" t="s">
        <v>64</v>
      </c>
      <c r="G438" s="576" t="s">
        <v>64</v>
      </c>
      <c r="H438" s="576" t="s">
        <v>64</v>
      </c>
      <c r="I438" s="576" t="s">
        <v>64</v>
      </c>
      <c r="J438" s="576" t="s">
        <v>64</v>
      </c>
      <c r="K438" s="576" t="s">
        <v>64</v>
      </c>
      <c r="L438" s="576" t="s">
        <v>64</v>
      </c>
      <c r="M438" s="576" t="s">
        <v>64</v>
      </c>
      <c r="N438" s="576" t="s">
        <v>64</v>
      </c>
      <c r="O438" s="576" t="s">
        <v>64</v>
      </c>
      <c r="P438" s="576" t="s">
        <v>156</v>
      </c>
      <c r="Q438" s="576" t="s">
        <v>156</v>
      </c>
      <c r="R438" s="576" t="s">
        <v>74</v>
      </c>
      <c r="S438" s="576"/>
      <c r="T438" s="576" t="s">
        <v>163</v>
      </c>
      <c r="U438" s="576" t="s">
        <v>163</v>
      </c>
      <c r="V438" s="576" t="s">
        <v>92</v>
      </c>
      <c r="W438" s="576" t="s">
        <v>74</v>
      </c>
      <c r="X438" s="576" t="s">
        <v>90</v>
      </c>
      <c r="Y438" s="576" t="s">
        <v>91</v>
      </c>
    </row>
    <row r="439" spans="1:25" s="129" customFormat="1" ht="19.95" customHeight="1">
      <c r="A439" s="513" t="s">
        <v>1634</v>
      </c>
      <c r="B439" s="544">
        <f>pSiO2v</f>
        <v>21432.06367811999</v>
      </c>
      <c r="C439" s="544">
        <v>0</v>
      </c>
      <c r="D439" s="539">
        <v>8.1639999999999997</v>
      </c>
      <c r="E439" s="539">
        <v>0</v>
      </c>
      <c r="F439" s="539">
        <v>8.8962000000000003</v>
      </c>
      <c r="G439" s="539">
        <v>-2.9999999999999997E-4</v>
      </c>
      <c r="H439" s="539">
        <v>35.004800000000003</v>
      </c>
      <c r="I439" s="539">
        <v>0</v>
      </c>
      <c r="J439" s="112">
        <f>D439-E439/2</f>
        <v>8.1639999999999997</v>
      </c>
      <c r="K439" s="112">
        <f>F439-G439/2</f>
        <v>8.89635</v>
      </c>
      <c r="L439" s="112">
        <f>H439-I439/2</f>
        <v>35.004800000000003</v>
      </c>
      <c r="M439" s="576">
        <f>u_m1</f>
        <v>2.0000000000000001E-4</v>
      </c>
      <c r="N439" s="576">
        <f>u_m1</f>
        <v>2.0000000000000001E-4</v>
      </c>
      <c r="O439" s="576">
        <f>u_m1</f>
        <v>2.0000000000000001E-4</v>
      </c>
      <c r="P439" s="545" cm="1">
        <f t="array" ref="P439:Q439">WnA1S(B439:C439,J439:L439,M439:O439)</f>
        <v>584.77287691392132</v>
      </c>
      <c r="Q439" s="545">
        <v>0.22593063744220374</v>
      </c>
      <c r="R439" s="513" t="s">
        <v>2155</v>
      </c>
      <c r="S439" s="513" t="s">
        <v>196</v>
      </c>
      <c r="T439" s="541">
        <v>20240221</v>
      </c>
      <c r="U439" s="513">
        <f>T439+1</f>
        <v>20240222</v>
      </c>
      <c r="V439" s="541">
        <v>21.5</v>
      </c>
      <c r="W439" s="541">
        <v>13.9</v>
      </c>
      <c r="X439" s="513" t="s">
        <v>101</v>
      </c>
      <c r="Y439" s="513" t="s">
        <v>94</v>
      </c>
    </row>
    <row r="440" spans="1:25" s="129" customFormat="1" ht="19.95" customHeight="1">
      <c r="A440" s="80" t="s">
        <v>1635</v>
      </c>
    </row>
    <row r="441" spans="1:25" s="129" customFormat="1" ht="19.95" customHeight="1">
      <c r="A441" s="128"/>
    </row>
    <row r="442" spans="1:25" s="129" customFormat="1" ht="19.95" customHeight="1">
      <c r="A442" s="128" t="s">
        <v>1636</v>
      </c>
    </row>
    <row r="443" spans="1:25" s="129" customFormat="1" ht="19.95" customHeight="1">
      <c r="A443" s="128"/>
    </row>
    <row r="444" spans="1:25" s="129" customFormat="1" ht="19.95" customHeight="1">
      <c r="A444" s="104"/>
      <c r="B444" s="89" t="s">
        <v>158</v>
      </c>
      <c r="D444" s="89" t="s">
        <v>2156</v>
      </c>
      <c r="F444" s="89" t="s">
        <v>2167</v>
      </c>
      <c r="H444" s="89" t="s">
        <v>2168</v>
      </c>
      <c r="P444" s="89" t="s">
        <v>176</v>
      </c>
    </row>
    <row r="445" spans="1:25" s="129" customFormat="1" ht="19.95" customHeight="1">
      <c r="A445" s="89" t="s">
        <v>157</v>
      </c>
      <c r="B445" s="89" t="s">
        <v>1557</v>
      </c>
      <c r="C445" s="89" t="s">
        <v>1558</v>
      </c>
      <c r="D445" s="129" t="s">
        <v>169</v>
      </c>
      <c r="E445" s="129" t="s">
        <v>170</v>
      </c>
      <c r="F445" s="129" t="s">
        <v>169</v>
      </c>
      <c r="G445" s="129" t="s">
        <v>170</v>
      </c>
      <c r="H445" s="129" t="s">
        <v>169</v>
      </c>
      <c r="I445" s="129" t="s">
        <v>170</v>
      </c>
      <c r="J445" s="89" t="s">
        <v>140</v>
      </c>
      <c r="K445" s="89" t="s">
        <v>2153</v>
      </c>
      <c r="L445" s="89" t="s">
        <v>2154</v>
      </c>
      <c r="M445" s="105" t="s">
        <v>2171</v>
      </c>
      <c r="N445" s="105" t="s">
        <v>2172</v>
      </c>
      <c r="O445" s="105" t="s">
        <v>2173</v>
      </c>
      <c r="P445" s="89" t="s">
        <v>1557</v>
      </c>
      <c r="Q445" s="89" t="s">
        <v>1558</v>
      </c>
      <c r="R445" s="89" t="s">
        <v>179</v>
      </c>
      <c r="S445" s="89" t="s">
        <v>159</v>
      </c>
      <c r="T445" s="89" t="s">
        <v>160</v>
      </c>
      <c r="U445" s="89" t="s">
        <v>161</v>
      </c>
      <c r="V445" s="89" t="s">
        <v>79</v>
      </c>
      <c r="W445" s="89" t="s">
        <v>80</v>
      </c>
      <c r="X445" s="89" t="s">
        <v>3</v>
      </c>
      <c r="Y445" s="89" t="s">
        <v>75</v>
      </c>
    </row>
    <row r="446" spans="1:25" s="129" customFormat="1" ht="19.95" customHeight="1">
      <c r="A446" s="576" t="s">
        <v>162</v>
      </c>
      <c r="B446" s="576" t="s">
        <v>156</v>
      </c>
      <c r="C446" s="576" t="s">
        <v>156</v>
      </c>
      <c r="D446" s="576" t="s">
        <v>64</v>
      </c>
      <c r="E446" s="576" t="s">
        <v>64</v>
      </c>
      <c r="F446" s="576" t="s">
        <v>64</v>
      </c>
      <c r="G446" s="576" t="s">
        <v>64</v>
      </c>
      <c r="H446" s="576" t="s">
        <v>64</v>
      </c>
      <c r="I446" s="576" t="s">
        <v>64</v>
      </c>
      <c r="J446" s="576" t="s">
        <v>64</v>
      </c>
      <c r="K446" s="576" t="s">
        <v>64</v>
      </c>
      <c r="L446" s="576" t="s">
        <v>64</v>
      </c>
      <c r="M446" s="576" t="s">
        <v>64</v>
      </c>
      <c r="N446" s="576" t="s">
        <v>64</v>
      </c>
      <c r="O446" s="576" t="s">
        <v>64</v>
      </c>
      <c r="P446" s="576" t="s">
        <v>156</v>
      </c>
      <c r="Q446" s="576" t="s">
        <v>156</v>
      </c>
      <c r="R446" s="576" t="s">
        <v>74</v>
      </c>
      <c r="S446" s="576"/>
      <c r="T446" s="576" t="s">
        <v>163</v>
      </c>
      <c r="U446" s="576" t="s">
        <v>163</v>
      </c>
      <c r="V446" s="576" t="s">
        <v>92</v>
      </c>
      <c r="W446" s="576" t="s">
        <v>74</v>
      </c>
      <c r="X446" s="576" t="s">
        <v>90</v>
      </c>
      <c r="Y446" s="576" t="s">
        <v>91</v>
      </c>
    </row>
    <row r="447" spans="1:25" s="129" customFormat="1" ht="19.95" customHeight="1">
      <c r="A447" s="513" t="s">
        <v>1637</v>
      </c>
      <c r="B447" s="538">
        <f>P439</f>
        <v>584.77287691392132</v>
      </c>
      <c r="C447" s="538">
        <f>Q439</f>
        <v>0.22593063744220374</v>
      </c>
      <c r="D447" s="539">
        <v>8.2660999999999998</v>
      </c>
      <c r="E447" s="539">
        <v>0</v>
      </c>
      <c r="F447" s="539">
        <v>8.8163</v>
      </c>
      <c r="G447" s="539">
        <v>-1E-4</v>
      </c>
      <c r="H447" s="539">
        <v>35.426299999999998</v>
      </c>
      <c r="I447" s="539">
        <v>0</v>
      </c>
      <c r="J447" s="112">
        <f>D447-E447/2</f>
        <v>8.2660999999999998</v>
      </c>
      <c r="K447" s="112">
        <f>F447-G447/2</f>
        <v>8.8163499999999999</v>
      </c>
      <c r="L447" s="112">
        <f>H447-I447/2</f>
        <v>35.426299999999998</v>
      </c>
      <c r="M447" s="576">
        <f>u_m1</f>
        <v>2.0000000000000001E-4</v>
      </c>
      <c r="N447" s="576">
        <f>u_m1</f>
        <v>2.0000000000000001E-4</v>
      </c>
      <c r="O447" s="122">
        <f>u_m2</f>
        <v>2E-3</v>
      </c>
      <c r="P447" s="717" cm="1">
        <f t="array" ref="P447:Q447">WnA1S(B447:C447,J447:L447,M447:O447)</f>
        <v>11.847161490780087</v>
      </c>
      <c r="Q447" s="717">
        <v>7.6684209700424808E-3</v>
      </c>
      <c r="R447" s="513" t="s">
        <v>2155</v>
      </c>
      <c r="S447" s="513" t="s">
        <v>196</v>
      </c>
      <c r="T447" s="541">
        <v>20240221</v>
      </c>
      <c r="U447" s="513">
        <f>T447+1</f>
        <v>20240222</v>
      </c>
      <c r="V447" s="541">
        <v>21.5</v>
      </c>
      <c r="W447" s="541">
        <v>13.9</v>
      </c>
      <c r="X447" s="513" t="s">
        <v>101</v>
      </c>
      <c r="Y447" s="513" t="s">
        <v>94</v>
      </c>
    </row>
    <row r="448" spans="1:25" s="129" customFormat="1" ht="19.95" customHeight="1">
      <c r="A448" s="80" t="s">
        <v>1635</v>
      </c>
      <c r="L448" s="588"/>
    </row>
    <row r="449" spans="1:25" s="129" customFormat="1" ht="19.95" customHeight="1">
      <c r="A449" s="128"/>
    </row>
    <row r="450" spans="1:25" s="129" customFormat="1" ht="19.95" customHeight="1">
      <c r="A450" s="104"/>
      <c r="B450" s="89" t="s">
        <v>158</v>
      </c>
      <c r="D450" s="89" t="s">
        <v>2156</v>
      </c>
      <c r="F450" s="89" t="s">
        <v>2167</v>
      </c>
      <c r="H450" s="89" t="s">
        <v>2168</v>
      </c>
      <c r="P450" s="89" t="s">
        <v>176</v>
      </c>
    </row>
    <row r="451" spans="1:25" s="129" customFormat="1" ht="19.95" customHeight="1">
      <c r="A451" s="89" t="s">
        <v>157</v>
      </c>
      <c r="B451" s="89" t="s">
        <v>1557</v>
      </c>
      <c r="C451" s="89" t="s">
        <v>1558</v>
      </c>
      <c r="D451" s="129" t="s">
        <v>169</v>
      </c>
      <c r="E451" s="129" t="s">
        <v>170</v>
      </c>
      <c r="F451" s="129" t="s">
        <v>169</v>
      </c>
      <c r="G451" s="129" t="s">
        <v>170</v>
      </c>
      <c r="H451" s="129" t="s">
        <v>169</v>
      </c>
      <c r="I451" s="129" t="s">
        <v>170</v>
      </c>
      <c r="J451" s="89" t="s">
        <v>140</v>
      </c>
      <c r="K451" s="89" t="s">
        <v>2153</v>
      </c>
      <c r="L451" s="89" t="s">
        <v>2154</v>
      </c>
      <c r="M451" s="105" t="s">
        <v>2171</v>
      </c>
      <c r="N451" s="105" t="s">
        <v>2172</v>
      </c>
      <c r="O451" s="105" t="s">
        <v>2173</v>
      </c>
      <c r="P451" s="89" t="s">
        <v>1557</v>
      </c>
      <c r="Q451" s="89" t="s">
        <v>1558</v>
      </c>
      <c r="R451" s="89" t="s">
        <v>179</v>
      </c>
      <c r="S451" s="89" t="s">
        <v>159</v>
      </c>
      <c r="T451" s="89" t="s">
        <v>160</v>
      </c>
      <c r="U451" s="89" t="s">
        <v>161</v>
      </c>
      <c r="V451" s="89" t="s">
        <v>79</v>
      </c>
      <c r="W451" s="89" t="s">
        <v>80</v>
      </c>
      <c r="X451" s="89" t="s">
        <v>3</v>
      </c>
      <c r="Y451" s="89" t="s">
        <v>75</v>
      </c>
    </row>
    <row r="452" spans="1:25" s="129" customFormat="1" ht="19.95" customHeight="1">
      <c r="A452" s="576" t="s">
        <v>162</v>
      </c>
      <c r="B452" s="576" t="s">
        <v>156</v>
      </c>
      <c r="C452" s="576" t="s">
        <v>156</v>
      </c>
      <c r="D452" s="576" t="s">
        <v>64</v>
      </c>
      <c r="E452" s="576" t="s">
        <v>64</v>
      </c>
      <c r="F452" s="576" t="s">
        <v>64</v>
      </c>
      <c r="G452" s="576" t="s">
        <v>64</v>
      </c>
      <c r="H452" s="576" t="s">
        <v>64</v>
      </c>
      <c r="I452" s="576" t="s">
        <v>64</v>
      </c>
      <c r="J452" s="576" t="s">
        <v>64</v>
      </c>
      <c r="K452" s="576" t="s">
        <v>64</v>
      </c>
      <c r="L452" s="576" t="s">
        <v>64</v>
      </c>
      <c r="M452" s="576" t="s">
        <v>64</v>
      </c>
      <c r="N452" s="576" t="s">
        <v>64</v>
      </c>
      <c r="O452" s="576" t="s">
        <v>64</v>
      </c>
      <c r="P452" s="576" t="s">
        <v>156</v>
      </c>
      <c r="Q452" s="576" t="s">
        <v>156</v>
      </c>
      <c r="R452" s="576" t="s">
        <v>74</v>
      </c>
      <c r="S452" s="576"/>
      <c r="T452" s="576" t="s">
        <v>163</v>
      </c>
      <c r="U452" s="576" t="s">
        <v>163</v>
      </c>
      <c r="V452" s="576" t="s">
        <v>92</v>
      </c>
      <c r="W452" s="576" t="s">
        <v>74</v>
      </c>
      <c r="X452" s="576" t="s">
        <v>90</v>
      </c>
      <c r="Y452" s="576" t="s">
        <v>91</v>
      </c>
    </row>
    <row r="453" spans="1:25" s="129" customFormat="1" ht="19.95" customHeight="1">
      <c r="A453" s="578" t="s">
        <v>1638</v>
      </c>
      <c r="B453" s="581">
        <f>P447</f>
        <v>11.847161490780087</v>
      </c>
      <c r="C453" s="581">
        <f>Q447</f>
        <v>7.6684209700424808E-3</v>
      </c>
      <c r="D453" s="67">
        <v>8.2067999999999994</v>
      </c>
      <c r="E453" s="67">
        <v>-1E-4</v>
      </c>
      <c r="F453" s="67">
        <v>8.7209000000000003</v>
      </c>
      <c r="G453" s="67">
        <v>-1E-4</v>
      </c>
      <c r="H453" s="67">
        <v>36.756599999999999</v>
      </c>
      <c r="I453" s="67">
        <v>1E-4</v>
      </c>
      <c r="J453" s="512">
        <f t="shared" ref="J453:J458" si="84">D453-E453/2</f>
        <v>8.2068499999999993</v>
      </c>
      <c r="K453" s="512">
        <f t="shared" ref="K453:K458" si="85">F453-G453/2</f>
        <v>8.7209500000000002</v>
      </c>
      <c r="L453" s="512">
        <f t="shared" ref="L453:L458" si="86">H453-I453/2</f>
        <v>36.756549999999997</v>
      </c>
      <c r="M453" s="575">
        <f t="shared" ref="M453:N458" si="87">u_m1</f>
        <v>2.0000000000000001E-4</v>
      </c>
      <c r="N453" s="575">
        <f t="shared" si="87"/>
        <v>2.0000000000000001E-4</v>
      </c>
      <c r="O453" s="114">
        <f t="shared" ref="O453:O458" si="88">u_m2</f>
        <v>2E-3</v>
      </c>
      <c r="P453" s="584" cm="1">
        <f t="array" ref="P453:Q453">WnA1S(B453:C453,J453:L453,M453:O453)</f>
        <v>0.21333414089850519</v>
      </c>
      <c r="Q453" s="584">
        <v>1.8184962768054669E-4</v>
      </c>
      <c r="R453" s="572">
        <f>P453/R147</f>
        <v>1.0070056214232013</v>
      </c>
      <c r="S453" s="578" t="s">
        <v>196</v>
      </c>
      <c r="T453" s="108">
        <v>20240221</v>
      </c>
      <c r="U453" s="578">
        <f>T453+1</f>
        <v>20240222</v>
      </c>
      <c r="V453" s="108">
        <v>21.5</v>
      </c>
      <c r="W453" s="108">
        <v>13.9</v>
      </c>
      <c r="X453" s="578" t="s">
        <v>101</v>
      </c>
      <c r="Y453" s="578" t="s">
        <v>94</v>
      </c>
    </row>
    <row r="454" spans="1:25" s="129" customFormat="1" ht="19.95" customHeight="1">
      <c r="A454" s="575" t="s">
        <v>1639</v>
      </c>
      <c r="B454" s="582">
        <f>B453</f>
        <v>11.847161490780087</v>
      </c>
      <c r="C454" s="582">
        <f>C453</f>
        <v>7.6684209700424808E-3</v>
      </c>
      <c r="D454" s="69">
        <v>8.1531000000000002</v>
      </c>
      <c r="E454" s="69">
        <v>0</v>
      </c>
      <c r="F454" s="69">
        <v>8.9245999999999999</v>
      </c>
      <c r="G454" s="69">
        <v>0</v>
      </c>
      <c r="H454" s="69">
        <v>37.291699999999999</v>
      </c>
      <c r="I454" s="69">
        <v>1E-4</v>
      </c>
      <c r="J454" s="114">
        <f t="shared" si="84"/>
        <v>8.1531000000000002</v>
      </c>
      <c r="K454" s="114">
        <f t="shared" si="85"/>
        <v>8.9245999999999999</v>
      </c>
      <c r="L454" s="114">
        <f t="shared" si="86"/>
        <v>37.291649999999997</v>
      </c>
      <c r="M454" s="575">
        <f t="shared" si="87"/>
        <v>2.0000000000000001E-4</v>
      </c>
      <c r="N454" s="575">
        <f t="shared" si="87"/>
        <v>2.0000000000000001E-4</v>
      </c>
      <c r="O454" s="114">
        <f t="shared" si="88"/>
        <v>2E-3</v>
      </c>
      <c r="P454" s="119" cm="1">
        <f t="array" ref="P454:Q454">WnA1S(B454:C454,J454:L454,M454:O454)</f>
        <v>0.3136767303155728</v>
      </c>
      <c r="Q454" s="119">
        <v>2.3434284536153616E-4</v>
      </c>
      <c r="R454" s="471">
        <f>P454/R148</f>
        <v>0.98710323441294245</v>
      </c>
      <c r="S454" s="575" t="s">
        <v>196</v>
      </c>
      <c r="T454" s="106">
        <v>20240221</v>
      </c>
      <c r="U454" s="575">
        <f t="shared" ref="U454:U458" si="89">T454+1</f>
        <v>20240222</v>
      </c>
      <c r="V454" s="106">
        <v>21.5</v>
      </c>
      <c r="W454" s="106">
        <v>13.9</v>
      </c>
      <c r="X454" s="575" t="s">
        <v>101</v>
      </c>
      <c r="Y454" s="575" t="s">
        <v>94</v>
      </c>
    </row>
    <row r="455" spans="1:25" s="129" customFormat="1" ht="19.95" customHeight="1">
      <c r="A455" s="575" t="s">
        <v>1640</v>
      </c>
      <c r="B455" s="582">
        <f t="shared" ref="B455:C458" si="90">B454</f>
        <v>11.847161490780087</v>
      </c>
      <c r="C455" s="582">
        <f t="shared" si="90"/>
        <v>7.6684209700424808E-3</v>
      </c>
      <c r="D455" s="69">
        <v>8.2683999999999997</v>
      </c>
      <c r="E455" s="69">
        <v>0</v>
      </c>
      <c r="F455" s="69">
        <v>9.2920999999999996</v>
      </c>
      <c r="G455" s="69">
        <v>0</v>
      </c>
      <c r="H455" s="69">
        <v>37.617600000000003</v>
      </c>
      <c r="I455" s="69">
        <v>2.9999999999999997E-4</v>
      </c>
      <c r="J455" s="114">
        <f t="shared" si="84"/>
        <v>8.2683999999999997</v>
      </c>
      <c r="K455" s="114">
        <f t="shared" si="85"/>
        <v>9.2920999999999996</v>
      </c>
      <c r="L455" s="114">
        <f t="shared" si="86"/>
        <v>37.617450000000005</v>
      </c>
      <c r="M455" s="575">
        <f t="shared" si="87"/>
        <v>2.0000000000000001E-4</v>
      </c>
      <c r="N455" s="575">
        <f t="shared" si="87"/>
        <v>2.0000000000000001E-4</v>
      </c>
      <c r="O455" s="114">
        <f t="shared" si="88"/>
        <v>2E-3</v>
      </c>
      <c r="P455" s="119" cm="1">
        <f t="array" ref="P455:Q455">WnA1S(B455:C455,J455:L455,M455:O455)</f>
        <v>0.4132310660178633</v>
      </c>
      <c r="Q455" s="119">
        <v>2.9219826262640578E-4</v>
      </c>
      <c r="R455" s="471">
        <f>P455/R149</f>
        <v>0.97529163563338039</v>
      </c>
      <c r="S455" s="575" t="s">
        <v>196</v>
      </c>
      <c r="T455" s="106">
        <v>20240221</v>
      </c>
      <c r="U455" s="575">
        <f t="shared" si="89"/>
        <v>20240222</v>
      </c>
      <c r="V455" s="106">
        <v>21.5</v>
      </c>
      <c r="W455" s="106">
        <v>13.9</v>
      </c>
      <c r="X455" s="575" t="s">
        <v>101</v>
      </c>
      <c r="Y455" s="575" t="s">
        <v>94</v>
      </c>
    </row>
    <row r="456" spans="1:25" s="129" customFormat="1" ht="19.95" customHeight="1">
      <c r="A456" s="575" t="s">
        <v>1641</v>
      </c>
      <c r="B456" s="582">
        <f t="shared" si="90"/>
        <v>11.847161490780087</v>
      </c>
      <c r="C456" s="582">
        <f t="shared" si="90"/>
        <v>7.6684209700424808E-3</v>
      </c>
      <c r="D456" s="69">
        <v>8.2666000000000004</v>
      </c>
      <c r="E456" s="69">
        <v>0</v>
      </c>
      <c r="F456" s="69">
        <v>9.8103999999999996</v>
      </c>
      <c r="G456" s="69">
        <v>-1E-4</v>
      </c>
      <c r="H456" s="69">
        <v>37.5717</v>
      </c>
      <c r="I456" s="69">
        <v>2.0000000000000001E-4</v>
      </c>
      <c r="J456" s="114">
        <f t="shared" si="84"/>
        <v>8.2666000000000004</v>
      </c>
      <c r="K456" s="114">
        <f t="shared" si="85"/>
        <v>9.8104499999999994</v>
      </c>
      <c r="L456" s="114">
        <f t="shared" si="86"/>
        <v>37.571599999999997</v>
      </c>
      <c r="M456" s="575">
        <f t="shared" si="87"/>
        <v>2.0000000000000001E-4</v>
      </c>
      <c r="N456" s="575">
        <f t="shared" si="87"/>
        <v>2.0000000000000001E-4</v>
      </c>
      <c r="O456" s="114">
        <f t="shared" si="88"/>
        <v>2E-3</v>
      </c>
      <c r="P456" s="119" cm="1">
        <f t="array" ref="P456:Q456">WnA1S(B456:C456,J456:L456,M456:O456)</f>
        <v>0.62413377469854381</v>
      </c>
      <c r="Q456" s="119">
        <v>4.2203588805543661E-4</v>
      </c>
      <c r="R456" s="471">
        <f>P456/R150</f>
        <v>0.9820372507254248</v>
      </c>
      <c r="S456" s="575" t="s">
        <v>196</v>
      </c>
      <c r="T456" s="106">
        <v>20240221</v>
      </c>
      <c r="U456" s="575">
        <f t="shared" si="89"/>
        <v>20240222</v>
      </c>
      <c r="V456" s="106">
        <v>21.5</v>
      </c>
      <c r="W456" s="106">
        <v>13.9</v>
      </c>
      <c r="X456" s="575" t="s">
        <v>101</v>
      </c>
      <c r="Y456" s="575" t="s">
        <v>94</v>
      </c>
    </row>
    <row r="457" spans="1:25" s="129" customFormat="1" ht="19.95" customHeight="1">
      <c r="A457" s="576" t="s">
        <v>1642</v>
      </c>
      <c r="B457" s="583">
        <f t="shared" si="90"/>
        <v>11.847161490780087</v>
      </c>
      <c r="C457" s="583">
        <f t="shared" si="90"/>
        <v>7.6684209700424808E-3</v>
      </c>
      <c r="D457" s="76">
        <v>8.2035999999999998</v>
      </c>
      <c r="E457" s="76">
        <v>1E-4</v>
      </c>
      <c r="F457" s="76">
        <v>10.255000000000001</v>
      </c>
      <c r="G457" s="76">
        <v>-2.0000000000000001E-4</v>
      </c>
      <c r="H457" s="76">
        <v>37.790500000000002</v>
      </c>
      <c r="I457" s="76">
        <v>0</v>
      </c>
      <c r="J457" s="122">
        <f t="shared" si="84"/>
        <v>8.2035499999999999</v>
      </c>
      <c r="K457" s="122">
        <f t="shared" si="85"/>
        <v>10.255100000000001</v>
      </c>
      <c r="L457" s="122">
        <f t="shared" si="86"/>
        <v>37.790500000000002</v>
      </c>
      <c r="M457" s="576">
        <f t="shared" si="87"/>
        <v>2.0000000000000001E-4</v>
      </c>
      <c r="N457" s="576">
        <f t="shared" si="87"/>
        <v>2.0000000000000001E-4</v>
      </c>
      <c r="O457" s="122">
        <f t="shared" si="88"/>
        <v>2E-3</v>
      </c>
      <c r="P457" s="186" cm="1">
        <f t="array" ref="P457:Q457">WnA1S(B457:C457,J457:L457,M457:O457)</f>
        <v>0.82147852875710048</v>
      </c>
      <c r="Q457" s="186">
        <v>5.4651045135585444E-4</v>
      </c>
      <c r="R457" s="472">
        <f>P457/R151</f>
        <v>0.96941058385308054</v>
      </c>
      <c r="S457" s="576" t="s">
        <v>196</v>
      </c>
      <c r="T457" s="125">
        <v>20240221</v>
      </c>
      <c r="U457" s="576">
        <f t="shared" si="89"/>
        <v>20240222</v>
      </c>
      <c r="V457" s="125">
        <v>21.5</v>
      </c>
      <c r="W457" s="125">
        <v>13.9</v>
      </c>
      <c r="X457" s="576" t="s">
        <v>101</v>
      </c>
      <c r="Y457" s="576" t="s">
        <v>94</v>
      </c>
    </row>
    <row r="458" spans="1:25" s="129" customFormat="1" ht="19.95" customHeight="1">
      <c r="A458" s="576" t="s">
        <v>1643</v>
      </c>
      <c r="B458" s="583">
        <f t="shared" si="90"/>
        <v>11.847161490780087</v>
      </c>
      <c r="C458" s="583">
        <f t="shared" si="90"/>
        <v>7.6684209700424808E-3</v>
      </c>
      <c r="D458" s="76">
        <v>8.2309999999999999</v>
      </c>
      <c r="E458" s="76">
        <v>0</v>
      </c>
      <c r="F458" s="76">
        <v>14.3393</v>
      </c>
      <c r="G458" s="76">
        <v>-1E-4</v>
      </c>
      <c r="H458" s="76">
        <v>39.6892</v>
      </c>
      <c r="I458" s="76">
        <v>2.9999999999999997E-4</v>
      </c>
      <c r="J458" s="122">
        <f t="shared" si="84"/>
        <v>8.2309999999999999</v>
      </c>
      <c r="K458" s="122">
        <f t="shared" si="85"/>
        <v>14.33935</v>
      </c>
      <c r="L458" s="122">
        <f t="shared" si="86"/>
        <v>39.689050000000002</v>
      </c>
      <c r="M458" s="576">
        <f t="shared" si="87"/>
        <v>2.0000000000000001E-4</v>
      </c>
      <c r="N458" s="576">
        <f t="shared" si="87"/>
        <v>2.0000000000000001E-4</v>
      </c>
      <c r="O458" s="122">
        <f t="shared" si="88"/>
        <v>2E-3</v>
      </c>
      <c r="P458" s="455" cm="1">
        <f t="array" ref="P458:Q458">WnA1S(B458:C458,J458:L458,M458:O458)</f>
        <v>2.3004162334348934</v>
      </c>
      <c r="Q458" s="455">
        <v>1.5000351615600432E-3</v>
      </c>
      <c r="R458" s="472">
        <f>P458/1.9</f>
        <v>1.210745386018365</v>
      </c>
      <c r="S458" s="576" t="s">
        <v>196</v>
      </c>
      <c r="T458" s="125">
        <v>20240221</v>
      </c>
      <c r="U458" s="576">
        <f t="shared" si="89"/>
        <v>20240222</v>
      </c>
      <c r="V458" s="125">
        <v>21.5</v>
      </c>
      <c r="W458" s="125">
        <v>13.9</v>
      </c>
      <c r="X458" s="576" t="s">
        <v>101</v>
      </c>
      <c r="Y458" s="576" t="s">
        <v>94</v>
      </c>
    </row>
    <row r="459" spans="1:25" s="571" customFormat="1" ht="19.95" customHeight="1">
      <c r="A459" s="199"/>
      <c r="B459" s="80"/>
      <c r="C459" s="80"/>
      <c r="D459" s="80"/>
    </row>
    <row r="460" spans="1:25" s="530" customFormat="1" ht="19.95" customHeight="1">
      <c r="A460" s="128" t="s">
        <v>1619</v>
      </c>
      <c r="B460" s="129"/>
      <c r="C460" s="129"/>
      <c r="D460" s="129"/>
      <c r="E460" s="129"/>
      <c r="F460" s="129"/>
      <c r="G460" s="77"/>
      <c r="H460" s="129"/>
      <c r="I460" s="129"/>
      <c r="J460" s="129"/>
      <c r="K460" s="129"/>
      <c r="L460" s="129"/>
      <c r="M460" s="129"/>
      <c r="N460" s="129"/>
      <c r="O460" s="129"/>
      <c r="P460" s="129"/>
    </row>
    <row r="461" spans="1:25" s="530" customFormat="1" ht="19.95" customHeight="1">
      <c r="A461" s="129"/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  <c r="L461" s="129"/>
      <c r="M461" s="129"/>
      <c r="N461" s="129"/>
      <c r="O461" s="129"/>
      <c r="P461" s="129"/>
    </row>
    <row r="462" spans="1:25" s="530" customFormat="1" ht="19.95" customHeight="1">
      <c r="A462" s="128"/>
      <c r="B462" s="129"/>
      <c r="C462" s="129"/>
      <c r="D462" s="129"/>
      <c r="E462" s="105" t="s">
        <v>172</v>
      </c>
      <c r="F462" s="129"/>
      <c r="G462" s="129"/>
      <c r="H462" s="105" t="s">
        <v>189</v>
      </c>
      <c r="I462" s="129"/>
      <c r="J462" s="129"/>
      <c r="K462" s="105" t="s">
        <v>195</v>
      </c>
      <c r="L462" s="129"/>
      <c r="M462" s="129"/>
      <c r="N462" s="129"/>
      <c r="O462" s="129"/>
      <c r="P462" s="129"/>
    </row>
    <row r="463" spans="1:25" s="530" customFormat="1" ht="19.95" customHeight="1">
      <c r="A463" s="129"/>
      <c r="B463" s="129"/>
      <c r="C463" s="129"/>
      <c r="D463" s="129"/>
      <c r="E463" s="527" t="s">
        <v>169</v>
      </c>
      <c r="F463" s="527" t="s">
        <v>170</v>
      </c>
      <c r="G463" s="527" t="s">
        <v>171</v>
      </c>
      <c r="H463" s="527" t="s">
        <v>169</v>
      </c>
      <c r="I463" s="527" t="s">
        <v>170</v>
      </c>
      <c r="J463" s="527" t="s">
        <v>171</v>
      </c>
      <c r="K463" s="527" t="s">
        <v>169</v>
      </c>
      <c r="L463" s="527" t="s">
        <v>170</v>
      </c>
      <c r="M463" s="527" t="s">
        <v>171</v>
      </c>
      <c r="N463" s="129"/>
      <c r="O463" s="532" t="s">
        <v>218</v>
      </c>
      <c r="P463" s="532" t="s">
        <v>219</v>
      </c>
    </row>
    <row r="464" spans="1:25" s="530" customFormat="1" ht="19.95" customHeight="1">
      <c r="A464" s="526" t="s">
        <v>184</v>
      </c>
      <c r="B464" s="526" t="s">
        <v>185</v>
      </c>
      <c r="C464" s="526"/>
      <c r="D464" s="526" t="s">
        <v>96</v>
      </c>
      <c r="E464" s="529" t="s">
        <v>64</v>
      </c>
      <c r="F464" s="529" t="s">
        <v>64</v>
      </c>
      <c r="G464" s="529" t="s">
        <v>64</v>
      </c>
      <c r="H464" s="529" t="s">
        <v>64</v>
      </c>
      <c r="I464" s="529" t="s">
        <v>64</v>
      </c>
      <c r="J464" s="529" t="s">
        <v>64</v>
      </c>
      <c r="K464" s="529" t="s">
        <v>64</v>
      </c>
      <c r="L464" s="529" t="s">
        <v>64</v>
      </c>
      <c r="M464" s="529" t="s">
        <v>64</v>
      </c>
      <c r="N464" s="529" t="s">
        <v>2</v>
      </c>
      <c r="O464" s="529" t="s">
        <v>64</v>
      </c>
      <c r="P464" s="529" t="s">
        <v>64</v>
      </c>
    </row>
    <row r="465" spans="1:16" s="530" customFormat="1" ht="19.95" customHeight="1">
      <c r="A465" s="527" t="s">
        <v>110</v>
      </c>
      <c r="B465" s="527" t="str">
        <f t="shared" ref="B465:B476" si="91">M81</f>
        <v>Baseline DIW</v>
      </c>
      <c r="C465" s="527"/>
      <c r="D465" s="527" t="s">
        <v>1591</v>
      </c>
      <c r="E465" s="132"/>
      <c r="F465" s="132"/>
      <c r="G465" s="87"/>
      <c r="H465" s="132"/>
      <c r="I465" s="132"/>
      <c r="J465" s="87"/>
      <c r="K465" s="132"/>
      <c r="L465" s="132"/>
      <c r="M465" s="87"/>
      <c r="N465" s="546">
        <v>45343</v>
      </c>
      <c r="O465" s="129"/>
      <c r="P465" s="129"/>
    </row>
    <row r="466" spans="1:16" s="530" customFormat="1" ht="19.95" customHeight="1">
      <c r="A466" s="129" t="s">
        <v>110</v>
      </c>
      <c r="B466" s="527" t="str">
        <f t="shared" si="91"/>
        <v>Baseline LNSW</v>
      </c>
      <c r="C466" s="527"/>
      <c r="D466" s="527" t="s">
        <v>1592</v>
      </c>
      <c r="E466" s="132"/>
      <c r="F466" s="132"/>
      <c r="G466" s="87"/>
      <c r="H466" s="132"/>
      <c r="I466" s="132"/>
      <c r="J466" s="87"/>
      <c r="K466" s="132"/>
      <c r="L466" s="132"/>
      <c r="M466" s="87"/>
      <c r="N466" s="556"/>
      <c r="O466" s="129"/>
      <c r="P466" s="129"/>
    </row>
    <row r="467" spans="1:16" s="530" customFormat="1" ht="19.95" customHeight="1">
      <c r="A467" s="129" t="s">
        <v>110</v>
      </c>
      <c r="B467" s="527" t="str">
        <f t="shared" si="91"/>
        <v>Baseline MOOS-4</v>
      </c>
      <c r="C467" s="527"/>
      <c r="D467" s="527" t="s">
        <v>1593</v>
      </c>
      <c r="E467" s="132"/>
      <c r="F467" s="132"/>
      <c r="G467" s="87"/>
      <c r="H467" s="132"/>
      <c r="I467" s="132"/>
      <c r="J467" s="87"/>
      <c r="K467" s="132"/>
      <c r="L467" s="132"/>
      <c r="M467" s="87"/>
      <c r="N467" s="556"/>
      <c r="O467" s="129"/>
      <c r="P467" s="129"/>
    </row>
    <row r="468" spans="1:16" s="530" customFormat="1" ht="19.95" customHeight="1">
      <c r="A468" s="129" t="s">
        <v>110</v>
      </c>
      <c r="B468" s="527" t="str">
        <f t="shared" si="91"/>
        <v>Baseline SALT-1</v>
      </c>
      <c r="C468" s="527"/>
      <c r="D468" s="527" t="s">
        <v>1594</v>
      </c>
      <c r="E468" s="132"/>
      <c r="F468" s="132"/>
      <c r="G468" s="87"/>
      <c r="H468" s="132"/>
      <c r="I468" s="132"/>
      <c r="J468" s="87"/>
      <c r="K468" s="132"/>
      <c r="L468" s="132"/>
      <c r="M468" s="87"/>
      <c r="N468" s="556"/>
      <c r="O468" s="129"/>
      <c r="P468" s="129"/>
    </row>
    <row r="469" spans="1:16" s="530" customFormat="1" ht="19.95" customHeight="1">
      <c r="A469" s="129" t="s">
        <v>110</v>
      </c>
      <c r="B469" s="527" t="str">
        <f t="shared" si="91"/>
        <v>Baseline MOOS-3</v>
      </c>
      <c r="C469" s="527"/>
      <c r="D469" s="129" t="s">
        <v>1595</v>
      </c>
      <c r="E469" s="129"/>
      <c r="F469" s="129"/>
      <c r="G469" s="129"/>
      <c r="H469" s="129"/>
      <c r="I469" s="129"/>
      <c r="J469" s="129"/>
      <c r="K469" s="129"/>
      <c r="L469" s="129"/>
      <c r="M469" s="129"/>
      <c r="N469" s="556"/>
      <c r="O469" s="129"/>
      <c r="P469" s="129"/>
    </row>
    <row r="470" spans="1:16" s="530" customFormat="1" ht="19.95" customHeight="1">
      <c r="A470" s="129" t="s">
        <v>110</v>
      </c>
      <c r="B470" s="527" t="str">
        <f t="shared" si="91"/>
        <v>Reag BLK DIW</v>
      </c>
      <c r="C470" s="527"/>
      <c r="D470" s="527" t="s">
        <v>1596</v>
      </c>
      <c r="E470" s="132"/>
      <c r="F470" s="132"/>
      <c r="G470" s="87"/>
      <c r="H470" s="132"/>
      <c r="I470" s="132"/>
      <c r="J470" s="87"/>
      <c r="K470" s="132"/>
      <c r="L470" s="132"/>
      <c r="M470" s="87"/>
      <c r="N470" s="556"/>
      <c r="O470" s="129"/>
      <c r="P470" s="129"/>
    </row>
    <row r="471" spans="1:16" s="530" customFormat="1" ht="19.95" customHeight="1">
      <c r="A471" s="529" t="s">
        <v>110</v>
      </c>
      <c r="B471" s="529" t="str">
        <f t="shared" si="91"/>
        <v>Reag BLK LNSW</v>
      </c>
      <c r="C471" s="529"/>
      <c r="D471" s="529" t="s">
        <v>1597</v>
      </c>
      <c r="E471" s="187"/>
      <c r="F471" s="187"/>
      <c r="G471" s="188"/>
      <c r="H471" s="187"/>
      <c r="I471" s="187"/>
      <c r="J471" s="188"/>
      <c r="K471" s="187"/>
      <c r="L471" s="187"/>
      <c r="M471" s="188"/>
      <c r="N471" s="557"/>
      <c r="O471" s="529"/>
      <c r="P471" s="529"/>
    </row>
    <row r="472" spans="1:16" s="530" customFormat="1" ht="19.95" customHeight="1">
      <c r="A472" s="129" t="s">
        <v>186</v>
      </c>
      <c r="B472" s="527" t="str">
        <f t="shared" si="91"/>
        <v>CAL-1</v>
      </c>
      <c r="C472" s="527"/>
      <c r="D472" s="129" t="s">
        <v>125</v>
      </c>
      <c r="E472" s="69">
        <v>6.1487999999999996</v>
      </c>
      <c r="F472" s="69">
        <v>-1E-4</v>
      </c>
      <c r="G472" s="114">
        <f t="shared" ref="G472:G488" si="92">E472-F472/2</f>
        <v>6.1488499999999995</v>
      </c>
      <c r="H472" s="69">
        <v>9.2129999999999992</v>
      </c>
      <c r="I472" s="69">
        <v>0</v>
      </c>
      <c r="J472" s="114">
        <f t="shared" ref="J472:J488" si="93">H472-I472/2</f>
        <v>9.2129999999999992</v>
      </c>
      <c r="K472" s="69">
        <v>9.5355000000000008</v>
      </c>
      <c r="L472" s="69">
        <v>1E-4</v>
      </c>
      <c r="M472" s="114">
        <f t="shared" ref="M472:M488" si="94">K472-L472/2</f>
        <v>9.5354500000000009</v>
      </c>
      <c r="N472" s="556"/>
      <c r="O472" s="77">
        <f t="shared" ref="O472:O488" si="95">J472-G472</f>
        <v>3.0641499999999997</v>
      </c>
      <c r="P472" s="77">
        <f t="shared" ref="P472:P488" si="96">M472-G472</f>
        <v>3.3866000000000014</v>
      </c>
    </row>
    <row r="473" spans="1:16" s="530" customFormat="1" ht="19.95" customHeight="1">
      <c r="A473" s="129" t="s">
        <v>186</v>
      </c>
      <c r="B473" s="527" t="str">
        <f t="shared" si="91"/>
        <v>CAL-2</v>
      </c>
      <c r="C473" s="527"/>
      <c r="D473" s="129" t="s">
        <v>126</v>
      </c>
      <c r="E473" s="69">
        <v>6.1515000000000004</v>
      </c>
      <c r="F473" s="69">
        <v>-1E-4</v>
      </c>
      <c r="G473" s="114">
        <f t="shared" si="92"/>
        <v>6.1515500000000003</v>
      </c>
      <c r="H473" s="69">
        <v>9.2226999999999997</v>
      </c>
      <c r="I473" s="69">
        <v>-1E-4</v>
      </c>
      <c r="J473" s="114">
        <f t="shared" si="93"/>
        <v>9.2227499999999996</v>
      </c>
      <c r="K473" s="69">
        <v>9.5436999999999994</v>
      </c>
      <c r="L473" s="69">
        <v>0</v>
      </c>
      <c r="M473" s="114">
        <f t="shared" si="94"/>
        <v>9.5436999999999994</v>
      </c>
      <c r="N473" s="556"/>
      <c r="O473" s="77">
        <f t="shared" si="95"/>
        <v>3.0711999999999993</v>
      </c>
      <c r="P473" s="77">
        <f t="shared" si="96"/>
        <v>3.3921499999999991</v>
      </c>
    </row>
    <row r="474" spans="1:16" s="530" customFormat="1" ht="19.95" customHeight="1">
      <c r="A474" s="129" t="s">
        <v>186</v>
      </c>
      <c r="B474" s="527" t="str">
        <f t="shared" si="91"/>
        <v>CAL-3</v>
      </c>
      <c r="C474" s="527"/>
      <c r="D474" s="129" t="s">
        <v>127</v>
      </c>
      <c r="E474" s="69">
        <v>6.1329000000000002</v>
      </c>
      <c r="F474" s="69">
        <v>-2.0000000000000001E-4</v>
      </c>
      <c r="G474" s="114">
        <f t="shared" si="92"/>
        <v>6.133</v>
      </c>
      <c r="H474" s="69">
        <v>9.1989999999999998</v>
      </c>
      <c r="I474" s="69">
        <v>0</v>
      </c>
      <c r="J474" s="114">
        <f t="shared" si="93"/>
        <v>9.1989999999999998</v>
      </c>
      <c r="K474" s="69">
        <v>9.5208999999999993</v>
      </c>
      <c r="L474" s="69">
        <v>-2.0000000000000001E-4</v>
      </c>
      <c r="M474" s="114">
        <f t="shared" si="94"/>
        <v>9.520999999999999</v>
      </c>
      <c r="N474" s="556"/>
      <c r="O474" s="77">
        <f t="shared" si="95"/>
        <v>3.0659999999999998</v>
      </c>
      <c r="P474" s="77">
        <f t="shared" si="96"/>
        <v>3.387999999999999</v>
      </c>
    </row>
    <row r="475" spans="1:16" s="530" customFormat="1" ht="19.95" customHeight="1">
      <c r="A475" s="129" t="s">
        <v>186</v>
      </c>
      <c r="B475" s="527" t="str">
        <f t="shared" si="91"/>
        <v>CAL-4</v>
      </c>
      <c r="C475" s="527"/>
      <c r="D475" s="129" t="s">
        <v>129</v>
      </c>
      <c r="E475" s="69">
        <v>6.1516999999999999</v>
      </c>
      <c r="F475" s="69">
        <v>2.0000000000000001E-4</v>
      </c>
      <c r="G475" s="114">
        <f t="shared" si="92"/>
        <v>6.1516000000000002</v>
      </c>
      <c r="H475" s="69">
        <v>9.2227999999999994</v>
      </c>
      <c r="I475" s="69">
        <v>0</v>
      </c>
      <c r="J475" s="114">
        <f t="shared" si="93"/>
        <v>9.2227999999999994</v>
      </c>
      <c r="K475" s="69">
        <v>9.5443999999999996</v>
      </c>
      <c r="L475" s="69">
        <v>1E-4</v>
      </c>
      <c r="M475" s="114">
        <f t="shared" si="94"/>
        <v>9.5443499999999997</v>
      </c>
      <c r="N475" s="556"/>
      <c r="O475" s="77">
        <f t="shared" si="95"/>
        <v>3.0711999999999993</v>
      </c>
      <c r="P475" s="77">
        <f t="shared" si="96"/>
        <v>3.3927499999999995</v>
      </c>
    </row>
    <row r="476" spans="1:16" s="530" customFormat="1" ht="19.95" customHeight="1">
      <c r="A476" s="529" t="s">
        <v>186</v>
      </c>
      <c r="B476" s="529" t="str">
        <f t="shared" si="91"/>
        <v>CAL-5</v>
      </c>
      <c r="C476" s="529"/>
      <c r="D476" s="529" t="s">
        <v>130</v>
      </c>
      <c r="E476" s="76">
        <v>6.0976999999999997</v>
      </c>
      <c r="F476" s="76">
        <v>0</v>
      </c>
      <c r="G476" s="122">
        <f t="shared" si="92"/>
        <v>6.0976999999999997</v>
      </c>
      <c r="H476" s="76">
        <v>9.1663999999999994</v>
      </c>
      <c r="I476" s="76">
        <v>1E-4</v>
      </c>
      <c r="J476" s="122">
        <f t="shared" si="93"/>
        <v>9.1663499999999996</v>
      </c>
      <c r="K476" s="76">
        <v>9.4884000000000004</v>
      </c>
      <c r="L476" s="76">
        <v>1E-4</v>
      </c>
      <c r="M476" s="122">
        <f t="shared" si="94"/>
        <v>9.4883500000000005</v>
      </c>
      <c r="N476" s="557"/>
      <c r="O476" s="122">
        <f t="shared" si="95"/>
        <v>3.0686499999999999</v>
      </c>
      <c r="P476" s="122">
        <f t="shared" si="96"/>
        <v>3.3906500000000008</v>
      </c>
    </row>
    <row r="477" spans="1:16" s="530" customFormat="1" ht="19.95" customHeight="1">
      <c r="A477" s="129" t="s">
        <v>187</v>
      </c>
      <c r="B477" s="527" t="str">
        <f t="shared" ref="B477:B486" si="97">M94</f>
        <v>MOOS001a_i</v>
      </c>
      <c r="C477" s="527"/>
      <c r="D477" s="527" t="s">
        <v>1604</v>
      </c>
      <c r="E477" s="69">
        <v>6.1310000000000002</v>
      </c>
      <c r="F477" s="69">
        <v>1E-4</v>
      </c>
      <c r="G477" s="114">
        <f t="shared" si="92"/>
        <v>6.1309500000000003</v>
      </c>
      <c r="H477" s="69">
        <v>9.1760999999999999</v>
      </c>
      <c r="I477" s="69">
        <v>1E-4</v>
      </c>
      <c r="J477" s="114">
        <f t="shared" si="93"/>
        <v>9.17605</v>
      </c>
      <c r="K477" s="69">
        <v>9.4978999999999996</v>
      </c>
      <c r="L477" s="69">
        <v>1E-4</v>
      </c>
      <c r="M477" s="114">
        <f t="shared" si="94"/>
        <v>9.4978499999999997</v>
      </c>
      <c r="N477" s="556"/>
      <c r="O477" s="77">
        <f t="shared" si="95"/>
        <v>3.0450999999999997</v>
      </c>
      <c r="P477" s="77">
        <f t="shared" si="96"/>
        <v>3.3668999999999993</v>
      </c>
    </row>
    <row r="478" spans="1:16" s="530" customFormat="1" ht="19.95" customHeight="1">
      <c r="A478" s="129" t="s">
        <v>187</v>
      </c>
      <c r="B478" s="527" t="str">
        <f t="shared" si="97"/>
        <v>MOOS078a_i</v>
      </c>
      <c r="C478" s="527"/>
      <c r="D478" s="527" t="s">
        <v>1605</v>
      </c>
      <c r="E478" s="69">
        <v>6.1185999999999998</v>
      </c>
      <c r="F478" s="69">
        <v>-1E-4</v>
      </c>
      <c r="G478" s="114">
        <f t="shared" si="92"/>
        <v>6.1186499999999997</v>
      </c>
      <c r="H478" s="69">
        <v>9.1574000000000009</v>
      </c>
      <c r="I478" s="69">
        <v>2.0000000000000001E-4</v>
      </c>
      <c r="J478" s="114">
        <f t="shared" si="93"/>
        <v>9.1573000000000011</v>
      </c>
      <c r="K478" s="69">
        <v>9.4794</v>
      </c>
      <c r="L478" s="69">
        <v>0</v>
      </c>
      <c r="M478" s="114">
        <f t="shared" si="94"/>
        <v>9.4794</v>
      </c>
      <c r="N478" s="556"/>
      <c r="O478" s="77">
        <f t="shared" si="95"/>
        <v>3.0386500000000014</v>
      </c>
      <c r="P478" s="77">
        <f t="shared" si="96"/>
        <v>3.3607500000000003</v>
      </c>
    </row>
    <row r="479" spans="1:16" s="530" customFormat="1" ht="19.95" customHeight="1">
      <c r="A479" s="129" t="s">
        <v>187</v>
      </c>
      <c r="B479" s="527" t="str">
        <f t="shared" si="97"/>
        <v>MOOS155a_i</v>
      </c>
      <c r="C479" s="527"/>
      <c r="D479" s="527" t="s">
        <v>1606</v>
      </c>
      <c r="E479" s="69">
        <v>6.1475999999999997</v>
      </c>
      <c r="F479" s="69">
        <v>0</v>
      </c>
      <c r="G479" s="114">
        <f t="shared" si="92"/>
        <v>6.1475999999999997</v>
      </c>
      <c r="H479" s="69">
        <v>9.1806000000000001</v>
      </c>
      <c r="I479" s="69">
        <v>-2.0000000000000001E-4</v>
      </c>
      <c r="J479" s="114">
        <f t="shared" si="93"/>
        <v>9.1806999999999999</v>
      </c>
      <c r="K479" s="69">
        <v>9.5020000000000007</v>
      </c>
      <c r="L479" s="69">
        <v>-2.0000000000000001E-4</v>
      </c>
      <c r="M479" s="114">
        <f t="shared" si="94"/>
        <v>9.5021000000000004</v>
      </c>
      <c r="N479" s="556"/>
      <c r="O479" s="114">
        <f t="shared" si="95"/>
        <v>3.0331000000000001</v>
      </c>
      <c r="P479" s="114">
        <f t="shared" si="96"/>
        <v>3.3545000000000007</v>
      </c>
    </row>
    <row r="480" spans="1:16" s="530" customFormat="1" ht="19.95" customHeight="1">
      <c r="A480" s="129" t="s">
        <v>187</v>
      </c>
      <c r="B480" s="527" t="str">
        <f t="shared" si="97"/>
        <v>MOOS232a_i</v>
      </c>
      <c r="C480" s="527"/>
      <c r="D480" s="527" t="s">
        <v>1607</v>
      </c>
      <c r="E480" s="69">
        <v>6.1326000000000001</v>
      </c>
      <c r="F480" s="69">
        <v>1E-4</v>
      </c>
      <c r="G480" s="114">
        <f t="shared" si="92"/>
        <v>6.1325500000000002</v>
      </c>
      <c r="H480" s="69">
        <v>9.1669999999999998</v>
      </c>
      <c r="I480" s="69">
        <v>0</v>
      </c>
      <c r="J480" s="114">
        <f t="shared" si="93"/>
        <v>9.1669999999999998</v>
      </c>
      <c r="K480" s="69">
        <v>9.4885000000000002</v>
      </c>
      <c r="L480" s="69">
        <v>0</v>
      </c>
      <c r="M480" s="114">
        <f t="shared" si="94"/>
        <v>9.4885000000000002</v>
      </c>
      <c r="N480" s="556"/>
      <c r="O480" s="114">
        <f t="shared" si="95"/>
        <v>3.0344499999999996</v>
      </c>
      <c r="P480" s="114">
        <f t="shared" si="96"/>
        <v>3.35595</v>
      </c>
    </row>
    <row r="481" spans="1:16" s="530" customFormat="1" ht="19.95" customHeight="1">
      <c r="A481" s="129" t="s">
        <v>187</v>
      </c>
      <c r="B481" s="527" t="str">
        <f t="shared" si="97"/>
        <v>MOOS310a_i</v>
      </c>
      <c r="C481" s="527"/>
      <c r="D481" s="527" t="s">
        <v>1608</v>
      </c>
      <c r="E481" s="69">
        <v>6.1265999999999998</v>
      </c>
      <c r="F481" s="69">
        <v>0</v>
      </c>
      <c r="G481" s="114">
        <f t="shared" si="92"/>
        <v>6.1265999999999998</v>
      </c>
      <c r="H481" s="69">
        <v>9.1714000000000002</v>
      </c>
      <c r="I481" s="69">
        <v>1E-4</v>
      </c>
      <c r="J481" s="114">
        <f t="shared" si="93"/>
        <v>9.1713500000000003</v>
      </c>
      <c r="K481" s="69">
        <v>9.4918999999999993</v>
      </c>
      <c r="L481" s="69">
        <v>0</v>
      </c>
      <c r="M481" s="114">
        <f t="shared" si="94"/>
        <v>9.4918999999999993</v>
      </c>
      <c r="N481" s="556"/>
      <c r="O481" s="114">
        <f t="shared" si="95"/>
        <v>3.0447500000000005</v>
      </c>
      <c r="P481" s="114">
        <f t="shared" si="96"/>
        <v>3.3652999999999995</v>
      </c>
    </row>
    <row r="482" spans="1:16" s="530" customFormat="1" ht="19.95" customHeight="1">
      <c r="A482" s="527" t="s">
        <v>187</v>
      </c>
      <c r="B482" s="527" t="str">
        <f t="shared" si="97"/>
        <v>MOOS001a_ii</v>
      </c>
      <c r="C482" s="527"/>
      <c r="D482" s="527" t="s">
        <v>1609</v>
      </c>
      <c r="E482" s="69">
        <v>6.1349999999999998</v>
      </c>
      <c r="F482" s="69">
        <v>-1E-4</v>
      </c>
      <c r="G482" s="114">
        <f t="shared" si="92"/>
        <v>6.1350499999999997</v>
      </c>
      <c r="H482" s="69">
        <v>9.1635000000000009</v>
      </c>
      <c r="I482" s="69">
        <v>0</v>
      </c>
      <c r="J482" s="114">
        <f t="shared" si="93"/>
        <v>9.1635000000000009</v>
      </c>
      <c r="K482" s="69">
        <v>9.4852000000000007</v>
      </c>
      <c r="L482" s="69">
        <v>-1E-4</v>
      </c>
      <c r="M482" s="114">
        <f t="shared" si="94"/>
        <v>9.4852500000000006</v>
      </c>
      <c r="N482" s="556"/>
      <c r="O482" s="114">
        <f t="shared" si="95"/>
        <v>3.0284500000000012</v>
      </c>
      <c r="P482" s="114">
        <f t="shared" si="96"/>
        <v>3.350200000000001</v>
      </c>
    </row>
    <row r="483" spans="1:16" s="530" customFormat="1" ht="19.95" customHeight="1">
      <c r="A483" s="527" t="s">
        <v>187</v>
      </c>
      <c r="B483" s="527" t="str">
        <f t="shared" si="97"/>
        <v>MOOS078a_ii</v>
      </c>
      <c r="C483" s="527"/>
      <c r="D483" s="527" t="s">
        <v>1610</v>
      </c>
      <c r="E483" s="69">
        <v>6.1280000000000001</v>
      </c>
      <c r="F483" s="69">
        <v>-1E-4</v>
      </c>
      <c r="G483" s="114">
        <f t="shared" si="92"/>
        <v>6.12805</v>
      </c>
      <c r="H483" s="69">
        <v>9.1565999999999992</v>
      </c>
      <c r="I483" s="69">
        <v>0</v>
      </c>
      <c r="J483" s="114">
        <f t="shared" si="93"/>
        <v>9.1565999999999992</v>
      </c>
      <c r="K483" s="69">
        <v>9.4778000000000002</v>
      </c>
      <c r="L483" s="69">
        <v>1E-4</v>
      </c>
      <c r="M483" s="114">
        <f t="shared" si="94"/>
        <v>9.4777500000000003</v>
      </c>
      <c r="N483" s="556"/>
      <c r="O483" s="114">
        <f t="shared" si="95"/>
        <v>3.0285499999999992</v>
      </c>
      <c r="P483" s="114">
        <f t="shared" si="96"/>
        <v>3.3497000000000003</v>
      </c>
    </row>
    <row r="484" spans="1:16" s="530" customFormat="1" ht="19.95" customHeight="1">
      <c r="A484" s="527" t="s">
        <v>187</v>
      </c>
      <c r="B484" s="527" t="str">
        <f t="shared" si="97"/>
        <v>MOOS155a_ii</v>
      </c>
      <c r="C484" s="527"/>
      <c r="D484" s="527" t="s">
        <v>1611</v>
      </c>
      <c r="E484" s="69">
        <v>6.1151</v>
      </c>
      <c r="F484" s="69">
        <v>0</v>
      </c>
      <c r="G484" s="114">
        <f t="shared" si="92"/>
        <v>6.1151</v>
      </c>
      <c r="H484" s="69">
        <v>9.1455000000000002</v>
      </c>
      <c r="I484" s="69">
        <v>-2.0000000000000001E-4</v>
      </c>
      <c r="J484" s="114">
        <f t="shared" si="93"/>
        <v>9.1456</v>
      </c>
      <c r="K484" s="69">
        <v>9.4671000000000003</v>
      </c>
      <c r="L484" s="69">
        <v>0</v>
      </c>
      <c r="M484" s="114">
        <f t="shared" si="94"/>
        <v>9.4671000000000003</v>
      </c>
      <c r="N484" s="556"/>
      <c r="O484" s="114">
        <f t="shared" si="95"/>
        <v>3.0305</v>
      </c>
      <c r="P484" s="114">
        <f t="shared" si="96"/>
        <v>3.3520000000000003</v>
      </c>
    </row>
    <row r="485" spans="1:16" s="530" customFormat="1" ht="19.95" customHeight="1">
      <c r="A485" s="80" t="s">
        <v>187</v>
      </c>
      <c r="B485" s="80" t="str">
        <f t="shared" si="97"/>
        <v>MOOS232a_ii</v>
      </c>
      <c r="C485" s="80"/>
      <c r="D485" s="527" t="s">
        <v>1612</v>
      </c>
      <c r="E485" s="69">
        <v>6.1332000000000004</v>
      </c>
      <c r="F485" s="69">
        <v>0</v>
      </c>
      <c r="G485" s="114">
        <f t="shared" si="92"/>
        <v>6.1332000000000004</v>
      </c>
      <c r="H485" s="69">
        <v>9.1729000000000003</v>
      </c>
      <c r="I485" s="69">
        <v>-1E-4</v>
      </c>
      <c r="J485" s="114">
        <f t="shared" si="93"/>
        <v>9.1729500000000002</v>
      </c>
      <c r="K485" s="69">
        <v>9.4946000000000002</v>
      </c>
      <c r="L485" s="69">
        <v>0</v>
      </c>
      <c r="M485" s="114">
        <f t="shared" si="94"/>
        <v>9.4946000000000002</v>
      </c>
      <c r="N485" s="556"/>
      <c r="O485" s="114">
        <f t="shared" si="95"/>
        <v>3.0397499999999997</v>
      </c>
      <c r="P485" s="114">
        <f t="shared" si="96"/>
        <v>3.3613999999999997</v>
      </c>
    </row>
    <row r="486" spans="1:16" s="530" customFormat="1" ht="19.95" customHeight="1">
      <c r="A486" s="81" t="s">
        <v>187</v>
      </c>
      <c r="B486" s="81" t="str">
        <f t="shared" si="97"/>
        <v>MOOS310a_ii</v>
      </c>
      <c r="C486" s="81"/>
      <c r="D486" s="529" t="s">
        <v>1613</v>
      </c>
      <c r="E486" s="76">
        <v>6.1341000000000001</v>
      </c>
      <c r="F486" s="76">
        <v>1E-4</v>
      </c>
      <c r="G486" s="122">
        <f t="shared" si="92"/>
        <v>6.1340500000000002</v>
      </c>
      <c r="H486" s="76">
        <v>9.1744000000000003</v>
      </c>
      <c r="I486" s="76">
        <v>-2.0000000000000001E-4</v>
      </c>
      <c r="J486" s="122">
        <f t="shared" si="93"/>
        <v>9.1745000000000001</v>
      </c>
      <c r="K486" s="76">
        <v>9.4959000000000007</v>
      </c>
      <c r="L486" s="76">
        <v>-1E-4</v>
      </c>
      <c r="M486" s="122">
        <f t="shared" si="94"/>
        <v>9.4959500000000006</v>
      </c>
      <c r="N486" s="557"/>
      <c r="O486" s="122">
        <f t="shared" si="95"/>
        <v>3.0404499999999999</v>
      </c>
      <c r="P486" s="122">
        <f t="shared" si="96"/>
        <v>3.3619000000000003</v>
      </c>
    </row>
    <row r="487" spans="1:16" s="530" customFormat="1" ht="19.95" customHeight="1">
      <c r="A487" s="80" t="s">
        <v>188</v>
      </c>
      <c r="B487" s="80" t="str">
        <f>M105</f>
        <v>SALT-1</v>
      </c>
      <c r="C487" s="80"/>
      <c r="D487" s="527" t="s">
        <v>1588</v>
      </c>
      <c r="E487" s="69">
        <v>6.1252000000000004</v>
      </c>
      <c r="F487" s="69">
        <v>-1E-4</v>
      </c>
      <c r="G487" s="114">
        <f t="shared" si="92"/>
        <v>6.1252500000000003</v>
      </c>
      <c r="H487" s="69">
        <v>9.1618999999999993</v>
      </c>
      <c r="I487" s="69">
        <v>1E-4</v>
      </c>
      <c r="J487" s="114">
        <f t="shared" si="93"/>
        <v>9.1618499999999994</v>
      </c>
      <c r="K487" s="69">
        <v>9.4824999999999999</v>
      </c>
      <c r="L487" s="69">
        <v>1E-4</v>
      </c>
      <c r="M487" s="114">
        <f t="shared" si="94"/>
        <v>9.48245</v>
      </c>
      <c r="N487" s="556"/>
      <c r="O487" s="114">
        <f t="shared" si="95"/>
        <v>3.0365999999999991</v>
      </c>
      <c r="P487" s="114">
        <f t="shared" si="96"/>
        <v>3.3571999999999997</v>
      </c>
    </row>
    <row r="488" spans="1:16" s="530" customFormat="1" ht="19.95" customHeight="1">
      <c r="A488" s="81" t="s">
        <v>188</v>
      </c>
      <c r="B488" s="81" t="str">
        <f>M106</f>
        <v>MOOS-3</v>
      </c>
      <c r="C488" s="81"/>
      <c r="D488" s="529" t="s">
        <v>193</v>
      </c>
      <c r="E488" s="76">
        <v>6.1052</v>
      </c>
      <c r="F488" s="76">
        <v>0</v>
      </c>
      <c r="G488" s="122">
        <f t="shared" si="92"/>
        <v>6.1052</v>
      </c>
      <c r="H488" s="76">
        <v>9.1672999999999991</v>
      </c>
      <c r="I488" s="76">
        <v>2.0000000000000001E-4</v>
      </c>
      <c r="J488" s="122">
        <f t="shared" si="93"/>
        <v>9.1671999999999993</v>
      </c>
      <c r="K488" s="76">
        <v>9.4893000000000001</v>
      </c>
      <c r="L488" s="76">
        <v>0</v>
      </c>
      <c r="M488" s="122">
        <f t="shared" si="94"/>
        <v>9.4893000000000001</v>
      </c>
      <c r="O488" s="122">
        <f t="shared" si="95"/>
        <v>3.0619999999999994</v>
      </c>
      <c r="P488" s="122">
        <f t="shared" si="96"/>
        <v>3.3841000000000001</v>
      </c>
    </row>
    <row r="489" spans="1:16" s="574" customFormat="1" ht="19.95" customHeight="1">
      <c r="A489" s="573" t="s">
        <v>186</v>
      </c>
      <c r="B489" s="573" t="s">
        <v>1644</v>
      </c>
      <c r="C489" s="573"/>
      <c r="D489" s="573" t="s">
        <v>1644</v>
      </c>
      <c r="E489" s="76">
        <v>6.1456</v>
      </c>
      <c r="F489" s="76">
        <v>0</v>
      </c>
      <c r="G489" s="122">
        <f t="shared" ref="G489" si="98">E489-F489/2</f>
        <v>6.1456</v>
      </c>
      <c r="H489" s="76">
        <v>9.2070000000000007</v>
      </c>
      <c r="I489" s="76">
        <v>-1E-4</v>
      </c>
      <c r="J489" s="122">
        <f t="shared" ref="J489" si="99">H489-I489/2</f>
        <v>9.2070500000000006</v>
      </c>
      <c r="K489" s="76">
        <v>9.5290999999999997</v>
      </c>
      <c r="L489" s="76">
        <v>0</v>
      </c>
      <c r="M489" s="122">
        <f t="shared" ref="M489" si="100">K489-L489/2</f>
        <v>9.5290999999999997</v>
      </c>
      <c r="N489" s="600">
        <v>45343</v>
      </c>
      <c r="O489" s="122">
        <f t="shared" ref="O489" si="101">J489-G489</f>
        <v>3.0614500000000007</v>
      </c>
      <c r="P489" s="122">
        <f t="shared" ref="P489" si="102">M489-G489</f>
        <v>3.3834999999999997</v>
      </c>
    </row>
    <row r="490" spans="1:16" s="530" customFormat="1" ht="19.95" customHeight="1">
      <c r="A490" s="80"/>
      <c r="B490" s="80"/>
      <c r="C490" s="80"/>
      <c r="D490" s="80"/>
    </row>
    <row r="491" spans="1:16" s="530" customFormat="1" ht="19.95" customHeight="1">
      <c r="A491" s="199" t="s">
        <v>1598</v>
      </c>
      <c r="B491" s="80"/>
      <c r="C491" s="80"/>
      <c r="D491" s="80"/>
    </row>
    <row r="492" spans="1:16" s="530" customFormat="1" ht="19.95" customHeight="1">
      <c r="A492" s="199" t="s">
        <v>1620</v>
      </c>
      <c r="B492" s="80"/>
      <c r="C492" s="80"/>
      <c r="D492" s="80"/>
    </row>
    <row r="493" spans="1:16" s="494" customFormat="1" ht="19.95" customHeight="1">
      <c r="A493" s="80"/>
      <c r="B493" s="80"/>
      <c r="C493" s="80"/>
      <c r="D493" s="80"/>
    </row>
    <row r="494" spans="1:16" s="494" customFormat="1" ht="19.95" customHeight="1">
      <c r="A494" s="199" t="s">
        <v>1645</v>
      </c>
      <c r="B494" s="80"/>
      <c r="C494" s="80"/>
      <c r="D494" s="80"/>
    </row>
    <row r="495" spans="1:16" s="588" customFormat="1" ht="19.95" customHeight="1">
      <c r="A495" s="199"/>
      <c r="B495" s="80"/>
      <c r="C495" s="80"/>
      <c r="D495" s="80"/>
    </row>
    <row r="496" spans="1:16" s="588" customFormat="1" ht="19.95" customHeight="1">
      <c r="A496" s="128" t="s">
        <v>1793</v>
      </c>
      <c r="B496" s="80"/>
      <c r="C496" s="80"/>
      <c r="D496" s="80"/>
    </row>
    <row r="497" spans="1:25" s="588" customFormat="1" ht="19.95" customHeight="1">
      <c r="A497" s="128"/>
      <c r="B497" s="80"/>
      <c r="C497" s="80"/>
      <c r="D497" s="80"/>
    </row>
    <row r="498" spans="1:25" s="588" customFormat="1" ht="19.95" customHeight="1">
      <c r="A498" s="80"/>
      <c r="B498" s="89" t="s">
        <v>158</v>
      </c>
      <c r="C498" s="129"/>
      <c r="D498" s="89" t="s">
        <v>2156</v>
      </c>
      <c r="E498" s="129"/>
      <c r="F498" s="89" t="s">
        <v>2167</v>
      </c>
      <c r="G498" s="129"/>
      <c r="H498" s="89" t="s">
        <v>2158</v>
      </c>
      <c r="I498" s="129"/>
      <c r="P498" s="89" t="s">
        <v>176</v>
      </c>
      <c r="Q498" s="129"/>
    </row>
    <row r="499" spans="1:25" s="588" customFormat="1" ht="19.95" customHeight="1">
      <c r="A499" s="89" t="s">
        <v>157</v>
      </c>
      <c r="B499" s="89" t="s">
        <v>1561</v>
      </c>
      <c r="C499" s="89" t="s">
        <v>1562</v>
      </c>
      <c r="D499" s="129" t="s">
        <v>169</v>
      </c>
      <c r="E499" s="129" t="s">
        <v>170</v>
      </c>
      <c r="F499" s="129" t="s">
        <v>169</v>
      </c>
      <c r="G499" s="129" t="s">
        <v>170</v>
      </c>
      <c r="H499" s="129" t="s">
        <v>169</v>
      </c>
      <c r="I499" s="129" t="s">
        <v>170</v>
      </c>
      <c r="J499" s="89" t="s">
        <v>140</v>
      </c>
      <c r="K499" s="89" t="s">
        <v>2153</v>
      </c>
      <c r="L499" s="89" t="s">
        <v>2154</v>
      </c>
      <c r="M499" s="105" t="s">
        <v>2171</v>
      </c>
      <c r="N499" s="105" t="s">
        <v>2172</v>
      </c>
      <c r="O499" s="105" t="s">
        <v>2173</v>
      </c>
      <c r="P499" s="89" t="s">
        <v>1561</v>
      </c>
      <c r="Q499" s="89" t="s">
        <v>1562</v>
      </c>
      <c r="R499" s="89" t="s">
        <v>179</v>
      </c>
      <c r="S499" s="89" t="s">
        <v>159</v>
      </c>
      <c r="T499" s="89" t="s">
        <v>160</v>
      </c>
      <c r="U499" s="89" t="s">
        <v>161</v>
      </c>
      <c r="V499" s="89" t="s">
        <v>79</v>
      </c>
      <c r="W499" s="89" t="s">
        <v>80</v>
      </c>
      <c r="X499" s="89" t="s">
        <v>3</v>
      </c>
      <c r="Y499" s="89" t="s">
        <v>75</v>
      </c>
    </row>
    <row r="500" spans="1:25" s="588" customFormat="1" ht="19.95" customHeight="1">
      <c r="A500" s="576" t="s">
        <v>162</v>
      </c>
      <c r="B500" s="576" t="s">
        <v>156</v>
      </c>
      <c r="C500" s="576" t="s">
        <v>156</v>
      </c>
      <c r="D500" s="576" t="s">
        <v>64</v>
      </c>
      <c r="E500" s="576" t="s">
        <v>64</v>
      </c>
      <c r="F500" s="576" t="s">
        <v>64</v>
      </c>
      <c r="G500" s="576" t="s">
        <v>64</v>
      </c>
      <c r="H500" s="576" t="s">
        <v>64</v>
      </c>
      <c r="I500" s="576" t="s">
        <v>64</v>
      </c>
      <c r="J500" s="576" t="s">
        <v>64</v>
      </c>
      <c r="K500" s="576" t="s">
        <v>64</v>
      </c>
      <c r="L500" s="576" t="s">
        <v>64</v>
      </c>
      <c r="M500" s="576" t="s">
        <v>64</v>
      </c>
      <c r="N500" s="576" t="s">
        <v>64</v>
      </c>
      <c r="O500" s="576" t="s">
        <v>64</v>
      </c>
      <c r="P500" s="576" t="s">
        <v>156</v>
      </c>
      <c r="Q500" s="576" t="s">
        <v>156</v>
      </c>
      <c r="R500" s="576" t="s">
        <v>74</v>
      </c>
      <c r="S500" s="576"/>
      <c r="T500" s="576" t="s">
        <v>163</v>
      </c>
      <c r="U500" s="576" t="s">
        <v>163</v>
      </c>
      <c r="V500" s="576" t="s">
        <v>92</v>
      </c>
      <c r="W500" s="576" t="s">
        <v>74</v>
      </c>
      <c r="X500" s="576" t="s">
        <v>90</v>
      </c>
      <c r="Y500" s="576" t="s">
        <v>91</v>
      </c>
    </row>
    <row r="501" spans="1:25" s="588" customFormat="1" ht="19.95" customHeight="1">
      <c r="A501" s="513" t="s">
        <v>1646</v>
      </c>
      <c r="B501" s="544">
        <f>pNO2v</f>
        <v>1004.0619057904013</v>
      </c>
      <c r="C501" s="544">
        <v>0</v>
      </c>
      <c r="D501" s="539">
        <v>8.1893999999999991</v>
      </c>
      <c r="E501" s="539">
        <v>1E-4</v>
      </c>
      <c r="F501" s="539">
        <v>9.1935000000000002</v>
      </c>
      <c r="G501" s="539">
        <v>2.0000000000000001E-4</v>
      </c>
      <c r="H501" s="539">
        <v>35.1691</v>
      </c>
      <c r="I501" s="539">
        <v>0</v>
      </c>
      <c r="J501" s="112">
        <f>D501-E501/2</f>
        <v>8.1893499999999992</v>
      </c>
      <c r="K501" s="112">
        <f>F501-G501/2</f>
        <v>9.1934000000000005</v>
      </c>
      <c r="L501" s="112">
        <f>H501-I501/2</f>
        <v>35.1691</v>
      </c>
      <c r="M501" s="184">
        <f>u_m1</f>
        <v>2.0000000000000001E-4</v>
      </c>
      <c r="N501" s="184">
        <f>u_m1</f>
        <v>2.0000000000000001E-4</v>
      </c>
      <c r="O501" s="184">
        <f>u_m1</f>
        <v>2.0000000000000001E-4</v>
      </c>
      <c r="P501" s="717" cm="1">
        <f t="array" ref="P501:Q501">WnA1S(B501:C501,J501:L501,M501:O501)</f>
        <v>37.366111862002185</v>
      </c>
      <c r="Q501" s="717">
        <v>1.0533388274476169E-2</v>
      </c>
      <c r="R501" s="513" t="s">
        <v>2155</v>
      </c>
      <c r="S501" s="513" t="s">
        <v>196</v>
      </c>
      <c r="T501" s="541">
        <v>20240221</v>
      </c>
      <c r="U501" s="513">
        <f>T501+1</f>
        <v>20240222</v>
      </c>
      <c r="V501" s="541">
        <v>21.5</v>
      </c>
      <c r="W501" s="541">
        <v>13.9</v>
      </c>
      <c r="X501" s="513" t="s">
        <v>101</v>
      </c>
      <c r="Y501" s="513" t="s">
        <v>94</v>
      </c>
    </row>
    <row r="502" spans="1:25" s="588" customFormat="1" ht="19.95" customHeight="1">
      <c r="A502" s="80" t="s">
        <v>1635</v>
      </c>
      <c r="B502" s="80"/>
      <c r="C502" s="80"/>
      <c r="D502" s="80"/>
    </row>
    <row r="503" spans="1:25" s="588" customFormat="1" ht="19.95" customHeight="1">
      <c r="A503" s="128"/>
      <c r="B503" s="80"/>
      <c r="C503" s="80"/>
      <c r="D503" s="80"/>
    </row>
    <row r="504" spans="1:25" s="588" customFormat="1" ht="19.95" customHeight="1">
      <c r="A504" s="128" t="s">
        <v>1794</v>
      </c>
      <c r="B504" s="80"/>
      <c r="C504" s="80"/>
      <c r="D504" s="80"/>
    </row>
    <row r="505" spans="1:25" s="588" customFormat="1" ht="19.95" customHeight="1">
      <c r="A505" s="80"/>
      <c r="B505" s="80"/>
      <c r="C505" s="80"/>
      <c r="D505" s="80"/>
    </row>
    <row r="506" spans="1:25" s="588" customFormat="1" ht="19.95" customHeight="1">
      <c r="A506" s="104"/>
      <c r="B506" s="89" t="s">
        <v>158</v>
      </c>
      <c r="C506" s="129"/>
      <c r="D506" s="89" t="s">
        <v>2156</v>
      </c>
      <c r="E506" s="129"/>
      <c r="F506" s="89" t="s">
        <v>2167</v>
      </c>
      <c r="G506" s="129"/>
      <c r="H506" s="89" t="s">
        <v>2168</v>
      </c>
      <c r="I506" s="129"/>
      <c r="P506" s="89" t="s">
        <v>176</v>
      </c>
      <c r="Q506" s="129"/>
    </row>
    <row r="507" spans="1:25" s="588" customFormat="1" ht="19.95" customHeight="1">
      <c r="A507" s="89" t="s">
        <v>157</v>
      </c>
      <c r="B507" s="89" t="s">
        <v>1561</v>
      </c>
      <c r="C507" s="89" t="s">
        <v>1562</v>
      </c>
      <c r="D507" s="129" t="s">
        <v>169</v>
      </c>
      <c r="E507" s="129" t="s">
        <v>170</v>
      </c>
      <c r="F507" s="129" t="s">
        <v>169</v>
      </c>
      <c r="G507" s="129" t="s">
        <v>170</v>
      </c>
      <c r="H507" s="129" t="s">
        <v>169</v>
      </c>
      <c r="I507" s="129" t="s">
        <v>170</v>
      </c>
      <c r="J507" s="89" t="s">
        <v>140</v>
      </c>
      <c r="K507" s="89" t="s">
        <v>2153</v>
      </c>
      <c r="L507" s="89" t="s">
        <v>2154</v>
      </c>
      <c r="M507" s="105" t="s">
        <v>2171</v>
      </c>
      <c r="N507" s="105" t="s">
        <v>2172</v>
      </c>
      <c r="O507" s="105" t="s">
        <v>2173</v>
      </c>
      <c r="P507" s="89" t="s">
        <v>1561</v>
      </c>
      <c r="Q507" s="89" t="s">
        <v>1562</v>
      </c>
      <c r="R507" s="89" t="s">
        <v>179</v>
      </c>
      <c r="S507" s="89" t="s">
        <v>159</v>
      </c>
      <c r="T507" s="89" t="s">
        <v>160</v>
      </c>
      <c r="U507" s="89" t="s">
        <v>161</v>
      </c>
      <c r="V507" s="89" t="s">
        <v>79</v>
      </c>
      <c r="W507" s="89" t="s">
        <v>80</v>
      </c>
      <c r="X507" s="89" t="s">
        <v>3</v>
      </c>
      <c r="Y507" s="89" t="s">
        <v>75</v>
      </c>
    </row>
    <row r="508" spans="1:25" s="588" customFormat="1" ht="19.95" customHeight="1">
      <c r="A508" s="576" t="s">
        <v>162</v>
      </c>
      <c r="B508" s="576" t="s">
        <v>156</v>
      </c>
      <c r="C508" s="576" t="s">
        <v>156</v>
      </c>
      <c r="D508" s="576" t="s">
        <v>64</v>
      </c>
      <c r="E508" s="576" t="s">
        <v>64</v>
      </c>
      <c r="F508" s="576" t="s">
        <v>64</v>
      </c>
      <c r="G508" s="576" t="s">
        <v>64</v>
      </c>
      <c r="H508" s="576" t="s">
        <v>64</v>
      </c>
      <c r="I508" s="576" t="s">
        <v>64</v>
      </c>
      <c r="J508" s="576" t="s">
        <v>64</v>
      </c>
      <c r="K508" s="576" t="s">
        <v>64</v>
      </c>
      <c r="L508" s="576" t="s">
        <v>64</v>
      </c>
      <c r="M508" s="576" t="s">
        <v>64</v>
      </c>
      <c r="N508" s="576" t="s">
        <v>64</v>
      </c>
      <c r="O508" s="576" t="s">
        <v>64</v>
      </c>
      <c r="P508" s="576" t="s">
        <v>156</v>
      </c>
      <c r="Q508" s="576" t="s">
        <v>156</v>
      </c>
      <c r="R508" s="576" t="s">
        <v>74</v>
      </c>
      <c r="S508" s="576"/>
      <c r="T508" s="576" t="s">
        <v>163</v>
      </c>
      <c r="U508" s="576" t="s">
        <v>163</v>
      </c>
      <c r="V508" s="576" t="s">
        <v>92</v>
      </c>
      <c r="W508" s="576" t="s">
        <v>74</v>
      </c>
      <c r="X508" s="576" t="s">
        <v>90</v>
      </c>
      <c r="Y508" s="576" t="s">
        <v>91</v>
      </c>
    </row>
    <row r="509" spans="1:25" s="588" customFormat="1" ht="19.95" customHeight="1">
      <c r="A509" s="513" t="s">
        <v>1647</v>
      </c>
      <c r="B509" s="542">
        <f>P501</f>
        <v>37.366111862002185</v>
      </c>
      <c r="C509" s="542">
        <f>Q501</f>
        <v>1.0533388274476169E-2</v>
      </c>
      <c r="D509" s="539">
        <v>8.1234999999999999</v>
      </c>
      <c r="E509" s="539">
        <v>1E-4</v>
      </c>
      <c r="F509" s="539">
        <v>9.6669999999999998</v>
      </c>
      <c r="G509" s="539">
        <v>-1E-4</v>
      </c>
      <c r="H509" s="539">
        <v>35.140300000000003</v>
      </c>
      <c r="I509" s="539">
        <v>0</v>
      </c>
      <c r="J509" s="112">
        <f>D509-E509/2</f>
        <v>8.1234500000000001</v>
      </c>
      <c r="K509" s="112">
        <f>F509-G509/2</f>
        <v>9.6670499999999997</v>
      </c>
      <c r="L509" s="112">
        <f>H509-I509/2</f>
        <v>35.140300000000003</v>
      </c>
      <c r="M509" s="184">
        <f>u_m1</f>
        <v>2.0000000000000001E-4</v>
      </c>
      <c r="N509" s="184">
        <f>u_m1</f>
        <v>2.0000000000000001E-4</v>
      </c>
      <c r="O509" s="222">
        <f>u_m2</f>
        <v>2E-3</v>
      </c>
      <c r="P509" s="540" cm="1">
        <f t="array" ref="P509:Q509">WnA1S(B509:C509,J509:L509,M509:O509)</f>
        <v>2.1349021173892049</v>
      </c>
      <c r="Q509" s="540">
        <v>7.3515096141481783E-4</v>
      </c>
      <c r="R509" s="513" t="s">
        <v>2155</v>
      </c>
      <c r="S509" s="513" t="s">
        <v>196</v>
      </c>
      <c r="T509" s="541">
        <v>20240221</v>
      </c>
      <c r="U509" s="513">
        <f>T509+1</f>
        <v>20240222</v>
      </c>
      <c r="V509" s="541">
        <v>21.5</v>
      </c>
      <c r="W509" s="541">
        <v>13.9</v>
      </c>
      <c r="X509" s="513" t="s">
        <v>101</v>
      </c>
      <c r="Y509" s="513" t="s">
        <v>94</v>
      </c>
    </row>
    <row r="510" spans="1:25" s="588" customFormat="1" ht="19.95" customHeight="1">
      <c r="A510" s="80" t="s">
        <v>1635</v>
      </c>
      <c r="B510" s="80"/>
      <c r="C510" s="80"/>
      <c r="D510" s="80"/>
    </row>
    <row r="511" spans="1:25" s="588" customFormat="1" ht="19.95" customHeight="1">
      <c r="A511" s="80"/>
      <c r="B511" s="80"/>
      <c r="C511" s="80"/>
      <c r="D511" s="80"/>
    </row>
    <row r="512" spans="1:25" s="588" customFormat="1" ht="19.95" customHeight="1">
      <c r="A512" s="104"/>
      <c r="B512" s="89" t="s">
        <v>158</v>
      </c>
      <c r="C512" s="129"/>
      <c r="D512" s="89" t="s">
        <v>2156</v>
      </c>
      <c r="E512" s="129"/>
      <c r="F512" s="89" t="s">
        <v>2167</v>
      </c>
      <c r="G512" s="129"/>
      <c r="H512" s="89" t="s">
        <v>2168</v>
      </c>
      <c r="I512" s="129"/>
      <c r="P512" s="89" t="s">
        <v>176</v>
      </c>
      <c r="Q512" s="129"/>
    </row>
    <row r="513" spans="1:25" s="588" customFormat="1" ht="19.95" customHeight="1">
      <c r="A513" s="89" t="s">
        <v>157</v>
      </c>
      <c r="B513" s="89" t="s">
        <v>1561</v>
      </c>
      <c r="C513" s="89" t="s">
        <v>1562</v>
      </c>
      <c r="D513" s="129" t="s">
        <v>169</v>
      </c>
      <c r="E513" s="129" t="s">
        <v>170</v>
      </c>
      <c r="F513" s="129" t="s">
        <v>169</v>
      </c>
      <c r="G513" s="129" t="s">
        <v>170</v>
      </c>
      <c r="H513" s="129" t="s">
        <v>169</v>
      </c>
      <c r="I513" s="129" t="s">
        <v>170</v>
      </c>
      <c r="J513" s="89" t="s">
        <v>140</v>
      </c>
      <c r="K513" s="89" t="s">
        <v>2153</v>
      </c>
      <c r="L513" s="89" t="s">
        <v>2154</v>
      </c>
      <c r="M513" s="105" t="s">
        <v>2171</v>
      </c>
      <c r="N513" s="105" t="s">
        <v>2172</v>
      </c>
      <c r="O513" s="105" t="s">
        <v>2173</v>
      </c>
      <c r="P513" s="89" t="s">
        <v>1561</v>
      </c>
      <c r="Q513" s="89" t="s">
        <v>1562</v>
      </c>
      <c r="R513" s="89" t="s">
        <v>179</v>
      </c>
      <c r="S513" s="89" t="s">
        <v>159</v>
      </c>
      <c r="T513" s="89" t="s">
        <v>160</v>
      </c>
      <c r="U513" s="89" t="s">
        <v>161</v>
      </c>
      <c r="V513" s="89" t="s">
        <v>79</v>
      </c>
      <c r="W513" s="89" t="s">
        <v>80</v>
      </c>
      <c r="X513" s="89" t="s">
        <v>3</v>
      </c>
      <c r="Y513" s="89" t="s">
        <v>75</v>
      </c>
    </row>
    <row r="514" spans="1:25" s="588" customFormat="1" ht="19.95" customHeight="1">
      <c r="A514" s="576" t="s">
        <v>162</v>
      </c>
      <c r="B514" s="576" t="s">
        <v>156</v>
      </c>
      <c r="C514" s="576" t="s">
        <v>156</v>
      </c>
      <c r="D514" s="576" t="s">
        <v>64</v>
      </c>
      <c r="E514" s="576" t="s">
        <v>64</v>
      </c>
      <c r="F514" s="576" t="s">
        <v>64</v>
      </c>
      <c r="G514" s="576" t="s">
        <v>64</v>
      </c>
      <c r="H514" s="576" t="s">
        <v>64</v>
      </c>
      <c r="I514" s="576" t="s">
        <v>64</v>
      </c>
      <c r="J514" s="576" t="s">
        <v>64</v>
      </c>
      <c r="K514" s="576" t="s">
        <v>64</v>
      </c>
      <c r="L514" s="576" t="s">
        <v>64</v>
      </c>
      <c r="M514" s="576" t="s">
        <v>64</v>
      </c>
      <c r="N514" s="576" t="s">
        <v>64</v>
      </c>
      <c r="O514" s="576" t="s">
        <v>64</v>
      </c>
      <c r="P514" s="576" t="s">
        <v>156</v>
      </c>
      <c r="Q514" s="576" t="s">
        <v>156</v>
      </c>
      <c r="R514" s="576" t="s">
        <v>74</v>
      </c>
      <c r="S514" s="576"/>
      <c r="T514" s="576" t="s">
        <v>163</v>
      </c>
      <c r="U514" s="576" t="s">
        <v>163</v>
      </c>
      <c r="V514" s="576" t="s">
        <v>92</v>
      </c>
      <c r="W514" s="576" t="s">
        <v>74</v>
      </c>
      <c r="X514" s="576" t="s">
        <v>90</v>
      </c>
      <c r="Y514" s="576" t="s">
        <v>91</v>
      </c>
    </row>
    <row r="515" spans="1:25" s="588" customFormat="1" ht="19.95" customHeight="1">
      <c r="A515" s="578" t="s">
        <v>1648</v>
      </c>
      <c r="B515" s="550">
        <f>P509</f>
        <v>2.1349021173892049</v>
      </c>
      <c r="C515" s="550">
        <f>Q509</f>
        <v>7.3515096141481783E-4</v>
      </c>
      <c r="D515" s="67">
        <v>8.1888000000000005</v>
      </c>
      <c r="E515" s="67">
        <v>-1E-4</v>
      </c>
      <c r="F515" s="67">
        <v>8.7018000000000004</v>
      </c>
      <c r="G515" s="67">
        <v>-2.9999999999999997E-4</v>
      </c>
      <c r="H515" s="67">
        <v>35.792200000000001</v>
      </c>
      <c r="I515" s="67">
        <v>-2.0000000000000001E-4</v>
      </c>
      <c r="J515" s="512">
        <f>D515-E515/2</f>
        <v>8.1888500000000004</v>
      </c>
      <c r="K515" s="512">
        <f>F515-G515/2</f>
        <v>8.7019500000000001</v>
      </c>
      <c r="L515" s="512">
        <f>H515-I515/2</f>
        <v>35.792300000000004</v>
      </c>
      <c r="M515" s="590">
        <f t="shared" ref="M515:N519" si="103">u_m1</f>
        <v>2.0000000000000001E-4</v>
      </c>
      <c r="N515" s="590">
        <f t="shared" si="103"/>
        <v>2.0000000000000001E-4</v>
      </c>
      <c r="O515" s="82">
        <f>u_m2</f>
        <v>2E-3</v>
      </c>
      <c r="P515" s="551" cm="1">
        <f t="array" ref="P515:Q515">WnA1S(B515:C515,J515:L515,M515:O515)</f>
        <v>3.9684107473247014E-2</v>
      </c>
      <c r="Q515" s="551">
        <v>2.5954345711333705E-5</v>
      </c>
      <c r="R515" s="572">
        <f>P515/F147</f>
        <v>1.0444340710348212</v>
      </c>
      <c r="S515" s="578" t="s">
        <v>196</v>
      </c>
      <c r="T515" s="108">
        <v>20240221</v>
      </c>
      <c r="U515" s="578">
        <f>T515+1</f>
        <v>20240222</v>
      </c>
      <c r="V515" s="108">
        <v>21.5</v>
      </c>
      <c r="W515" s="108">
        <v>13.9</v>
      </c>
      <c r="X515" s="578" t="s">
        <v>101</v>
      </c>
      <c r="Y515" s="578" t="s">
        <v>94</v>
      </c>
    </row>
    <row r="516" spans="1:25" s="588" customFormat="1" ht="19.95" customHeight="1">
      <c r="A516" s="575" t="s">
        <v>1649</v>
      </c>
      <c r="B516" s="552">
        <f>B515</f>
        <v>2.1349021173892049</v>
      </c>
      <c r="C516" s="552">
        <f>C515</f>
        <v>7.3515096141481783E-4</v>
      </c>
      <c r="D516" s="69">
        <v>8.2674000000000003</v>
      </c>
      <c r="E516" s="69">
        <v>-1E-4</v>
      </c>
      <c r="F516" s="69">
        <v>9.0373000000000001</v>
      </c>
      <c r="G516" s="69">
        <v>-1E-4</v>
      </c>
      <c r="H516" s="69">
        <v>36.153100000000002</v>
      </c>
      <c r="I516" s="69">
        <v>0</v>
      </c>
      <c r="J516" s="114">
        <f>D516-E516/2</f>
        <v>8.2674500000000002</v>
      </c>
      <c r="K516" s="114">
        <f>F516-G516/2</f>
        <v>9.03735</v>
      </c>
      <c r="L516" s="114">
        <f>H516-I516/2</f>
        <v>36.153100000000002</v>
      </c>
      <c r="M516" s="593">
        <f t="shared" si="103"/>
        <v>2.0000000000000001E-4</v>
      </c>
      <c r="N516" s="593">
        <f t="shared" si="103"/>
        <v>2.0000000000000001E-4</v>
      </c>
      <c r="O516" s="80">
        <f>u_m2</f>
        <v>2E-3</v>
      </c>
      <c r="P516" s="120" cm="1">
        <f t="array" ref="P516:Q516">WnA1S(B516:C516,J516:L516,M516:O516)</f>
        <v>5.8942902180080019E-2</v>
      </c>
      <c r="Q516" s="120">
        <v>2.9981987142965792E-5</v>
      </c>
      <c r="R516" s="471">
        <f>P516/F148</f>
        <v>1.0342003252233931</v>
      </c>
      <c r="S516" s="575" t="s">
        <v>196</v>
      </c>
      <c r="T516" s="106">
        <v>20240221</v>
      </c>
      <c r="U516" s="575">
        <f t="shared" ref="U516:U519" si="104">T516+1</f>
        <v>20240222</v>
      </c>
      <c r="V516" s="106">
        <v>21.5</v>
      </c>
      <c r="W516" s="106">
        <v>13.9</v>
      </c>
      <c r="X516" s="575" t="s">
        <v>101</v>
      </c>
      <c r="Y516" s="575" t="s">
        <v>94</v>
      </c>
    </row>
    <row r="517" spans="1:25" s="494" customFormat="1" ht="19.95" customHeight="1">
      <c r="A517" s="575" t="s">
        <v>1650</v>
      </c>
      <c r="B517" s="552">
        <f t="shared" ref="B517:C517" si="105">B516</f>
        <v>2.1349021173892049</v>
      </c>
      <c r="C517" s="552">
        <f t="shared" si="105"/>
        <v>7.3515096141481783E-4</v>
      </c>
      <c r="D517" s="69">
        <v>8.1986000000000008</v>
      </c>
      <c r="E517" s="69">
        <v>-2.0000000000000001E-4</v>
      </c>
      <c r="F517" s="69">
        <v>9.2236999999999991</v>
      </c>
      <c r="G517" s="69">
        <v>0</v>
      </c>
      <c r="H517" s="69">
        <v>36.070099999999996</v>
      </c>
      <c r="I517" s="69">
        <v>0</v>
      </c>
      <c r="J517" s="114">
        <f>D517-E517/2</f>
        <v>8.1987000000000005</v>
      </c>
      <c r="K517" s="114">
        <f>F517-G517/2</f>
        <v>9.2236999999999991</v>
      </c>
      <c r="L517" s="114">
        <f>H517-I517/2</f>
        <v>36.070099999999996</v>
      </c>
      <c r="M517" s="593">
        <f t="shared" si="103"/>
        <v>2.0000000000000001E-4</v>
      </c>
      <c r="N517" s="593">
        <f t="shared" si="103"/>
        <v>2.0000000000000001E-4</v>
      </c>
      <c r="O517" s="80">
        <f>u_m2</f>
        <v>2E-3</v>
      </c>
      <c r="P517" s="120" cm="1">
        <f t="array" ref="P517:Q517">WnA1S(B517:C517,J517:L517,M517:O517)</f>
        <v>7.8513267016509111E-2</v>
      </c>
      <c r="Q517" s="120">
        <v>3.5105349810267528E-5</v>
      </c>
      <c r="R517" s="471">
        <f>P517/F149</f>
        <v>1.0331835125128876</v>
      </c>
      <c r="S517" s="575" t="s">
        <v>196</v>
      </c>
      <c r="T517" s="106">
        <v>20240221</v>
      </c>
      <c r="U517" s="575">
        <f t="shared" si="104"/>
        <v>20240222</v>
      </c>
      <c r="V517" s="106">
        <v>21.5</v>
      </c>
      <c r="W517" s="106">
        <v>13.9</v>
      </c>
      <c r="X517" s="575" t="s">
        <v>101</v>
      </c>
      <c r="Y517" s="575" t="s">
        <v>94</v>
      </c>
    </row>
    <row r="518" spans="1:25" s="579" customFormat="1" ht="19.95" customHeight="1">
      <c r="A518" s="575" t="s">
        <v>1651</v>
      </c>
      <c r="B518" s="552">
        <f t="shared" ref="B518:C518" si="106">B517</f>
        <v>2.1349021173892049</v>
      </c>
      <c r="C518" s="552">
        <f t="shared" si="106"/>
        <v>7.3515096141481783E-4</v>
      </c>
      <c r="D518" s="69">
        <v>8.2098999999999993</v>
      </c>
      <c r="E518" s="69">
        <v>0</v>
      </c>
      <c r="F518" s="69">
        <v>9.7536000000000005</v>
      </c>
      <c r="G518" s="69">
        <v>0</v>
      </c>
      <c r="H518" s="69">
        <v>36.025300000000001</v>
      </c>
      <c r="I518" s="69">
        <v>0</v>
      </c>
      <c r="J518" s="114">
        <f>D518-E518/2</f>
        <v>8.2098999999999993</v>
      </c>
      <c r="K518" s="114">
        <f>F518-G518/2</f>
        <v>9.7536000000000005</v>
      </c>
      <c r="L518" s="114">
        <f>H518-I518/2</f>
        <v>36.025300000000001</v>
      </c>
      <c r="M518" s="593">
        <f t="shared" si="103"/>
        <v>2.0000000000000001E-4</v>
      </c>
      <c r="N518" s="593">
        <f t="shared" si="103"/>
        <v>2.0000000000000001E-4</v>
      </c>
      <c r="O518" s="80">
        <f>u_m2</f>
        <v>2E-3</v>
      </c>
      <c r="P518" s="119" cm="1">
        <f t="array" ref="P518:Q518">WnA1S(B518:C518,J518:L518,M518:O518)</f>
        <v>0.1184828691521142</v>
      </c>
      <c r="Q518" s="119">
        <v>4.7001837238881657E-5</v>
      </c>
      <c r="R518" s="471">
        <f>P518/F150</f>
        <v>1.0394383146943893</v>
      </c>
      <c r="S518" s="575" t="s">
        <v>196</v>
      </c>
      <c r="T518" s="106">
        <v>20240221</v>
      </c>
      <c r="U518" s="575">
        <f t="shared" si="104"/>
        <v>20240222</v>
      </c>
      <c r="V518" s="106">
        <v>21.5</v>
      </c>
      <c r="W518" s="106">
        <v>13.9</v>
      </c>
      <c r="X518" s="575" t="s">
        <v>101</v>
      </c>
      <c r="Y518" s="575" t="s">
        <v>94</v>
      </c>
    </row>
    <row r="519" spans="1:25" s="129" customFormat="1" ht="19.95" customHeight="1">
      <c r="A519" s="576" t="s">
        <v>1652</v>
      </c>
      <c r="B519" s="553">
        <f t="shared" ref="B519:C519" si="107">B518</f>
        <v>2.1349021173892049</v>
      </c>
      <c r="C519" s="553">
        <f t="shared" si="107"/>
        <v>7.3515096141481783E-4</v>
      </c>
      <c r="D519" s="76">
        <v>8.2542000000000009</v>
      </c>
      <c r="E519" s="76">
        <v>-2.0000000000000001E-4</v>
      </c>
      <c r="F519" s="76">
        <v>10.6173</v>
      </c>
      <c r="G519" s="76">
        <v>0</v>
      </c>
      <c r="H519" s="76">
        <v>35.687800000000003</v>
      </c>
      <c r="I519" s="76">
        <v>-1E-4</v>
      </c>
      <c r="J519" s="122">
        <f>D519-E519/2</f>
        <v>8.2543000000000006</v>
      </c>
      <c r="K519" s="122">
        <f>F519-G519/2</f>
        <v>10.6173</v>
      </c>
      <c r="L519" s="122">
        <f>H519-I519/2</f>
        <v>35.687850000000005</v>
      </c>
      <c r="M519" s="589">
        <f t="shared" si="103"/>
        <v>2.0000000000000001E-4</v>
      </c>
      <c r="N519" s="589">
        <f t="shared" si="103"/>
        <v>2.0000000000000001E-4</v>
      </c>
      <c r="O519" s="81">
        <f>u_m2</f>
        <v>2E-3</v>
      </c>
      <c r="P519" s="186" cm="1">
        <f t="array" ref="P519:Q519">WnA1S(B519:C519,J519:L519,M519:O519)</f>
        <v>0.18389066319855393</v>
      </c>
      <c r="Q519" s="186">
        <v>6.8379487657414833E-5</v>
      </c>
      <c r="R519" s="472">
        <f>P519/F151</f>
        <v>1.0216147955475219</v>
      </c>
      <c r="S519" s="576" t="s">
        <v>196</v>
      </c>
      <c r="T519" s="125">
        <v>20240221</v>
      </c>
      <c r="U519" s="576">
        <f t="shared" si="104"/>
        <v>20240222</v>
      </c>
      <c r="V519" s="125">
        <v>21.5</v>
      </c>
      <c r="W519" s="125">
        <v>13.9</v>
      </c>
      <c r="X519" s="576" t="s">
        <v>101</v>
      </c>
      <c r="Y519" s="576" t="s">
        <v>94</v>
      </c>
    </row>
    <row r="520" spans="1:25" s="147" customFormat="1" ht="19.95" customHeight="1">
      <c r="A520" s="86"/>
      <c r="B520" s="121"/>
      <c r="C520" s="121"/>
      <c r="D520" s="132"/>
      <c r="E520" s="132"/>
      <c r="F520" s="132"/>
      <c r="G520" s="132"/>
      <c r="H520" s="132"/>
      <c r="I520" s="132"/>
      <c r="J520" s="87"/>
      <c r="K520" s="87"/>
      <c r="L520" s="87"/>
      <c r="M520" s="228"/>
      <c r="N520" s="228"/>
      <c r="O520" s="228"/>
      <c r="P520" s="722"/>
      <c r="Q520" s="722"/>
      <c r="R520" s="565"/>
      <c r="S520" s="86"/>
      <c r="T520" s="554"/>
      <c r="U520" s="86"/>
      <c r="V520" s="554"/>
      <c r="W520" s="554"/>
      <c r="X520" s="86"/>
      <c r="Y520" s="86"/>
    </row>
    <row r="521" spans="1:25" s="579" customFormat="1" ht="19.95" customHeight="1">
      <c r="A521" s="80"/>
      <c r="B521" s="80"/>
      <c r="C521" s="80"/>
      <c r="D521" s="80"/>
    </row>
    <row r="522" spans="1:25" s="129" customFormat="1" ht="19.95" customHeight="1">
      <c r="A522" s="128" t="s">
        <v>1590</v>
      </c>
    </row>
    <row r="523" spans="1:25" s="129" customFormat="1" ht="19.95" customHeight="1"/>
    <row r="524" spans="1:25" s="129" customFormat="1" ht="19.95" customHeight="1">
      <c r="A524" s="128"/>
      <c r="E524" s="105" t="s">
        <v>172</v>
      </c>
      <c r="H524" s="105" t="s">
        <v>189</v>
      </c>
      <c r="K524" s="105" t="s">
        <v>195</v>
      </c>
    </row>
    <row r="525" spans="1:25" s="129" customFormat="1" ht="19.95" customHeight="1">
      <c r="E525" s="575" t="s">
        <v>169</v>
      </c>
      <c r="F525" s="575" t="s">
        <v>170</v>
      </c>
      <c r="G525" s="575" t="s">
        <v>171</v>
      </c>
      <c r="H525" s="575" t="s">
        <v>169</v>
      </c>
      <c r="I525" s="575" t="s">
        <v>170</v>
      </c>
      <c r="J525" s="575" t="s">
        <v>171</v>
      </c>
      <c r="K525" s="575" t="s">
        <v>169</v>
      </c>
      <c r="L525" s="575" t="s">
        <v>170</v>
      </c>
      <c r="M525" s="575" t="s">
        <v>171</v>
      </c>
      <c r="O525" s="580" t="s">
        <v>218</v>
      </c>
      <c r="P525" s="580" t="s">
        <v>219</v>
      </c>
    </row>
    <row r="526" spans="1:25" s="129" customFormat="1" ht="19.95" customHeight="1">
      <c r="A526" s="577" t="s">
        <v>184</v>
      </c>
      <c r="B526" s="577" t="s">
        <v>185</v>
      </c>
      <c r="C526" s="577"/>
      <c r="D526" s="577" t="s">
        <v>96</v>
      </c>
      <c r="E526" s="576" t="s">
        <v>64</v>
      </c>
      <c r="F526" s="576" t="s">
        <v>64</v>
      </c>
      <c r="G526" s="576" t="s">
        <v>64</v>
      </c>
      <c r="H526" s="576" t="s">
        <v>64</v>
      </c>
      <c r="I526" s="576" t="s">
        <v>64</v>
      </c>
      <c r="J526" s="576" t="s">
        <v>64</v>
      </c>
      <c r="K526" s="576" t="s">
        <v>64</v>
      </c>
      <c r="L526" s="576" t="s">
        <v>64</v>
      </c>
      <c r="M526" s="576" t="s">
        <v>64</v>
      </c>
      <c r="N526" s="576" t="s">
        <v>2</v>
      </c>
      <c r="O526" s="576" t="s">
        <v>64</v>
      </c>
      <c r="P526" s="576" t="s">
        <v>64</v>
      </c>
    </row>
    <row r="527" spans="1:25" s="129" customFormat="1" ht="19.95" customHeight="1">
      <c r="A527" s="575" t="s">
        <v>110</v>
      </c>
      <c r="B527" s="575" t="str">
        <f t="shared" ref="B527:B542" si="108">B366</f>
        <v>Baseline DIW</v>
      </c>
      <c r="C527" s="575"/>
      <c r="D527" s="575" t="s">
        <v>1591</v>
      </c>
      <c r="E527" s="132"/>
      <c r="F527" s="132"/>
      <c r="G527" s="87"/>
      <c r="H527" s="132"/>
      <c r="I527" s="132"/>
      <c r="J527" s="87"/>
      <c r="K527" s="132"/>
      <c r="L527" s="132"/>
      <c r="M527" s="87"/>
      <c r="N527" s="546">
        <v>45343</v>
      </c>
    </row>
    <row r="528" spans="1:25" s="129" customFormat="1" ht="19.95" customHeight="1">
      <c r="A528" s="129" t="s">
        <v>110</v>
      </c>
      <c r="B528" s="575" t="str">
        <f t="shared" si="108"/>
        <v>Baseline LNSW</v>
      </c>
      <c r="C528" s="575"/>
      <c r="D528" s="575" t="s">
        <v>1592</v>
      </c>
      <c r="E528" s="132"/>
      <c r="F528" s="132"/>
      <c r="G528" s="87"/>
      <c r="H528" s="132"/>
      <c r="I528" s="132"/>
      <c r="J528" s="87"/>
      <c r="K528" s="132"/>
      <c r="L528" s="132"/>
      <c r="M528" s="87"/>
      <c r="N528" s="556"/>
    </row>
    <row r="529" spans="1:16" s="129" customFormat="1" ht="19.95" customHeight="1">
      <c r="A529" s="129" t="s">
        <v>110</v>
      </c>
      <c r="B529" s="575" t="str">
        <f t="shared" si="108"/>
        <v>Baseline MOOS-4</v>
      </c>
      <c r="C529" s="575"/>
      <c r="D529" s="575" t="s">
        <v>1593</v>
      </c>
      <c r="E529" s="132"/>
      <c r="F529" s="132"/>
      <c r="G529" s="87"/>
      <c r="H529" s="132"/>
      <c r="I529" s="132"/>
      <c r="J529" s="87"/>
      <c r="K529" s="132"/>
      <c r="L529" s="132"/>
      <c r="M529" s="87"/>
      <c r="N529" s="556"/>
    </row>
    <row r="530" spans="1:16" s="129" customFormat="1" ht="19.95" customHeight="1">
      <c r="A530" s="129" t="s">
        <v>110</v>
      </c>
      <c r="B530" s="575" t="str">
        <f t="shared" si="108"/>
        <v>Baseline MOOS-3</v>
      </c>
      <c r="C530" s="575"/>
      <c r="D530" s="129" t="s">
        <v>1595</v>
      </c>
      <c r="N530" s="556"/>
    </row>
    <row r="531" spans="1:16" s="129" customFormat="1" ht="19.95" customHeight="1">
      <c r="A531" s="129" t="s">
        <v>110</v>
      </c>
      <c r="B531" s="575" t="str">
        <f t="shared" si="108"/>
        <v>Reag BLK DIW</v>
      </c>
      <c r="C531" s="575"/>
      <c r="D531" s="575" t="s">
        <v>1596</v>
      </c>
      <c r="E531" s="132"/>
      <c r="F531" s="132"/>
      <c r="G531" s="87"/>
      <c r="H531" s="132"/>
      <c r="I531" s="132"/>
      <c r="J531" s="87"/>
      <c r="K531" s="132"/>
      <c r="L531" s="132"/>
      <c r="M531" s="87"/>
      <c r="N531" s="556"/>
    </row>
    <row r="532" spans="1:16" s="129" customFormat="1" ht="19.95" customHeight="1">
      <c r="A532" s="576" t="s">
        <v>110</v>
      </c>
      <c r="B532" s="576" t="str">
        <f t="shared" si="108"/>
        <v>Reag BLK LNSW</v>
      </c>
      <c r="C532" s="576"/>
      <c r="D532" s="576" t="s">
        <v>1597</v>
      </c>
      <c r="E532" s="187"/>
      <c r="F532" s="187"/>
      <c r="G532" s="188"/>
      <c r="H532" s="187"/>
      <c r="I532" s="187"/>
      <c r="J532" s="188"/>
      <c r="K532" s="187"/>
      <c r="L532" s="187"/>
      <c r="M532" s="188"/>
      <c r="N532" s="557"/>
      <c r="O532" s="576"/>
      <c r="P532" s="576"/>
    </row>
    <row r="533" spans="1:16" s="129" customFormat="1" ht="19.95" customHeight="1">
      <c r="A533" s="129" t="s">
        <v>186</v>
      </c>
      <c r="B533" s="575" t="str">
        <f t="shared" si="108"/>
        <v>CAL-1</v>
      </c>
      <c r="C533" s="575"/>
      <c r="D533" s="129" t="s">
        <v>125</v>
      </c>
      <c r="E533" s="69">
        <v>7.3369999999999997</v>
      </c>
      <c r="F533" s="69">
        <v>0</v>
      </c>
      <c r="G533" s="114">
        <f t="shared" ref="G533:G543" si="109">E533-F533/2</f>
        <v>7.3369999999999997</v>
      </c>
      <c r="H533" s="69">
        <v>12.452</v>
      </c>
      <c r="I533" s="69">
        <v>-1E-4</v>
      </c>
      <c r="J533" s="114">
        <f t="shared" ref="J533:J543" si="110">H533-I533/2</f>
        <v>12.45205</v>
      </c>
      <c r="K533" s="69">
        <v>12.6531</v>
      </c>
      <c r="L533" s="69">
        <v>0</v>
      </c>
      <c r="M533" s="114">
        <f t="shared" ref="M533:M543" si="111">K533-L533/2</f>
        <v>12.6531</v>
      </c>
      <c r="N533" s="556"/>
      <c r="O533" s="77">
        <f t="shared" ref="O533:O543" si="112">J533-G533</f>
        <v>5.1150500000000001</v>
      </c>
      <c r="P533" s="77">
        <f t="shared" ref="P533:P543" si="113">M533-G533</f>
        <v>5.3161000000000005</v>
      </c>
    </row>
    <row r="534" spans="1:16" s="129" customFormat="1" ht="19.95" customHeight="1">
      <c r="A534" s="129" t="s">
        <v>186</v>
      </c>
      <c r="B534" s="575" t="str">
        <f t="shared" si="108"/>
        <v>CAL-2</v>
      </c>
      <c r="C534" s="575"/>
      <c r="D534" s="129" t="s">
        <v>126</v>
      </c>
      <c r="E534" s="69">
        <v>7.3018999999999998</v>
      </c>
      <c r="F534" s="69">
        <v>2.0000000000000001E-4</v>
      </c>
      <c r="G534" s="114">
        <f t="shared" si="109"/>
        <v>7.3018000000000001</v>
      </c>
      <c r="H534" s="69">
        <v>12.4175</v>
      </c>
      <c r="I534" s="69">
        <v>-2.9999999999999997E-4</v>
      </c>
      <c r="J534" s="114">
        <f t="shared" si="110"/>
        <v>12.41765</v>
      </c>
      <c r="K534" s="69">
        <v>12.6183</v>
      </c>
      <c r="L534" s="69">
        <v>1E-4</v>
      </c>
      <c r="M534" s="114">
        <f t="shared" si="111"/>
        <v>12.61825</v>
      </c>
      <c r="N534" s="556"/>
      <c r="O534" s="77">
        <f t="shared" si="112"/>
        <v>5.11585</v>
      </c>
      <c r="P534" s="77">
        <f t="shared" si="113"/>
        <v>5.3164499999999997</v>
      </c>
    </row>
    <row r="535" spans="1:16" s="129" customFormat="1" ht="19.95" customHeight="1">
      <c r="A535" s="129" t="s">
        <v>186</v>
      </c>
      <c r="B535" s="575" t="str">
        <f t="shared" si="108"/>
        <v>CAL-3</v>
      </c>
      <c r="C535" s="575"/>
      <c r="D535" s="129" t="s">
        <v>127</v>
      </c>
      <c r="E535" s="69">
        <v>7.3346999999999998</v>
      </c>
      <c r="F535" s="69">
        <v>0</v>
      </c>
      <c r="G535" s="114">
        <f t="shared" si="109"/>
        <v>7.3346999999999998</v>
      </c>
      <c r="H535" s="69">
        <v>12.4648</v>
      </c>
      <c r="I535" s="69">
        <v>2.9999999999999997E-4</v>
      </c>
      <c r="J535" s="114">
        <f t="shared" si="110"/>
        <v>12.464650000000001</v>
      </c>
      <c r="K535" s="69">
        <v>12.665900000000001</v>
      </c>
      <c r="L535" s="69">
        <v>-1E-4</v>
      </c>
      <c r="M535" s="114">
        <f t="shared" si="111"/>
        <v>12.66595</v>
      </c>
      <c r="N535" s="556"/>
      <c r="O535" s="77">
        <f t="shared" si="112"/>
        <v>5.1299500000000009</v>
      </c>
      <c r="P535" s="77">
        <f t="shared" si="113"/>
        <v>5.3312500000000007</v>
      </c>
    </row>
    <row r="536" spans="1:16" s="129" customFormat="1" ht="19.95" customHeight="1">
      <c r="A536" s="129" t="s">
        <v>186</v>
      </c>
      <c r="B536" s="575" t="str">
        <f t="shared" si="108"/>
        <v>CAL-4</v>
      </c>
      <c r="C536" s="575"/>
      <c r="D536" s="129" t="s">
        <v>129</v>
      </c>
      <c r="E536" s="69">
        <v>7.3372999999999999</v>
      </c>
      <c r="F536" s="69">
        <v>-1E-4</v>
      </c>
      <c r="G536" s="114">
        <f t="shared" si="109"/>
        <v>7.3373499999999998</v>
      </c>
      <c r="H536" s="69">
        <v>12.4712</v>
      </c>
      <c r="I536" s="69">
        <v>0</v>
      </c>
      <c r="J536" s="114">
        <f t="shared" si="110"/>
        <v>12.4712</v>
      </c>
      <c r="K536" s="69">
        <v>12.672800000000001</v>
      </c>
      <c r="L536" s="69">
        <v>0</v>
      </c>
      <c r="M536" s="114">
        <f t="shared" si="111"/>
        <v>12.672800000000001</v>
      </c>
      <c r="N536" s="556"/>
      <c r="O536" s="77">
        <f t="shared" si="112"/>
        <v>5.1338499999999998</v>
      </c>
      <c r="P536" s="77">
        <f t="shared" si="113"/>
        <v>5.3354500000000007</v>
      </c>
    </row>
    <row r="537" spans="1:16" s="129" customFormat="1" ht="19.95" customHeight="1">
      <c r="A537" s="576" t="s">
        <v>186</v>
      </c>
      <c r="B537" s="576" t="str">
        <f t="shared" si="108"/>
        <v>CAL-5</v>
      </c>
      <c r="C537" s="576"/>
      <c r="D537" s="576" t="s">
        <v>130</v>
      </c>
      <c r="E537" s="76">
        <v>7.3178000000000001</v>
      </c>
      <c r="F537" s="76">
        <v>1E-4</v>
      </c>
      <c r="G537" s="122">
        <f t="shared" si="109"/>
        <v>7.3177500000000002</v>
      </c>
      <c r="H537" s="76">
        <v>12.456</v>
      </c>
      <c r="I537" s="76">
        <v>0</v>
      </c>
      <c r="J537" s="122">
        <f t="shared" si="110"/>
        <v>12.456</v>
      </c>
      <c r="K537" s="76">
        <v>12.657</v>
      </c>
      <c r="L537" s="76">
        <v>1E-4</v>
      </c>
      <c r="M537" s="122">
        <f t="shared" si="111"/>
        <v>12.65695</v>
      </c>
      <c r="N537" s="557"/>
      <c r="O537" s="122">
        <f t="shared" si="112"/>
        <v>5.1382499999999993</v>
      </c>
      <c r="P537" s="122">
        <f t="shared" si="113"/>
        <v>5.3391999999999999</v>
      </c>
    </row>
    <row r="538" spans="1:16" s="129" customFormat="1" ht="19.95" customHeight="1">
      <c r="A538" s="129" t="s">
        <v>187</v>
      </c>
      <c r="B538" s="575" t="str">
        <f t="shared" si="108"/>
        <v>MOOS001a_i</v>
      </c>
      <c r="C538" s="575"/>
      <c r="D538" s="575" t="s">
        <v>1604</v>
      </c>
      <c r="E538" s="69">
        <v>7.3215000000000003</v>
      </c>
      <c r="F538" s="69">
        <v>1E-4</v>
      </c>
      <c r="G538" s="114">
        <f t="shared" si="109"/>
        <v>7.3214500000000005</v>
      </c>
      <c r="H538" s="69">
        <v>12.4002</v>
      </c>
      <c r="I538" s="69">
        <v>-1E-4</v>
      </c>
      <c r="J538" s="114">
        <f t="shared" si="110"/>
        <v>12.40025</v>
      </c>
      <c r="K538" s="69">
        <v>12.601900000000001</v>
      </c>
      <c r="L538" s="69">
        <v>-1E-4</v>
      </c>
      <c r="M538" s="114">
        <f t="shared" si="111"/>
        <v>12.60195</v>
      </c>
      <c r="N538" s="556"/>
      <c r="O538" s="77">
        <f t="shared" si="112"/>
        <v>5.0787999999999993</v>
      </c>
      <c r="P538" s="77">
        <f t="shared" si="113"/>
        <v>5.2805</v>
      </c>
    </row>
    <row r="539" spans="1:16" s="129" customFormat="1" ht="19.95" customHeight="1">
      <c r="A539" s="129" t="s">
        <v>187</v>
      </c>
      <c r="B539" s="575" t="str">
        <f t="shared" si="108"/>
        <v>MOOS078a_i</v>
      </c>
      <c r="C539" s="575"/>
      <c r="D539" s="575" t="s">
        <v>1605</v>
      </c>
      <c r="E539" s="69">
        <v>7.3086000000000002</v>
      </c>
      <c r="F539" s="69">
        <v>-2.0000000000000001E-4</v>
      </c>
      <c r="G539" s="114">
        <f t="shared" si="109"/>
        <v>7.3087</v>
      </c>
      <c r="H539" s="69">
        <v>12.395</v>
      </c>
      <c r="I539" s="69">
        <v>1E-4</v>
      </c>
      <c r="J539" s="114">
        <f t="shared" si="110"/>
        <v>12.39495</v>
      </c>
      <c r="K539" s="69">
        <v>12.5968</v>
      </c>
      <c r="L539" s="69">
        <v>-1E-4</v>
      </c>
      <c r="M539" s="114">
        <f t="shared" si="111"/>
        <v>12.59685</v>
      </c>
      <c r="N539" s="556"/>
      <c r="O539" s="77">
        <f t="shared" si="112"/>
        <v>5.0862499999999997</v>
      </c>
      <c r="P539" s="77">
        <f t="shared" si="113"/>
        <v>5.2881499999999999</v>
      </c>
    </row>
    <row r="540" spans="1:16" s="129" customFormat="1" ht="19.95" customHeight="1">
      <c r="A540" s="129" t="s">
        <v>187</v>
      </c>
      <c r="B540" s="575" t="str">
        <f t="shared" si="108"/>
        <v>MOOS155a_i</v>
      </c>
      <c r="C540" s="575"/>
      <c r="D540" s="575" t="s">
        <v>1606</v>
      </c>
      <c r="E540" s="69">
        <v>7.3304999999999998</v>
      </c>
      <c r="F540" s="69">
        <v>1E-4</v>
      </c>
      <c r="G540" s="114">
        <f t="shared" si="109"/>
        <v>7.3304499999999999</v>
      </c>
      <c r="H540" s="69">
        <v>12.424300000000001</v>
      </c>
      <c r="I540" s="69">
        <v>0</v>
      </c>
      <c r="J540" s="114">
        <f t="shared" si="110"/>
        <v>12.424300000000001</v>
      </c>
      <c r="K540" s="69">
        <v>12.6257</v>
      </c>
      <c r="L540" s="69">
        <v>1E-4</v>
      </c>
      <c r="M540" s="114">
        <f t="shared" si="111"/>
        <v>12.62565</v>
      </c>
      <c r="N540" s="556"/>
      <c r="O540" s="114">
        <f t="shared" si="112"/>
        <v>5.0938500000000007</v>
      </c>
      <c r="P540" s="114">
        <f t="shared" si="113"/>
        <v>5.2952000000000004</v>
      </c>
    </row>
    <row r="541" spans="1:16" s="129" customFormat="1" ht="19.95" customHeight="1">
      <c r="A541" s="129" t="s">
        <v>187</v>
      </c>
      <c r="B541" s="575" t="str">
        <f t="shared" si="108"/>
        <v>MOOS232a_i</v>
      </c>
      <c r="C541" s="575"/>
      <c r="D541" s="575" t="s">
        <v>1607</v>
      </c>
      <c r="E541" s="69">
        <v>7.3357000000000001</v>
      </c>
      <c r="F541" s="69">
        <v>0</v>
      </c>
      <c r="G541" s="114">
        <f t="shared" si="109"/>
        <v>7.3357000000000001</v>
      </c>
      <c r="H541" s="69">
        <v>12.4315</v>
      </c>
      <c r="I541" s="69">
        <v>-2.0000000000000001E-4</v>
      </c>
      <c r="J541" s="114">
        <f t="shared" si="110"/>
        <v>12.4316</v>
      </c>
      <c r="K541" s="69">
        <v>12.6326</v>
      </c>
      <c r="L541" s="69">
        <v>-2.0000000000000001E-4</v>
      </c>
      <c r="M541" s="114">
        <f t="shared" si="111"/>
        <v>12.6327</v>
      </c>
      <c r="N541" s="556"/>
      <c r="O541" s="114">
        <f t="shared" si="112"/>
        <v>5.0958999999999994</v>
      </c>
      <c r="P541" s="114">
        <f t="shared" si="113"/>
        <v>5.2969999999999997</v>
      </c>
    </row>
    <row r="542" spans="1:16" s="129" customFormat="1" ht="19.95" customHeight="1">
      <c r="A542" s="129" t="s">
        <v>187</v>
      </c>
      <c r="B542" s="575" t="str">
        <f t="shared" si="108"/>
        <v>MOOS310a_i</v>
      </c>
      <c r="C542" s="575"/>
      <c r="D542" s="575" t="s">
        <v>1608</v>
      </c>
      <c r="E542" s="69">
        <v>7.3327</v>
      </c>
      <c r="F542" s="69">
        <v>-1E-4</v>
      </c>
      <c r="G542" s="114">
        <f t="shared" si="109"/>
        <v>7.3327499999999999</v>
      </c>
      <c r="H542" s="69">
        <v>12.4239</v>
      </c>
      <c r="I542" s="69">
        <v>2.0000000000000001E-4</v>
      </c>
      <c r="J542" s="114">
        <f t="shared" si="110"/>
        <v>12.4238</v>
      </c>
      <c r="K542" s="69">
        <v>12.6252</v>
      </c>
      <c r="L542" s="69">
        <v>2.0000000000000001E-4</v>
      </c>
      <c r="M542" s="114">
        <f t="shared" si="111"/>
        <v>12.6251</v>
      </c>
      <c r="N542" s="556"/>
      <c r="O542" s="114">
        <f t="shared" si="112"/>
        <v>5.0910500000000001</v>
      </c>
      <c r="P542" s="114">
        <f t="shared" si="113"/>
        <v>5.2923499999999999</v>
      </c>
    </row>
    <row r="543" spans="1:16" s="579" customFormat="1" ht="19.95" customHeight="1">
      <c r="A543" s="81" t="s">
        <v>188</v>
      </c>
      <c r="B543" s="81" t="str">
        <f>B387</f>
        <v>MOOS-3</v>
      </c>
      <c r="C543" s="81"/>
      <c r="D543" s="576" t="s">
        <v>193</v>
      </c>
      <c r="E543" s="76">
        <v>7.3118999999999996</v>
      </c>
      <c r="F543" s="76">
        <v>1E-4</v>
      </c>
      <c r="G543" s="122">
        <f t="shared" si="109"/>
        <v>7.3118499999999997</v>
      </c>
      <c r="H543" s="76">
        <v>12.230700000000001</v>
      </c>
      <c r="I543" s="76">
        <v>0</v>
      </c>
      <c r="J543" s="122">
        <f t="shared" si="110"/>
        <v>12.230700000000001</v>
      </c>
      <c r="K543" s="76">
        <v>12.431800000000001</v>
      </c>
      <c r="L543" s="76">
        <v>0</v>
      </c>
      <c r="M543" s="122">
        <f t="shared" si="111"/>
        <v>12.431800000000001</v>
      </c>
      <c r="N543" s="548">
        <v>45343</v>
      </c>
      <c r="O543" s="122">
        <f t="shared" si="112"/>
        <v>4.9188500000000008</v>
      </c>
      <c r="P543" s="122">
        <f t="shared" si="113"/>
        <v>5.1199500000000011</v>
      </c>
    </row>
    <row r="544" spans="1:16" s="579" customFormat="1" ht="19.95" customHeight="1">
      <c r="A544" s="80"/>
      <c r="B544" s="80"/>
      <c r="C544" s="80"/>
      <c r="D544" s="80"/>
    </row>
    <row r="545" spans="1:68" s="149" customFormat="1" ht="19.95" customHeight="1">
      <c r="A545" s="537" t="s">
        <v>2217</v>
      </c>
      <c r="B545" s="536"/>
      <c r="C545" s="536"/>
      <c r="D545" s="536"/>
    </row>
    <row r="546" spans="1:68" s="579" customFormat="1" ht="19.95" customHeight="1">
      <c r="A546" s="80"/>
      <c r="B546" s="80"/>
      <c r="C546" s="80"/>
      <c r="D546" s="80"/>
    </row>
    <row r="547" spans="1:68" s="588" customFormat="1" ht="19.95" customHeight="1">
      <c r="A547" s="623" t="s">
        <v>2226</v>
      </c>
      <c r="B547" s="167"/>
      <c r="C547" s="167"/>
      <c r="D547" s="168"/>
      <c r="E547" s="167"/>
      <c r="F547" s="167"/>
      <c r="G547" s="167"/>
      <c r="H547" s="167"/>
      <c r="I547" s="167"/>
      <c r="J547" s="167"/>
      <c r="K547" s="167"/>
      <c r="L547" s="167"/>
      <c r="M547" s="167"/>
      <c r="N547" s="167"/>
      <c r="O547" s="167"/>
      <c r="P547" s="167"/>
      <c r="Q547" s="167"/>
      <c r="R547" s="167"/>
      <c r="S547" s="167"/>
      <c r="T547" s="167"/>
      <c r="U547" s="167"/>
      <c r="V547" s="167"/>
      <c r="W547" s="167"/>
      <c r="X547" s="167"/>
      <c r="Y547" s="167"/>
      <c r="Z547" s="167"/>
      <c r="AA547" s="167"/>
      <c r="AB547" s="167"/>
      <c r="AC547" s="167"/>
      <c r="AD547" s="167"/>
      <c r="AE547" s="167"/>
      <c r="AF547" s="167"/>
      <c r="AG547" s="167"/>
      <c r="AH547" s="167"/>
      <c r="AI547" s="167"/>
      <c r="AJ547" s="167"/>
      <c r="AK547" s="167"/>
      <c r="AL547" s="167"/>
      <c r="AM547" s="167"/>
      <c r="AN547" s="167"/>
      <c r="AO547" s="167"/>
      <c r="AP547" s="167"/>
      <c r="AQ547" s="167"/>
      <c r="AR547" s="167"/>
      <c r="AS547" s="167"/>
      <c r="AT547" s="167"/>
      <c r="AU547" s="167"/>
      <c r="AV547" s="167"/>
      <c r="AW547" s="167"/>
      <c r="AX547" s="167"/>
      <c r="AY547" s="167"/>
      <c r="AZ547" s="167"/>
      <c r="BA547" s="167"/>
      <c r="BB547" s="167"/>
      <c r="BC547" s="167"/>
      <c r="BD547" s="167"/>
      <c r="BE547" s="167"/>
      <c r="BF547" s="167"/>
      <c r="BG547" s="167"/>
      <c r="BH547" s="167"/>
      <c r="BI547" s="167"/>
      <c r="BJ547" s="167"/>
      <c r="BK547" s="167"/>
      <c r="BL547" s="167"/>
      <c r="BM547" s="167"/>
      <c r="BN547" s="167"/>
      <c r="BO547" s="167"/>
      <c r="BP547" s="167"/>
    </row>
    <row r="548" spans="1:68" s="148" customFormat="1" ht="19.95" customHeight="1">
      <c r="A548" s="233"/>
      <c r="D548" s="723"/>
    </row>
    <row r="549" spans="1:68" s="148" customFormat="1" ht="19.95" customHeight="1">
      <c r="A549" s="587" t="s">
        <v>102</v>
      </c>
      <c r="B549" s="587" t="s">
        <v>1528</v>
      </c>
      <c r="C549" s="587" t="s">
        <v>2055</v>
      </c>
      <c r="D549" s="195" t="s">
        <v>2</v>
      </c>
      <c r="E549" s="587" t="s">
        <v>2052</v>
      </c>
      <c r="F549" s="587" t="s">
        <v>2080</v>
      </c>
      <c r="G549" s="587" t="s">
        <v>2053</v>
      </c>
      <c r="H549" s="587" t="s">
        <v>117</v>
      </c>
      <c r="I549" s="728" t="s">
        <v>2175</v>
      </c>
      <c r="J549" s="728" t="s">
        <v>2176</v>
      </c>
    </row>
    <row r="550" spans="1:68" s="148" customFormat="1" ht="19.95" customHeight="1">
      <c r="A550" s="148" t="str">
        <f>RAW_DATA!N292</f>
        <v>AB1</v>
      </c>
      <c r="B550" s="317">
        <f>RAW_DATA!O292</f>
        <v>0.49290545737347574</v>
      </c>
      <c r="C550" s="317">
        <f>RAW_DATA!P292</f>
        <v>1.0384882349359531E-2</v>
      </c>
      <c r="D550" s="724">
        <f>RAW_DATA!Q292</f>
        <v>45342.574687499997</v>
      </c>
      <c r="E550" s="317">
        <f>T322</f>
        <v>0.5115560792574515</v>
      </c>
      <c r="F550" s="317">
        <f>U322</f>
        <v>3.7217828675895569E-4</v>
      </c>
      <c r="G550" s="317">
        <f t="shared" ref="G550:H553" si="114">O337</f>
        <v>4.987750000000001</v>
      </c>
      <c r="H550" s="317">
        <f t="shared" si="114"/>
        <v>0.49695</v>
      </c>
      <c r="I550" s="320">
        <f>E550*G550/H550</f>
        <v>5.1343471864701762</v>
      </c>
      <c r="J550" s="320">
        <f>I550*SQRT((F550/E550)^2+(u_m3/G550)^2+(u_m3/H550)^2)</f>
        <v>4.7516224114278532E-3</v>
      </c>
      <c r="L550" s="732"/>
    </row>
    <row r="551" spans="1:68" s="148" customFormat="1" ht="19.95" customHeight="1">
      <c r="A551" s="148" t="str">
        <f>RAW_DATA!N293</f>
        <v>AB2A</v>
      </c>
      <c r="B551" s="317">
        <f>RAW_DATA!O293</f>
        <v>0.98736629766817241</v>
      </c>
      <c r="C551" s="317">
        <f>RAW_DATA!P293</f>
        <v>2.0802534611089583E-2</v>
      </c>
      <c r="D551" s="724">
        <f>RAW_DATA!Q293</f>
        <v>45342.581666666701</v>
      </c>
      <c r="E551" s="320">
        <f>T323</f>
        <v>1.0281667606390865</v>
      </c>
      <c r="F551" s="320">
        <f>U323</f>
        <v>4.5048703793047686E-4</v>
      </c>
      <c r="G551" s="317">
        <f t="shared" si="114"/>
        <v>4.9804500000000003</v>
      </c>
      <c r="H551" s="317">
        <f t="shared" si="114"/>
        <v>0.4972499999999993</v>
      </c>
      <c r="I551" s="733">
        <f t="shared" ref="I551:I554" si="115">E551*G551/H551</f>
        <v>10.298105868325683</v>
      </c>
      <c r="J551" s="733">
        <f>I551*SQRT((F551/E551)^2+(u_m3/G551)^2+(u_m3/H551)^2)</f>
        <v>7.4171119684001393E-3</v>
      </c>
    </row>
    <row r="552" spans="1:68" s="148" customFormat="1" ht="19.95" customHeight="1">
      <c r="A552" s="148" t="str">
        <f>RAW_DATA!N294</f>
        <v>AB2B</v>
      </c>
      <c r="B552" s="317">
        <f>RAW_DATA!O294</f>
        <v>0.95710002603695654</v>
      </c>
      <c r="C552" s="317">
        <f>RAW_DATA!P294</f>
        <v>2.0164863298382282E-2</v>
      </c>
      <c r="D552" s="724">
        <f>RAW_DATA!Q294</f>
        <v>45342.588622685202</v>
      </c>
      <c r="E552" s="320">
        <f>T323</f>
        <v>1.0281667606390865</v>
      </c>
      <c r="F552" s="320">
        <f>U323</f>
        <v>4.5048703793047686E-4</v>
      </c>
      <c r="G552" s="317">
        <f t="shared" si="114"/>
        <v>4.9881000000000002</v>
      </c>
      <c r="H552" s="317">
        <f t="shared" si="114"/>
        <v>0.49709999999999965</v>
      </c>
      <c r="I552" s="733">
        <f t="shared" si="115"/>
        <v>10.317036046557698</v>
      </c>
      <c r="J552" s="733">
        <f>I552*SQRT((F552/E552)^2+(u_m3/G552)^2+(u_m3/H552)^2)</f>
        <v>7.4320740509768619E-3</v>
      </c>
    </row>
    <row r="553" spans="1:68" s="148" customFormat="1" ht="19.95" customHeight="1">
      <c r="A553" s="148" t="str">
        <f>RAW_DATA!N295</f>
        <v>AB3</v>
      </c>
      <c r="B553" s="317">
        <f>RAW_DATA!O295</f>
        <v>1.8694909735078431</v>
      </c>
      <c r="C553" s="317">
        <f>RAW_DATA!P295</f>
        <v>3.9387763966991722E-2</v>
      </c>
      <c r="D553" s="724">
        <f>RAW_DATA!Q295</f>
        <v>45342.595590277801</v>
      </c>
      <c r="E553" s="320">
        <f>T324</f>
        <v>2.0245866548216216</v>
      </c>
      <c r="F553" s="320">
        <f>U324</f>
        <v>6.643105609949896E-4</v>
      </c>
      <c r="G553" s="317">
        <f t="shared" si="114"/>
        <v>4.9855</v>
      </c>
      <c r="H553" s="317">
        <f t="shared" si="114"/>
        <v>0.49799999999999933</v>
      </c>
      <c r="I553" s="733">
        <f t="shared" si="115"/>
        <v>20.268226440990379</v>
      </c>
      <c r="J553" s="733">
        <f>I553*SQRT((F553/E553)^2+(u_m3/G553)^2+(u_m3/H553)^2)</f>
        <v>1.3344096822334986E-2</v>
      </c>
    </row>
    <row r="554" spans="1:68" s="148" customFormat="1" ht="19.95" customHeight="1">
      <c r="A554" s="315" t="str">
        <f>RAW_DATA!N308</f>
        <v>AB2C</v>
      </c>
      <c r="B554" s="319">
        <f>RAW_DATA!O308</f>
        <v>1.0012279620590183</v>
      </c>
      <c r="C554" s="319">
        <f>RAW_DATA!P308</f>
        <v>2.1094582004178537E-2</v>
      </c>
      <c r="D554" s="726">
        <f>RAW_DATA!Q308</f>
        <v>45342.6861921296</v>
      </c>
      <c r="E554" s="321">
        <f>T323</f>
        <v>1.0281667606390865</v>
      </c>
      <c r="F554" s="321">
        <f>U323</f>
        <v>4.5048703793047686E-4</v>
      </c>
      <c r="G554" s="319">
        <f>O353</f>
        <v>4.9873500000000011</v>
      </c>
      <c r="H554" s="319">
        <f>P353</f>
        <v>0.49634999999999962</v>
      </c>
      <c r="I554" s="624">
        <f t="shared" si="115"/>
        <v>10.331071811571176</v>
      </c>
      <c r="J554" s="624">
        <f>I554*SQRT((F554/E554)^2+(u_m3/G554)^2+(u_m3/H554)^2)</f>
        <v>7.4492095215774783E-3</v>
      </c>
    </row>
    <row r="555" spans="1:68" s="148" customFormat="1" ht="19.95" customHeight="1">
      <c r="A555" s="228"/>
      <c r="B555" s="543"/>
      <c r="C555" s="543"/>
      <c r="D555" s="727"/>
      <c r="E555" s="543"/>
      <c r="F555" s="543"/>
    </row>
    <row r="556" spans="1:68" s="148" customFormat="1" ht="19.95" customHeight="1">
      <c r="A556" s="228"/>
      <c r="B556" s="543"/>
      <c r="C556" s="543"/>
      <c r="D556" s="727"/>
      <c r="E556" s="543"/>
      <c r="F556" s="543"/>
      <c r="G556" s="588"/>
      <c r="H556" s="588"/>
      <c r="I556" s="737" t="s">
        <v>2063</v>
      </c>
      <c r="J556" s="737"/>
      <c r="K556" s="737"/>
      <c r="L556" s="737"/>
      <c r="M556" s="290" t="s">
        <v>2064</v>
      </c>
      <c r="N556" s="290"/>
      <c r="O556" s="290"/>
      <c r="P556" s="480" t="s">
        <v>2065</v>
      </c>
      <c r="Q556" s="480" t="s">
        <v>2066</v>
      </c>
      <c r="R556" s="314" t="s">
        <v>2400</v>
      </c>
      <c r="S556" s="314" t="s">
        <v>2685</v>
      </c>
    </row>
    <row r="557" spans="1:68" s="148" customFormat="1" ht="19.95" customHeight="1">
      <c r="A557" s="587" t="s">
        <v>102</v>
      </c>
      <c r="B557" s="587" t="s">
        <v>115</v>
      </c>
      <c r="C557" s="587" t="s">
        <v>2068</v>
      </c>
      <c r="D557" s="195" t="s">
        <v>2</v>
      </c>
      <c r="E557" s="587" t="s">
        <v>116</v>
      </c>
      <c r="F557" s="587" t="s">
        <v>117</v>
      </c>
      <c r="G557" s="587" t="s">
        <v>1530</v>
      </c>
      <c r="H557" s="587" t="s">
        <v>2067</v>
      </c>
      <c r="I557" s="738" t="s">
        <v>1531</v>
      </c>
      <c r="J557" s="738" t="s">
        <v>2069</v>
      </c>
      <c r="K557" s="738" t="s">
        <v>2070</v>
      </c>
      <c r="L557" s="738" t="s">
        <v>2071</v>
      </c>
      <c r="M557" s="668" t="s">
        <v>1531</v>
      </c>
      <c r="N557" s="668" t="s">
        <v>2069</v>
      </c>
      <c r="O557" s="668" t="s">
        <v>2070</v>
      </c>
      <c r="P557" s="589" t="s">
        <v>2230</v>
      </c>
      <c r="Q557" s="589" t="s">
        <v>2230</v>
      </c>
      <c r="R557" s="315" t="s">
        <v>241</v>
      </c>
      <c r="S557" s="315" t="s">
        <v>2686</v>
      </c>
    </row>
    <row r="558" spans="1:68" s="148" customFormat="1" ht="19.95" customHeight="1">
      <c r="A558" s="877" t="str">
        <f>RAW_DATA!N296</f>
        <v>001_A1</v>
      </c>
      <c r="B558" s="878">
        <f>RAW_DATA!O296</f>
        <v>1.0577876702390456</v>
      </c>
      <c r="C558" s="878">
        <f t="array" ref="C558">RAW_DATA!P296</f>
        <v>9.5498729479652437E-3</v>
      </c>
      <c r="D558" s="879">
        <f>RAW_DATA!Q296</f>
        <v>45342.602569444403</v>
      </c>
      <c r="E558" s="878">
        <f t="shared" ref="E558:F558" si="116">O341</f>
        <v>5.1055499999999991</v>
      </c>
      <c r="F558" s="878">
        <f t="shared" si="116"/>
        <v>0.49805000000000099</v>
      </c>
      <c r="G558" s="880">
        <f>F558/E558</f>
        <v>9.7550704625358892E-2</v>
      </c>
      <c r="H558" s="880">
        <f t="shared" ref="H558:H569" si="117">G558*SQRT((u_m3/E558)^2+(u_m3/F558)^2)</f>
        <v>5.5662036679474091E-5</v>
      </c>
      <c r="I558" s="881" cm="1">
        <f t="array" ref="I558:J558">ResultIDMS_GS($I$550:$I$554,$B$550:$B$554,G558,H558,B558,C558)</f>
        <v>1.0874930197067518</v>
      </c>
      <c r="J558" s="881">
        <v>1.7869047738446296E-2</v>
      </c>
      <c r="K558" s="882">
        <f>J558/I558</f>
        <v>1.643141373290357E-2</v>
      </c>
      <c r="L558" s="883">
        <f>INDEX(FitIDMS($I$550:$I$554,$B$550:$B$554),5,2)</f>
        <v>0.99892648227439884</v>
      </c>
      <c r="M558" s="884">
        <f t="array" ref="M558:N558">ResultIDMS_MT($I$550:$I$554,$J$550:$J$554,$B$550:$B$554,$C$550:$C$554,G558,H558,B558,C558,MC)</f>
        <v>1.0883271497582272</v>
      </c>
      <c r="N558" s="884">
        <v>1.7162900206870425E-2</v>
      </c>
      <c r="O558" s="885">
        <f>N558/M558</f>
        <v>1.5769982592718723E-2</v>
      </c>
      <c r="P558" s="959">
        <f>I558/M558</f>
        <v>0.9992335668078659</v>
      </c>
      <c r="Q558" s="957">
        <f>J558/N558</f>
        <v>1.0411438348451851</v>
      </c>
      <c r="R558" s="886">
        <f>(I558-AVERAGE($I$558:$I$567))/MEDIAN($J$558:$J$567)</f>
        <v>2.5199362053240897</v>
      </c>
      <c r="S558" s="949">
        <f>B558/AVERAGE($B$551:$B$552,$B$554)</f>
        <v>1.0772886467048735</v>
      </c>
      <c r="T558" s="320"/>
    </row>
    <row r="559" spans="1:68" s="148" customFormat="1" ht="19.95" customHeight="1">
      <c r="A559" s="148" t="str">
        <f>RAW_DATA!N297</f>
        <v>078_A1</v>
      </c>
      <c r="B559" s="317">
        <f>RAW_DATA!O297</f>
        <v>1.0146165576099253</v>
      </c>
      <c r="C559" s="317">
        <f>RAW_DATA!P297</f>
        <v>9.190914395368328E-3</v>
      </c>
      <c r="D559" s="724">
        <f>RAW_DATA!Q297</f>
        <v>45342.609548611101</v>
      </c>
      <c r="E559" s="317">
        <f t="shared" ref="E559:F559" si="118">O342</f>
        <v>5.0927499999999988</v>
      </c>
      <c r="F559" s="317">
        <f t="shared" si="118"/>
        <v>0.49655000000000094</v>
      </c>
      <c r="G559" s="725">
        <f t="shared" ref="G559:G569" si="119">F559/E559</f>
        <v>9.7501349958274225E-2</v>
      </c>
      <c r="H559" s="725">
        <f t="shared" si="117"/>
        <v>5.5801670290598121E-5</v>
      </c>
      <c r="I559" s="739" cm="1">
        <f t="array" ref="I559:J559">ResultIDMS_GS($I$550:$I$554,$B$550:$B$554,G559,H559,B559,C559)</f>
        <v>1.0411622937721909</v>
      </c>
      <c r="J559" s="739">
        <v>1.7133926560851432E-2</v>
      </c>
      <c r="K559" s="740">
        <f t="shared" ref="K559:K569" si="120">J559/I559</f>
        <v>1.6456537720718093E-2</v>
      </c>
      <c r="L559" s="741">
        <f>INDEX(FitIDMS($I$550:$I$554,$B$550:$B$554),5,2)</f>
        <v>0.99892648227439884</v>
      </c>
      <c r="M559" s="676" cm="1">
        <f t="array" ref="M559:N559">ResultIDMS_MT($I$550:$I$554,$J$550:$J$554,$B$550:$B$554,$C$550:$C$554,G559,H559,B559,C559,MC)</f>
        <v>1.0420287626587501</v>
      </c>
      <c r="N559" s="676">
        <v>1.5816285216426713E-2</v>
      </c>
      <c r="O559" s="751">
        <f t="shared" ref="O559:O569" si="121">N559/M559</f>
        <v>1.5178357626205301E-2</v>
      </c>
      <c r="P559" s="732">
        <f t="shared" ref="P559:P569" si="122">I559/M559</f>
        <v>0.99916847891573701</v>
      </c>
      <c r="Q559" s="949">
        <f t="shared" ref="Q559:Q569" si="123">J559/N559</f>
        <v>1.083309154228973</v>
      </c>
      <c r="R559" s="735">
        <f t="shared" ref="R559:R567" si="124">(I559-AVERAGE($I$558:$I$567))/MEDIAN($J$558:$J$567)</f>
        <v>-0.20903163126793708</v>
      </c>
      <c r="S559" s="949">
        <f t="shared" ref="S559:S567" si="125">B559/AVERAGE($B$551:$B$552,$B$554)</f>
        <v>1.0333216476468692</v>
      </c>
      <c r="T559" s="320"/>
    </row>
    <row r="560" spans="1:68" s="148" customFormat="1" ht="19.95" customHeight="1">
      <c r="A560" s="148" t="str">
        <f>RAW_DATA!N298</f>
        <v>155_A1</v>
      </c>
      <c r="B560" s="317">
        <f>RAW_DATA!O298</f>
        <v>1.0014848737843731</v>
      </c>
      <c r="C560" s="317">
        <f>RAW_DATA!P298</f>
        <v>9.0628730738540209E-3</v>
      </c>
      <c r="D560" s="724">
        <f>RAW_DATA!Q298</f>
        <v>45342.616527777798</v>
      </c>
      <c r="E560" s="317">
        <f t="shared" ref="E560:F560" si="126">O343</f>
        <v>5.0823499999999999</v>
      </c>
      <c r="F560" s="317">
        <f t="shared" si="126"/>
        <v>0.49709999999999965</v>
      </c>
      <c r="G560" s="725">
        <f t="shared" si="119"/>
        <v>9.7809084380257094E-2</v>
      </c>
      <c r="H560" s="725">
        <f t="shared" si="117"/>
        <v>5.5917521635229538E-5</v>
      </c>
      <c r="I560" s="739" cm="1">
        <f t="array" ref="I560:J560">ResultIDMS_GS($I$550:$I$554,$B$550:$B$554,G560,H560,B560,C560)</f>
        <v>1.0305076465424214</v>
      </c>
      <c r="J560" s="739">
        <v>1.6953943678597011E-2</v>
      </c>
      <c r="K560" s="740">
        <f t="shared" si="120"/>
        <v>1.6452030933958812E-2</v>
      </c>
      <c r="L560" s="741">
        <f>INDEX(FitIDMS($I$550:$I$554,$B$550:$B$554),5,2)</f>
        <v>0.99892648227439884</v>
      </c>
      <c r="M560" s="676" cm="1">
        <f t="array" ref="M560:N560">ResultIDMS_MT($I$550:$I$554,$J$550:$J$554,$B$550:$B$554,$C$550:$C$554,G560,H560,B560,C560,MC)</f>
        <v>1.0316387445511188</v>
      </c>
      <c r="N560" s="676">
        <v>1.6108013465933008E-2</v>
      </c>
      <c r="O560" s="751">
        <f t="shared" si="121"/>
        <v>1.5614005921173348E-2</v>
      </c>
      <c r="P560" s="732">
        <f t="shared" si="122"/>
        <v>0.9989035909957128</v>
      </c>
      <c r="Q560" s="949">
        <f t="shared" si="123"/>
        <v>1.0525161103479996</v>
      </c>
      <c r="R560" s="735">
        <f t="shared" si="124"/>
        <v>-0.83661060858298075</v>
      </c>
      <c r="S560" s="949">
        <f t="shared" si="125"/>
        <v>1.0199478730270644</v>
      </c>
      <c r="T560" s="320"/>
    </row>
    <row r="561" spans="1:20" s="148" customFormat="1" ht="19.95" customHeight="1">
      <c r="A561" s="148" t="str">
        <f>RAW_DATA!N299</f>
        <v>232_A1</v>
      </c>
      <c r="B561" s="317">
        <f>RAW_DATA!O299</f>
        <v>1.0016004202522184</v>
      </c>
      <c r="C561" s="317">
        <f>RAW_DATA!P299</f>
        <v>9.0679072153464612E-3</v>
      </c>
      <c r="D561" s="724">
        <f>RAW_DATA!Q299</f>
        <v>45342.623506944401</v>
      </c>
      <c r="E561" s="317">
        <f t="shared" ref="E561:F561" si="127">O344</f>
        <v>5.0880999999999998</v>
      </c>
      <c r="F561" s="317">
        <f t="shared" si="127"/>
        <v>0.49619999999999997</v>
      </c>
      <c r="G561" s="725">
        <f t="shared" si="119"/>
        <v>9.7521668206206641E-2</v>
      </c>
      <c r="H561" s="725">
        <f t="shared" si="117"/>
        <v>5.5852776893710252E-5</v>
      </c>
      <c r="I561" s="739" cm="1">
        <f t="array" ref="I561:J561">ResultIDMS_GS($I$550:$I$554,$B$550:$B$554,G561,H561,B561,C561)</f>
        <v>1.0276017031365383</v>
      </c>
      <c r="J561" s="739">
        <v>1.690855529792051E-2</v>
      </c>
      <c r="K561" s="740">
        <f t="shared" si="120"/>
        <v>1.6454386214338392E-2</v>
      </c>
      <c r="L561" s="741">
        <f>INDEX(FitIDMS($I$550:$I$554,$B$550:$B$554),5,2)</f>
        <v>0.99892648227439884</v>
      </c>
      <c r="M561" s="676" cm="1">
        <f t="array" ref="M561:N561">ResultIDMS_MT($I$550:$I$554,$J$550:$J$554,$B$550:$B$554,$C$550:$C$554,G561,H561,B561,C561,MC)</f>
        <v>1.0291301508538886</v>
      </c>
      <c r="N561" s="676">
        <v>1.6292919929714798E-2</v>
      </c>
      <c r="O561" s="751">
        <f t="shared" si="121"/>
        <v>1.5831738984807952E-2</v>
      </c>
      <c r="P561" s="732">
        <f t="shared" si="122"/>
        <v>0.99851481591897573</v>
      </c>
      <c r="Q561" s="949">
        <f t="shared" si="123"/>
        <v>1.0377854534890905</v>
      </c>
      <c r="R561" s="735">
        <f t="shared" si="124"/>
        <v>-1.0077761996598973</v>
      </c>
      <c r="S561" s="949">
        <f t="shared" si="125"/>
        <v>1.0200655496662223</v>
      </c>
      <c r="T561" s="320"/>
    </row>
    <row r="562" spans="1:20" s="148" customFormat="1" ht="19.95" customHeight="1">
      <c r="A562" s="148" t="str">
        <f>RAW_DATA!N300</f>
        <v>310_A1</v>
      </c>
      <c r="B562" s="317">
        <f>RAW_DATA!O300</f>
        <v>1.0003211532458069</v>
      </c>
      <c r="C562" s="317">
        <f>RAW_DATA!P300</f>
        <v>9.0688704882258605E-3</v>
      </c>
      <c r="D562" s="724">
        <f>RAW_DATA!Q300</f>
        <v>45342.630474537</v>
      </c>
      <c r="E562" s="317">
        <f t="shared" ref="E562:F562" si="128">O345</f>
        <v>5.0792999999999999</v>
      </c>
      <c r="F562" s="317">
        <f t="shared" si="128"/>
        <v>0.49695</v>
      </c>
      <c r="G562" s="725">
        <f t="shared" si="119"/>
        <v>9.7838284803024048E-2</v>
      </c>
      <c r="H562" s="725">
        <f t="shared" si="117"/>
        <v>5.5951257098965612E-5</v>
      </c>
      <c r="I562" s="739" cm="1">
        <f t="array" ref="I562:J562">ResultIDMS_GS($I$550:$I$554,$B$550:$B$554,G562,H562,B562,C562)</f>
        <v>1.0295801515721141</v>
      </c>
      <c r="J562" s="739">
        <v>1.6948753427904313E-2</v>
      </c>
      <c r="K562" s="740">
        <f t="shared" si="120"/>
        <v>1.6461810575917248E-2</v>
      </c>
      <c r="L562" s="741">
        <f>INDEX(FitIDMS($I$550:$I$554,$B$550:$B$554),5,2)</f>
        <v>0.99892648227439884</v>
      </c>
      <c r="M562" s="676" cm="1">
        <f t="array" ref="M562:N562">ResultIDMS_MT($I$550:$I$554,$J$550:$J$554,$B$550:$B$554,$C$550:$C$554,G562,H562,B562,C562,MC)</f>
        <v>1.0315018394031581</v>
      </c>
      <c r="N562" s="676">
        <v>1.5547621534329271E-2</v>
      </c>
      <c r="O562" s="751">
        <f t="shared" si="121"/>
        <v>1.5072800590763222E-2</v>
      </c>
      <c r="P562" s="732">
        <f t="shared" si="122"/>
        <v>0.99813700009283945</v>
      </c>
      <c r="Q562" s="949">
        <f t="shared" si="123"/>
        <v>1.0901187291240226</v>
      </c>
      <c r="R562" s="735">
        <f t="shared" si="124"/>
        <v>-0.89124182558882992</v>
      </c>
      <c r="S562" s="949">
        <f t="shared" si="125"/>
        <v>1.0187626985734319</v>
      </c>
      <c r="T562" s="320"/>
    </row>
    <row r="563" spans="1:20" s="148" customFormat="1" ht="19.95" customHeight="1">
      <c r="A563" s="148" t="str">
        <f>RAW_DATA!N301</f>
        <v>001_A2</v>
      </c>
      <c r="B563" s="317">
        <f>RAW_DATA!O301</f>
        <v>1.0053996499745461</v>
      </c>
      <c r="C563" s="317">
        <f>RAW_DATA!P301</f>
        <v>9.1218828308096082E-3</v>
      </c>
      <c r="D563" s="724">
        <f>RAW_DATA!Q301</f>
        <v>45342.637430555602</v>
      </c>
      <c r="E563" s="317">
        <f t="shared" ref="E563:F563" si="129">O346</f>
        <v>5.0987499999999999</v>
      </c>
      <c r="F563" s="317">
        <f t="shared" si="129"/>
        <v>0.4972499999999993</v>
      </c>
      <c r="G563" s="725">
        <f t="shared" si="119"/>
        <v>9.7523902917381583E-2</v>
      </c>
      <c r="H563" s="725">
        <f t="shared" si="117"/>
        <v>5.5736126592446191E-5</v>
      </c>
      <c r="I563" s="739" cm="1">
        <f t="array" ref="I563:J563">ResultIDMS_GS($I$550:$I$554,$B$550:$B$554,G563,H563,B563,C563)</f>
        <v>1.0316454731072384</v>
      </c>
      <c r="J563" s="739">
        <v>1.698651982387139E-2</v>
      </c>
      <c r="K563" s="740">
        <f t="shared" si="120"/>
        <v>1.6465462473953647E-2</v>
      </c>
      <c r="L563" s="741">
        <f>INDEX(FitIDMS($I$550:$I$554,$B$550:$B$554),5,2)</f>
        <v>0.99892648227439884</v>
      </c>
      <c r="M563" s="676" cm="1">
        <f t="array" ref="M563:N563">ResultIDMS_MT($I$550:$I$554,$J$550:$J$554,$B$550:$B$554,$C$550:$C$554,G563,H563,B563,C563,MC)</f>
        <v>1.0321295970709863</v>
      </c>
      <c r="N563" s="676">
        <v>1.6158579293376604E-2</v>
      </c>
      <c r="O563" s="751">
        <f t="shared" si="121"/>
        <v>1.5655572070825203E-2</v>
      </c>
      <c r="P563" s="732">
        <f t="shared" si="122"/>
        <v>0.99953094653508456</v>
      </c>
      <c r="Q563" s="949">
        <f t="shared" si="123"/>
        <v>1.0512384483476316</v>
      </c>
      <c r="R563" s="735">
        <f t="shared" si="124"/>
        <v>-0.76959046080046456</v>
      </c>
      <c r="S563" s="949">
        <f t="shared" si="125"/>
        <v>1.0239348205617345</v>
      </c>
      <c r="T563" s="320"/>
    </row>
    <row r="564" spans="1:20" s="148" customFormat="1" ht="19.95" customHeight="1">
      <c r="A564" s="228" t="str">
        <f>RAW_DATA!N302</f>
        <v>078_A2</v>
      </c>
      <c r="B564" s="543">
        <f>RAW_DATA!O302</f>
        <v>0.99937179842584156</v>
      </c>
      <c r="C564" s="543">
        <f>RAW_DATA!P302</f>
        <v>9.0415896592066815E-3</v>
      </c>
      <c r="D564" s="727">
        <f>RAW_DATA!Q302</f>
        <v>45342.644409722197</v>
      </c>
      <c r="E564" s="543">
        <f t="shared" ref="E564:F564" si="130">O347</f>
        <v>5.0914999999999999</v>
      </c>
      <c r="F564" s="543">
        <f t="shared" si="130"/>
        <v>0.49745000000000061</v>
      </c>
      <c r="G564" s="596">
        <f t="shared" si="119"/>
        <v>9.7702052440341872E-2</v>
      </c>
      <c r="H564" s="596">
        <f t="shared" si="117"/>
        <v>5.581645305864651E-5</v>
      </c>
      <c r="I564" s="742" cm="1">
        <f t="array" ref="I564:J564">ResultIDMS_GS($I$550:$I$554,$B$550:$B$554,G564,H564,B564,C564)</f>
        <v>1.0271403951072169</v>
      </c>
      <c r="J564" s="742">
        <v>1.6897431480608453E-2</v>
      </c>
      <c r="K564" s="743">
        <f t="shared" si="120"/>
        <v>1.6450946298188024E-2</v>
      </c>
      <c r="L564" s="744">
        <f>INDEX(FitIDMS($I$550:$I$554,$B$550:$B$554),5,2)</f>
        <v>0.99892648227439884</v>
      </c>
      <c r="M564" s="752" cm="1">
        <f t="array" ref="M564:N564">ResultIDMS_MT($I$550:$I$554,$J$550:$J$554,$B$550:$B$554,$C$550:$C$554,G564,H564,B564,C564,MC)</f>
        <v>1.0276102184500828</v>
      </c>
      <c r="N564" s="752">
        <v>1.6075837267879006E-2</v>
      </c>
      <c r="O564" s="751">
        <f t="shared" si="121"/>
        <v>1.5643905616397787E-2</v>
      </c>
      <c r="P564" s="732">
        <f t="shared" si="122"/>
        <v>0.99954280004769258</v>
      </c>
      <c r="Q564" s="949">
        <f t="shared" si="123"/>
        <v>1.0511073979562524</v>
      </c>
      <c r="R564" s="735">
        <f t="shared" si="124"/>
        <v>-1.0349481195766699</v>
      </c>
      <c r="S564" s="949">
        <f t="shared" si="125"/>
        <v>1.01779584180433</v>
      </c>
      <c r="T564" s="320"/>
    </row>
    <row r="565" spans="1:20" s="148" customFormat="1" ht="19.95" customHeight="1">
      <c r="A565" s="228" t="str">
        <f>RAW_DATA!N303</f>
        <v>155_A2</v>
      </c>
      <c r="B565" s="543">
        <f>RAW_DATA!O303</f>
        <v>1.0057869964293236</v>
      </c>
      <c r="C565" s="543">
        <f>RAW_DATA!P303</f>
        <v>9.1044409198190613E-3</v>
      </c>
      <c r="D565" s="727">
        <f>RAW_DATA!Q303</f>
        <v>45342.651377314804</v>
      </c>
      <c r="E565" s="543">
        <f t="shared" ref="E565:F565" si="131">O348</f>
        <v>5.0783499999999995</v>
      </c>
      <c r="F565" s="543">
        <f t="shared" si="131"/>
        <v>0.49770000000000003</v>
      </c>
      <c r="G565" s="596">
        <f t="shared" si="119"/>
        <v>9.8004273041440645E-2</v>
      </c>
      <c r="H565" s="596">
        <f t="shared" si="117"/>
        <v>5.5962624782220999E-5</v>
      </c>
      <c r="I565" s="742" cm="1">
        <f t="array" ref="I565:J565">ResultIDMS_GS($I$550:$I$554,$B$550:$B$554,G565,H565,B565,C565)</f>
        <v>1.0371389727672422</v>
      </c>
      <c r="J565" s="742">
        <v>1.706427131489914E-2</v>
      </c>
      <c r="K565" s="743">
        <f t="shared" si="120"/>
        <v>1.6453215782036526E-2</v>
      </c>
      <c r="L565" s="744">
        <f>INDEX(FitIDMS($I$550:$I$554,$B$550:$B$554),5,2)</f>
        <v>0.99892648227439884</v>
      </c>
      <c r="M565" s="752" cm="1">
        <f t="array" ref="M565:N565">ResultIDMS_MT($I$550:$I$554,$J$550:$J$554,$B$550:$B$554,$C$550:$C$554,G565,H565,B565,C565,MC)</f>
        <v>1.0379835846912049</v>
      </c>
      <c r="N565" s="752">
        <v>1.5757265714702443E-2</v>
      </c>
      <c r="O565" s="751">
        <f t="shared" si="121"/>
        <v>1.5180650202084027E-2</v>
      </c>
      <c r="P565" s="732">
        <f t="shared" si="122"/>
        <v>0.99918629549019899</v>
      </c>
      <c r="Q565" s="949">
        <f t="shared" si="123"/>
        <v>1.0829462181993406</v>
      </c>
      <c r="R565" s="735">
        <f t="shared" si="124"/>
        <v>-0.44601288716921611</v>
      </c>
      <c r="S565" s="949">
        <f t="shared" si="125"/>
        <v>1.0243293079903681</v>
      </c>
      <c r="T565" s="320"/>
    </row>
    <row r="566" spans="1:20" s="148" customFormat="1" ht="19.95" customHeight="1">
      <c r="A566" s="228" t="str">
        <f>RAW_DATA!N304</f>
        <v>232_A2</v>
      </c>
      <c r="B566" s="543">
        <f>RAW_DATA!O304</f>
        <v>1.0005102906773298</v>
      </c>
      <c r="C566" s="543">
        <f>RAW_DATA!P304</f>
        <v>9.0530804435659876E-3</v>
      </c>
      <c r="D566" s="727">
        <f>RAW_DATA!Q304</f>
        <v>45342.658356481501</v>
      </c>
      <c r="E566" s="543">
        <f t="shared" ref="E566:F566" si="132">O349</f>
        <v>5.0768999999999993</v>
      </c>
      <c r="F566" s="543">
        <f t="shared" si="132"/>
        <v>0.4975000000000005</v>
      </c>
      <c r="G566" s="596">
        <f t="shared" si="119"/>
        <v>9.7992869664559196E-2</v>
      </c>
      <c r="H566" s="596">
        <f t="shared" si="117"/>
        <v>5.5978546157862044E-5</v>
      </c>
      <c r="I566" s="742" cm="1">
        <f t="array" ref="I566:J566">ResultIDMS_GS($I$550:$I$554,$B$550:$B$554,G566,H566,B566,C566)</f>
        <v>1.0314079485856109</v>
      </c>
      <c r="J566" s="742">
        <v>1.6968241616204326E-2</v>
      </c>
      <c r="K566" s="743">
        <f t="shared" si="120"/>
        <v>1.6451532722307594E-2</v>
      </c>
      <c r="L566" s="744">
        <f>INDEX(FitIDMS($I$550:$I$554,$B$550:$B$554),5,2)</f>
        <v>0.99892648227439884</v>
      </c>
      <c r="M566" s="752" cm="1">
        <f t="array" ref="M566:N566">ResultIDMS_MT($I$550:$I$554,$J$550:$J$554,$B$550:$B$554,$C$550:$C$554,G566,H566,B566,C566,MC)</f>
        <v>1.0321085399574945</v>
      </c>
      <c r="N566" s="752">
        <v>1.634067508873574E-2</v>
      </c>
      <c r="O566" s="751">
        <f t="shared" si="121"/>
        <v>1.5832322334440426E-2</v>
      </c>
      <c r="P566" s="732">
        <f t="shared" si="122"/>
        <v>0.99932120378355516</v>
      </c>
      <c r="Q566" s="949">
        <f t="shared" si="123"/>
        <v>1.0384051775132102</v>
      </c>
      <c r="R566" s="735">
        <f t="shared" si="124"/>
        <v>-0.78358110668067182</v>
      </c>
      <c r="S566" s="949">
        <f t="shared" si="125"/>
        <v>1.0189553228716528</v>
      </c>
      <c r="T566" s="320"/>
    </row>
    <row r="567" spans="1:20" s="148" customFormat="1" ht="19.95" customHeight="1">
      <c r="A567" s="887" t="str">
        <f>RAW_DATA!N305</f>
        <v>310_A2</v>
      </c>
      <c r="B567" s="888">
        <f>RAW_DATA!O305</f>
        <v>1.0689403518831624</v>
      </c>
      <c r="C567" s="888">
        <f>RAW_DATA!P305</f>
        <v>9.6426582374463405E-3</v>
      </c>
      <c r="D567" s="889">
        <f>RAW_DATA!Q305</f>
        <v>45342.665300925903</v>
      </c>
      <c r="E567" s="888">
        <f t="shared" ref="E567:F567" si="133">O350</f>
        <v>5.0769499999999992</v>
      </c>
      <c r="F567" s="888">
        <f t="shared" si="133"/>
        <v>0.49710000000000143</v>
      </c>
      <c r="G567" s="890">
        <f t="shared" si="119"/>
        <v>9.7913117127409466E-2</v>
      </c>
      <c r="H567" s="890">
        <f t="shared" si="117"/>
        <v>5.5977561714443591E-5</v>
      </c>
      <c r="I567" s="891" cm="1">
        <f t="array" ref="I567:J567">ResultIDMS_GS($I$550:$I$554,$B$550:$B$554,G567,H567,B567,C567)</f>
        <v>1.1034334292902488</v>
      </c>
      <c r="J567" s="891">
        <v>1.8120570123263187E-2</v>
      </c>
      <c r="K567" s="892">
        <f t="shared" si="120"/>
        <v>1.6421987627217995E-2</v>
      </c>
      <c r="L567" s="893">
        <f>INDEX(FitIDMS($I$550:$I$554,$B$550:$B$554),5,2)</f>
        <v>0.99892648227439884</v>
      </c>
      <c r="M567" s="894" cm="1">
        <f t="array" ref="M567:N567">ResultIDMS_MT($I$550:$I$554,$J$550:$J$554,$B$550:$B$554,$C$550:$C$554,G567,H567,B567,C567,MC)</f>
        <v>1.1040750595013411</v>
      </c>
      <c r="N567" s="894">
        <v>1.7188643946610672E-2</v>
      </c>
      <c r="O567" s="895">
        <f t="shared" si="121"/>
        <v>1.5568365392090259E-2</v>
      </c>
      <c r="P567" s="960">
        <f t="shared" si="122"/>
        <v>0.9994188527260256</v>
      </c>
      <c r="Q567" s="958">
        <f t="shared" si="123"/>
        <v>1.0542175508171066</v>
      </c>
      <c r="R567" s="896">
        <f t="shared" si="124"/>
        <v>3.4588566340026436</v>
      </c>
      <c r="S567" s="950">
        <f t="shared" si="125"/>
        <v>1.0886469350018109</v>
      </c>
      <c r="T567" s="320"/>
    </row>
    <row r="568" spans="1:20" s="148" customFormat="1" ht="19.95" customHeight="1">
      <c r="A568" s="729" t="str">
        <f>RAW_DATA!N306</f>
        <v>SALT1_113</v>
      </c>
      <c r="B568" s="730">
        <f>RAW_DATA!O306</f>
        <v>1.0972595064099038</v>
      </c>
      <c r="C568" s="730">
        <f>RAW_DATA!P306</f>
        <v>9.9339945278195969E-3</v>
      </c>
      <c r="D568" s="731">
        <f>RAW_DATA!Q306</f>
        <v>45342.672268518501</v>
      </c>
      <c r="E568" s="730">
        <f t="shared" ref="E568:F568" si="134">O351</f>
        <v>5.1142499999999993</v>
      </c>
      <c r="F568" s="730">
        <f t="shared" si="134"/>
        <v>0.49805000000000099</v>
      </c>
      <c r="G568" s="734">
        <f t="shared" si="119"/>
        <v>9.7384758273451832E-2</v>
      </c>
      <c r="H568" s="734">
        <f t="shared" si="117"/>
        <v>5.5566458059404795E-5</v>
      </c>
      <c r="I568" s="748" cm="1">
        <f t="array" ref="I568:J568">ResultIDMS_GS($I$550:$I$554,$B$550:$B$554,G568,H568,B568,C568)</f>
        <v>1.1275766727381233</v>
      </c>
      <c r="J568" s="748">
        <v>1.851350214079827E-2</v>
      </c>
      <c r="K568" s="749">
        <f t="shared" si="120"/>
        <v>1.6418841031751268E-2</v>
      </c>
      <c r="L568" s="750">
        <f>INDEX(FitIDMS($I$550:$I$554,$B$550:$B$554),5,2)</f>
        <v>0.99892648227439884</v>
      </c>
      <c r="M568" s="670" cm="1">
        <f t="array" ref="M568:N568">ResultIDMS_MT($I$550:$I$554,$J$550:$J$554,$B$550:$B$554,$C$550:$C$554,G568,H568,B568,C568,MC)</f>
        <v>1.1294262337980985</v>
      </c>
      <c r="N568" s="670">
        <v>1.7830831243728161E-2</v>
      </c>
      <c r="O568" s="751">
        <f t="shared" si="121"/>
        <v>1.5787512907120663E-2</v>
      </c>
      <c r="P568" s="732">
        <f t="shared" si="122"/>
        <v>0.99836238879120476</v>
      </c>
      <c r="Q568" s="949">
        <f t="shared" si="123"/>
        <v>1.0382859827306274</v>
      </c>
      <c r="R568" s="228"/>
      <c r="S568" s="228"/>
    </row>
    <row r="569" spans="1:20" s="148" customFormat="1" ht="19.95" customHeight="1">
      <c r="A569" s="315" t="str">
        <f>RAW_DATA!N307</f>
        <v>MOOS3</v>
      </c>
      <c r="B569" s="319">
        <f>RAW_DATA!O307</f>
        <v>1.3124087489877065</v>
      </c>
      <c r="C569" s="319">
        <f>RAW_DATA!P307</f>
        <v>1.1853337413363238E-2</v>
      </c>
      <c r="D569" s="726">
        <f>RAW_DATA!Q307</f>
        <v>45342.679247685199</v>
      </c>
      <c r="E569" s="319">
        <f t="shared" ref="E569:F569" si="135">O352</f>
        <v>5.1433499999999999</v>
      </c>
      <c r="F569" s="319">
        <f t="shared" si="135"/>
        <v>0.49714999999999954</v>
      </c>
      <c r="G569" s="622">
        <f t="shared" si="119"/>
        <v>9.6658792421281767E-2</v>
      </c>
      <c r="H569" s="622">
        <f t="shared" si="117"/>
        <v>5.5248219420321421E-5</v>
      </c>
      <c r="I569" s="745" cm="1">
        <f t="array" ref="I569:J569">ResultIDMS_GS($I$550:$I$554,$B$550:$B$554,G569,H569,B569,C569)</f>
        <v>1.3481584388898997</v>
      </c>
      <c r="J569" s="745">
        <v>2.1133168397100163E-2</v>
      </c>
      <c r="K569" s="746">
        <f t="shared" si="120"/>
        <v>1.5675582177493642E-2</v>
      </c>
      <c r="L569" s="747">
        <f>INDEX(FitIDMS($I$550:$I$554,$B$550:$B$554),5,2)</f>
        <v>0.99892648227439884</v>
      </c>
      <c r="M569" s="678" cm="1">
        <f t="array" ref="M569:N569">ResultIDMS_MT($I$550:$I$554,$J$550:$J$554,$B$550:$B$554,$C$550:$C$554,G569,H569,B569,C569,MC)</f>
        <v>1.3505350152649953</v>
      </c>
      <c r="N569" s="678">
        <v>2.1466862184308436E-2</v>
      </c>
      <c r="O569" s="679">
        <f t="shared" si="121"/>
        <v>1.5895080054696926E-2</v>
      </c>
      <c r="P569" s="961">
        <f t="shared" si="122"/>
        <v>0.998240270449686</v>
      </c>
      <c r="Q569" s="950">
        <f t="shared" si="123"/>
        <v>0.98445539993953135</v>
      </c>
      <c r="R569" s="315"/>
      <c r="S569" s="315"/>
    </row>
    <row r="570" spans="1:20" s="148" customFormat="1" ht="19.95" customHeight="1">
      <c r="A570" s="641" t="s">
        <v>2702</v>
      </c>
      <c r="B570" s="543"/>
      <c r="C570" s="543"/>
      <c r="D570" s="727"/>
      <c r="E570" s="543"/>
      <c r="F570" s="543"/>
      <c r="G570" s="596"/>
      <c r="H570" s="596"/>
      <c r="I570" s="597"/>
      <c r="J570" s="597"/>
      <c r="K570" s="905"/>
      <c r="L570" s="543"/>
      <c r="M570" s="597"/>
      <c r="N570" s="597"/>
      <c r="O570" s="905"/>
      <c r="P570" s="597"/>
      <c r="Q570" s="598"/>
      <c r="R570" s="228"/>
      <c r="S570" s="228"/>
    </row>
    <row r="571" spans="1:20" s="148" customFormat="1" ht="19.95" customHeight="1"/>
    <row r="572" spans="1:20" s="148" customFormat="1" ht="19.95" customHeight="1">
      <c r="A572" s="593"/>
      <c r="B572" s="380" t="s">
        <v>2178</v>
      </c>
      <c r="C572" s="230"/>
      <c r="D572" s="380" t="s">
        <v>2184</v>
      </c>
      <c r="E572" s="230"/>
      <c r="F572" s="230"/>
      <c r="G572" s="380" t="s">
        <v>2185</v>
      </c>
      <c r="H572" s="230"/>
      <c r="I572" s="230"/>
      <c r="J572" s="230"/>
      <c r="K572" s="230"/>
      <c r="L572" s="233" t="s">
        <v>217</v>
      </c>
    </row>
    <row r="573" spans="1:20" s="148" customFormat="1" ht="19.95" customHeight="1">
      <c r="A573" s="587" t="s">
        <v>100</v>
      </c>
      <c r="B573" s="663" t="s">
        <v>2179</v>
      </c>
      <c r="C573" s="663" t="s">
        <v>2180</v>
      </c>
      <c r="D573" s="663" t="s">
        <v>229</v>
      </c>
      <c r="E573" s="663" t="s">
        <v>1171</v>
      </c>
      <c r="F573" s="663" t="s">
        <v>1172</v>
      </c>
      <c r="G573" s="589" t="s">
        <v>2181</v>
      </c>
      <c r="H573" s="589" t="s">
        <v>2182</v>
      </c>
      <c r="I573" s="589" t="s">
        <v>2183</v>
      </c>
      <c r="J573" s="589" t="s">
        <v>2186</v>
      </c>
      <c r="K573" s="589" t="s">
        <v>2187</v>
      </c>
      <c r="L573" s="663" t="s">
        <v>2188</v>
      </c>
    </row>
    <row r="574" spans="1:20" s="148" customFormat="1" ht="19.95" customHeight="1">
      <c r="A574" s="590" t="str">
        <f>A568</f>
        <v>SALT1_113</v>
      </c>
      <c r="B574" s="272">
        <f>E236</f>
        <v>1.1465757137101062</v>
      </c>
      <c r="C574" s="272">
        <f>F236</f>
        <v>1.1319107559223012E-2</v>
      </c>
      <c r="D574" s="272">
        <f>I568</f>
        <v>1.1275766727381233</v>
      </c>
      <c r="E574" s="272">
        <f>J568</f>
        <v>1.851350214079827E-2</v>
      </c>
      <c r="F574" s="590">
        <v>3</v>
      </c>
      <c r="G574" s="590" t="b">
        <f>IF(ABS(B574-D574)&lt;2*SQRT(C574^2+E574^2/F574),TRUE,FALSE)</f>
        <v>1</v>
      </c>
      <c r="H574" s="590" t="b">
        <f>IF(SQRT(F574)*(ABS(D574-B574)-2*C574)/E574&gt;ABS(_xlfn.T.INV(0.05/2,F574-1)),FALSE,TRUE)</f>
        <v>1</v>
      </c>
      <c r="I574" s="590" t="b">
        <f>IF(AND((D574-B574)^2/MAX(E574^2/(F574-1),C574^2)&lt;_xlfn.T.INV(0.05/2,F574-1)^2,F574&gt;2),TRUE,FALSE)</f>
        <v>1</v>
      </c>
      <c r="J574" s="590" t="b">
        <f>IF(SQRT(F574)*ABS(D574-B574)/(E574/(1-0.333/F574))&gt;ABS(_xlfn.T.INV(0.05/2,F574-1)),FALSE,TRUE)</f>
        <v>1</v>
      </c>
      <c r="K574" s="590" t="b">
        <f>IF(F574*(D574-B574)^2/(2*C574)^2&lt;_xlfn.CHISQ.INV(SQRT(0.95),1),IF((F574-1)*E574^2/(2*C574)^2&lt;_xlfn.CHISQ.INV(SQRT(0.95),F574-1),TRUE,FALSE),FALSE)</f>
        <v>1</v>
      </c>
      <c r="L574" s="736">
        <f>D574/B574</f>
        <v>0.9834297545772136</v>
      </c>
    </row>
    <row r="575" spans="1:20" s="148" customFormat="1" ht="19.95" customHeight="1">
      <c r="A575" s="589" t="str">
        <f>A569</f>
        <v>MOOS3</v>
      </c>
      <c r="B575" s="81">
        <v>1.3839999999999999</v>
      </c>
      <c r="C575" s="81">
        <v>7.4999999999999997E-3</v>
      </c>
      <c r="D575" s="143">
        <f>I569</f>
        <v>1.3481584388898997</v>
      </c>
      <c r="E575" s="143">
        <f>J569</f>
        <v>2.1133168397100163E-2</v>
      </c>
      <c r="F575" s="589">
        <v>3</v>
      </c>
      <c r="G575" s="589" t="b">
        <f>IF(ABS(B575-D575)&lt;2*SQRT(C575^2+E575^2/F575),TRUE,FALSE)</f>
        <v>0</v>
      </c>
      <c r="H575" s="589" t="b">
        <f>IF(SQRT(F575)*(ABS(D575-B575)-2*C575)/E575&gt;ABS(_xlfn.T.INV(0.05/2,F575-1)),FALSE,TRUE)</f>
        <v>1</v>
      </c>
      <c r="I575" s="589" t="b">
        <f>IF(AND((D575-B575)^2/MAX(E575^2/(F575-1),C575^2)&lt;_xlfn.T.INV(0.05/2,F575-1)^2,F575&gt;2),TRUE,FALSE)</f>
        <v>1</v>
      </c>
      <c r="J575" s="589" t="b">
        <f>IF(SQRT(F575)*ABS(D575-B575)/(E575/(1-0.333/F575))&gt;ABS(_xlfn.T.INV(0.05/2,F575-1)),FALSE,TRUE)</f>
        <v>1</v>
      </c>
      <c r="K575" s="589" t="b">
        <f>IF(F575*(D575-B575)^2/(2*C575)^2&lt;_xlfn.CHISQ.INV(SQRT(0.95),1),IF((F575-1)*E575^2/(2*C575)^2&lt;_xlfn.CHISQ.INV(SQRT(0.95),F575-1),TRUE,FALSE),FALSE)</f>
        <v>0</v>
      </c>
      <c r="L575" s="624">
        <f>D575/B575</f>
        <v>0.97410291827304896</v>
      </c>
    </row>
    <row r="576" spans="1:20" s="148" customFormat="1" ht="19.95" customHeight="1">
      <c r="A576" s="148" t="s">
        <v>2216</v>
      </c>
      <c r="B576" s="233"/>
      <c r="C576" s="233"/>
      <c r="D576" s="233"/>
    </row>
    <row r="577" spans="1:68" s="148" customFormat="1" ht="19.95" customHeight="1">
      <c r="A577" s="148" t="s">
        <v>2189</v>
      </c>
      <c r="D577" s="723"/>
    </row>
    <row r="578" spans="1:68" s="148" customFormat="1" ht="19.95" customHeight="1">
      <c r="A578" s="523" t="s">
        <v>2730</v>
      </c>
      <c r="D578" s="723"/>
    </row>
    <row r="579" spans="1:68" s="148" customFormat="1" ht="19.95" customHeight="1">
      <c r="A579" s="523" t="s">
        <v>2731</v>
      </c>
      <c r="D579" s="723"/>
    </row>
    <row r="580" spans="1:68" s="148" customFormat="1" ht="19.95" customHeight="1">
      <c r="D580" s="723"/>
    </row>
    <row r="581" spans="1:68" s="588" customFormat="1" ht="19.95" customHeight="1">
      <c r="A581" s="623" t="s">
        <v>2227</v>
      </c>
      <c r="B581" s="167"/>
      <c r="C581" s="167"/>
      <c r="D581" s="168"/>
      <c r="E581" s="167"/>
      <c r="F581" s="167"/>
      <c r="G581" s="167"/>
      <c r="H581" s="167"/>
      <c r="I581" s="167"/>
      <c r="J581" s="167"/>
      <c r="K581" s="167"/>
      <c r="L581" s="167"/>
      <c r="M581" s="167"/>
      <c r="N581" s="167"/>
      <c r="O581" s="167"/>
      <c r="P581" s="167"/>
      <c r="Q581" s="167"/>
      <c r="R581" s="167"/>
      <c r="S581" s="167"/>
      <c r="T581" s="167"/>
      <c r="U581" s="167"/>
      <c r="V581" s="167"/>
      <c r="W581" s="167"/>
      <c r="X581" s="167"/>
      <c r="Y581" s="167"/>
      <c r="Z581" s="167"/>
      <c r="AA581" s="167"/>
      <c r="AB581" s="167"/>
      <c r="AC581" s="167"/>
      <c r="AD581" s="167"/>
      <c r="AE581" s="167"/>
      <c r="AF581" s="167"/>
      <c r="AG581" s="167"/>
      <c r="AH581" s="167"/>
      <c r="AI581" s="167"/>
      <c r="AJ581" s="167"/>
      <c r="AK581" s="167"/>
      <c r="AL581" s="167"/>
      <c r="AM581" s="167"/>
      <c r="AN581" s="167"/>
      <c r="AO581" s="167"/>
      <c r="AP581" s="167"/>
      <c r="AQ581" s="167"/>
      <c r="AR581" s="167"/>
      <c r="AS581" s="167"/>
      <c r="AT581" s="167"/>
      <c r="AU581" s="167"/>
      <c r="AV581" s="167"/>
      <c r="AW581" s="167"/>
      <c r="AX581" s="167"/>
      <c r="AY581" s="167"/>
      <c r="AZ581" s="167"/>
      <c r="BA581" s="167"/>
      <c r="BB581" s="167"/>
      <c r="BC581" s="167"/>
      <c r="BD581" s="167"/>
      <c r="BE581" s="167"/>
      <c r="BF581" s="167"/>
      <c r="BG581" s="167"/>
      <c r="BH581" s="167"/>
      <c r="BI581" s="167"/>
      <c r="BJ581" s="167"/>
      <c r="BK581" s="167"/>
      <c r="BL581" s="167"/>
      <c r="BM581" s="167"/>
      <c r="BN581" s="167"/>
      <c r="BO581" s="167"/>
      <c r="BP581" s="167"/>
    </row>
    <row r="582" spans="1:68" s="148" customFormat="1" ht="19.95" customHeight="1">
      <c r="A582" s="233"/>
      <c r="D582" s="723"/>
    </row>
    <row r="583" spans="1:68" s="148" customFormat="1" ht="19.95" customHeight="1">
      <c r="A583" s="587" t="s">
        <v>102</v>
      </c>
      <c r="B583" s="587" t="s">
        <v>1528</v>
      </c>
      <c r="C583" s="587" t="s">
        <v>2055</v>
      </c>
      <c r="D583" s="195" t="s">
        <v>2</v>
      </c>
      <c r="E583" s="587" t="s">
        <v>2052</v>
      </c>
      <c r="F583" s="587" t="s">
        <v>2080</v>
      </c>
      <c r="G583" s="587" t="s">
        <v>2053</v>
      </c>
      <c r="H583" s="587" t="s">
        <v>117</v>
      </c>
      <c r="I583" s="728" t="s">
        <v>2175</v>
      </c>
      <c r="J583" s="728" t="s">
        <v>2176</v>
      </c>
    </row>
    <row r="584" spans="1:68" s="148" customFormat="1" ht="19.95" customHeight="1">
      <c r="A584" s="148" t="str">
        <f>RAW_DATA!J400</f>
        <v>AB1</v>
      </c>
      <c r="B584" s="317">
        <f>RAW_DATA!K400</f>
        <v>0.49099872919390358</v>
      </c>
      <c r="C584" s="317">
        <f>RAW_DATA!L400</f>
        <v>1.3759694139623367E-3</v>
      </c>
      <c r="D584" s="724">
        <f>RAW_DATA!M400</f>
        <v>45343.512673611098</v>
      </c>
      <c r="E584" s="725">
        <f>R322</f>
        <v>3.9951834606458327E-2</v>
      </c>
      <c r="F584" s="725">
        <f>S322</f>
        <v>3.0702077022803308E-5</v>
      </c>
      <c r="G584" s="730">
        <f t="shared" ref="G584:H587" si="136">O337</f>
        <v>4.987750000000001</v>
      </c>
      <c r="H584" s="730">
        <f t="shared" si="136"/>
        <v>0.49695</v>
      </c>
      <c r="I584" s="317">
        <f>E584*G584/H584</f>
        <v>0.40098553789790231</v>
      </c>
      <c r="J584" s="317">
        <f t="shared" ref="J584:J589" si="137">I584*SQRT((F584/E584)^2+(u_m3/G584)^2+(u_m3/H584)^2)</f>
        <v>3.841334875755466E-4</v>
      </c>
      <c r="L584" s="732"/>
    </row>
    <row r="585" spans="1:68" s="148" customFormat="1" ht="19.95" customHeight="1">
      <c r="A585" s="148" t="str">
        <f>RAW_DATA!J401</f>
        <v>AB2A</v>
      </c>
      <c r="B585" s="317">
        <f>RAW_DATA!K401</f>
        <v>0.9634985884817463</v>
      </c>
      <c r="C585" s="317">
        <f>RAW_DATA!L401</f>
        <v>2.7000977992821004E-3</v>
      </c>
      <c r="D585" s="724">
        <f>RAW_DATA!M401</f>
        <v>45343.522395833301</v>
      </c>
      <c r="E585" s="725">
        <f>R323</f>
        <v>8.02984267698202E-2</v>
      </c>
      <c r="F585" s="725">
        <f>S323</f>
        <v>4.0406347152467579E-5</v>
      </c>
      <c r="G585" s="543">
        <f t="shared" si="136"/>
        <v>4.9804500000000003</v>
      </c>
      <c r="H585" s="543">
        <f t="shared" si="136"/>
        <v>0.4972499999999993</v>
      </c>
      <c r="I585" s="317">
        <f t="shared" ref="I585:I588" si="138">E585*G585/H585</f>
        <v>0.80426807361639341</v>
      </c>
      <c r="J585" s="317">
        <f t="shared" si="137"/>
        <v>6.1250540295671395E-4</v>
      </c>
    </row>
    <row r="586" spans="1:68" s="148" customFormat="1" ht="19.95" customHeight="1">
      <c r="A586" s="148" t="str">
        <f>RAW_DATA!J402</f>
        <v>AB2B</v>
      </c>
      <c r="B586" s="317">
        <f>RAW_DATA!K402</f>
        <v>0.96821790729723778</v>
      </c>
      <c r="C586" s="317">
        <f>RAW_DATA!L402</f>
        <v>2.7133231661899009E-3</v>
      </c>
      <c r="D586" s="724">
        <f>RAW_DATA!M402</f>
        <v>45343.532037037003</v>
      </c>
      <c r="E586" s="725">
        <f>R323</f>
        <v>8.02984267698202E-2</v>
      </c>
      <c r="F586" s="725">
        <f>S323</f>
        <v>4.0406347152467579E-5</v>
      </c>
      <c r="G586" s="543">
        <f t="shared" si="136"/>
        <v>4.9881000000000002</v>
      </c>
      <c r="H586" s="543">
        <f t="shared" si="136"/>
        <v>0.49709999999999965</v>
      </c>
      <c r="I586" s="317">
        <f t="shared" si="138"/>
        <v>0.80574649481098459</v>
      </c>
      <c r="J586" s="317">
        <f t="shared" si="137"/>
        <v>6.1372939533999699E-4</v>
      </c>
    </row>
    <row r="587" spans="1:68" s="148" customFormat="1" ht="19.95" customHeight="1">
      <c r="A587" s="148" t="str">
        <f>RAW_DATA!J403</f>
        <v>AB3</v>
      </c>
      <c r="B587" s="317">
        <f>RAW_DATA!K403</f>
        <v>1.8786670882572905</v>
      </c>
      <c r="C587" s="317">
        <f>RAW_DATA!L403</f>
        <v>5.2647558919421524E-3</v>
      </c>
      <c r="D587" s="724">
        <f>RAW_DATA!M403</f>
        <v>45343.541655092602</v>
      </c>
      <c r="E587" s="317">
        <f>R324</f>
        <v>0.15811746641206187</v>
      </c>
      <c r="F587" s="317">
        <f>S324</f>
        <v>6.4983091232064178E-5</v>
      </c>
      <c r="G587" s="543">
        <f t="shared" si="136"/>
        <v>4.9855</v>
      </c>
      <c r="H587" s="543">
        <f t="shared" si="136"/>
        <v>0.49799999999999933</v>
      </c>
      <c r="I587" s="317">
        <f t="shared" si="138"/>
        <v>1.5829209413601115</v>
      </c>
      <c r="J587" s="317">
        <f t="shared" si="137"/>
        <v>1.1133443954321151E-3</v>
      </c>
    </row>
    <row r="588" spans="1:68" s="148" customFormat="1" ht="19.95" customHeight="1">
      <c r="A588" s="228" t="str">
        <f>RAW_DATA!J414</f>
        <v>AB2C</v>
      </c>
      <c r="B588" s="543">
        <f>RAW_DATA!K414</f>
        <v>0.96740105253243136</v>
      </c>
      <c r="C588" s="543">
        <f>RAW_DATA!L414</f>
        <v>2.7110340214219126E-3</v>
      </c>
      <c r="D588" s="724">
        <f>RAW_DATA!M414</f>
        <v>45343.647870370398</v>
      </c>
      <c r="E588" s="596">
        <f>R323</f>
        <v>8.02984267698202E-2</v>
      </c>
      <c r="F588" s="596">
        <f>S323</f>
        <v>4.0406347152467579E-5</v>
      </c>
      <c r="G588" s="543">
        <f>O353</f>
        <v>4.9873500000000011</v>
      </c>
      <c r="H588" s="543">
        <f>P353</f>
        <v>0.49634999999999962</v>
      </c>
      <c r="I588" s="543">
        <f t="shared" si="138"/>
        <v>0.80684266898451318</v>
      </c>
      <c r="J588" s="543">
        <f t="shared" si="137"/>
        <v>6.1508321184840415E-4</v>
      </c>
    </row>
    <row r="589" spans="1:68" s="148" customFormat="1" ht="19.95" customHeight="1">
      <c r="A589" s="315" t="str">
        <f>RAW_DATA!J416</f>
        <v>AB4</v>
      </c>
      <c r="B589" s="319">
        <f>RAW_DATA!K416</f>
        <v>2.8466837019668318</v>
      </c>
      <c r="C589" s="319">
        <f>RAW_DATA!L416</f>
        <v>7.9775149552058586E-3</v>
      </c>
      <c r="D589" s="726">
        <f>RAW_DATA!M416</f>
        <v>45343.6671180556</v>
      </c>
      <c r="E589" s="319">
        <f>R325</f>
        <v>0.24215155084396828</v>
      </c>
      <c r="F589" s="319">
        <f>S325</f>
        <v>9.479197165381983E-5</v>
      </c>
      <c r="G589" s="319">
        <f>O354</f>
        <v>4.9849500000000004</v>
      </c>
      <c r="H589" s="319">
        <f>P354</f>
        <v>0.49834999999999852</v>
      </c>
      <c r="I589" s="319">
        <f t="shared" ref="I589" si="139">E589*G589/H589</f>
        <v>2.4222200730001875</v>
      </c>
      <c r="J589" s="319">
        <f t="shared" si="137"/>
        <v>1.6756802271913353E-3</v>
      </c>
    </row>
    <row r="590" spans="1:68" s="148" customFormat="1" ht="19.95" customHeight="1">
      <c r="A590" s="233"/>
      <c r="D590" s="723"/>
    </row>
    <row r="591" spans="1:68" s="148" customFormat="1" ht="19.95" customHeight="1">
      <c r="A591" s="228"/>
      <c r="B591" s="543"/>
      <c r="C591" s="543"/>
      <c r="D591" s="727"/>
      <c r="E591" s="543"/>
      <c r="F591" s="543"/>
      <c r="G591" s="588"/>
      <c r="H591" s="588"/>
      <c r="I591" s="737" t="s">
        <v>2063</v>
      </c>
      <c r="J591" s="737"/>
      <c r="K591" s="737"/>
      <c r="L591" s="737"/>
      <c r="M591" s="290" t="s">
        <v>2064</v>
      </c>
      <c r="N591" s="290"/>
      <c r="O591" s="290"/>
      <c r="P591" s="480" t="s">
        <v>2065</v>
      </c>
      <c r="Q591" s="480" t="s">
        <v>2066</v>
      </c>
      <c r="R591" s="314" t="s">
        <v>2400</v>
      </c>
      <c r="S591" s="314" t="s">
        <v>2685</v>
      </c>
    </row>
    <row r="592" spans="1:68" s="148" customFormat="1" ht="19.95" customHeight="1">
      <c r="A592" s="587" t="s">
        <v>102</v>
      </c>
      <c r="B592" s="587" t="s">
        <v>115</v>
      </c>
      <c r="C592" s="587" t="s">
        <v>2068</v>
      </c>
      <c r="D592" s="195" t="s">
        <v>2</v>
      </c>
      <c r="E592" s="587" t="s">
        <v>116</v>
      </c>
      <c r="F592" s="587" t="s">
        <v>117</v>
      </c>
      <c r="G592" s="587" t="s">
        <v>1530</v>
      </c>
      <c r="H592" s="587" t="s">
        <v>2067</v>
      </c>
      <c r="I592" s="738" t="s">
        <v>1531</v>
      </c>
      <c r="J592" s="738" t="s">
        <v>2069</v>
      </c>
      <c r="K592" s="738" t="s">
        <v>2070</v>
      </c>
      <c r="L592" s="738" t="s">
        <v>2071</v>
      </c>
      <c r="M592" s="668" t="s">
        <v>1531</v>
      </c>
      <c r="N592" s="668" t="s">
        <v>2069</v>
      </c>
      <c r="O592" s="668" t="s">
        <v>2070</v>
      </c>
      <c r="P592" s="589" t="s">
        <v>2230</v>
      </c>
      <c r="Q592" s="589" t="s">
        <v>2230</v>
      </c>
      <c r="R592" s="315" t="s">
        <v>241</v>
      </c>
      <c r="S592" s="315" t="s">
        <v>2686</v>
      </c>
    </row>
    <row r="593" spans="1:19" s="148" customFormat="1" ht="19.95" customHeight="1">
      <c r="A593" s="148" t="str">
        <f>RAW_DATA!J404</f>
        <v>001_A1</v>
      </c>
      <c r="B593" s="317">
        <f>RAW_DATA!K404</f>
        <v>0.93543963024645971</v>
      </c>
      <c r="C593" s="317">
        <f>RAW_DATA!L404</f>
        <v>2.6214656847290026E-3</v>
      </c>
      <c r="D593" s="724">
        <f>RAW_DATA!M404</f>
        <v>45343.551331018498</v>
      </c>
      <c r="E593" s="317">
        <f t="shared" ref="E593:E602" si="140">O341</f>
        <v>5.1055499999999991</v>
      </c>
      <c r="F593" s="317">
        <f t="shared" ref="F593:F602" si="141">P341</f>
        <v>0.49805000000000099</v>
      </c>
      <c r="G593" s="725">
        <f>F593/E593</f>
        <v>9.7550704625358892E-2</v>
      </c>
      <c r="H593" s="725">
        <f t="shared" ref="H593:H603" si="142">G593*SQRT((u_m3/E593)^2+(u_m3/F593)^2)</f>
        <v>5.5662036679474091E-5</v>
      </c>
      <c r="I593" s="761">
        <f t="array" ref="I593:J593">ResultIDMS_GS($I$584:$I$589,$B$584:$B$589,G593,H593,B593,C593)</f>
        <v>7.5950239136550995E-2</v>
      </c>
      <c r="J593" s="761">
        <v>2.359629289882365E-4</v>
      </c>
      <c r="K593" s="740">
        <f>J593/I593</f>
        <v>3.1068095594011043E-3</v>
      </c>
      <c r="L593" s="741">
        <f>INDEX(FitIDMS($I$584:$I$589,$B$584:$B$589),5,2)</f>
        <v>0.99999650540323826</v>
      </c>
      <c r="M593" s="765">
        <f t="array" ref="M593:N593">ResultIDMS_MT($I$584:$I$589,$J$584:$J$589,$B$584:$B$589,$C$584:$C$589,G593,H593,B593,C593,MC)</f>
        <v>7.5959551938078157E-2</v>
      </c>
      <c r="N593" s="765">
        <v>2.582344133898893E-4</v>
      </c>
      <c r="O593" s="751">
        <f>N593/M593</f>
        <v>3.3996305507489129E-3</v>
      </c>
      <c r="P593" s="949">
        <f>I593/M593</f>
        <v>0.9998773978875658</v>
      </c>
      <c r="Q593" s="949">
        <f>J593/N593</f>
        <v>0.91375477764837365</v>
      </c>
      <c r="R593" s="598">
        <f>(I593-AVERAGE($I$593:$I$602))/MEDIAN($J$593:$J$602)</f>
        <v>1.4724022596968154</v>
      </c>
      <c r="S593" s="945">
        <f>B593/AVERAGE($B$585:$B$586,$B$588)</f>
        <v>0.96799072268522302</v>
      </c>
    </row>
    <row r="594" spans="1:19" s="148" customFormat="1" ht="19.95" customHeight="1">
      <c r="A594" s="148" t="str">
        <f>RAW_DATA!J405</f>
        <v>078_A1</v>
      </c>
      <c r="B594" s="317">
        <f>RAW_DATA!K405</f>
        <v>0.93368799016152249</v>
      </c>
      <c r="C594" s="317">
        <f>RAW_DATA!L405</f>
        <v>2.6165569079077233E-3</v>
      </c>
      <c r="D594" s="724">
        <f>RAW_DATA!M405</f>
        <v>45343.5609722222</v>
      </c>
      <c r="E594" s="317">
        <f t="shared" si="140"/>
        <v>5.0927499999999988</v>
      </c>
      <c r="F594" s="317">
        <f t="shared" si="141"/>
        <v>0.49655000000000094</v>
      </c>
      <c r="G594" s="725">
        <f t="shared" ref="G594:G603" si="143">F594/E594</f>
        <v>9.7501349958274225E-2</v>
      </c>
      <c r="H594" s="725">
        <f t="shared" si="142"/>
        <v>5.5801670290598121E-5</v>
      </c>
      <c r="I594" s="761">
        <f t="array" ref="I594:J594">ResultIDMS_GS($I$584:$I$589,$B$584:$B$589,G594,H594,B594,C594)</f>
        <v>7.5766771493273655E-2</v>
      </c>
      <c r="J594" s="761">
        <v>2.3546631193763163E-4</v>
      </c>
      <c r="K594" s="740">
        <f t="shared" ref="K594:K603" si="144">J594/I594</f>
        <v>3.1077780839392851E-3</v>
      </c>
      <c r="L594" s="741">
        <f>INDEX(FitIDMS($I$584:$I$589,$B$584:$B$589),5,2)</f>
        <v>0.99999650540323826</v>
      </c>
      <c r="M594" s="765">
        <f t="array" ref="M594:N594">ResultIDMS_MT($I$584:$I$589,$J$584:$J$589,$B$584:$B$589,$C$584:$C$589,G594,H594,B594,C594,MC)</f>
        <v>7.5764379533706544E-2</v>
      </c>
      <c r="N594" s="765">
        <v>2.537537751153898E-4</v>
      </c>
      <c r="O594" s="751">
        <f t="shared" ref="O594:O603" si="145">N594/M594</f>
        <v>3.3492490359866033E-3</v>
      </c>
      <c r="P594" s="949">
        <f t="shared" ref="P594:P603" si="146">I594/M594</f>
        <v>1.0000315710308965</v>
      </c>
      <c r="Q594" s="949">
        <f t="shared" ref="Q594:Q603" si="147">J594/N594</f>
        <v>0.92793225176869865</v>
      </c>
      <c r="R594" s="598">
        <f t="shared" ref="R594:R602" si="148">(I594-AVERAGE($I$593:$I$602))/MEDIAN($J$593:$J$602)</f>
        <v>0.69200348337162765</v>
      </c>
      <c r="S594" s="945">
        <f t="shared" ref="S594:S602" si="149">B594/AVERAGE($B$585:$B$586,$B$588)</f>
        <v>0.96617812965743355</v>
      </c>
    </row>
    <row r="595" spans="1:19" s="148" customFormat="1" ht="19.95" customHeight="1">
      <c r="A595" s="148" t="str">
        <f>RAW_DATA!J406</f>
        <v>155_A1</v>
      </c>
      <c r="B595" s="317">
        <f>RAW_DATA!K406</f>
        <v>0.92497038621648364</v>
      </c>
      <c r="C595" s="317">
        <f>RAW_DATA!L406</f>
        <v>2.5921267909273724E-3</v>
      </c>
      <c r="D595" s="724">
        <f>RAW_DATA!M406</f>
        <v>45343.5706712963</v>
      </c>
      <c r="E595" s="317">
        <f t="shared" si="140"/>
        <v>5.0823499999999999</v>
      </c>
      <c r="F595" s="317">
        <f t="shared" si="141"/>
        <v>0.49709999999999965</v>
      </c>
      <c r="G595" s="725">
        <f t="shared" si="143"/>
        <v>9.7809084380257094E-2</v>
      </c>
      <c r="H595" s="725">
        <f t="shared" si="142"/>
        <v>5.5917521635229538E-5</v>
      </c>
      <c r="I595" s="761">
        <f t="array" ref="I595:J595">ResultIDMS_GS($I$584:$I$589,$B$584:$B$589,G595,H595,B595,C595)</f>
        <v>7.5281831300685914E-2</v>
      </c>
      <c r="J595" s="761">
        <v>2.3420885223758377E-4</v>
      </c>
      <c r="K595" s="740">
        <f t="shared" si="144"/>
        <v>3.1110939809915307E-3</v>
      </c>
      <c r="L595" s="741">
        <f>INDEX(FitIDMS($I$584:$I$589,$B$584:$B$589),5,2)</f>
        <v>0.99999650540323826</v>
      </c>
      <c r="M595" s="765">
        <f t="array" ref="M595:N595">ResultIDMS_MT($I$584:$I$589,$J$584:$J$589,$B$584:$B$589,$C$584:$C$589,G595,H595,B595,C595,MC)</f>
        <v>7.5288715786844512E-2</v>
      </c>
      <c r="N595" s="765">
        <v>2.5014686464262136E-4</v>
      </c>
      <c r="O595" s="751">
        <f t="shared" si="145"/>
        <v>3.3225014137687084E-3</v>
      </c>
      <c r="P595" s="949">
        <f t="shared" si="146"/>
        <v>0.99990855885790253</v>
      </c>
      <c r="Q595" s="949">
        <f t="shared" si="147"/>
        <v>0.93628538007938722</v>
      </c>
      <c r="R595" s="598">
        <f t="shared" si="148"/>
        <v>-1.3707402578464936</v>
      </c>
      <c r="S595" s="945">
        <f t="shared" si="149"/>
        <v>0.95715717365985786</v>
      </c>
    </row>
    <row r="596" spans="1:19" s="148" customFormat="1" ht="19.95" customHeight="1">
      <c r="A596" s="148" t="str">
        <f>RAW_DATA!J407</f>
        <v>232_A1</v>
      </c>
      <c r="B596" s="317">
        <f>RAW_DATA!K407</f>
        <v>0.93335569584341371</v>
      </c>
      <c r="C596" s="317">
        <f>RAW_DATA!L407</f>
        <v>2.6156256899819625E-3</v>
      </c>
      <c r="D596" s="724">
        <f>RAW_DATA!M407</f>
        <v>45343.580266203702</v>
      </c>
      <c r="E596" s="317">
        <f t="shared" si="140"/>
        <v>5.0880999999999998</v>
      </c>
      <c r="F596" s="317">
        <f t="shared" si="141"/>
        <v>0.49619999999999997</v>
      </c>
      <c r="G596" s="725">
        <f t="shared" si="143"/>
        <v>9.7521668206206641E-2</v>
      </c>
      <c r="H596" s="725">
        <f t="shared" si="142"/>
        <v>5.5852776893710252E-5</v>
      </c>
      <c r="I596" s="761">
        <f t="array" ref="I596:J596">ResultIDMS_GS($I$584:$I$589,$B$584:$B$589,G596,H596,B596,C596)</f>
        <v>7.5755040069541174E-2</v>
      </c>
      <c r="J596" s="761">
        <v>2.354449758730145E-4</v>
      </c>
      <c r="K596" s="740">
        <f t="shared" si="144"/>
        <v>3.1079777089007155E-3</v>
      </c>
      <c r="L596" s="741">
        <f>INDEX(FitIDMS($I$584:$I$589,$B$584:$B$589),5,2)</f>
        <v>0.99999650540323826</v>
      </c>
      <c r="M596" s="765">
        <f t="array" ref="M596:N596">ResultIDMS_MT($I$584:$I$589,$J$584:$J$589,$B$584:$B$589,$C$584:$C$589,G596,H596,B596,C596,MC)</f>
        <v>7.5759841727663396E-2</v>
      </c>
      <c r="N596" s="765">
        <v>2.6097906946921456E-4</v>
      </c>
      <c r="O596" s="751">
        <f t="shared" si="145"/>
        <v>3.4448206796334835E-3</v>
      </c>
      <c r="P596" s="949">
        <f t="shared" si="146"/>
        <v>0.99993662000853323</v>
      </c>
      <c r="Q596" s="949">
        <f t="shared" si="147"/>
        <v>0.90216037765736579</v>
      </c>
      <c r="R596" s="598">
        <f t="shared" si="148"/>
        <v>0.64210264766110081</v>
      </c>
      <c r="S596" s="945">
        <f t="shared" si="149"/>
        <v>0.96583427228093388</v>
      </c>
    </row>
    <row r="597" spans="1:19" s="148" customFormat="1" ht="19.95" customHeight="1">
      <c r="A597" s="148" t="str">
        <f>RAW_DATA!J408</f>
        <v>310_A1</v>
      </c>
      <c r="B597" s="317">
        <f>RAW_DATA!K408</f>
        <v>0.92930858677249972</v>
      </c>
      <c r="C597" s="317">
        <f>RAW_DATA!L408</f>
        <v>2.6042841162355508E-3</v>
      </c>
      <c r="D597" s="724">
        <f>RAW_DATA!M408</f>
        <v>45343.589884259301</v>
      </c>
      <c r="E597" s="317">
        <f t="shared" si="140"/>
        <v>5.0792999999999999</v>
      </c>
      <c r="F597" s="317">
        <f t="shared" si="141"/>
        <v>0.49695</v>
      </c>
      <c r="G597" s="725">
        <f t="shared" si="143"/>
        <v>9.7838284803024048E-2</v>
      </c>
      <c r="H597" s="725">
        <f t="shared" si="142"/>
        <v>5.5951257098965612E-5</v>
      </c>
      <c r="I597" s="761">
        <f t="array" ref="I597:J597">ResultIDMS_GS($I$584:$I$589,$B$584:$B$589,G597,H597,B597,C597)</f>
        <v>7.5664730577434669E-2</v>
      </c>
      <c r="J597" s="761">
        <v>2.352704339264701E-4</v>
      </c>
      <c r="K597" s="740">
        <f t="shared" si="144"/>
        <v>3.109380448869718E-3</v>
      </c>
      <c r="L597" s="741">
        <f>INDEX(FitIDMS($I$584:$I$589,$B$584:$B$589),5,2)</f>
        <v>0.99999650540323826</v>
      </c>
      <c r="M597" s="765">
        <f t="array" ref="M597:N597">ResultIDMS_MT($I$584:$I$589,$J$584:$J$589,$B$584:$B$589,$C$584:$C$589,G597,H597,B597,C597,MC)</f>
        <v>7.5672881278128629E-2</v>
      </c>
      <c r="N597" s="765">
        <v>2.5661268431473316E-4</v>
      </c>
      <c r="O597" s="751">
        <f t="shared" si="145"/>
        <v>3.3910785473012075E-3</v>
      </c>
      <c r="P597" s="949">
        <f t="shared" si="146"/>
        <v>0.99989229033497484</v>
      </c>
      <c r="Q597" s="949">
        <f t="shared" si="147"/>
        <v>0.91683088291112302</v>
      </c>
      <c r="R597" s="598">
        <f t="shared" si="148"/>
        <v>0.25796179387617579</v>
      </c>
      <c r="S597" s="945">
        <f t="shared" si="149"/>
        <v>0.96164633336144656</v>
      </c>
    </row>
    <row r="598" spans="1:19" s="148" customFormat="1" ht="19.95" customHeight="1">
      <c r="A598" s="148" t="str">
        <f>RAW_DATA!J409</f>
        <v>001_A2</v>
      </c>
      <c r="B598" s="317">
        <f>RAW_DATA!K409</f>
        <v>0.92897413088051106</v>
      </c>
      <c r="C598" s="317">
        <f>RAW_DATA!L409</f>
        <v>2.6033468407390312E-3</v>
      </c>
      <c r="D598" s="724">
        <f>RAW_DATA!M409</f>
        <v>45343.599571759303</v>
      </c>
      <c r="E598" s="317">
        <f t="shared" si="140"/>
        <v>5.0987499999999999</v>
      </c>
      <c r="F598" s="317">
        <f t="shared" si="141"/>
        <v>0.4972499999999993</v>
      </c>
      <c r="G598" s="725">
        <f t="shared" si="143"/>
        <v>9.7523902917381583E-2</v>
      </c>
      <c r="H598" s="725">
        <f t="shared" si="142"/>
        <v>5.5736126592446191E-5</v>
      </c>
      <c r="I598" s="761">
        <f t="array" ref="I598:J598">ResultIDMS_GS($I$584:$I$589,$B$584:$B$589,G598,H598,B598,C598)</f>
        <v>7.5393900027546437E-2</v>
      </c>
      <c r="J598" s="761">
        <v>2.3443323129615523E-4</v>
      </c>
      <c r="K598" s="740">
        <f t="shared" si="144"/>
        <v>3.1094456078078077E-3</v>
      </c>
      <c r="L598" s="741">
        <f>INDEX(FitIDMS($I$584:$I$589,$B$584:$B$589),5,2)</f>
        <v>0.99999650540323826</v>
      </c>
      <c r="M598" s="765">
        <f t="array" ref="M598:N598">ResultIDMS_MT($I$584:$I$589,$J$584:$J$589,$B$584:$B$589,$C$584:$C$589,G598,H598,B598,C598,MC)</f>
        <v>7.5391482912522401E-2</v>
      </c>
      <c r="N598" s="765">
        <v>2.5215278653440511E-4</v>
      </c>
      <c r="O598" s="751">
        <f t="shared" si="145"/>
        <v>3.3445792123094442E-3</v>
      </c>
      <c r="P598" s="949">
        <f t="shared" si="146"/>
        <v>1.000032060849988</v>
      </c>
      <c r="Q598" s="949">
        <f t="shared" si="147"/>
        <v>0.92972691088689541</v>
      </c>
      <c r="R598" s="598">
        <f t="shared" si="148"/>
        <v>-0.89404422717874998</v>
      </c>
      <c r="S598" s="945">
        <f t="shared" si="149"/>
        <v>0.96130023919339525</v>
      </c>
    </row>
    <row r="599" spans="1:19" s="148" customFormat="1" ht="19.95" customHeight="1">
      <c r="A599" s="228" t="str">
        <f>RAW_DATA!J410</f>
        <v>078_A2</v>
      </c>
      <c r="B599" s="543">
        <f>RAW_DATA!K410</f>
        <v>0.92849532973506588</v>
      </c>
      <c r="C599" s="543">
        <f>RAW_DATA!L410</f>
        <v>2.6020050536990033E-3</v>
      </c>
      <c r="D599" s="727">
        <f>RAW_DATA!M410</f>
        <v>45343.609212962998</v>
      </c>
      <c r="E599" s="543">
        <f t="shared" si="140"/>
        <v>5.0914999999999999</v>
      </c>
      <c r="F599" s="543">
        <f t="shared" si="141"/>
        <v>0.49745000000000061</v>
      </c>
      <c r="G599" s="596">
        <f t="shared" si="143"/>
        <v>9.7702052440341872E-2</v>
      </c>
      <c r="H599" s="596">
        <f t="shared" si="142"/>
        <v>5.581645305864651E-5</v>
      </c>
      <c r="I599" s="762">
        <f t="array" ref="I599:J599">ResultIDMS_GS($I$584:$I$589,$B$584:$B$589,G599,H599,B599,C599)</f>
        <v>7.5491899140296664E-2</v>
      </c>
      <c r="J599" s="762">
        <v>2.3474920698866148E-4</v>
      </c>
      <c r="K599" s="743">
        <f t="shared" si="144"/>
        <v>3.1095946672688116E-3</v>
      </c>
      <c r="L599" s="744">
        <f>INDEX(FitIDMS($I$584:$I$589,$B$584:$B$589),5,2)</f>
        <v>0.99999650540323826</v>
      </c>
      <c r="M599" s="766">
        <f t="array" ref="M599:N599">ResultIDMS_MT($I$584:$I$589,$J$584:$J$589,$B$584:$B$589,$C$584:$C$589,G599,H599,B599,C599,MC)</f>
        <v>7.5501166867303432E-2</v>
      </c>
      <c r="N599" s="766">
        <v>2.5621787586869077E-4</v>
      </c>
      <c r="O599" s="751">
        <f t="shared" si="145"/>
        <v>3.3935618017534057E-3</v>
      </c>
      <c r="P599" s="949">
        <f t="shared" si="146"/>
        <v>0.99987725054603382</v>
      </c>
      <c r="Q599" s="949">
        <f t="shared" si="147"/>
        <v>0.91620932455535697</v>
      </c>
      <c r="R599" s="598">
        <f t="shared" si="148"/>
        <v>-0.47719476912133074</v>
      </c>
      <c r="S599" s="945">
        <f t="shared" si="149"/>
        <v>0.96080477689757626</v>
      </c>
    </row>
    <row r="600" spans="1:19" s="148" customFormat="1" ht="19.95" customHeight="1">
      <c r="A600" s="228" t="str">
        <f>RAW_DATA!J411</f>
        <v>155_A2</v>
      </c>
      <c r="B600" s="543">
        <f>RAW_DATA!K411</f>
        <v>0.92998918960558463</v>
      </c>
      <c r="C600" s="543">
        <f>RAW_DATA!L411</f>
        <v>2.6061914300954427E-3</v>
      </c>
      <c r="D600" s="727">
        <f>RAW_DATA!M411</f>
        <v>45343.618888888901</v>
      </c>
      <c r="E600" s="543">
        <f t="shared" si="140"/>
        <v>5.0783499999999995</v>
      </c>
      <c r="F600" s="543">
        <f t="shared" si="141"/>
        <v>0.49770000000000003</v>
      </c>
      <c r="G600" s="596">
        <f t="shared" si="143"/>
        <v>9.8004273041440645E-2</v>
      </c>
      <c r="H600" s="596">
        <f t="shared" si="142"/>
        <v>5.5962624782220999E-5</v>
      </c>
      <c r="I600" s="762">
        <f t="array" ref="I600:J600">ResultIDMS_GS($I$584:$I$589,$B$584:$B$589,G600,H600,B600,C600)</f>
        <v>7.584974337410362E-2</v>
      </c>
      <c r="J600" s="762">
        <v>2.3581358859527731E-4</v>
      </c>
      <c r="K600" s="743">
        <f t="shared" si="144"/>
        <v>3.1089569734231697E-3</v>
      </c>
      <c r="L600" s="744">
        <f>INDEX(FitIDMS($I$584:$I$589,$B$584:$B$589),5,2)</f>
        <v>0.99999650540323826</v>
      </c>
      <c r="M600" s="766">
        <f t="array" ref="M600:N600">ResultIDMS_MT($I$584:$I$589,$J$584:$J$589,$B$584:$B$589,$C$584:$C$589,G600,H600,B600,C600,MC)</f>
        <v>7.5847317848259502E-2</v>
      </c>
      <c r="N600" s="766">
        <v>2.5374413245923128E-4</v>
      </c>
      <c r="O600" s="751">
        <f t="shared" si="145"/>
        <v>3.3454595318304198E-3</v>
      </c>
      <c r="P600" s="949">
        <f t="shared" si="146"/>
        <v>1.0000319790588901</v>
      </c>
      <c r="Q600" s="949">
        <f t="shared" si="147"/>
        <v>0.9293361241886654</v>
      </c>
      <c r="R600" s="598">
        <f t="shared" si="148"/>
        <v>1.0449330414802622</v>
      </c>
      <c r="S600" s="945">
        <f t="shared" si="149"/>
        <v>0.96235061956758683</v>
      </c>
    </row>
    <row r="601" spans="1:19" s="148" customFormat="1" ht="19.95" customHeight="1">
      <c r="A601" s="228" t="str">
        <f>RAW_DATA!J412</f>
        <v>232_A2</v>
      </c>
      <c r="B601" s="543">
        <f>RAW_DATA!K412</f>
        <v>0.92416918762425748</v>
      </c>
      <c r="C601" s="543">
        <f>RAW_DATA!L412</f>
        <v>2.5898815208444483E-3</v>
      </c>
      <c r="D601" s="727">
        <f>RAW_DATA!M412</f>
        <v>45343.628472222197</v>
      </c>
      <c r="E601" s="543">
        <f t="shared" si="140"/>
        <v>5.0768999999999993</v>
      </c>
      <c r="F601" s="543">
        <f t="shared" si="141"/>
        <v>0.4975000000000005</v>
      </c>
      <c r="G601" s="596">
        <f t="shared" si="143"/>
        <v>9.7992869664559196E-2</v>
      </c>
      <c r="H601" s="596">
        <f t="shared" si="142"/>
        <v>5.5978546157862044E-5</v>
      </c>
      <c r="I601" s="762">
        <f t="array" ref="I601:J601">ResultIDMS_GS($I$584:$I$589,$B$584:$B$589,G601,H601,B601,C601)</f>
        <v>7.5356619638623085E-2</v>
      </c>
      <c r="J601" s="762">
        <v>2.34460251478715E-4</v>
      </c>
      <c r="K601" s="743">
        <f t="shared" si="144"/>
        <v>3.1113424753270828E-3</v>
      </c>
      <c r="L601" s="744">
        <f>INDEX(FitIDMS($I$584:$I$589,$B$584:$B$589),5,2)</f>
        <v>0.99999650540323826</v>
      </c>
      <c r="M601" s="766">
        <f t="array" ref="M601:N601">ResultIDMS_MT($I$584:$I$589,$J$584:$J$589,$B$584:$B$589,$C$584:$C$589,G601,H601,B601,C601,MC)</f>
        <v>7.535297189732397E-2</v>
      </c>
      <c r="N601" s="766">
        <v>2.5067229821323613E-4</v>
      </c>
      <c r="O601" s="751">
        <f t="shared" si="145"/>
        <v>3.3266411649271435E-3</v>
      </c>
      <c r="P601" s="949">
        <f t="shared" si="146"/>
        <v>1.0000484087250612</v>
      </c>
      <c r="Q601" s="949">
        <f t="shared" si="147"/>
        <v>0.93532573463410684</v>
      </c>
      <c r="R601" s="598">
        <f t="shared" si="148"/>
        <v>-1.0526202538666372</v>
      </c>
      <c r="S601" s="945">
        <f t="shared" si="149"/>
        <v>0.95632809524664264</v>
      </c>
    </row>
    <row r="602" spans="1:19" s="148" customFormat="1" ht="19.95" customHeight="1">
      <c r="A602" s="315" t="str">
        <f>RAW_DATA!J413</f>
        <v>310_A2</v>
      </c>
      <c r="B602" s="319">
        <f>RAW_DATA!K413</f>
        <v>0.92699306257169489</v>
      </c>
      <c r="C602" s="319">
        <f>RAW_DATA!L413</f>
        <v>2.5977951167979597E-3</v>
      </c>
      <c r="D602" s="726">
        <f>RAW_DATA!M413</f>
        <v>45343.6381944444</v>
      </c>
      <c r="E602" s="319">
        <f t="shared" si="140"/>
        <v>5.0769499999999992</v>
      </c>
      <c r="F602" s="319">
        <f t="shared" si="141"/>
        <v>0.49710000000000143</v>
      </c>
      <c r="G602" s="622">
        <f t="shared" si="143"/>
        <v>9.7913117127409466E-2</v>
      </c>
      <c r="H602" s="622">
        <f t="shared" si="142"/>
        <v>5.5977561714443591E-5</v>
      </c>
      <c r="I602" s="763">
        <f t="array" ref="I602:J602">ResultIDMS_GS($I$584:$I$589,$B$584:$B$589,G602,H602,B602,C602)</f>
        <v>7.5530076421360046E-2</v>
      </c>
      <c r="J602" s="763">
        <v>2.3491903546575473E-4</v>
      </c>
      <c r="K602" s="746">
        <f t="shared" si="144"/>
        <v>3.1102713858676724E-3</v>
      </c>
      <c r="L602" s="747">
        <f>INDEX(FitIDMS($I$584:$I$589,$B$584:$B$589),5,2)</f>
        <v>0.99999650540323826</v>
      </c>
      <c r="M602" s="767">
        <f t="array" ref="M602:N602">ResultIDMS_MT($I$584:$I$589,$J$584:$J$589,$B$584:$B$589,$C$584:$C$589,G602,H602,B602,C602,MC)</f>
        <v>7.5539351522859816E-2</v>
      </c>
      <c r="N602" s="767">
        <v>2.5625350503363504E-4</v>
      </c>
      <c r="O602" s="679">
        <f t="shared" si="145"/>
        <v>3.3923180417571798E-3</v>
      </c>
      <c r="P602" s="950">
        <f t="shared" si="146"/>
        <v>0.99987721497057114</v>
      </c>
      <c r="Q602" s="950">
        <f t="shared" si="147"/>
        <v>0.916744672175001</v>
      </c>
      <c r="R602" s="599">
        <f t="shared" si="148"/>
        <v>-0.3148037180723573</v>
      </c>
      <c r="S602" s="950">
        <f t="shared" si="149"/>
        <v>0.95925023438075485</v>
      </c>
    </row>
    <row r="603" spans="1:19" s="148" customFormat="1" ht="19.95" customHeight="1">
      <c r="A603" s="754" t="str">
        <f>RAW_DATA!J415</f>
        <v>MOOS3</v>
      </c>
      <c r="B603" s="755">
        <f>RAW_DATA!K415</f>
        <v>1.8423017325241136</v>
      </c>
      <c r="C603" s="755">
        <f>RAW_DATA!L415</f>
        <v>5.1628460208130349E-3</v>
      </c>
      <c r="D603" s="756">
        <f>RAW_DATA!M415</f>
        <v>45343.657500000001</v>
      </c>
      <c r="E603" s="755">
        <f>O352</f>
        <v>5.1433499999999999</v>
      </c>
      <c r="F603" s="755">
        <f>P352</f>
        <v>0.49714999999999954</v>
      </c>
      <c r="G603" s="757">
        <f t="shared" si="143"/>
        <v>9.6658792421281767E-2</v>
      </c>
      <c r="H603" s="757">
        <f t="shared" si="142"/>
        <v>5.5248219420321421E-5</v>
      </c>
      <c r="I603" s="764">
        <f t="array" ref="I603:J603">ResultIDMS_GS($I$584:$I$589,$B$584:$B$589,G603,H603,B603,C603)</f>
        <v>0.15013252837264293</v>
      </c>
      <c r="J603" s="764">
        <v>4.5660019086307761E-4</v>
      </c>
      <c r="K603" s="758">
        <f t="shared" si="144"/>
        <v>3.0413142029404403E-3</v>
      </c>
      <c r="L603" s="759">
        <f>INDEX(FitIDMS($I$584:$I$589,$B$584:$B$589),5,2)</f>
        <v>0.99999650540323826</v>
      </c>
      <c r="M603" s="768">
        <f t="array" ref="M603:N603">ResultIDMS_MT($I$584:$I$589,$J$584:$J$589,$B$584:$B$589,$C$584:$C$589,G603,H603,B603,C603,MC)</f>
        <v>0.15015058581680696</v>
      </c>
      <c r="N603" s="768">
        <v>5.2223564523600798E-4</v>
      </c>
      <c r="O603" s="760">
        <f t="shared" si="145"/>
        <v>3.4780793054858135E-3</v>
      </c>
      <c r="P603" s="963">
        <f t="shared" si="146"/>
        <v>0.99987973777081329</v>
      </c>
      <c r="Q603" s="963">
        <f t="shared" si="147"/>
        <v>0.87431831784812675</v>
      </c>
      <c r="R603" s="315"/>
      <c r="S603" s="315"/>
    </row>
    <row r="604" spans="1:19" s="148" customFormat="1" ht="19.95" customHeight="1">
      <c r="A604" s="233"/>
      <c r="D604" s="723"/>
    </row>
    <row r="605" spans="1:19" s="148" customFormat="1" ht="19.95" customHeight="1">
      <c r="A605" s="593"/>
      <c r="B605" s="380" t="s">
        <v>2178</v>
      </c>
      <c r="C605" s="230"/>
      <c r="D605" s="380" t="s">
        <v>2184</v>
      </c>
      <c r="E605" s="230"/>
      <c r="F605" s="230"/>
      <c r="G605" s="380" t="s">
        <v>2185</v>
      </c>
      <c r="H605" s="230"/>
      <c r="I605" s="230"/>
      <c r="J605" s="230"/>
      <c r="K605" s="230"/>
      <c r="L605" s="233" t="s">
        <v>217</v>
      </c>
    </row>
    <row r="606" spans="1:19" s="148" customFormat="1" ht="19.95" customHeight="1">
      <c r="A606" s="587" t="s">
        <v>100</v>
      </c>
      <c r="B606" s="663" t="s">
        <v>2179</v>
      </c>
      <c r="C606" s="663" t="s">
        <v>2180</v>
      </c>
      <c r="D606" s="663" t="s">
        <v>229</v>
      </c>
      <c r="E606" s="663" t="s">
        <v>1171</v>
      </c>
      <c r="F606" s="663" t="s">
        <v>1172</v>
      </c>
      <c r="G606" s="589" t="s">
        <v>2181</v>
      </c>
      <c r="H606" s="589" t="s">
        <v>2182</v>
      </c>
      <c r="I606" s="589" t="s">
        <v>2183</v>
      </c>
      <c r="J606" s="589" t="s">
        <v>2186</v>
      </c>
      <c r="K606" s="589" t="s">
        <v>2187</v>
      </c>
      <c r="L606" s="663" t="s">
        <v>2188</v>
      </c>
    </row>
    <row r="607" spans="1:19" s="148" customFormat="1" ht="19.95" customHeight="1">
      <c r="A607" s="589" t="str">
        <f>A603</f>
        <v>MOOS3</v>
      </c>
      <c r="B607" s="81">
        <v>0.15809999999999999</v>
      </c>
      <c r="C607" s="81">
        <f>0.0023/2</f>
        <v>1.15E-3</v>
      </c>
      <c r="D607" s="143">
        <f>I603</f>
        <v>0.15013252837264293</v>
      </c>
      <c r="E607" s="143">
        <f>J603</f>
        <v>4.5660019086307761E-4</v>
      </c>
      <c r="F607" s="589">
        <v>3</v>
      </c>
      <c r="G607" s="589" t="b">
        <f>IF(ABS(B607-D607)&lt;2*SQRT(C607^2+E607^2/F607),TRUE,FALSE)</f>
        <v>0</v>
      </c>
      <c r="H607" s="589" t="b">
        <f>IF(SQRT(F607)*(ABS(D607-B607)-2*C607)/E607&gt;ABS(_xlfn.T.INV(0.05/2,F607-1)),FALSE,TRUE)</f>
        <v>0</v>
      </c>
      <c r="I607" s="589" t="b">
        <f>IF(AND((D607-B607)^2/MAX(E607^2/(F607-1),C607^2)&lt;_xlfn.T.INV(0.05/2,F607-1)^2,F607&gt;2),TRUE,FALSE)</f>
        <v>0</v>
      </c>
      <c r="J607" s="589" t="b">
        <f>IF(SQRT(F607)*ABS(D607-B607)/(E607/(1-0.333/F607))&gt;ABS(_xlfn.T.INV(0.05/2,F607-1)),FALSE,TRUE)</f>
        <v>0</v>
      </c>
      <c r="K607" s="589" t="b">
        <f>IF(F607*(D607-B607)^2/(2*C607)^2&lt;_xlfn.CHISQ.INV(SQRT(0.95),1),IF((F607-1)*E607^2/(2*C607)^2&lt;_xlfn.CHISQ.INV(SQRT(0.95),F607-1),TRUE,FALSE),FALSE)</f>
        <v>0</v>
      </c>
      <c r="L607" s="624">
        <f>D607/B607</f>
        <v>0.94960486004201738</v>
      </c>
    </row>
    <row r="608" spans="1:19" s="148" customFormat="1" ht="19.95" customHeight="1">
      <c r="A608" s="148" t="s">
        <v>2215</v>
      </c>
      <c r="B608" s="233"/>
      <c r="C608" s="233"/>
      <c r="D608" s="233"/>
    </row>
    <row r="609" spans="1:68" s="148" customFormat="1" ht="19.95" customHeight="1">
      <c r="A609" s="148" t="s">
        <v>2190</v>
      </c>
      <c r="D609" s="723"/>
    </row>
    <row r="610" spans="1:68" s="148" customFormat="1" ht="19.95" customHeight="1">
      <c r="A610" s="148" t="s">
        <v>2189</v>
      </c>
      <c r="D610" s="723"/>
    </row>
    <row r="611" spans="1:68" s="148" customFormat="1" ht="19.95" customHeight="1">
      <c r="A611" s="523" t="s">
        <v>2730</v>
      </c>
      <c r="D611" s="723"/>
    </row>
    <row r="612" spans="1:68" s="148" customFormat="1" ht="19.95" customHeight="1">
      <c r="A612" s="523" t="s">
        <v>2731</v>
      </c>
      <c r="D612" s="723"/>
    </row>
    <row r="613" spans="1:68" s="148" customFormat="1" ht="19.95" customHeight="1">
      <c r="A613" s="233"/>
      <c r="D613" s="723"/>
    </row>
    <row r="614" spans="1:68" s="588" customFormat="1" ht="19.95" customHeight="1">
      <c r="A614" s="623" t="s">
        <v>1812</v>
      </c>
      <c r="B614" s="167"/>
      <c r="C614" s="167"/>
      <c r="D614" s="168"/>
      <c r="E614" s="167"/>
      <c r="F614" s="167"/>
      <c r="G614" s="167"/>
      <c r="H614" s="167"/>
      <c r="I614" s="167"/>
      <c r="J614" s="167"/>
      <c r="K614" s="167"/>
      <c r="L614" s="167"/>
      <c r="M614" s="167"/>
      <c r="N614" s="167"/>
      <c r="O614" s="167"/>
      <c r="P614" s="167"/>
      <c r="Q614" s="167"/>
      <c r="R614" s="167"/>
      <c r="S614" s="167"/>
      <c r="T614" s="167"/>
      <c r="U614" s="167"/>
      <c r="V614" s="167"/>
      <c r="W614" s="167"/>
      <c r="X614" s="167"/>
      <c r="Y614" s="167"/>
      <c r="Z614" s="167"/>
      <c r="AA614" s="167"/>
      <c r="AB614" s="167"/>
      <c r="AC614" s="167"/>
      <c r="AD614" s="167"/>
      <c r="AE614" s="167"/>
      <c r="AF614" s="167"/>
      <c r="AG614" s="167"/>
      <c r="AH614" s="167"/>
      <c r="AI614" s="167"/>
      <c r="AJ614" s="167"/>
      <c r="AK614" s="167"/>
      <c r="AL614" s="167"/>
      <c r="AM614" s="167"/>
      <c r="AN614" s="167"/>
      <c r="AO614" s="167"/>
      <c r="AP614" s="167"/>
      <c r="AQ614" s="167"/>
      <c r="AR614" s="167"/>
      <c r="AS614" s="167"/>
      <c r="AT614" s="167"/>
      <c r="AU614" s="167"/>
      <c r="AV614" s="167"/>
      <c r="AW614" s="167"/>
      <c r="AX614" s="167"/>
      <c r="AY614" s="167"/>
      <c r="AZ614" s="167"/>
      <c r="BA614" s="167"/>
      <c r="BB614" s="167"/>
      <c r="BC614" s="167"/>
      <c r="BD614" s="167"/>
      <c r="BE614" s="167"/>
      <c r="BF614" s="167"/>
      <c r="BG614" s="167"/>
      <c r="BH614" s="167"/>
      <c r="BI614" s="167"/>
      <c r="BJ614" s="167"/>
      <c r="BK614" s="167"/>
      <c r="BL614" s="167"/>
      <c r="BM614" s="167"/>
      <c r="BN614" s="167"/>
      <c r="BO614" s="167"/>
      <c r="BP614" s="167"/>
    </row>
    <row r="615" spans="1:68" s="593" customFormat="1" ht="19.95" customHeight="1">
      <c r="A615" s="80"/>
      <c r="B615" s="80"/>
      <c r="C615" s="80"/>
      <c r="D615" s="80"/>
    </row>
    <row r="616" spans="1:68" s="593" customFormat="1" ht="19.95" customHeight="1">
      <c r="E616" s="152"/>
      <c r="F616" s="593" t="s">
        <v>222</v>
      </c>
      <c r="G616" s="593" t="s">
        <v>223</v>
      </c>
      <c r="H616" s="593" t="s">
        <v>224</v>
      </c>
      <c r="I616" s="593" t="s">
        <v>134</v>
      </c>
      <c r="J616" s="593" t="s">
        <v>292</v>
      </c>
      <c r="K616" s="588" t="s">
        <v>1046</v>
      </c>
      <c r="L616" s="774" t="s">
        <v>2193</v>
      </c>
      <c r="M616" s="774"/>
      <c r="N616" s="774"/>
      <c r="O616" s="774"/>
      <c r="P616" s="290" t="s">
        <v>2064</v>
      </c>
      <c r="Q616" s="290"/>
      <c r="R616" s="290"/>
      <c r="S616" s="228" t="s">
        <v>2194</v>
      </c>
      <c r="T616" s="228"/>
      <c r="U616" s="593" t="s">
        <v>237</v>
      </c>
      <c r="V616" s="593" t="s">
        <v>237</v>
      </c>
      <c r="W616" s="593" t="s">
        <v>2203</v>
      </c>
    </row>
    <row r="617" spans="1:68" s="593" customFormat="1" ht="19.95" customHeight="1">
      <c r="A617" s="209" t="s">
        <v>1711</v>
      </c>
      <c r="E617" s="152"/>
      <c r="F617" s="593" t="s">
        <v>242</v>
      </c>
      <c r="G617" s="593" t="s">
        <v>242</v>
      </c>
      <c r="H617" s="593" t="s">
        <v>242</v>
      </c>
      <c r="I617" s="593" t="s">
        <v>242</v>
      </c>
      <c r="J617" s="593" t="s">
        <v>242</v>
      </c>
      <c r="K617" s="588" t="s">
        <v>242</v>
      </c>
      <c r="L617" s="774" t="s">
        <v>1737</v>
      </c>
      <c r="M617" s="774" t="s">
        <v>1738</v>
      </c>
      <c r="N617" s="774" t="s">
        <v>1815</v>
      </c>
      <c r="O617" s="774" t="s">
        <v>2071</v>
      </c>
      <c r="P617" s="776" t="s">
        <v>1737</v>
      </c>
      <c r="Q617" s="776" t="s">
        <v>1738</v>
      </c>
      <c r="R617" s="776" t="s">
        <v>1815</v>
      </c>
      <c r="S617" s="228" t="s">
        <v>1737</v>
      </c>
      <c r="T617" s="228" t="s">
        <v>1738</v>
      </c>
      <c r="U617" s="593" t="s">
        <v>2200</v>
      </c>
      <c r="V617" s="593" t="s">
        <v>2201</v>
      </c>
      <c r="W617" s="593" t="s">
        <v>2202</v>
      </c>
      <c r="X617" s="314" t="s">
        <v>2400</v>
      </c>
      <c r="Y617" s="314" t="s">
        <v>2685</v>
      </c>
    </row>
    <row r="618" spans="1:68" s="593" customFormat="1" ht="19.95" customHeight="1">
      <c r="A618" s="587" t="str">
        <f>RAW_DATA!A484</f>
        <v>Sample ID</v>
      </c>
      <c r="B618" s="587" t="str">
        <f>RAW_DATA!B484</f>
        <v>Date</v>
      </c>
      <c r="C618" s="587" t="str">
        <f>RAW_DATA!C484</f>
        <v>541nm (Abs)</v>
      </c>
      <c r="D618" s="587" t="s">
        <v>113</v>
      </c>
      <c r="E618" s="587" t="s">
        <v>114</v>
      </c>
      <c r="F618" s="587" t="s">
        <v>1736</v>
      </c>
      <c r="G618" s="587" t="s">
        <v>1736</v>
      </c>
      <c r="H618" s="587" t="s">
        <v>1736</v>
      </c>
      <c r="I618" s="587" t="s">
        <v>1736</v>
      </c>
      <c r="J618" s="587" t="s">
        <v>1736</v>
      </c>
      <c r="K618" s="587" t="s">
        <v>1736</v>
      </c>
      <c r="L618" s="775" t="s">
        <v>156</v>
      </c>
      <c r="M618" s="775" t="s">
        <v>156</v>
      </c>
      <c r="N618" s="775" t="s">
        <v>74</v>
      </c>
      <c r="O618" s="775"/>
      <c r="P618" s="777" t="s">
        <v>156</v>
      </c>
      <c r="Q618" s="777" t="s">
        <v>156</v>
      </c>
      <c r="R618" s="777" t="s">
        <v>74</v>
      </c>
      <c r="S618" s="315" t="s">
        <v>74</v>
      </c>
      <c r="T618" s="315" t="s">
        <v>74</v>
      </c>
      <c r="U618" s="589" t="s">
        <v>156</v>
      </c>
      <c r="V618" s="589" t="s">
        <v>156</v>
      </c>
      <c r="W618" s="783" t="s">
        <v>74</v>
      </c>
      <c r="X618" s="315" t="s">
        <v>241</v>
      </c>
      <c r="Y618" s="315" t="s">
        <v>2686</v>
      </c>
    </row>
    <row r="619" spans="1:68" s="593" customFormat="1" ht="19.95" customHeight="1">
      <c r="A619" s="590" t="str">
        <f>RAW_DATA!A485</f>
        <v>BLS-DIW</v>
      </c>
      <c r="B619" s="769" t="str">
        <f>RAW_DATA!B485</f>
        <v>2/20/2024 3:31:31 PM</v>
      </c>
      <c r="C619" s="593">
        <f>RAW_DATA!C485</f>
        <v>-2.52E-4</v>
      </c>
      <c r="D619" s="588"/>
      <c r="E619" s="196"/>
      <c r="F619" s="588"/>
      <c r="G619" s="588"/>
      <c r="H619" s="588"/>
      <c r="I619" s="588"/>
      <c r="J619" s="588"/>
      <c r="K619" s="588"/>
      <c r="U619" s="588"/>
      <c r="W619" s="588"/>
    </row>
    <row r="620" spans="1:68" s="593" customFormat="1" ht="19.95" customHeight="1">
      <c r="A620" s="593" t="str">
        <f>RAW_DATA!A486</f>
        <v>BSL-LNWS</v>
      </c>
      <c r="B620" s="770" t="str">
        <f>RAW_DATA!B486</f>
        <v>2/20/2024 3:32:18 PM</v>
      </c>
      <c r="C620" s="593">
        <f>RAW_DATA!C486</f>
        <v>-4.17E-4</v>
      </c>
      <c r="D620" s="588"/>
      <c r="E620" s="152"/>
      <c r="F620" s="588"/>
      <c r="G620" s="588"/>
      <c r="H620" s="588"/>
      <c r="I620" s="588"/>
      <c r="J620" s="588"/>
      <c r="K620" s="588"/>
      <c r="U620" s="588"/>
      <c r="W620" s="588"/>
    </row>
    <row r="621" spans="1:68" s="593" customFormat="1" ht="19.95" customHeight="1">
      <c r="A621" s="593" t="str">
        <f>RAW_DATA!A487</f>
        <v>BSL-M4</v>
      </c>
      <c r="B621" s="770" t="str">
        <f>RAW_DATA!B487</f>
        <v>2/20/2024 3:33:13 PM</v>
      </c>
      <c r="C621" s="593">
        <f>RAW_DATA!C487</f>
        <v>-4.17E-4</v>
      </c>
      <c r="D621" s="588"/>
      <c r="E621" s="152"/>
      <c r="F621" s="588"/>
      <c r="G621" s="588"/>
      <c r="H621" s="588"/>
      <c r="I621" s="588"/>
      <c r="J621" s="588"/>
      <c r="K621" s="588"/>
      <c r="U621" s="588"/>
      <c r="W621" s="588"/>
    </row>
    <row r="622" spans="1:68" s="593" customFormat="1" ht="19.95" customHeight="1">
      <c r="A622" s="593" t="str">
        <f>RAW_DATA!A488</f>
        <v>BSL-M3</v>
      </c>
      <c r="B622" s="770" t="str">
        <f>RAW_DATA!B488</f>
        <v>2/20/2024 3:33:58 PM</v>
      </c>
      <c r="C622" s="593">
        <f>RAW_DATA!C488</f>
        <v>-3.77E-4</v>
      </c>
      <c r="D622" s="588"/>
      <c r="E622" s="152"/>
      <c r="F622" s="588"/>
      <c r="G622" s="588"/>
      <c r="H622" s="588"/>
      <c r="I622" s="588"/>
      <c r="J622" s="588"/>
      <c r="K622" s="588"/>
      <c r="U622" s="588"/>
      <c r="W622" s="588"/>
    </row>
    <row r="623" spans="1:68" s="593" customFormat="1" ht="19.95" customHeight="1">
      <c r="A623" s="593" t="str">
        <f>RAW_DATA!A489</f>
        <v>BLK-DIW</v>
      </c>
      <c r="B623" s="770" t="str">
        <f>RAW_DATA!B489</f>
        <v>2/20/2024 3:34:54 PM</v>
      </c>
      <c r="C623" s="593">
        <f>RAW_DATA!C489</f>
        <v>-2.1800000000000001E-4</v>
      </c>
      <c r="D623" s="588"/>
      <c r="E623" s="152"/>
      <c r="F623" s="154">
        <f>C623-C619</f>
        <v>3.3999999999999986E-5</v>
      </c>
      <c r="G623" s="588"/>
      <c r="H623" s="588"/>
      <c r="I623" s="588"/>
      <c r="J623" s="588"/>
      <c r="K623" s="588"/>
      <c r="U623" s="588"/>
      <c r="W623" s="588"/>
    </row>
    <row r="624" spans="1:68" s="593" customFormat="1" ht="19.95" customHeight="1">
      <c r="A624" s="589" t="str">
        <f>RAW_DATA!A490</f>
        <v>BLK-LNSW</v>
      </c>
      <c r="B624" s="771" t="str">
        <f>RAW_DATA!B490</f>
        <v>2/20/2024 3:35:48 PM</v>
      </c>
      <c r="C624" s="589">
        <f>RAW_DATA!C490</f>
        <v>2.3E-5</v>
      </c>
      <c r="D624" s="589"/>
      <c r="E624" s="153"/>
      <c r="F624" s="155">
        <f>C624-C620</f>
        <v>4.4000000000000002E-4</v>
      </c>
      <c r="G624" s="589"/>
      <c r="H624" s="589"/>
      <c r="I624" s="589"/>
      <c r="J624" s="81"/>
      <c r="K624" s="589"/>
      <c r="L624" s="589"/>
      <c r="M624" s="589"/>
      <c r="N624" s="589"/>
      <c r="O624" s="589"/>
      <c r="P624" s="589"/>
      <c r="Q624" s="589"/>
      <c r="R624" s="589"/>
      <c r="S624" s="589"/>
      <c r="T624" s="589"/>
      <c r="U624" s="589"/>
      <c r="V624" s="589"/>
      <c r="W624" s="589"/>
      <c r="X624" s="589"/>
      <c r="Y624" s="589"/>
    </row>
    <row r="625" spans="1:25" s="593" customFormat="1" ht="19.95" customHeight="1">
      <c r="A625" s="593" t="str">
        <f>RAW_DATA!A491</f>
        <v>CAL1</v>
      </c>
      <c r="B625" s="770" t="str">
        <f>RAW_DATA!B491</f>
        <v>2/20/2024 3:37:24 PM</v>
      </c>
      <c r="C625" s="593">
        <f>RAW_DATA!C491</f>
        <v>4.5523000000000001E-2</v>
      </c>
      <c r="D625" s="60">
        <f t="shared" ref="D625:D640" si="150">O372</f>
        <v>5.1141500000000004</v>
      </c>
      <c r="E625" s="80">
        <f t="shared" ref="E625:E640" si="151">P372</f>
        <v>5.3149499999999996</v>
      </c>
      <c r="F625" s="154">
        <f>C625-$C$620</f>
        <v>4.5940000000000002E-2</v>
      </c>
      <c r="G625" s="157">
        <f>F625-$F$624+$F$623</f>
        <v>4.5533999999999998E-2</v>
      </c>
      <c r="H625" s="80">
        <f>G625*E625/D625</f>
        <v>4.7321829297146144E-2</v>
      </c>
      <c r="I625" s="60">
        <f>H625/dLNSW</f>
        <v>4.6203279152088488E-2</v>
      </c>
      <c r="J625" s="778">
        <f>I625</f>
        <v>4.6203279152088488E-2</v>
      </c>
      <c r="K625" s="778">
        <f>J625*(STDEV($I$630:$I$639)/AVERAGE($I$630:$I$639))</f>
        <v>2.0773837123887651E-4</v>
      </c>
      <c r="L625" s="543">
        <f t="shared" ref="L625:M629" si="152">T298</f>
        <v>3.9993238654125358E-2</v>
      </c>
      <c r="M625" s="543">
        <f t="shared" si="152"/>
        <v>2.6397847355276974E-5</v>
      </c>
    </row>
    <row r="626" spans="1:25" s="593" customFormat="1" ht="19.95" customHeight="1">
      <c r="A626" s="593" t="str">
        <f>RAW_DATA!A492</f>
        <v>CAL2</v>
      </c>
      <c r="B626" s="770" t="str">
        <f>RAW_DATA!B492</f>
        <v>2/20/2024 3:38:23 PM</v>
      </c>
      <c r="C626" s="593">
        <f>RAW_DATA!C492</f>
        <v>6.4782999999999993E-2</v>
      </c>
      <c r="D626" s="60">
        <f t="shared" si="150"/>
        <v>5.1235999999999997</v>
      </c>
      <c r="E626" s="80">
        <f t="shared" si="151"/>
        <v>5.3247499999999999</v>
      </c>
      <c r="F626" s="154">
        <f t="shared" ref="F626:F629" si="153">C626-$C$620</f>
        <v>6.5199999999999994E-2</v>
      </c>
      <c r="G626" s="157">
        <f t="shared" ref="G626:G629" si="154">F626-$F$624+$F$623</f>
        <v>6.4794000000000004E-2</v>
      </c>
      <c r="H626" s="80">
        <f t="shared" ref="H626:H640" si="155">G626*E626/D626</f>
        <v>6.7337780369271613E-2</v>
      </c>
      <c r="I626" s="60">
        <f>H626/dLNSW</f>
        <v>6.574611146892223E-2</v>
      </c>
      <c r="J626" s="778">
        <f t="shared" ref="J626:J629" si="156">I626</f>
        <v>6.574611146892223E-2</v>
      </c>
      <c r="K626" s="778">
        <f t="shared" ref="K626:K629" si="157">J626*(STDEV($I$630:$I$639)/AVERAGE($I$630:$I$639))</f>
        <v>2.9560651024108432E-4</v>
      </c>
      <c r="L626" s="543">
        <f t="shared" si="152"/>
        <v>5.9684201143125955E-2</v>
      </c>
      <c r="M626" s="543">
        <f t="shared" si="152"/>
        <v>3.7446670176971325E-5</v>
      </c>
      <c r="U626" s="96"/>
    </row>
    <row r="627" spans="1:25" s="593" customFormat="1" ht="19.95" customHeight="1">
      <c r="A627" s="593" t="str">
        <f>RAW_DATA!A493</f>
        <v>CAL3</v>
      </c>
      <c r="B627" s="770" t="str">
        <f>RAW_DATA!B493</f>
        <v>2/20/2024 3:39:20 PM</v>
      </c>
      <c r="C627" s="593">
        <f>RAW_DATA!C493</f>
        <v>8.6985000000000007E-2</v>
      </c>
      <c r="D627" s="60">
        <f t="shared" si="150"/>
        <v>5.1178499999999998</v>
      </c>
      <c r="E627" s="80">
        <f t="shared" si="151"/>
        <v>5.3193499999999991</v>
      </c>
      <c r="F627" s="154">
        <f t="shared" si="153"/>
        <v>8.7402000000000007E-2</v>
      </c>
      <c r="G627" s="157">
        <f t="shared" si="154"/>
        <v>8.6996000000000018E-2</v>
      </c>
      <c r="H627" s="80">
        <f t="shared" si="155"/>
        <v>9.0421206678585747E-2</v>
      </c>
      <c r="I627" s="60">
        <f>H627/dLNSW</f>
        <v>8.8283912847201246E-2</v>
      </c>
      <c r="J627" s="778">
        <f t="shared" si="156"/>
        <v>8.8283912847201246E-2</v>
      </c>
      <c r="K627" s="778">
        <f t="shared" si="157"/>
        <v>3.9694057647082624E-4</v>
      </c>
      <c r="L627" s="543">
        <f t="shared" si="152"/>
        <v>7.8745037067019727E-2</v>
      </c>
      <c r="M627" s="543">
        <f t="shared" si="152"/>
        <v>4.8480345953317693E-5</v>
      </c>
      <c r="U627" s="96"/>
    </row>
    <row r="628" spans="1:25" s="593" customFormat="1" ht="19.95" customHeight="1">
      <c r="A628" s="593" t="str">
        <f>RAW_DATA!A494</f>
        <v>CAL4</v>
      </c>
      <c r="B628" s="770" t="str">
        <f>RAW_DATA!B494</f>
        <v>2/20/2024 3:40:15 PM</v>
      </c>
      <c r="C628" s="593">
        <f>RAW_DATA!C494</f>
        <v>0.12709799999999999</v>
      </c>
      <c r="D628" s="60">
        <f t="shared" si="150"/>
        <v>5.1091499999999996</v>
      </c>
      <c r="E628" s="80">
        <f t="shared" si="151"/>
        <v>5.3097999999999992</v>
      </c>
      <c r="F628" s="154">
        <f t="shared" si="153"/>
        <v>0.12751499999999999</v>
      </c>
      <c r="G628" s="157">
        <f t="shared" si="154"/>
        <v>0.127109</v>
      </c>
      <c r="H628" s="80">
        <f t="shared" si="155"/>
        <v>0.13210091075814959</v>
      </c>
      <c r="I628" s="60">
        <f>H628/dLNSW</f>
        <v>0.12897843018025509</v>
      </c>
      <c r="J628" s="778">
        <f t="shared" si="156"/>
        <v>0.12897843018025509</v>
      </c>
      <c r="K628" s="778">
        <f t="shared" si="157"/>
        <v>5.7991054969054525E-4</v>
      </c>
      <c r="L628" s="543">
        <f t="shared" si="152"/>
        <v>0.11564314591371307</v>
      </c>
      <c r="M628" s="543">
        <f t="shared" si="152"/>
        <v>7.0174802006151455E-5</v>
      </c>
      <c r="U628" s="96"/>
    </row>
    <row r="629" spans="1:25" s="593" customFormat="1" ht="19.95" customHeight="1">
      <c r="A629" s="589" t="str">
        <f>RAW_DATA!A495</f>
        <v>CAL5</v>
      </c>
      <c r="B629" s="771" t="str">
        <f>RAW_DATA!B495</f>
        <v>2/20/2024 3:41:06 PM</v>
      </c>
      <c r="C629" s="589">
        <f>RAW_DATA!C495</f>
        <v>0.171653</v>
      </c>
      <c r="D629" s="81">
        <f t="shared" si="150"/>
        <v>5.1439000000000004</v>
      </c>
      <c r="E629" s="81">
        <f t="shared" si="151"/>
        <v>5.3445999999999998</v>
      </c>
      <c r="F629" s="155">
        <f t="shared" si="153"/>
        <v>0.17207</v>
      </c>
      <c r="G629" s="155">
        <f t="shared" si="154"/>
        <v>0.17166400000000001</v>
      </c>
      <c r="H629" s="81">
        <f t="shared" si="155"/>
        <v>0.17836182942903245</v>
      </c>
      <c r="I629" s="81">
        <f>H629/dLNSW</f>
        <v>0.17414587554170829</v>
      </c>
      <c r="J629" s="779">
        <f t="shared" si="156"/>
        <v>0.17414587554170829</v>
      </c>
      <c r="K629" s="779">
        <f t="shared" si="157"/>
        <v>7.829916232551064E-4</v>
      </c>
      <c r="L629" s="319">
        <f t="shared" si="152"/>
        <v>0.15764197294066962</v>
      </c>
      <c r="M629" s="319">
        <f t="shared" si="152"/>
        <v>9.5207735481938493E-5</v>
      </c>
      <c r="N629" s="589"/>
      <c r="O629" s="589"/>
      <c r="P629" s="589"/>
      <c r="Q629" s="589"/>
      <c r="R629" s="589"/>
      <c r="S629" s="589"/>
      <c r="T629" s="589"/>
      <c r="U629" s="100"/>
      <c r="V629" s="589"/>
      <c r="W629" s="201"/>
      <c r="X629" s="589"/>
      <c r="Y629" s="589"/>
    </row>
    <row r="630" spans="1:25" s="593" customFormat="1" ht="19.95" customHeight="1">
      <c r="A630" s="593" t="str">
        <f>RAW_DATA!A496</f>
        <v>001a_1</v>
      </c>
      <c r="B630" s="770" t="str">
        <f>RAW_DATA!B496</f>
        <v>2/20/2024 3:42:46 PM</v>
      </c>
      <c r="C630" s="593">
        <f>RAW_DATA!C496</f>
        <v>8.3904999999999993E-2</v>
      </c>
      <c r="D630" s="60">
        <f t="shared" si="150"/>
        <v>5.1042500000000004</v>
      </c>
      <c r="E630" s="80">
        <f t="shared" si="151"/>
        <v>5.3053500000000007</v>
      </c>
      <c r="F630" s="154">
        <f>C630-$C$621</f>
        <v>8.4321999999999994E-2</v>
      </c>
      <c r="G630" s="80">
        <f>F630</f>
        <v>8.4321999999999994E-2</v>
      </c>
      <c r="H630" s="80">
        <f t="shared" si="155"/>
        <v>8.7644163726306512E-2</v>
      </c>
      <c r="I630" s="60">
        <f t="shared" ref="I630:I639" si="158">H630/dMOOS4</f>
        <v>8.5842261940294887E-2</v>
      </c>
      <c r="J630" s="778">
        <f t="shared" ref="J630:J639" si="159">I630/m_efft_NO2_v</f>
        <v>8.5027903148964495E-2</v>
      </c>
      <c r="K630" s="778">
        <f t="shared" ref="K630:K639" si="160">J630*SQRT((STDEV($I$630:$I$639)/AVERAGE($I$630:$I$639))^2+(m_efft_NO2_u/m_efft_NO2_v)^2)</f>
        <v>3.9994742121638702E-4</v>
      </c>
      <c r="L630" s="762" cm="1">
        <f t="array" ref="L630:M630">ResultEXLN_GS($L$625:$L$629,$J$625:$J$629,J630,K630,pNO2v,0)</f>
        <v>7.6062554593851417E-2</v>
      </c>
      <c r="M630" s="762">
        <v>5.5288972238945943E-4</v>
      </c>
      <c r="N630" s="743">
        <f>M630/L630</f>
        <v>7.2688818478646357E-3</v>
      </c>
      <c r="O630" s="762">
        <f>INDEX(LINEST($J$625:$J$629,$L$625:$L$629,TRUE,TRUE),3,1)</f>
        <v>0.99973611574726218</v>
      </c>
      <c r="P630" s="766" cm="1">
        <f t="array" ref="P630:Q630">ResultEXLN_MC($L$625:$L$629,$M$625:$M$629,$J$625:$J$629,$K$625:$K$629,J630,K630,MC)</f>
        <v>7.6074450699995855E-2</v>
      </c>
      <c r="Q630" s="766">
        <v>3.9990272573281666E-4</v>
      </c>
      <c r="R630" s="677">
        <f>Q630/P630</f>
        <v>5.2567284029411791E-3</v>
      </c>
      <c r="S630" s="198">
        <f>L630/P630</f>
        <v>0.99984362547432182</v>
      </c>
      <c r="T630" s="784">
        <f>M630/Q630</f>
        <v>1.3825605248783839</v>
      </c>
      <c r="U630" s="96" cm="1">
        <f t="array" ref="U630:V630">ResultEXQD($L$625:$L$629,$J$625:$J$629,J630)</f>
        <v>7.6032164610175909E-2</v>
      </c>
      <c r="V630" s="788">
        <v>42.41626328745155</v>
      </c>
      <c r="W630" s="198">
        <f>L630/U630</f>
        <v>1.0003996990462038</v>
      </c>
      <c r="X630" s="598">
        <f>(L630-AVERAGE($L$630:$L$639))/MEDIAN($M$630:$M$639)</f>
        <v>0.75089038344509751</v>
      </c>
      <c r="Y630" s="951">
        <f>H630/$H$627</f>
        <v>0.96928770302578904</v>
      </c>
    </row>
    <row r="631" spans="1:25" s="593" customFormat="1" ht="19.95" customHeight="1">
      <c r="A631" s="593" t="str">
        <f>RAW_DATA!A497</f>
        <v>078a_1</v>
      </c>
      <c r="B631" s="770" t="str">
        <f>RAW_DATA!B497</f>
        <v>2/20/2024 3:43:32 PM</v>
      </c>
      <c r="C631" s="593">
        <f>RAW_DATA!C497</f>
        <v>8.3474999999999994E-2</v>
      </c>
      <c r="D631" s="60">
        <f t="shared" si="150"/>
        <v>5.0915500000000007</v>
      </c>
      <c r="E631" s="80">
        <f t="shared" si="151"/>
        <v>5.2924999999999995</v>
      </c>
      <c r="F631" s="154">
        <f t="shared" ref="F631:F639" si="161">C631-$C$621</f>
        <v>8.3891999999999994E-2</v>
      </c>
      <c r="G631" s="80">
        <f t="shared" ref="G631:G640" si="162">F631</f>
        <v>8.3891999999999994E-2</v>
      </c>
      <c r="H631" s="80">
        <f t="shared" si="155"/>
        <v>8.7202995158645186E-2</v>
      </c>
      <c r="I631" s="60">
        <f t="shared" si="158"/>
        <v>8.541016348519101E-2</v>
      </c>
      <c r="J631" s="778">
        <f t="shared" si="159"/>
        <v>8.4599903877266097E-2</v>
      </c>
      <c r="K631" s="778">
        <f t="shared" si="160"/>
        <v>3.9793423261995212E-4</v>
      </c>
      <c r="L631" s="762" cm="1">
        <f t="array" ref="L631:M631">ResultEXLN_GS($L$625:$L$629,$J$625:$J$629,J631,K631,pNO2v,0)</f>
        <v>7.5671891375230185E-2</v>
      </c>
      <c r="M631" s="762">
        <v>5.5257923610476929E-4</v>
      </c>
      <c r="N631" s="743">
        <f t="shared" ref="N631:N640" si="163">M631/L631</f>
        <v>7.3023050707788448E-3</v>
      </c>
      <c r="O631" s="762">
        <f t="shared" ref="O631:O640" si="164">INDEX(LINEST($J$625:$J$629,$L$625:$L$629,TRUE,TRUE),3,1)</f>
        <v>0.99973611574726218</v>
      </c>
      <c r="P631" s="766" cm="1">
        <f t="array" ref="P631:Q631">ResultEXLN_MC($L$625:$L$629,$M$625:$M$629,$J$625:$J$629,$K$625:$K$629,J631,K631,MC)</f>
        <v>7.5659479447814135E-2</v>
      </c>
      <c r="Q631" s="766">
        <v>3.9045771039226696E-4</v>
      </c>
      <c r="R631" s="677">
        <f t="shared" ref="R631:R640" si="165">Q631/P631</f>
        <v>5.160724250840026E-3</v>
      </c>
      <c r="S631" s="198">
        <f t="shared" ref="S631:S640" si="166">L631/P631</f>
        <v>1.0001640498653523</v>
      </c>
      <c r="T631" s="784">
        <f t="shared" ref="T631:T640" si="167">M631/Q631</f>
        <v>1.41520892377725</v>
      </c>
      <c r="U631" s="96" cm="1">
        <f t="array" ref="U631:V631">ResultEXQD($L$625:$L$629,$J$625:$J$629,J631)</f>
        <v>7.5641940385207815E-2</v>
      </c>
      <c r="V631" s="788">
        <v>42.416653511676515</v>
      </c>
      <c r="W631" s="198">
        <f t="shared" ref="W631:W640" si="168">L631/U631</f>
        <v>1.0003959574525698</v>
      </c>
      <c r="X631" s="598">
        <f t="shared" ref="X631:X639" si="169">(L631-AVERAGE($L$630:$L$639))/MEDIAN($M$630:$M$639)</f>
        <v>4.3768462477439436E-2</v>
      </c>
      <c r="Y631" s="951">
        <f t="shared" ref="Y631:Y639" si="170">H631/$H$627</f>
        <v>0.96440866431499717</v>
      </c>
    </row>
    <row r="632" spans="1:25" s="593" customFormat="1" ht="19.95" customHeight="1">
      <c r="A632" s="593" t="str">
        <f>RAW_DATA!A498</f>
        <v>155a_1</v>
      </c>
      <c r="B632" s="770" t="str">
        <f>RAW_DATA!B498</f>
        <v>2/20/2024 3:44:12 PM</v>
      </c>
      <c r="C632" s="593">
        <f>RAW_DATA!C498</f>
        <v>8.3304000000000003E-2</v>
      </c>
      <c r="D632" s="60">
        <f t="shared" si="150"/>
        <v>5.1016500000000002</v>
      </c>
      <c r="E632" s="80">
        <f t="shared" si="151"/>
        <v>5.3023999999999996</v>
      </c>
      <c r="F632" s="154">
        <f t="shared" si="161"/>
        <v>8.3721000000000004E-2</v>
      </c>
      <c r="G632" s="80">
        <f t="shared" si="162"/>
        <v>8.3721000000000004E-2</v>
      </c>
      <c r="H632" s="80">
        <f t="shared" si="155"/>
        <v>8.7015422539766546E-2</v>
      </c>
      <c r="I632" s="60">
        <f t="shared" si="158"/>
        <v>8.5226447226195268E-2</v>
      </c>
      <c r="J632" s="778">
        <f t="shared" si="159"/>
        <v>8.4417930477175065E-2</v>
      </c>
      <c r="K632" s="778">
        <f t="shared" si="160"/>
        <v>3.9707828075708098E-4</v>
      </c>
      <c r="L632" s="762" cm="1">
        <f t="array" ref="L632:M632">ResultEXLN_GS($L$625:$L$629,$J$625:$J$629,J632,K632,pNO2v,0)</f>
        <v>7.5505792227675783E-2</v>
      </c>
      <c r="M632" s="762">
        <v>5.5245638900196551E-4</v>
      </c>
      <c r="N632" s="743">
        <f t="shared" si="163"/>
        <v>7.3167418379787418E-3</v>
      </c>
      <c r="O632" s="762">
        <f t="shared" si="164"/>
        <v>0.99973611574726218</v>
      </c>
      <c r="P632" s="766" cm="1">
        <f t="array" ref="P632:Q632">ResultEXLN_MC($L$625:$L$629,$M$625:$M$629,$J$625:$J$629,$K$625:$K$629,J632,K632,MC)</f>
        <v>7.5507332819946676E-2</v>
      </c>
      <c r="Q632" s="766">
        <v>3.8956537725406244E-4</v>
      </c>
      <c r="R632" s="677">
        <f t="shared" si="165"/>
        <v>5.1593052317582518E-3</v>
      </c>
      <c r="S632" s="198">
        <f t="shared" si="166"/>
        <v>0.99997959678598947</v>
      </c>
      <c r="T632" s="784">
        <f t="shared" si="167"/>
        <v>1.4181352380339247</v>
      </c>
      <c r="U632" s="96" cm="1">
        <f t="array" ref="U632:V632">ResultEXQD($L$625:$L$629,$J$625:$J$629,J632)</f>
        <v>7.5476030064751259E-2</v>
      </c>
      <c r="V632" s="788">
        <v>42.416819421996969</v>
      </c>
      <c r="W632" s="198">
        <f t="shared" si="168"/>
        <v>1.0003943260250836</v>
      </c>
      <c r="X632" s="598">
        <f t="shared" si="169"/>
        <v>-0.25688013378479402</v>
      </c>
      <c r="Y632" s="951">
        <f t="shared" si="170"/>
        <v>0.96233423259959894</v>
      </c>
    </row>
    <row r="633" spans="1:25" s="593" customFormat="1" ht="19.95" customHeight="1">
      <c r="A633" s="593" t="str">
        <f>RAW_DATA!A499</f>
        <v>232a_1</v>
      </c>
      <c r="B633" s="770" t="str">
        <f>RAW_DATA!B499</f>
        <v>2/20/2024 3:44:55 PM</v>
      </c>
      <c r="C633" s="593">
        <f>RAW_DATA!C499</f>
        <v>8.3228999999999997E-2</v>
      </c>
      <c r="D633" s="60">
        <f t="shared" si="150"/>
        <v>5.0996500000000005</v>
      </c>
      <c r="E633" s="80">
        <f t="shared" si="151"/>
        <v>5.3008000000000006</v>
      </c>
      <c r="F633" s="154">
        <f t="shared" si="161"/>
        <v>8.3645999999999998E-2</v>
      </c>
      <c r="G633" s="80">
        <f t="shared" si="162"/>
        <v>8.3645999999999998E-2</v>
      </c>
      <c r="H633" s="80">
        <f t="shared" si="155"/>
        <v>8.6945323071191155E-2</v>
      </c>
      <c r="I633" s="60">
        <f t="shared" si="158"/>
        <v>8.5157788952928887E-2</v>
      </c>
      <c r="J633" s="778">
        <f t="shared" si="159"/>
        <v>8.4349923543553848E-2</v>
      </c>
      <c r="K633" s="778">
        <f t="shared" si="160"/>
        <v>3.9675839520517001E-4</v>
      </c>
      <c r="L633" s="762" cm="1">
        <f t="array" ref="L633:M633">ResultEXLN_GS($L$625:$L$629,$J$625:$J$629,J633,K633,pNO2v,0)</f>
        <v>7.5443717805278754E-2</v>
      </c>
      <c r="M633" s="762">
        <v>5.5241188327904913E-4</v>
      </c>
      <c r="N633" s="743">
        <f t="shared" si="163"/>
        <v>7.3221720687841971E-3</v>
      </c>
      <c r="O633" s="762">
        <f t="shared" si="164"/>
        <v>0.99973611574726218</v>
      </c>
      <c r="P633" s="766" cm="1">
        <f t="array" ref="P633:Q633">ResultEXLN_MC($L$625:$L$629,$M$625:$M$629,$J$625:$J$629,$K$625:$K$629,J633,K633,MC)</f>
        <v>7.544092689122571E-2</v>
      </c>
      <c r="Q633" s="766">
        <v>3.8826248687400818E-4</v>
      </c>
      <c r="R633" s="677">
        <f t="shared" si="165"/>
        <v>5.1465763064367353E-3</v>
      </c>
      <c r="S633" s="198">
        <f t="shared" si="166"/>
        <v>1.0000369946946313</v>
      </c>
      <c r="T633" s="784">
        <f t="shared" si="167"/>
        <v>1.4227794390507464</v>
      </c>
      <c r="U633" s="96" cm="1">
        <f t="array" ref="U633:V633">ResultEXQD($L$625:$L$629,$J$625:$J$629,J633)</f>
        <v>7.5414026544402268E-2</v>
      </c>
      <c r="V633" s="788">
        <v>42.416881425517317</v>
      </c>
      <c r="W633" s="198">
        <f t="shared" si="168"/>
        <v>1.0003937100594809</v>
      </c>
      <c r="X633" s="598">
        <f t="shared" si="169"/>
        <v>-0.36923825381273268</v>
      </c>
      <c r="Y633" s="951">
        <f t="shared" si="170"/>
        <v>0.96155897786511424</v>
      </c>
    </row>
    <row r="634" spans="1:25" s="593" customFormat="1" ht="19.95" customHeight="1">
      <c r="A634" s="593" t="str">
        <f>RAW_DATA!A500</f>
        <v>310a_1</v>
      </c>
      <c r="B634" s="770" t="str">
        <f>RAW_DATA!B500</f>
        <v>2/20/2024 3:45:37 PM</v>
      </c>
      <c r="C634" s="593">
        <f>RAW_DATA!C500</f>
        <v>8.4108000000000002E-2</v>
      </c>
      <c r="D634" s="60">
        <f t="shared" si="150"/>
        <v>5.0892000000000008</v>
      </c>
      <c r="E634" s="80">
        <f t="shared" si="151"/>
        <v>5.2897000000000007</v>
      </c>
      <c r="F634" s="154">
        <f t="shared" si="161"/>
        <v>8.4525000000000003E-2</v>
      </c>
      <c r="G634" s="80">
        <f t="shared" si="162"/>
        <v>8.4525000000000003E-2</v>
      </c>
      <c r="H634" s="80">
        <f t="shared" si="155"/>
        <v>8.7855044506012725E-2</v>
      </c>
      <c r="I634" s="60">
        <f t="shared" si="158"/>
        <v>8.6048807160878468E-2</v>
      </c>
      <c r="J634" s="778">
        <f t="shared" si="159"/>
        <v>8.5232488939398082E-2</v>
      </c>
      <c r="K634" s="778">
        <f t="shared" si="160"/>
        <v>4.0090973542467794E-4</v>
      </c>
      <c r="L634" s="762" cm="1">
        <f t="array" ref="L634:M634">ResultEXLN_GS($L$625:$L$629,$J$625:$J$629,J634,K634,pNO2v,0)</f>
        <v>7.6249293564359E-2</v>
      </c>
      <c r="M634" s="762">
        <v>5.5304880850772561E-4</v>
      </c>
      <c r="N634" s="743">
        <f t="shared" si="163"/>
        <v>7.2531663265957879E-3</v>
      </c>
      <c r="O634" s="762">
        <f t="shared" si="164"/>
        <v>0.99973611574726218</v>
      </c>
      <c r="P634" s="766" cm="1">
        <f t="array" ref="P634:Q634">ResultEXLN_MC($L$625:$L$629,$M$625:$M$629,$J$625:$J$629,$K$625:$K$629,J634,K634,MC)</f>
        <v>7.6250146785639392E-2</v>
      </c>
      <c r="Q634" s="766">
        <v>4.1856489410004965E-4</v>
      </c>
      <c r="R634" s="677">
        <f t="shared" si="165"/>
        <v>5.4893650929847167E-3</v>
      </c>
      <c r="S634" s="198">
        <f t="shared" si="166"/>
        <v>0.99998881023425712</v>
      </c>
      <c r="T634" s="784">
        <f t="shared" si="167"/>
        <v>1.321297644172543</v>
      </c>
      <c r="U634" s="96" cm="1">
        <f t="array" ref="U634:V634">ResultEXQD($L$625:$L$629,$J$625:$J$629,J634)</f>
        <v>7.6218696280426129E-2</v>
      </c>
      <c r="V634" s="788">
        <v>42.416076755781297</v>
      </c>
      <c r="W634" s="198">
        <f t="shared" si="168"/>
        <v>1.0004014406625417</v>
      </c>
      <c r="X634" s="598">
        <f t="shared" si="169"/>
        <v>1.08889819490705</v>
      </c>
      <c r="Y634" s="951">
        <f t="shared" si="170"/>
        <v>0.97161990790838715</v>
      </c>
    </row>
    <row r="635" spans="1:25" s="593" customFormat="1" ht="19.95" customHeight="1">
      <c r="A635" s="593" t="str">
        <f>RAW_DATA!A501</f>
        <v>001a_2</v>
      </c>
      <c r="B635" s="770" t="str">
        <f>RAW_DATA!B501</f>
        <v>2/20/2024 3:46:18 PM</v>
      </c>
      <c r="C635" s="593">
        <f>RAW_DATA!C501</f>
        <v>8.3171999999999996E-2</v>
      </c>
      <c r="D635" s="60">
        <f t="shared" si="150"/>
        <v>5.1098999999999988</v>
      </c>
      <c r="E635" s="80">
        <f t="shared" si="151"/>
        <v>5.3108499999999994</v>
      </c>
      <c r="F635" s="154">
        <f t="shared" si="161"/>
        <v>8.3588999999999997E-2</v>
      </c>
      <c r="G635" s="80">
        <f t="shared" si="162"/>
        <v>8.3588999999999997E-2</v>
      </c>
      <c r="H635" s="80">
        <f t="shared" si="155"/>
        <v>8.6876189485117133E-2</v>
      </c>
      <c r="I635" s="60">
        <f t="shared" si="158"/>
        <v>8.5090076704305337E-2</v>
      </c>
      <c r="J635" s="778">
        <f t="shared" si="159"/>
        <v>8.4282853659934445E-2</v>
      </c>
      <c r="K635" s="778">
        <f t="shared" si="160"/>
        <v>3.9644291727379175E-4</v>
      </c>
      <c r="L635" s="762" cm="1">
        <f t="array" ref="L635:M635">ResultEXLN_GS($L$625:$L$629,$J$625:$J$629,J635,K635,pNO2v,0)</f>
        <v>7.5382498690341165E-2</v>
      </c>
      <c r="M635" s="762">
        <v>5.5236873958160171E-4</v>
      </c>
      <c r="N635" s="743">
        <f t="shared" si="163"/>
        <v>7.327546170240935E-3</v>
      </c>
      <c r="O635" s="762">
        <f t="shared" si="164"/>
        <v>0.99973611574726218</v>
      </c>
      <c r="P635" s="766" cm="1">
        <f t="array" ref="P635:Q635">ResultEXLN_MC($L$625:$L$629,$M$625:$M$629,$J$625:$J$629,$K$625:$K$629,J635,K635,MC)</f>
        <v>7.5390311993022527E-2</v>
      </c>
      <c r="Q635" s="766">
        <v>4.007815249489488E-4</v>
      </c>
      <c r="R635" s="677">
        <f t="shared" si="165"/>
        <v>5.3160878945034962E-3</v>
      </c>
      <c r="S635" s="198">
        <f t="shared" si="166"/>
        <v>0.99989636197974507</v>
      </c>
      <c r="T635" s="784">
        <f t="shared" si="167"/>
        <v>1.3782290479880828</v>
      </c>
      <c r="U635" s="96" cm="1">
        <f t="array" ref="U635:V635">ResultEXQD($L$625:$L$629,$J$625:$J$629,J635)</f>
        <v>7.5352877532421259E-2</v>
      </c>
      <c r="V635" s="788">
        <v>42.416942574529301</v>
      </c>
      <c r="W635" s="198">
        <f t="shared" si="168"/>
        <v>1.0003930992271286</v>
      </c>
      <c r="X635" s="598">
        <f t="shared" si="169"/>
        <v>-0.48004822027793687</v>
      </c>
      <c r="Y635" s="951">
        <f t="shared" si="170"/>
        <v>0.9607944051657058</v>
      </c>
    </row>
    <row r="636" spans="1:25" s="593" customFormat="1" ht="19.95" customHeight="1">
      <c r="A636" s="593" t="str">
        <f>RAW_DATA!A502</f>
        <v>078a_2</v>
      </c>
      <c r="B636" s="770" t="str">
        <f>RAW_DATA!B502</f>
        <v>2/20/2024 3:46:59 PM</v>
      </c>
      <c r="C636" s="593">
        <f>RAW_DATA!C502</f>
        <v>8.3875000000000005E-2</v>
      </c>
      <c r="D636" s="60">
        <f t="shared" si="150"/>
        <v>5.09375</v>
      </c>
      <c r="E636" s="80">
        <f t="shared" si="151"/>
        <v>5.2945000000000011</v>
      </c>
      <c r="F636" s="154">
        <f t="shared" si="161"/>
        <v>8.4292000000000006E-2</v>
      </c>
      <c r="G636" s="80">
        <f t="shared" si="162"/>
        <v>8.4292000000000006E-2</v>
      </c>
      <c r="H636" s="80">
        <f t="shared" si="155"/>
        <v>8.7614035631901871E-2</v>
      </c>
      <c r="I636" s="60">
        <f t="shared" si="158"/>
        <v>8.5812753258122709E-2</v>
      </c>
      <c r="J636" s="778">
        <f t="shared" si="159"/>
        <v>8.4998674406465441E-2</v>
      </c>
      <c r="K636" s="778">
        <f t="shared" si="160"/>
        <v>3.9980993740513257E-4</v>
      </c>
      <c r="L636" s="762" cm="1">
        <f t="array" ref="L636:M636">ResultEXLN_GS($L$625:$L$629,$J$625:$J$629,J636,K636,pNO2v,0)</f>
        <v>7.603587558905868E-2</v>
      </c>
      <c r="M636" s="762">
        <v>5.5286755734189959E-4</v>
      </c>
      <c r="N636" s="743">
        <f t="shared" si="163"/>
        <v>7.2711408010859482E-3</v>
      </c>
      <c r="O636" s="762">
        <f t="shared" si="164"/>
        <v>0.99973611574726218</v>
      </c>
      <c r="P636" s="766" cm="1">
        <f t="array" ref="P636:Q636">ResultEXLN_MC($L$625:$L$629,$M$625:$M$629,$J$625:$J$629,$K$625:$K$629,J636,K636,MC)</f>
        <v>7.6032941119314232E-2</v>
      </c>
      <c r="Q636" s="766">
        <v>3.9133092322486462E-4</v>
      </c>
      <c r="R636" s="677">
        <f t="shared" si="165"/>
        <v>5.1468602616696222E-3</v>
      </c>
      <c r="S636" s="198">
        <f t="shared" si="166"/>
        <v>1.0000385947156751</v>
      </c>
      <c r="T636" s="784">
        <f t="shared" si="167"/>
        <v>1.4127878082975149</v>
      </c>
      <c r="U636" s="96" cm="1">
        <f t="array" ref="U636:V636">ResultEXQD($L$625:$L$629,$J$625:$J$629,J636)</f>
        <v>7.6005515356116049E-2</v>
      </c>
      <c r="V636" s="788">
        <v>42.41628993670561</v>
      </c>
      <c r="W636" s="198">
        <f t="shared" si="168"/>
        <v>1.0003994477611313</v>
      </c>
      <c r="X636" s="598">
        <f t="shared" si="169"/>
        <v>0.70259991682495559</v>
      </c>
      <c r="Y636" s="951">
        <f t="shared" si="170"/>
        <v>0.96895450580899301</v>
      </c>
    </row>
    <row r="637" spans="1:25" s="593" customFormat="1" ht="19.95" customHeight="1">
      <c r="A637" s="593" t="str">
        <f>RAW_DATA!A503</f>
        <v>155a_2</v>
      </c>
      <c r="B637" s="770" t="str">
        <f>RAW_DATA!B503</f>
        <v>2/20/2024 3:47:41 PM</v>
      </c>
      <c r="C637" s="593">
        <f>RAW_DATA!C503</f>
        <v>8.3345000000000002E-2</v>
      </c>
      <c r="D637" s="60">
        <f t="shared" si="150"/>
        <v>5.0961500000000006</v>
      </c>
      <c r="E637" s="80">
        <f t="shared" si="151"/>
        <v>5.2965500000000008</v>
      </c>
      <c r="F637" s="154">
        <f t="shared" si="161"/>
        <v>8.3762000000000003E-2</v>
      </c>
      <c r="G637" s="80">
        <f t="shared" si="162"/>
        <v>8.3762000000000003E-2</v>
      </c>
      <c r="H637" s="80">
        <f t="shared" si="155"/>
        <v>8.7055840408936158E-2</v>
      </c>
      <c r="I637" s="60">
        <f t="shared" si="158"/>
        <v>8.5266034132668131E-2</v>
      </c>
      <c r="J637" s="778">
        <f t="shared" si="159"/>
        <v>8.4457141835001151E-2</v>
      </c>
      <c r="K637" s="778">
        <f t="shared" si="160"/>
        <v>3.9726271999248654E-4</v>
      </c>
      <c r="L637" s="762" cm="1">
        <f t="array" ref="L637:M637">ResultEXLN_GS($L$625:$L$629,$J$625:$J$629,J637,K637,pNO2v,0)</f>
        <v>7.5541583025155554E-2</v>
      </c>
      <c r="M637" s="762">
        <v>5.5248239747103826E-4</v>
      </c>
      <c r="N637" s="743">
        <f t="shared" si="163"/>
        <v>7.3136195370311491E-3</v>
      </c>
      <c r="O637" s="762">
        <f t="shared" si="164"/>
        <v>0.99973611574726218</v>
      </c>
      <c r="P637" s="766" cm="1">
        <f t="array" ref="P637:Q637">ResultEXLN_MC($L$625:$L$629,$M$625:$M$629,$J$625:$J$629,$K$625:$K$629,J637,K637,MC)</f>
        <v>7.555344413861638E-2</v>
      </c>
      <c r="Q637" s="766">
        <v>3.9727290087745499E-4</v>
      </c>
      <c r="R637" s="677">
        <f t="shared" si="165"/>
        <v>5.2581706288410412E-3</v>
      </c>
      <c r="S637" s="198">
        <f t="shared" si="166"/>
        <v>0.99984301028767053</v>
      </c>
      <c r="T637" s="784">
        <f t="shared" si="167"/>
        <v>1.3906873493026399</v>
      </c>
      <c r="U637" s="96" cm="1">
        <f t="array" ref="U637:V637">ResultEXQD($L$625:$L$629,$J$625:$J$629,J637)</f>
        <v>7.5511780064149547E-2</v>
      </c>
      <c r="V637" s="788">
        <v>42.416783671997571</v>
      </c>
      <c r="W637" s="198">
        <f t="shared" si="168"/>
        <v>1.0003946796245657</v>
      </c>
      <c r="X637" s="598">
        <f t="shared" si="169"/>
        <v>-0.19209682104759562</v>
      </c>
      <c r="Y637" s="951">
        <f t="shared" si="170"/>
        <v>0.96278122806287869</v>
      </c>
    </row>
    <row r="638" spans="1:25" s="593" customFormat="1" ht="19.95" customHeight="1">
      <c r="A638" s="593" t="str">
        <f>RAW_DATA!A504</f>
        <v>232a_2</v>
      </c>
      <c r="B638" s="770" t="str">
        <f>RAW_DATA!B504</f>
        <v>2/20/2024 3:48:24 PM</v>
      </c>
      <c r="C638" s="593">
        <f>RAW_DATA!C504</f>
        <v>8.3099999999999993E-2</v>
      </c>
      <c r="D638" s="60">
        <f t="shared" si="150"/>
        <v>5.0844499999999995</v>
      </c>
      <c r="E638" s="80">
        <f t="shared" si="151"/>
        <v>5.2851499999999989</v>
      </c>
      <c r="F638" s="154">
        <f t="shared" si="161"/>
        <v>8.3516999999999994E-2</v>
      </c>
      <c r="G638" s="80">
        <f t="shared" si="162"/>
        <v>8.3516999999999994E-2</v>
      </c>
      <c r="H638" s="80">
        <f t="shared" si="155"/>
        <v>8.6813691264541873E-2</v>
      </c>
      <c r="I638" s="60">
        <f t="shared" si="158"/>
        <v>8.5028863402776475E-2</v>
      </c>
      <c r="J638" s="778">
        <f t="shared" si="159"/>
        <v>8.4222221069923664E-2</v>
      </c>
      <c r="K638" s="778">
        <f t="shared" si="160"/>
        <v>3.9615771856703314E-4</v>
      </c>
      <c r="L638" s="762" cm="1">
        <f t="array" ref="L638:M638">ResultEXLN_GS($L$625:$L$629,$J$625:$J$629,J638,K638,pNO2v,0)</f>
        <v>7.532715531867383E-2</v>
      </c>
      <c r="M638" s="762">
        <v>5.5233037688318305E-4</v>
      </c>
      <c r="N638" s="743">
        <f t="shared" si="163"/>
        <v>7.3324204869616083E-3</v>
      </c>
      <c r="O638" s="762">
        <f t="shared" si="164"/>
        <v>0.99973611574726218</v>
      </c>
      <c r="P638" s="766" cm="1">
        <f t="array" ref="P638:Q638">ResultEXLN_MC($L$625:$L$629,$M$625:$M$629,$J$625:$J$629,$K$625:$K$629,J638,K638,MC)</f>
        <v>7.5325991897139524E-2</v>
      </c>
      <c r="Q638" s="766">
        <v>3.9134803412751426E-4</v>
      </c>
      <c r="R638" s="677">
        <f t="shared" si="165"/>
        <v>5.195391713685161E-3</v>
      </c>
      <c r="S638" s="198">
        <f t="shared" si="166"/>
        <v>1.0000154451538572</v>
      </c>
      <c r="T638" s="784">
        <f t="shared" si="167"/>
        <v>1.4113533957429192</v>
      </c>
      <c r="U638" s="96" cm="1">
        <f t="array" ref="U638:V638">ResultEXQD($L$625:$L$629,$J$625:$J$629,J638)</f>
        <v>7.529759768731499E-2</v>
      </c>
      <c r="V638" s="788">
        <v>42.416997854374408</v>
      </c>
      <c r="W638" s="198">
        <f t="shared" si="168"/>
        <v>1.0003925441483748</v>
      </c>
      <c r="X638" s="598">
        <f t="shared" si="169"/>
        <v>-0.58022276812595441</v>
      </c>
      <c r="Y638" s="951">
        <f t="shared" si="170"/>
        <v>0.96010321531245135</v>
      </c>
    </row>
    <row r="639" spans="1:25" s="593" customFormat="1" ht="19.95" customHeight="1">
      <c r="A639" s="589" t="str">
        <f>RAW_DATA!A505</f>
        <v>310a_2</v>
      </c>
      <c r="B639" s="771" t="str">
        <f>RAW_DATA!B505</f>
        <v>2/20/2024 3:49:07 PM</v>
      </c>
      <c r="C639" s="589">
        <f>RAW_DATA!C505</f>
        <v>8.3043000000000006E-2</v>
      </c>
      <c r="D639" s="81">
        <f t="shared" si="150"/>
        <v>5.0968</v>
      </c>
      <c r="E639" s="81">
        <f t="shared" si="151"/>
        <v>5.2967499999999994</v>
      </c>
      <c r="F639" s="155">
        <f t="shared" si="161"/>
        <v>8.3460000000000006E-2</v>
      </c>
      <c r="G639" s="81">
        <f t="shared" si="162"/>
        <v>8.3460000000000006E-2</v>
      </c>
      <c r="H639" s="81">
        <f t="shared" si="155"/>
        <v>8.673417732695024E-2</v>
      </c>
      <c r="I639" s="81">
        <f t="shared" si="158"/>
        <v>8.4950984215293318E-2</v>
      </c>
      <c r="J639" s="779">
        <f t="shared" si="159"/>
        <v>8.4145080698025676E-2</v>
      </c>
      <c r="K639" s="779">
        <f t="shared" si="160"/>
        <v>3.9579487188177239E-4</v>
      </c>
      <c r="L639" s="763" cm="1">
        <f t="array" ref="L639:M639">ResultEXLN_GS($L$625:$L$629,$J$625:$J$629,J639,K639,pNO2v,0)</f>
        <v>7.5256744203599457E-2</v>
      </c>
      <c r="M639" s="763">
        <v>5.5228244840590981E-4</v>
      </c>
      <c r="N639" s="746">
        <f t="shared" si="163"/>
        <v>7.3386439215569295E-3</v>
      </c>
      <c r="O639" s="763">
        <f t="shared" si="164"/>
        <v>0.99973611574726218</v>
      </c>
      <c r="P639" s="767" cm="1">
        <f t="array" ref="P639:Q639">ResultEXLN_MC($L$625:$L$629,$M$625:$M$629,$J$625:$J$629,$K$625:$K$629,J639,K639,MC)</f>
        <v>7.5279210962128834E-2</v>
      </c>
      <c r="Q639" s="767">
        <v>3.9051185677282008E-4</v>
      </c>
      <c r="R639" s="679">
        <f t="shared" si="165"/>
        <v>5.1875126184475718E-3</v>
      </c>
      <c r="S639" s="201">
        <f t="shared" si="166"/>
        <v>0.99970155427717378</v>
      </c>
      <c r="T639" s="785">
        <f t="shared" si="167"/>
        <v>1.4142527014927477</v>
      </c>
      <c r="U639" s="100" cm="1">
        <f t="array" ref="U639:V639">ResultEXQD($L$625:$L$629,$J$625:$J$629,J639)</f>
        <v>7.5227267603130032E-2</v>
      </c>
      <c r="V639" s="789">
        <v>42.417068184458593</v>
      </c>
      <c r="W639" s="201">
        <f t="shared" si="168"/>
        <v>1.0003918339906339</v>
      </c>
      <c r="X639" s="599">
        <f t="shared" si="169"/>
        <v>-0.70767076060547873</v>
      </c>
      <c r="Y639" s="684">
        <f t="shared" si="170"/>
        <v>0.95922384264632143</v>
      </c>
    </row>
    <row r="640" spans="1:25" s="593" customFormat="1" ht="19.95" customHeight="1">
      <c r="A640" s="184" t="str">
        <f>RAW_DATA!A506</f>
        <v>MOOS3</v>
      </c>
      <c r="B640" s="772" t="str">
        <f>RAW_DATA!B506</f>
        <v>2/20/2024 3:50:04 PM</v>
      </c>
      <c r="C640" s="184">
        <f>RAW_DATA!C506</f>
        <v>0.16339899999999999</v>
      </c>
      <c r="D640" s="81">
        <f t="shared" si="150"/>
        <v>5.1452499999999999</v>
      </c>
      <c r="E640" s="222">
        <f t="shared" si="151"/>
        <v>5.3462500000000004</v>
      </c>
      <c r="F640" s="155">
        <f>C640-C622</f>
        <v>0.16377599999999998</v>
      </c>
      <c r="G640" s="81">
        <f t="shared" si="162"/>
        <v>0.16377599999999998</v>
      </c>
      <c r="H640" s="81">
        <f t="shared" si="155"/>
        <v>0.17017393518293572</v>
      </c>
      <c r="I640" s="81">
        <f>H640/dMOOS3</f>
        <v>0.16510520537783616</v>
      </c>
      <c r="J640" s="779">
        <f>I640</f>
        <v>0.16510520537783616</v>
      </c>
      <c r="K640" s="779">
        <f>J640*(STDEV($I$630:$I$639)/AVERAGE($I$630:$I$639))</f>
        <v>7.4234312104450495E-4</v>
      </c>
      <c r="L640" s="763" cm="1">
        <f t="array" ref="L640:M640">ResultEXLN_GS($L$625:$L$629,$J$625:$J$629,J640,K640,pNO2v,0)</f>
        <v>0.14915440006147859</v>
      </c>
      <c r="M640" s="763">
        <v>9.5809052939562075E-4</v>
      </c>
      <c r="N640" s="758">
        <f t="shared" si="163"/>
        <v>6.4234814997124736E-3</v>
      </c>
      <c r="O640" s="764">
        <f t="shared" si="164"/>
        <v>0.99973611574726218</v>
      </c>
      <c r="P640" s="767" cm="1">
        <f t="array" ref="P640:Q640">ResultEXLN_MC($L$625:$L$629,$M$625:$M$629,$J$625:$J$629,$K$625:$K$629,J640,K640,MC)</f>
        <v>0.14912034928710896</v>
      </c>
      <c r="Q640" s="767">
        <v>8.4883141950670322E-4</v>
      </c>
      <c r="R640" s="679">
        <f t="shared" si="165"/>
        <v>5.6922574522166999E-3</v>
      </c>
      <c r="S640" s="786">
        <f t="shared" si="166"/>
        <v>1.0002283442503483</v>
      </c>
      <c r="T640" s="787">
        <f t="shared" si="167"/>
        <v>1.1287170896105769</v>
      </c>
      <c r="U640" s="100" cm="1">
        <f t="array" ref="U640:V640">ResultEXQD($L$625:$L$629,$J$625:$J$629,J640)</f>
        <v>0.14916888190818683</v>
      </c>
      <c r="V640" s="789">
        <v>42.343126570153537</v>
      </c>
      <c r="W640" s="201">
        <f t="shared" si="168"/>
        <v>0.99990291643590146</v>
      </c>
      <c r="X640" s="143"/>
      <c r="Y640" s="589"/>
    </row>
    <row r="641" spans="1:68" s="593" customFormat="1" ht="19.95" customHeight="1">
      <c r="A641" s="80"/>
      <c r="B641" s="80"/>
      <c r="C641" s="80"/>
      <c r="D641" s="80"/>
    </row>
    <row r="642" spans="1:68" s="148" customFormat="1" ht="19.95" customHeight="1">
      <c r="A642" s="593"/>
      <c r="B642" s="380" t="s">
        <v>2178</v>
      </c>
      <c r="C642" s="230"/>
      <c r="D642" s="380" t="s">
        <v>2184</v>
      </c>
      <c r="E642" s="230"/>
      <c r="F642" s="230"/>
      <c r="G642" s="380" t="s">
        <v>2185</v>
      </c>
      <c r="H642" s="230"/>
      <c r="I642" s="230"/>
      <c r="J642" s="230"/>
      <c r="K642" s="230"/>
      <c r="L642" s="233" t="s">
        <v>217</v>
      </c>
    </row>
    <row r="643" spans="1:68" s="148" customFormat="1" ht="19.95" customHeight="1">
      <c r="A643" s="587" t="s">
        <v>100</v>
      </c>
      <c r="B643" s="663" t="s">
        <v>2179</v>
      </c>
      <c r="C643" s="663" t="s">
        <v>2180</v>
      </c>
      <c r="D643" s="663" t="s">
        <v>229</v>
      </c>
      <c r="E643" s="663" t="s">
        <v>1171</v>
      </c>
      <c r="F643" s="663" t="s">
        <v>1172</v>
      </c>
      <c r="G643" s="589" t="s">
        <v>2181</v>
      </c>
      <c r="H643" s="589" t="s">
        <v>2182</v>
      </c>
      <c r="I643" s="589" t="s">
        <v>2183</v>
      </c>
      <c r="J643" s="589" t="s">
        <v>2186</v>
      </c>
      <c r="K643" s="589" t="s">
        <v>2187</v>
      </c>
      <c r="L643" s="663" t="s">
        <v>2188</v>
      </c>
      <c r="R643" s="962"/>
    </row>
    <row r="644" spans="1:68" s="148" customFormat="1" ht="19.95" customHeight="1">
      <c r="A644" s="589" t="str">
        <f>A640</f>
        <v>MOOS3</v>
      </c>
      <c r="B644" s="81">
        <v>0.15809999999999999</v>
      </c>
      <c r="C644" s="81">
        <f>0.0023/2</f>
        <v>1.15E-3</v>
      </c>
      <c r="D644" s="143">
        <f>L640</f>
        <v>0.14915440006147859</v>
      </c>
      <c r="E644" s="143">
        <f>M640</f>
        <v>9.5809052939562075E-4</v>
      </c>
      <c r="F644" s="589">
        <v>3</v>
      </c>
      <c r="G644" s="589" t="b">
        <f>IF(ABS(B644-D644)&lt;2*SQRT(C644^2+E644^2/F644),TRUE,FALSE)</f>
        <v>0</v>
      </c>
      <c r="H644" s="589" t="b">
        <f>IF(SQRT(F644)*(ABS(D644-B644)-2*C644)/E644&gt;ABS(_xlfn.T.INV(0.05/2,F644-1)),FALSE,TRUE)</f>
        <v>0</v>
      </c>
      <c r="I644" s="589" t="b">
        <f>IF(AND((D644-B644)^2/MAX(E644^2/(F644-1),C644^2)&lt;_xlfn.T.INV(0.05/2,F644-1)^2,F644&gt;2),TRUE,FALSE)</f>
        <v>0</v>
      </c>
      <c r="J644" s="589" t="b">
        <f>IF(SQRT(F644)*ABS(D644-B644)/(E644/(1-0.333/F644))&gt;ABS(_xlfn.T.INV(0.05/2,F644-1)),FALSE,TRUE)</f>
        <v>0</v>
      </c>
      <c r="K644" s="589" t="b">
        <f>IF(F644*(D644-B644)^2/(2*C644)^2&lt;_xlfn.CHISQ.INV(SQRT(0.95),1),IF((F644-1)*E644^2/(2*C644)^2&lt;_xlfn.CHISQ.INV(SQRT(0.95),F644-1),TRUE,FALSE),FALSE)</f>
        <v>0</v>
      </c>
      <c r="L644" s="624">
        <f>D644/B644</f>
        <v>0.94341809020543077</v>
      </c>
    </row>
    <row r="645" spans="1:68" s="148" customFormat="1" ht="19.95" customHeight="1">
      <c r="A645" s="148" t="s">
        <v>2215</v>
      </c>
      <c r="B645" s="233"/>
      <c r="C645" s="233"/>
      <c r="D645" s="233"/>
    </row>
    <row r="646" spans="1:68" s="148" customFormat="1" ht="19.95" customHeight="1">
      <c r="A646" s="148" t="s">
        <v>2190</v>
      </c>
      <c r="D646" s="723"/>
    </row>
    <row r="647" spans="1:68" s="148" customFormat="1" ht="19.95" customHeight="1">
      <c r="A647" s="148" t="s">
        <v>2189</v>
      </c>
      <c r="D647" s="723"/>
    </row>
    <row r="648" spans="1:68" s="148" customFormat="1" ht="19.95" customHeight="1">
      <c r="A648" s="523" t="s">
        <v>2730</v>
      </c>
      <c r="D648" s="723"/>
    </row>
    <row r="649" spans="1:68" s="148" customFormat="1" ht="19.95" customHeight="1">
      <c r="A649" s="523" t="s">
        <v>2731</v>
      </c>
      <c r="D649" s="723"/>
    </row>
    <row r="650" spans="1:68" s="593" customFormat="1" ht="19.95" customHeight="1">
      <c r="A650" s="80"/>
      <c r="B650" s="80"/>
      <c r="C650" s="80"/>
      <c r="D650" s="80"/>
      <c r="M650" s="773"/>
    </row>
    <row r="651" spans="1:68" s="588" customFormat="1" ht="19.95" customHeight="1">
      <c r="A651" s="623" t="s">
        <v>1813</v>
      </c>
      <c r="B651" s="167"/>
      <c r="C651" s="167"/>
      <c r="D651" s="168"/>
      <c r="E651" s="167"/>
      <c r="F651" s="167"/>
      <c r="G651" s="167"/>
      <c r="H651" s="167"/>
      <c r="I651" s="167"/>
      <c r="J651" s="167"/>
      <c r="K651" s="167"/>
      <c r="L651" s="167"/>
      <c r="M651" s="167"/>
      <c r="N651" s="167"/>
      <c r="O651" s="167"/>
      <c r="P651" s="167"/>
      <c r="Q651" s="167"/>
      <c r="R651" s="167"/>
      <c r="S651" s="167"/>
      <c r="T651" s="167"/>
      <c r="U651" s="167"/>
      <c r="V651" s="167"/>
      <c r="W651" s="167"/>
      <c r="X651" s="167"/>
      <c r="Y651" s="167"/>
      <c r="Z651" s="167"/>
      <c r="AA651" s="167"/>
      <c r="AB651" s="167"/>
      <c r="AC651" s="167"/>
      <c r="AD651" s="167"/>
      <c r="AE651" s="167"/>
      <c r="AF651" s="167"/>
      <c r="AG651" s="167"/>
      <c r="AH651" s="167"/>
      <c r="AI651" s="167"/>
      <c r="AJ651" s="167"/>
      <c r="AK651" s="167"/>
      <c r="AL651" s="167"/>
      <c r="AM651" s="167"/>
      <c r="AN651" s="167"/>
      <c r="AO651" s="167"/>
      <c r="AP651" s="167"/>
      <c r="AQ651" s="167"/>
      <c r="AR651" s="167"/>
      <c r="AS651" s="167"/>
      <c r="AT651" s="167"/>
      <c r="AU651" s="167"/>
      <c r="AV651" s="167"/>
      <c r="AW651" s="167"/>
      <c r="AX651" s="167"/>
      <c r="AY651" s="167"/>
      <c r="AZ651" s="167"/>
      <c r="BA651" s="167"/>
      <c r="BB651" s="167"/>
      <c r="BC651" s="167"/>
      <c r="BD651" s="167"/>
      <c r="BE651" s="167"/>
      <c r="BF651" s="167"/>
      <c r="BG651" s="167"/>
      <c r="BH651" s="167"/>
      <c r="BI651" s="167"/>
      <c r="BJ651" s="167"/>
      <c r="BK651" s="167"/>
      <c r="BL651" s="167"/>
      <c r="BM651" s="167"/>
      <c r="BN651" s="167"/>
      <c r="BO651" s="167"/>
      <c r="BP651" s="167"/>
    </row>
    <row r="652" spans="1:68" s="593" customFormat="1" ht="19.95" customHeight="1">
      <c r="A652" s="80"/>
      <c r="B652" s="80"/>
      <c r="C652" s="80"/>
      <c r="D652" s="80"/>
    </row>
    <row r="653" spans="1:68" s="593" customFormat="1" ht="19.95" customHeight="1">
      <c r="A653" s="80"/>
      <c r="B653" s="80"/>
      <c r="C653" s="80"/>
      <c r="D653" s="80"/>
      <c r="F653" s="593" t="s">
        <v>222</v>
      </c>
      <c r="G653" s="593" t="s">
        <v>223</v>
      </c>
      <c r="H653" s="593" t="s">
        <v>224</v>
      </c>
      <c r="I653" s="593" t="s">
        <v>134</v>
      </c>
      <c r="J653" s="593" t="s">
        <v>292</v>
      </c>
      <c r="K653" s="588" t="s">
        <v>1046</v>
      </c>
      <c r="L653" s="774" t="s">
        <v>2193</v>
      </c>
      <c r="M653" s="774"/>
      <c r="N653" s="774"/>
      <c r="O653" s="774"/>
      <c r="P653" s="290" t="s">
        <v>2064</v>
      </c>
      <c r="Q653" s="290"/>
      <c r="R653" s="290"/>
      <c r="S653" s="228" t="s">
        <v>2194</v>
      </c>
      <c r="T653" s="228"/>
      <c r="U653" s="593" t="s">
        <v>237</v>
      </c>
      <c r="V653" s="593" t="s">
        <v>237</v>
      </c>
      <c r="W653" s="593" t="s">
        <v>2203</v>
      </c>
    </row>
    <row r="654" spans="1:68" s="593" customFormat="1" ht="19.95" customHeight="1">
      <c r="A654" s="209" t="s">
        <v>1908</v>
      </c>
      <c r="C654" s="80"/>
      <c r="D654" s="80"/>
      <c r="F654" s="593" t="s">
        <v>242</v>
      </c>
      <c r="G654" s="593" t="s">
        <v>242</v>
      </c>
      <c r="H654" s="593" t="s">
        <v>242</v>
      </c>
      <c r="I654" s="593" t="s">
        <v>242</v>
      </c>
      <c r="J654" s="593" t="s">
        <v>242</v>
      </c>
      <c r="K654" s="588" t="s">
        <v>242</v>
      </c>
      <c r="L654" s="774" t="s">
        <v>228</v>
      </c>
      <c r="M654" s="774" t="s">
        <v>231</v>
      </c>
      <c r="N654" s="774" t="s">
        <v>2205</v>
      </c>
      <c r="O654" s="774" t="s">
        <v>2071</v>
      </c>
      <c r="P654" s="776" t="s">
        <v>228</v>
      </c>
      <c r="Q654" s="776" t="s">
        <v>231</v>
      </c>
      <c r="R654" s="776" t="s">
        <v>2205</v>
      </c>
      <c r="S654" s="228" t="s">
        <v>228</v>
      </c>
      <c r="T654" s="228" t="s">
        <v>231</v>
      </c>
      <c r="U654" s="593" t="s">
        <v>2206</v>
      </c>
      <c r="V654" s="593" t="s">
        <v>2207</v>
      </c>
      <c r="W654" s="593" t="s">
        <v>2202</v>
      </c>
      <c r="X654" s="314" t="s">
        <v>2400</v>
      </c>
      <c r="Y654" s="314" t="s">
        <v>2685</v>
      </c>
    </row>
    <row r="655" spans="1:68" s="593" customFormat="1" ht="19.95" customHeight="1">
      <c r="A655" s="587" t="str">
        <f>RAW_DATA!A510</f>
        <v>Sample ID</v>
      </c>
      <c r="B655" s="587" t="str">
        <f>RAW_DATA!B510</f>
        <v>Date</v>
      </c>
      <c r="C655" s="587" t="str">
        <f>RAW_DATA!C510</f>
        <v>890nm (Abs)</v>
      </c>
      <c r="D655" s="587" t="s">
        <v>113</v>
      </c>
      <c r="E655" s="587" t="s">
        <v>114</v>
      </c>
      <c r="F655" s="587" t="s">
        <v>2204</v>
      </c>
      <c r="G655" s="587" t="s">
        <v>2204</v>
      </c>
      <c r="H655" s="587" t="s">
        <v>2204</v>
      </c>
      <c r="I655" s="587" t="s">
        <v>2204</v>
      </c>
      <c r="J655" s="587" t="s">
        <v>2204</v>
      </c>
      <c r="K655" s="587" t="s">
        <v>2204</v>
      </c>
      <c r="L655" s="775" t="s">
        <v>156</v>
      </c>
      <c r="M655" s="775" t="s">
        <v>156</v>
      </c>
      <c r="N655" s="775" t="s">
        <v>74</v>
      </c>
      <c r="O655" s="775"/>
      <c r="P655" s="777" t="s">
        <v>156</v>
      </c>
      <c r="Q655" s="777" t="s">
        <v>156</v>
      </c>
      <c r="R655" s="777" t="s">
        <v>74</v>
      </c>
      <c r="S655" s="315" t="s">
        <v>74</v>
      </c>
      <c r="T655" s="315" t="s">
        <v>74</v>
      </c>
      <c r="U655" s="589" t="s">
        <v>156</v>
      </c>
      <c r="V655" s="589" t="s">
        <v>156</v>
      </c>
      <c r="W655" s="783" t="s">
        <v>74</v>
      </c>
      <c r="X655" s="315" t="s">
        <v>241</v>
      </c>
      <c r="Y655" s="315" t="s">
        <v>2686</v>
      </c>
    </row>
    <row r="656" spans="1:68" s="593" customFormat="1" ht="19.95" customHeight="1">
      <c r="A656" s="593" t="str">
        <f>RAW_DATA!A511</f>
        <v>BLS-DIW</v>
      </c>
      <c r="B656" s="770" t="str">
        <f>RAW_DATA!B511</f>
        <v>2/20/2024 5:17:55 PM</v>
      </c>
      <c r="C656" s="80">
        <f>RAW_DATA!C511</f>
        <v>-5.9400000000000002E-4</v>
      </c>
      <c r="D656" s="588"/>
      <c r="E656" s="196"/>
      <c r="F656" s="588"/>
      <c r="H656" s="588"/>
      <c r="U656" s="588"/>
    </row>
    <row r="657" spans="1:25" s="593" customFormat="1" ht="19.95" customHeight="1">
      <c r="A657" s="593" t="str">
        <f>RAW_DATA!A512</f>
        <v>BSL-LNWS</v>
      </c>
      <c r="B657" s="770" t="str">
        <f>RAW_DATA!B512</f>
        <v>2/20/2024 5:18:37 PM</v>
      </c>
      <c r="C657" s="80">
        <f>RAW_DATA!C512</f>
        <v>-2.6199999999999999E-3</v>
      </c>
      <c r="D657" s="588"/>
      <c r="E657" s="152"/>
      <c r="F657" s="588"/>
      <c r="H657" s="588"/>
      <c r="U657" s="588"/>
    </row>
    <row r="658" spans="1:25" s="593" customFormat="1" ht="19.95" customHeight="1">
      <c r="A658" s="593" t="str">
        <f>RAW_DATA!A513</f>
        <v>BSL-M4</v>
      </c>
      <c r="B658" s="770" t="str">
        <f>RAW_DATA!B513</f>
        <v>2/20/2024 5:19:59 PM</v>
      </c>
      <c r="C658" s="80">
        <f>RAW_DATA!C513</f>
        <v>-1.9550000000000001E-3</v>
      </c>
      <c r="D658" s="588"/>
      <c r="E658" s="152"/>
      <c r="F658" s="588"/>
      <c r="H658" s="588"/>
      <c r="U658" s="588"/>
    </row>
    <row r="659" spans="1:25" s="593" customFormat="1" ht="19.95" customHeight="1">
      <c r="A659" s="593" t="str">
        <f>RAW_DATA!A514</f>
        <v>BSL-SALT</v>
      </c>
      <c r="B659" s="770" t="str">
        <f>RAW_DATA!B514</f>
        <v>2/20/2024 5:20:43 PM</v>
      </c>
      <c r="C659" s="80">
        <f>RAW_DATA!C514</f>
        <v>1.9699999999999999E-4</v>
      </c>
      <c r="D659" s="588"/>
      <c r="E659" s="152"/>
      <c r="F659" s="588"/>
      <c r="H659" s="588"/>
      <c r="U659" s="588"/>
    </row>
    <row r="660" spans="1:25" s="593" customFormat="1" ht="19.95" customHeight="1">
      <c r="A660" s="593" t="str">
        <f>RAW_DATA!A515</f>
        <v>BSL-M3</v>
      </c>
      <c r="B660" s="770" t="str">
        <f>RAW_DATA!B515</f>
        <v>2/20/2024 5:21:31 PM</v>
      </c>
      <c r="C660" s="80">
        <f>RAW_DATA!C515</f>
        <v>-2.503E-3</v>
      </c>
      <c r="D660" s="588"/>
      <c r="E660" s="152"/>
      <c r="H660" s="588"/>
      <c r="U660" s="588"/>
    </row>
    <row r="661" spans="1:25" s="593" customFormat="1" ht="19.95" customHeight="1">
      <c r="A661" s="593" t="str">
        <f>RAW_DATA!A516</f>
        <v>BLK-DIW</v>
      </c>
      <c r="B661" s="770" t="str">
        <f>RAW_DATA!B516</f>
        <v>2/20/2024 5:22:30 PM</v>
      </c>
      <c r="C661" s="80">
        <f>RAW_DATA!C516</f>
        <v>-6.0499999999999996E-4</v>
      </c>
      <c r="E661" s="152"/>
      <c r="F661" s="157">
        <f>C661-C656</f>
        <v>-1.0999999999999942E-5</v>
      </c>
    </row>
    <row r="662" spans="1:25" s="593" customFormat="1" ht="19.95" customHeight="1">
      <c r="A662" s="589" t="str">
        <f>RAW_DATA!A517</f>
        <v>BLK-LNSW</v>
      </c>
      <c r="B662" s="771" t="str">
        <f>RAW_DATA!B517</f>
        <v>2/20/2024 5:23:42 PM</v>
      </c>
      <c r="C662" s="81">
        <f>RAW_DATA!C517</f>
        <v>-2.1919999999999999E-3</v>
      </c>
      <c r="D662" s="589"/>
      <c r="E662" s="589"/>
      <c r="F662" s="155">
        <f>C662-C657</f>
        <v>4.28E-4</v>
      </c>
      <c r="G662" s="589"/>
      <c r="H662" s="81"/>
      <c r="I662" s="589"/>
      <c r="J662" s="589"/>
      <c r="K662" s="589"/>
      <c r="L662" s="589"/>
      <c r="M662" s="589"/>
      <c r="N662" s="589"/>
      <c r="O662" s="589"/>
      <c r="P662" s="589"/>
      <c r="Q662" s="589"/>
      <c r="R662" s="589"/>
      <c r="S662" s="589"/>
      <c r="T662" s="589"/>
      <c r="U662" s="589"/>
      <c r="V662" s="589"/>
      <c r="W662" s="589"/>
      <c r="X662" s="589"/>
      <c r="Y662" s="589"/>
    </row>
    <row r="663" spans="1:25" s="593" customFormat="1" ht="19.95" customHeight="1">
      <c r="A663" s="593" t="str">
        <f>RAW_DATA!A518</f>
        <v>CAL1</v>
      </c>
      <c r="B663" s="770" t="str">
        <f>RAW_DATA!B518</f>
        <v>2/20/2024 5:24:54 PM</v>
      </c>
      <c r="C663" s="80">
        <f>RAW_DATA!C518</f>
        <v>0.13370000000000001</v>
      </c>
      <c r="D663" s="80">
        <f t="shared" ref="D663:D679" si="171">O404</f>
        <v>6.1618999999999993</v>
      </c>
      <c r="E663" s="593">
        <f t="shared" ref="E663:E679" si="172">P404</f>
        <v>6.9458500000000001</v>
      </c>
      <c r="F663" s="156">
        <f>C663-$C$657</f>
        <v>0.13632000000000002</v>
      </c>
      <c r="G663" s="157">
        <f>F663-$F$662+$F$661</f>
        <v>0.135881</v>
      </c>
      <c r="H663" s="80">
        <f t="shared" ref="H663:H679" si="173">G663*E663/D663</f>
        <v>0.15316851033772053</v>
      </c>
      <c r="I663" s="80">
        <f>H663/dLNSW</f>
        <v>0.14954805309840466</v>
      </c>
      <c r="J663" s="199">
        <f>I663</f>
        <v>0.14954805309840466</v>
      </c>
      <c r="K663" s="778">
        <f>J663*(STDEV($I$668:$I$677)/AVERAGE($I$668:$I$677))</f>
        <v>5.8225268903812019E-4</v>
      </c>
      <c r="L663" s="543">
        <f t="shared" ref="L663:M667" si="174">V298</f>
        <v>0.12929491591136949</v>
      </c>
      <c r="M663" s="543">
        <f t="shared" si="174"/>
        <v>4.9919348887405668E-5</v>
      </c>
    </row>
    <row r="664" spans="1:25" s="593" customFormat="1" ht="19.95" customHeight="1">
      <c r="A664" s="593" t="str">
        <f>RAW_DATA!A519</f>
        <v>CAL2</v>
      </c>
      <c r="B664" s="770" t="str">
        <f>RAW_DATA!B519</f>
        <v>2/20/2024 5:25:55 PM</v>
      </c>
      <c r="C664" s="80">
        <f>RAW_DATA!C519</f>
        <v>0.20197599999999999</v>
      </c>
      <c r="D664" s="80">
        <f t="shared" si="171"/>
        <v>6.1426499999999997</v>
      </c>
      <c r="E664" s="80">
        <f t="shared" si="172"/>
        <v>6.9271999999999991</v>
      </c>
      <c r="F664" s="157">
        <f t="shared" ref="F664:F667" si="175">C664-$C$657</f>
        <v>0.204596</v>
      </c>
      <c r="G664" s="157">
        <f t="shared" ref="G664:G667" si="176">F664-$F$662+$F$661</f>
        <v>0.20415699999999998</v>
      </c>
      <c r="H664" s="80">
        <f t="shared" si="173"/>
        <v>0.23023228906091014</v>
      </c>
      <c r="I664" s="80">
        <f>H664/dLNSW</f>
        <v>0.22479026866248128</v>
      </c>
      <c r="J664" s="199">
        <f t="shared" ref="J664:J667" si="177">I664</f>
        <v>0.22479026866248128</v>
      </c>
      <c r="K664" s="778">
        <f t="shared" ref="K664:K667" si="178">J664*(STDEV($I$668:$I$677)/AVERAGE($I$668:$I$677))</f>
        <v>8.7520188786548267E-4</v>
      </c>
      <c r="L664" s="543">
        <f t="shared" si="174"/>
        <v>0.19295420995473014</v>
      </c>
      <c r="M664" s="543">
        <f t="shared" si="174"/>
        <v>6.3127625686814744E-5</v>
      </c>
      <c r="U664" s="96"/>
    </row>
    <row r="665" spans="1:25" s="593" customFormat="1" ht="19.95" customHeight="1">
      <c r="A665" s="593" t="str">
        <f>RAW_DATA!A520</f>
        <v>CAL3</v>
      </c>
      <c r="B665" s="770" t="str">
        <f>RAW_DATA!B520</f>
        <v>2/20/2024 5:26:51 PM</v>
      </c>
      <c r="C665" s="80">
        <f>RAW_DATA!C520</f>
        <v>0.266789</v>
      </c>
      <c r="D665" s="80">
        <f t="shared" si="171"/>
        <v>6.1376999999999997</v>
      </c>
      <c r="E665" s="80">
        <f t="shared" si="172"/>
        <v>6.9215000000000009</v>
      </c>
      <c r="F665" s="157">
        <f t="shared" si="175"/>
        <v>0.26940900000000001</v>
      </c>
      <c r="G665" s="157">
        <f t="shared" si="176"/>
        <v>0.26897000000000004</v>
      </c>
      <c r="H665" s="80">
        <f t="shared" si="173"/>
        <v>0.30331815745311774</v>
      </c>
      <c r="I665" s="80">
        <f>H665/dLNSW</f>
        <v>0.29614860010385718</v>
      </c>
      <c r="J665" s="199">
        <f t="shared" si="177"/>
        <v>0.29614860010385718</v>
      </c>
      <c r="K665" s="778">
        <f t="shared" si="178"/>
        <v>1.1530295125399077E-3</v>
      </c>
      <c r="L665" s="543">
        <f t="shared" si="174"/>
        <v>0.25457635562024611</v>
      </c>
      <c r="M665" s="543">
        <f t="shared" si="174"/>
        <v>7.7396443217099431E-5</v>
      </c>
      <c r="U665" s="96"/>
    </row>
    <row r="666" spans="1:25" s="593" customFormat="1" ht="19.95" customHeight="1">
      <c r="A666" s="593" t="str">
        <f>RAW_DATA!A521</f>
        <v>CAL4</v>
      </c>
      <c r="B666" s="770" t="str">
        <f>RAW_DATA!B521</f>
        <v>2/20/2024 5:28:05 PM</v>
      </c>
      <c r="C666" s="80">
        <f>RAW_DATA!C521</f>
        <v>0.39080199999999998</v>
      </c>
      <c r="D666" s="80">
        <f t="shared" si="171"/>
        <v>6.1485500000000002</v>
      </c>
      <c r="E666" s="80">
        <f t="shared" si="172"/>
        <v>6.9331500000000013</v>
      </c>
      <c r="F666" s="157">
        <f t="shared" si="175"/>
        <v>0.39342199999999999</v>
      </c>
      <c r="G666" s="157">
        <f t="shared" si="176"/>
        <v>0.39298300000000003</v>
      </c>
      <c r="H666" s="80">
        <f t="shared" si="173"/>
        <v>0.44313050824178069</v>
      </c>
      <c r="I666" s="80">
        <f>H666/dLNSW</f>
        <v>0.43265619434404617</v>
      </c>
      <c r="J666" s="199">
        <f t="shared" si="177"/>
        <v>0.43265619434404617</v>
      </c>
      <c r="K666" s="778">
        <f t="shared" si="178"/>
        <v>1.6845102785795329E-3</v>
      </c>
      <c r="L666" s="543">
        <f t="shared" si="174"/>
        <v>0.37386496642470429</v>
      </c>
      <c r="M666" s="543">
        <f t="shared" si="174"/>
        <v>1.0681120346987491E-4</v>
      </c>
      <c r="U666" s="96"/>
    </row>
    <row r="667" spans="1:25" s="593" customFormat="1" ht="19.95" customHeight="1">
      <c r="A667" s="589" t="str">
        <f>RAW_DATA!A522</f>
        <v>CAL5</v>
      </c>
      <c r="B667" s="771" t="str">
        <f>RAW_DATA!B522</f>
        <v>2/20/2024 5:29:08 PM</v>
      </c>
      <c r="C667" s="81">
        <f>RAW_DATA!C522</f>
        <v>0.53540699999999997</v>
      </c>
      <c r="D667" s="81">
        <f t="shared" si="171"/>
        <v>6.1431500000000003</v>
      </c>
      <c r="E667" s="81">
        <f t="shared" si="172"/>
        <v>6.9281499999999987</v>
      </c>
      <c r="F667" s="155">
        <f t="shared" si="175"/>
        <v>0.53802699999999992</v>
      </c>
      <c r="G667" s="155">
        <f t="shared" si="176"/>
        <v>0.53758799999999995</v>
      </c>
      <c r="H667" s="81">
        <f t="shared" si="173"/>
        <v>0.60628347056477527</v>
      </c>
      <c r="I667" s="81">
        <f>H667/dLNSW</f>
        <v>0.59195269607827017</v>
      </c>
      <c r="J667" s="790">
        <f t="shared" si="177"/>
        <v>0.59195269607827017</v>
      </c>
      <c r="K667" s="779">
        <f t="shared" si="178"/>
        <v>2.3047177274059393E-3</v>
      </c>
      <c r="L667" s="319">
        <f t="shared" si="174"/>
        <v>0.50964378783471687</v>
      </c>
      <c r="M667" s="319">
        <f t="shared" si="174"/>
        <v>1.4246624642777511E-4</v>
      </c>
      <c r="N667" s="589"/>
      <c r="O667" s="589"/>
      <c r="P667" s="589"/>
      <c r="Q667" s="589"/>
      <c r="R667" s="589"/>
      <c r="S667" s="589"/>
      <c r="T667" s="589"/>
      <c r="U667" s="100"/>
      <c r="V667" s="589"/>
      <c r="W667" s="589"/>
      <c r="X667" s="589"/>
      <c r="Y667" s="589"/>
    </row>
    <row r="668" spans="1:25" s="593" customFormat="1" ht="19.95" customHeight="1">
      <c r="A668" s="593" t="str">
        <f>RAW_DATA!A523</f>
        <v>001a_1</v>
      </c>
      <c r="B668" s="770" t="str">
        <f>RAW_DATA!B523</f>
        <v>2/20/2024 5:30:41 PM</v>
      </c>
      <c r="C668" s="80">
        <f>RAW_DATA!C523</f>
        <v>0.27373399999999998</v>
      </c>
      <c r="D668" s="80">
        <f t="shared" si="171"/>
        <v>6.1258500000000007</v>
      </c>
      <c r="E668" s="80">
        <f t="shared" si="172"/>
        <v>6.9116000000000009</v>
      </c>
      <c r="F668" s="156">
        <f>C668-$C$658</f>
        <v>0.27568899999999996</v>
      </c>
      <c r="G668" s="157">
        <f>F668</f>
        <v>0.27568899999999996</v>
      </c>
      <c r="H668" s="80">
        <f t="shared" si="173"/>
        <v>0.31105105289878138</v>
      </c>
      <c r="I668" s="80">
        <f t="shared" ref="I668:I677" si="179">H668/dMOOS4</f>
        <v>0.30465606407203671</v>
      </c>
      <c r="J668" s="199">
        <f t="shared" ref="J668:J677" si="180">I668/m_efft_PO4_v</f>
        <v>0.30465606407203671</v>
      </c>
      <c r="K668" s="778">
        <f t="shared" ref="K668:K677" si="181">J668*SQRT((STDEV($I$668:$I$677)/AVERAGE($I$668:$I$677))^2+(m_efft_PO4_u/m_efft_PO4_v)^2)</f>
        <v>1.1861526035446966E-3</v>
      </c>
      <c r="L668" s="744" cm="1">
        <f t="array" ref="L668:M668">ResultEXLN_GS($L$663:$L$667,$J$663:$J$667,J668,K668,pPO4v,0)</f>
        <v>0.26245080366607798</v>
      </c>
      <c r="M668" s="744">
        <v>1.1007615008023102E-3</v>
      </c>
      <c r="N668" s="743">
        <f>M668/L668</f>
        <v>4.1941631933535006E-3</v>
      </c>
      <c r="O668" s="762">
        <f>INDEX(LINEST($J$663:$J$667,$L$663:$L$667,TRUE,TRUE),3,1)</f>
        <v>0.99997400830218852</v>
      </c>
      <c r="P668" s="791" cm="1">
        <f t="array" ref="P668:Q668">ResultEXLN_MC($L$663:$L$667,$M$663:$M$667,$J$663:$J$667,$K$663:$K$667,J668,K668,MC)</f>
        <v>0.26248550942356846</v>
      </c>
      <c r="Q668" s="791">
        <v>1.1297889894702441E-3</v>
      </c>
      <c r="R668" s="677">
        <f>Q668/P668</f>
        <v>4.3041956561766714E-3</v>
      </c>
      <c r="S668" s="198">
        <f>L668/P668</f>
        <v>0.99986778029169421</v>
      </c>
      <c r="T668" s="784">
        <f>M668/Q668</f>
        <v>0.97430715917886157</v>
      </c>
      <c r="U668" s="138" cm="1">
        <f t="array" ref="U668:V668">ResultEXQD($L$663:$L$667,$J$663:$J$667,J668)</f>
        <v>0.26253435860817415</v>
      </c>
      <c r="V668" s="792">
        <v>-187.58690627741069</v>
      </c>
      <c r="W668" s="198">
        <f>L668/U668</f>
        <v>0.99968173711608976</v>
      </c>
      <c r="X668" s="145">
        <f>(L668-AVERAGE($L$668:$L$677))/MEDIAN($M$668:$M$677)</f>
        <v>-0.65255740821903152</v>
      </c>
      <c r="Y668" s="951">
        <f>H668/$H$665</f>
        <v>1.0254943374000247</v>
      </c>
    </row>
    <row r="669" spans="1:25" s="593" customFormat="1" ht="19.95" customHeight="1">
      <c r="A669" s="593" t="str">
        <f>RAW_DATA!A524</f>
        <v>078a_1</v>
      </c>
      <c r="B669" s="770" t="str">
        <f>RAW_DATA!B524</f>
        <v>2/20/2024 5:31:27 PM</v>
      </c>
      <c r="C669" s="80">
        <f>RAW_DATA!C524</f>
        <v>0.27548800000000001</v>
      </c>
      <c r="D669" s="80">
        <f t="shared" si="171"/>
        <v>6.1294000000000004</v>
      </c>
      <c r="E669" s="80">
        <f t="shared" si="172"/>
        <v>6.9150500000000008</v>
      </c>
      <c r="F669" s="157">
        <f t="shared" ref="F669:F677" si="182">C669-$C$658</f>
        <v>0.277443</v>
      </c>
      <c r="G669" s="157">
        <f t="shared" ref="G669:G679" si="183">F669</f>
        <v>0.277443</v>
      </c>
      <c r="H669" s="80">
        <f t="shared" si="173"/>
        <v>0.31300489724116554</v>
      </c>
      <c r="I669" s="80">
        <f t="shared" si="179"/>
        <v>0.30656973876181143</v>
      </c>
      <c r="J669" s="199">
        <f t="shared" si="180"/>
        <v>0.30656973876181143</v>
      </c>
      <c r="K669" s="778">
        <f t="shared" si="181"/>
        <v>1.1936033340020991E-3</v>
      </c>
      <c r="L669" s="744" cm="1">
        <f t="array" ref="L669:M669">ResultEXLN_GS($L$663:$L$667,$J$663:$J$667,J669,K669,pPO4v,0)</f>
        <v>0.26410011573302911</v>
      </c>
      <c r="M669" s="744">
        <v>1.1063559490000977E-3</v>
      </c>
      <c r="N669" s="743">
        <f t="shared" ref="N669:N679" si="184">M669/L669</f>
        <v>4.1891535940047821E-3</v>
      </c>
      <c r="O669" s="762">
        <f t="shared" ref="O669:O679" si="185">INDEX(LINEST($J$663:$J$667,$L$663:$L$667,TRUE,TRUE),3,1)</f>
        <v>0.99997400830218852</v>
      </c>
      <c r="P669" s="791" cm="1">
        <f t="array" ref="P669:Q669">ResultEXLN_MC($L$663:$L$667,$M$663:$M$667,$J$663:$J$667,$K$663:$K$667,J669,K669,MC)</f>
        <v>0.26410211182482363</v>
      </c>
      <c r="Q669" s="791">
        <v>1.1850875601105947E-3</v>
      </c>
      <c r="R669" s="677">
        <f t="shared" ref="R669:R679" si="186">Q669/P669</f>
        <v>4.4872324265875308E-3</v>
      </c>
      <c r="S669" s="198">
        <f t="shared" ref="S669:S679" si="187">L669/P669</f>
        <v>0.99999244196958237</v>
      </c>
      <c r="T669" s="784">
        <f t="shared" ref="T669:T679" si="188">M669/Q669</f>
        <v>0.93356473077554747</v>
      </c>
      <c r="U669" s="138" cm="1">
        <f t="array" ref="U669:V669">ResultEXQD($L$663:$L$667,$J$663:$J$667,J669)</f>
        <v>0.26418470186736503</v>
      </c>
      <c r="V669" s="792">
        <v>-187.58855662066986</v>
      </c>
      <c r="W669" s="198">
        <f t="shared" ref="W669:W679" si="189">L669/U669</f>
        <v>0.99967982198159833</v>
      </c>
      <c r="X669" s="145">
        <f t="shared" ref="X669:X676" si="190">(L669-AVERAGE($L$668:$L$677))/MEDIAN($M$668:$M$677)</f>
        <v>0.84203657657471398</v>
      </c>
      <c r="Y669" s="951">
        <f t="shared" ref="Y669:Y677" si="191">H669/$H$665</f>
        <v>1.0319359047588341</v>
      </c>
    </row>
    <row r="670" spans="1:25" s="593" customFormat="1" ht="19.95" customHeight="1">
      <c r="A670" s="593" t="str">
        <f>RAW_DATA!A525</f>
        <v>155a_1</v>
      </c>
      <c r="B670" s="770" t="str">
        <f>RAW_DATA!B525</f>
        <v>2/20/2024 5:32:15 PM</v>
      </c>
      <c r="C670" s="80">
        <f>RAW_DATA!C525</f>
        <v>0.27477600000000002</v>
      </c>
      <c r="D670" s="80">
        <f t="shared" si="171"/>
        <v>6.1317500000000003</v>
      </c>
      <c r="E670" s="80">
        <f t="shared" si="172"/>
        <v>6.9170499999999997</v>
      </c>
      <c r="F670" s="157">
        <f t="shared" si="182"/>
        <v>0.276731</v>
      </c>
      <c r="G670" s="157">
        <f t="shared" si="183"/>
        <v>0.276731</v>
      </c>
      <c r="H670" s="80">
        <f t="shared" si="173"/>
        <v>0.31217224504423696</v>
      </c>
      <c r="I670" s="80">
        <f t="shared" si="179"/>
        <v>0.30575420530293662</v>
      </c>
      <c r="J670" s="199">
        <f t="shared" si="180"/>
        <v>0.30575420530293662</v>
      </c>
      <c r="K670" s="778">
        <f t="shared" si="181"/>
        <v>1.1904281234955607E-3</v>
      </c>
      <c r="L670" s="744" cm="1">
        <f t="array" ref="L670:M670">ResultEXLN_GS($L$663:$L$667,$J$663:$J$667,J670,K670,pPO4v,0)</f>
        <v>0.26339724330548869</v>
      </c>
      <c r="M670" s="744">
        <v>1.1039681025055686E-3</v>
      </c>
      <c r="N670" s="743">
        <f t="shared" si="184"/>
        <v>4.1912667294895867E-3</v>
      </c>
      <c r="O670" s="762">
        <f t="shared" si="185"/>
        <v>0.99997400830218852</v>
      </c>
      <c r="P670" s="791" cm="1">
        <f t="array" ref="P670:Q670">ResultEXLN_MC($L$663:$L$667,$M$663:$M$667,$J$663:$J$667,$K$663:$K$667,J670,K670,MC)</f>
        <v>0.26341670889538132</v>
      </c>
      <c r="Q670" s="791">
        <v>1.1261460232707004E-3</v>
      </c>
      <c r="R670" s="677">
        <f t="shared" si="186"/>
        <v>4.2751503045995497E-3</v>
      </c>
      <c r="S670" s="198">
        <f t="shared" si="187"/>
        <v>0.99992610343522148</v>
      </c>
      <c r="T670" s="784">
        <f t="shared" si="188"/>
        <v>0.9803063543209789</v>
      </c>
      <c r="U670" s="138" cm="1">
        <f t="array" ref="U670:V670">ResultEXQD($L$663:$L$667,$J$663:$J$667,J670)</f>
        <v>0.26348139353159966</v>
      </c>
      <c r="V670" s="792">
        <v>-187.58785331233409</v>
      </c>
      <c r="W670" s="198">
        <f t="shared" si="189"/>
        <v>0.99968062175099714</v>
      </c>
      <c r="X670" s="145">
        <f t="shared" si="190"/>
        <v>0.20509895674560419</v>
      </c>
      <c r="Y670" s="951">
        <f t="shared" si="191"/>
        <v>1.0291907601756012</v>
      </c>
    </row>
    <row r="671" spans="1:25" s="593" customFormat="1" ht="19.95" customHeight="1">
      <c r="A671" s="593" t="str">
        <f>RAW_DATA!A526</f>
        <v>232a_1</v>
      </c>
      <c r="B671" s="770" t="str">
        <f>RAW_DATA!B526</f>
        <v>2/20/2024 5:33:00 PM</v>
      </c>
      <c r="C671" s="80">
        <f>RAW_DATA!C526</f>
        <v>0.27464899999999998</v>
      </c>
      <c r="D671" s="80">
        <f t="shared" si="171"/>
        <v>6.1443999999999992</v>
      </c>
      <c r="E671" s="80">
        <f t="shared" si="172"/>
        <v>6.9254499999999997</v>
      </c>
      <c r="F671" s="157">
        <f t="shared" si="182"/>
        <v>0.27660399999999996</v>
      </c>
      <c r="G671" s="157">
        <f t="shared" si="183"/>
        <v>0.27660399999999996</v>
      </c>
      <c r="H671" s="80">
        <f t="shared" si="173"/>
        <v>0.31176472426925328</v>
      </c>
      <c r="I671" s="80">
        <f t="shared" si="179"/>
        <v>0.30535506286578012</v>
      </c>
      <c r="J671" s="199">
        <f t="shared" si="180"/>
        <v>0.30535506286578012</v>
      </c>
      <c r="K671" s="778">
        <f t="shared" si="181"/>
        <v>1.1888740961944451E-3</v>
      </c>
      <c r="L671" s="744" cm="1">
        <f t="array" ref="L671:M671">ResultEXLN_GS($L$663:$L$667,$J$663:$J$667,J671,K671,pPO4v,0)</f>
        <v>0.26305323999000774</v>
      </c>
      <c r="M671" s="744">
        <v>1.1028014361036537E-3</v>
      </c>
      <c r="N671" s="743">
        <f t="shared" si="184"/>
        <v>4.1923126898020507E-3</v>
      </c>
      <c r="O671" s="762">
        <f t="shared" si="185"/>
        <v>0.99997400830218852</v>
      </c>
      <c r="P671" s="791" cm="1">
        <f t="array" ref="P671:Q671">ResultEXLN_MC($L$663:$L$667,$M$663:$M$667,$J$663:$J$667,$K$663:$K$667,J671,K671,MC)</f>
        <v>0.26307445374424515</v>
      </c>
      <c r="Q671" s="791">
        <v>1.1243784827289801E-3</v>
      </c>
      <c r="R671" s="677">
        <f t="shared" si="186"/>
        <v>4.2739934141308705E-3</v>
      </c>
      <c r="S671" s="198">
        <f t="shared" si="187"/>
        <v>0.99991936216559418</v>
      </c>
      <c r="T671" s="784">
        <f t="shared" si="188"/>
        <v>0.98080980118637917</v>
      </c>
      <c r="U671" s="138" cm="1">
        <f t="array" ref="U671:V671">ResultEXQD($L$663:$L$667,$J$663:$J$667,J671)</f>
        <v>0.26313717495226974</v>
      </c>
      <c r="V671" s="792">
        <v>-187.58750909375476</v>
      </c>
      <c r="W671" s="198">
        <f t="shared" si="189"/>
        <v>0.99968102202861597</v>
      </c>
      <c r="X671" s="145">
        <f t="shared" si="190"/>
        <v>-0.10663421756953792</v>
      </c>
      <c r="Y671" s="951">
        <f t="shared" si="191"/>
        <v>1.0278472178753133</v>
      </c>
    </row>
    <row r="672" spans="1:25" s="593" customFormat="1" ht="19.95" customHeight="1">
      <c r="A672" s="593" t="str">
        <f>RAW_DATA!A527</f>
        <v>310a_1</v>
      </c>
      <c r="B672" s="770" t="str">
        <f>RAW_DATA!B527</f>
        <v>2/20/2024 5:33:44 PM</v>
      </c>
      <c r="C672" s="80">
        <f>RAW_DATA!C527</f>
        <v>0.27584199999999998</v>
      </c>
      <c r="D672" s="80">
        <f t="shared" si="171"/>
        <v>6.1258000000000008</v>
      </c>
      <c r="E672" s="80">
        <f t="shared" si="172"/>
        <v>6.9089499999999999</v>
      </c>
      <c r="F672" s="157">
        <f t="shared" si="182"/>
        <v>0.27779699999999996</v>
      </c>
      <c r="G672" s="157">
        <f t="shared" si="183"/>
        <v>0.27779699999999996</v>
      </c>
      <c r="H672" s="80">
        <f t="shared" si="173"/>
        <v>0.31331182590845269</v>
      </c>
      <c r="I672" s="80">
        <f t="shared" si="179"/>
        <v>0.30687035719359346</v>
      </c>
      <c r="J672" s="199">
        <f t="shared" si="180"/>
        <v>0.30687035719359346</v>
      </c>
      <c r="K672" s="778">
        <f t="shared" si="181"/>
        <v>1.1947737664260126E-3</v>
      </c>
      <c r="L672" s="744" cm="1">
        <f t="array" ref="L672:M672">ResultEXLN_GS($L$663:$L$667,$J$663:$J$667,J672,K672,pPO4v,0)</f>
        <v>0.26435920554057857</v>
      </c>
      <c r="M672" s="744">
        <v>1.1072375289365663E-3</v>
      </c>
      <c r="N672" s="743">
        <f t="shared" si="184"/>
        <v>4.1883827221844468E-3</v>
      </c>
      <c r="O672" s="762">
        <f t="shared" si="185"/>
        <v>0.99997400830218852</v>
      </c>
      <c r="P672" s="791" cm="1">
        <f t="array" ref="P672:Q672">ResultEXLN_MC($L$663:$L$667,$M$663:$M$667,$J$663:$J$667,$K$663:$K$667,J672,K672,MC)</f>
        <v>0.2644231729954708</v>
      </c>
      <c r="Q672" s="791">
        <v>1.1229694354986744E-3</v>
      </c>
      <c r="R672" s="677">
        <f t="shared" si="186"/>
        <v>4.2468646857887499E-3</v>
      </c>
      <c r="S672" s="198">
        <f t="shared" si="187"/>
        <v>0.99975808680393785</v>
      </c>
      <c r="T672" s="784">
        <f t="shared" si="188"/>
        <v>0.98599079719821392</v>
      </c>
      <c r="U672" s="138" cm="1">
        <f t="array" ref="U672:V672">ResultEXQD($L$663:$L$667,$J$663:$J$667,J672)</f>
        <v>0.26444395102912305</v>
      </c>
      <c r="V672" s="792">
        <v>-187.58881586983162</v>
      </c>
      <c r="W672" s="198">
        <f t="shared" si="189"/>
        <v>0.9996795332689038</v>
      </c>
      <c r="X672" s="145">
        <f t="shared" si="190"/>
        <v>1.0768217792323442</v>
      </c>
      <c r="Y672" s="951">
        <f t="shared" si="191"/>
        <v>1.0329478081340371</v>
      </c>
    </row>
    <row r="673" spans="1:25" s="593" customFormat="1" ht="19.95" customHeight="1">
      <c r="A673" s="593" t="str">
        <f>RAW_DATA!A528</f>
        <v>001a_2</v>
      </c>
      <c r="B673" s="770" t="str">
        <f>RAW_DATA!B528</f>
        <v>2/20/2024 5:34:23 PM</v>
      </c>
      <c r="C673" s="80">
        <f>RAW_DATA!C528</f>
        <v>0.27459499999999998</v>
      </c>
      <c r="D673" s="80">
        <f t="shared" si="171"/>
        <v>6.1241000000000003</v>
      </c>
      <c r="E673" s="80">
        <f t="shared" si="172"/>
        <v>6.9080499999999994</v>
      </c>
      <c r="F673" s="157">
        <f t="shared" si="182"/>
        <v>0.27654999999999996</v>
      </c>
      <c r="G673" s="157">
        <f t="shared" si="183"/>
        <v>0.27654999999999996</v>
      </c>
      <c r="H673" s="80">
        <f t="shared" si="173"/>
        <v>0.31195134427915933</v>
      </c>
      <c r="I673" s="80">
        <f t="shared" si="179"/>
        <v>0.30553784610076745</v>
      </c>
      <c r="J673" s="199">
        <f t="shared" si="180"/>
        <v>0.30553784610076745</v>
      </c>
      <c r="K673" s="778">
        <f t="shared" si="181"/>
        <v>1.1895857472515967E-3</v>
      </c>
      <c r="L673" s="744" cm="1">
        <f t="array" ref="L673:M673">ResultEXLN_GS($L$663:$L$667,$J$663:$J$667,J673,K673,pPO4v,0)</f>
        <v>0.26321077282289296</v>
      </c>
      <c r="M673" s="744">
        <v>1.1033355351452263E-3</v>
      </c>
      <c r="N673" s="743">
        <f t="shared" si="184"/>
        <v>4.1918327404009007E-3</v>
      </c>
      <c r="O673" s="762">
        <f t="shared" si="185"/>
        <v>0.99997400830218852</v>
      </c>
      <c r="P673" s="791" cm="1">
        <f t="array" ref="P673:Q673">ResultEXLN_MC($L$663:$L$667,$M$663:$M$667,$J$663:$J$667,$K$663:$K$667,J673,K673,MC)</f>
        <v>0.2631754726683978</v>
      </c>
      <c r="Q673" s="791">
        <v>1.108844270609268E-3</v>
      </c>
      <c r="R673" s="677">
        <f t="shared" si="186"/>
        <v>4.2133267943491697E-3</v>
      </c>
      <c r="S673" s="198">
        <f t="shared" si="187"/>
        <v>1.0001341316276067</v>
      </c>
      <c r="T673" s="784">
        <f t="shared" si="188"/>
        <v>0.99503200259039548</v>
      </c>
      <c r="U673" s="138" cm="1">
        <f t="array" ref="U673:V673">ResultEXQD($L$663:$L$667,$J$663:$J$667,J673)</f>
        <v>0.26329480651964066</v>
      </c>
      <c r="V673" s="792">
        <v>-187.58766672532215</v>
      </c>
      <c r="W673" s="198">
        <f t="shared" si="189"/>
        <v>0.99968083800110419</v>
      </c>
      <c r="X673" s="145">
        <f t="shared" si="190"/>
        <v>3.6120831129652128E-2</v>
      </c>
      <c r="Y673" s="951">
        <f t="shared" si="191"/>
        <v>1.0284624794589687</v>
      </c>
    </row>
    <row r="674" spans="1:25" s="593" customFormat="1" ht="19.95" customHeight="1">
      <c r="A674" s="593" t="str">
        <f>RAW_DATA!A529</f>
        <v>078a_2</v>
      </c>
      <c r="B674" s="770" t="str">
        <f>RAW_DATA!B529</f>
        <v>2/20/2024 5:35:06 PM</v>
      </c>
      <c r="C674" s="80">
        <f>RAW_DATA!C529</f>
        <v>0.275476</v>
      </c>
      <c r="D674" s="80">
        <f t="shared" si="171"/>
        <v>6.1416499999999994</v>
      </c>
      <c r="E674" s="80">
        <f t="shared" si="172"/>
        <v>6.9258499999999996</v>
      </c>
      <c r="F674" s="157">
        <f t="shared" si="182"/>
        <v>0.27743099999999998</v>
      </c>
      <c r="G674" s="157">
        <f t="shared" si="183"/>
        <v>0.27743099999999998</v>
      </c>
      <c r="H674" s="80">
        <f t="shared" si="173"/>
        <v>0.31285493171216205</v>
      </c>
      <c r="I674" s="80">
        <f t="shared" si="179"/>
        <v>0.30642285641762096</v>
      </c>
      <c r="J674" s="199">
        <f t="shared" si="180"/>
        <v>0.30642285641762096</v>
      </c>
      <c r="K674" s="778">
        <f t="shared" si="181"/>
        <v>1.1930314600251048E-3</v>
      </c>
      <c r="L674" s="744" cm="1">
        <f t="array" ref="L674:M674">ResultEXLN_GS($L$663:$L$667,$J$663:$J$667,J674,K674,pPO4v,0)</f>
        <v>0.26397352429928655</v>
      </c>
      <c r="M674" s="744">
        <v>1.1059254788156573E-3</v>
      </c>
      <c r="N674" s="743">
        <f t="shared" si="184"/>
        <v>4.1895318166900201E-3</v>
      </c>
      <c r="O674" s="762">
        <f t="shared" si="185"/>
        <v>0.99997400830218852</v>
      </c>
      <c r="P674" s="791" cm="1">
        <f t="array" ref="P674:Q674">ResultEXLN_MC($L$663:$L$667,$M$663:$M$667,$J$663:$J$667,$K$663:$K$667,J674,K674,MC)</f>
        <v>0.26399027472731157</v>
      </c>
      <c r="Q674" s="791">
        <v>1.1343370657345103E-3</v>
      </c>
      <c r="R674" s="677">
        <f t="shared" si="186"/>
        <v>4.2968895990817173E-3</v>
      </c>
      <c r="S674" s="198">
        <f t="shared" si="187"/>
        <v>0.99993654907158103</v>
      </c>
      <c r="T674" s="784">
        <f t="shared" si="188"/>
        <v>0.97495313538004169</v>
      </c>
      <c r="U674" s="138" cm="1">
        <f t="array" ref="U674:V674">ResultEXQD($L$663:$L$667,$J$663:$J$667,J674)</f>
        <v>0.26405803231282465</v>
      </c>
      <c r="V674" s="792">
        <v>-187.58842995111533</v>
      </c>
      <c r="W674" s="198">
        <f t="shared" si="189"/>
        <v>0.99967996423817174</v>
      </c>
      <c r="X674" s="145">
        <f t="shared" si="190"/>
        <v>0.72732038720747783</v>
      </c>
      <c r="Y674" s="951">
        <f t="shared" si="191"/>
        <v>1.0314414881691294</v>
      </c>
    </row>
    <row r="675" spans="1:25" s="593" customFormat="1" ht="19.95" customHeight="1">
      <c r="A675" s="593" t="str">
        <f>RAW_DATA!A530</f>
        <v>155a_2</v>
      </c>
      <c r="B675" s="770" t="str">
        <f>RAW_DATA!B530</f>
        <v>2/20/2024 5:36:02 PM</v>
      </c>
      <c r="C675" s="80">
        <f>RAW_DATA!C530</f>
        <v>0.274698</v>
      </c>
      <c r="D675" s="80">
        <f t="shared" si="171"/>
        <v>6.1177999999999999</v>
      </c>
      <c r="E675" s="80">
        <f t="shared" si="172"/>
        <v>6.9012000000000002</v>
      </c>
      <c r="F675" s="157">
        <f t="shared" si="182"/>
        <v>0.27665299999999998</v>
      </c>
      <c r="G675" s="157">
        <f t="shared" si="183"/>
        <v>0.27665299999999998</v>
      </c>
      <c r="H675" s="80">
        <f t="shared" si="173"/>
        <v>0.31207912707182323</v>
      </c>
      <c r="I675" s="80">
        <f t="shared" si="179"/>
        <v>0.30566300176992955</v>
      </c>
      <c r="J675" s="199">
        <f t="shared" si="180"/>
        <v>0.30566300176992955</v>
      </c>
      <c r="K675" s="778">
        <f t="shared" si="181"/>
        <v>1.1900730302580164E-3</v>
      </c>
      <c r="L675" s="744" cm="1">
        <f t="array" ref="L675:M675">ResultEXLN_GS($L$663:$L$667,$J$663:$J$667,J675,K675,pPO4v,0)</f>
        <v>0.26331863899079461</v>
      </c>
      <c r="M675" s="744">
        <v>1.1037014042931872E-3</v>
      </c>
      <c r="N675" s="743">
        <f t="shared" si="184"/>
        <v>4.1915050469775962E-3</v>
      </c>
      <c r="O675" s="762">
        <f t="shared" si="185"/>
        <v>0.99997400830218852</v>
      </c>
      <c r="P675" s="791" cm="1">
        <f t="array" ref="P675:Q675">ResultEXLN_MC($L$663:$L$667,$M$663:$M$667,$J$663:$J$667,$K$663:$K$667,J675,K675,MC)</f>
        <v>0.26331898368790474</v>
      </c>
      <c r="Q675" s="791">
        <v>1.1353179890529399E-3</v>
      </c>
      <c r="R675" s="677">
        <f t="shared" si="186"/>
        <v>4.3115690830652764E-3</v>
      </c>
      <c r="S675" s="198">
        <f t="shared" si="187"/>
        <v>0.99999869095229932</v>
      </c>
      <c r="T675" s="784">
        <f t="shared" si="188"/>
        <v>0.97215178032532834</v>
      </c>
      <c r="U675" s="138" cm="1">
        <f t="array" ref="U675:V675">ResultEXQD($L$663:$L$667,$J$663:$J$667,J675)</f>
        <v>0.26340274014057891</v>
      </c>
      <c r="V675" s="792">
        <v>-187.58777465894309</v>
      </c>
      <c r="W675" s="198">
        <f t="shared" si="189"/>
        <v>0.9996807126997258</v>
      </c>
      <c r="X675" s="145">
        <f t="shared" si="190"/>
        <v>0.13386832776112753</v>
      </c>
      <c r="Y675" s="951">
        <f t="shared" si="191"/>
        <v>1.0288837624897533</v>
      </c>
    </row>
    <row r="676" spans="1:25" s="593" customFormat="1" ht="19.95" customHeight="1">
      <c r="A676" s="593" t="str">
        <f>RAW_DATA!A531</f>
        <v>232a_2</v>
      </c>
      <c r="B676" s="770" t="str">
        <f>RAW_DATA!B531</f>
        <v>2/20/2024 5:36:55 PM</v>
      </c>
      <c r="C676" s="80">
        <f>RAW_DATA!C531</f>
        <v>0.274563</v>
      </c>
      <c r="D676" s="80">
        <f t="shared" si="171"/>
        <v>6.1391</v>
      </c>
      <c r="E676" s="80">
        <f t="shared" si="172"/>
        <v>6.9231000000000007</v>
      </c>
      <c r="F676" s="157">
        <f t="shared" si="182"/>
        <v>0.27651799999999999</v>
      </c>
      <c r="G676" s="157">
        <f t="shared" si="183"/>
        <v>0.27651799999999999</v>
      </c>
      <c r="H676" s="80">
        <f t="shared" si="173"/>
        <v>0.31183101200501701</v>
      </c>
      <c r="I676" s="80">
        <f t="shared" si="179"/>
        <v>0.30541998777275542</v>
      </c>
      <c r="J676" s="199">
        <f t="shared" si="180"/>
        <v>0.30541998777275542</v>
      </c>
      <c r="K676" s="778">
        <f t="shared" si="181"/>
        <v>1.1891268758253979E-3</v>
      </c>
      <c r="L676" s="744" cm="1">
        <f t="array" ref="L676:M676">ResultEXLN_GS($L$663:$L$667,$J$663:$J$667,J676,K676,pPO4v,0)</f>
        <v>0.26310919591244963</v>
      </c>
      <c r="M676" s="744">
        <v>1.1029911172016438E-3</v>
      </c>
      <c r="N676" s="743">
        <f t="shared" si="184"/>
        <v>4.1921420244416972E-3</v>
      </c>
      <c r="O676" s="762">
        <f t="shared" si="185"/>
        <v>0.99997400830218852</v>
      </c>
      <c r="P676" s="791" cm="1">
        <f t="array" ref="P676:Q676">ResultEXLN_MC($L$663:$L$667,$M$663:$M$667,$J$663:$J$667,$K$663:$K$667,J676,K676,MC)</f>
        <v>0.26305833165550468</v>
      </c>
      <c r="Q676" s="791">
        <v>1.1281962053381648E-3</v>
      </c>
      <c r="R676" s="677">
        <f t="shared" si="186"/>
        <v>4.2887681915949553E-3</v>
      </c>
      <c r="S676" s="198">
        <f t="shared" si="187"/>
        <v>1.0001933573311472</v>
      </c>
      <c r="T676" s="784">
        <f t="shared" si="188"/>
        <v>0.97765894973120737</v>
      </c>
      <c r="U676" s="138" cm="1">
        <f t="array" ref="U676:V676">ResultEXQD($L$663:$L$667,$J$663:$J$667,J676)</f>
        <v>0.26319316597565934</v>
      </c>
      <c r="V676" s="792">
        <v>-187.58756508477816</v>
      </c>
      <c r="W676" s="198">
        <f t="shared" si="189"/>
        <v>0.9996809565214263</v>
      </c>
      <c r="X676" s="145">
        <f t="shared" si="190"/>
        <v>-5.5927388479368539E-2</v>
      </c>
      <c r="Y676" s="951">
        <f t="shared" si="191"/>
        <v>1.0280657598060712</v>
      </c>
    </row>
    <row r="677" spans="1:25" s="593" customFormat="1" ht="19.95" customHeight="1">
      <c r="A677" s="589" t="str">
        <f>RAW_DATA!A532</f>
        <v>310a_2</v>
      </c>
      <c r="B677" s="771" t="str">
        <f>RAW_DATA!B532</f>
        <v>2/20/2024 5:37:45 PM</v>
      </c>
      <c r="C677" s="81">
        <f>RAW_DATA!C532</f>
        <v>0.271957</v>
      </c>
      <c r="D677" s="81">
        <f t="shared" si="171"/>
        <v>6.1182999999999996</v>
      </c>
      <c r="E677" s="81">
        <f t="shared" si="172"/>
        <v>6.9024999999999999</v>
      </c>
      <c r="F677" s="155">
        <f t="shared" si="182"/>
        <v>0.27391199999999999</v>
      </c>
      <c r="G677" s="155">
        <f t="shared" si="183"/>
        <v>0.27391199999999999</v>
      </c>
      <c r="H677" s="81">
        <f t="shared" si="173"/>
        <v>0.30902008401026432</v>
      </c>
      <c r="I677" s="81">
        <f t="shared" si="179"/>
        <v>0.30266685046204544</v>
      </c>
      <c r="J677" s="790">
        <f t="shared" si="180"/>
        <v>0.30266685046204544</v>
      </c>
      <c r="K677" s="779">
        <f t="shared" si="181"/>
        <v>1.1784077686940115E-3</v>
      </c>
      <c r="L677" s="747" cm="1">
        <f t="array" ref="L677:M677">ResultEXLN_GS($L$663:$L$667,$J$663:$J$667,J677,K677,pPO4v,0)</f>
        <v>0.26073638792539205</v>
      </c>
      <c r="M677" s="747">
        <v>1.0949786571553043E-3</v>
      </c>
      <c r="N677" s="746">
        <f t="shared" si="184"/>
        <v>4.199562116618049E-3</v>
      </c>
      <c r="O677" s="763">
        <f t="shared" si="185"/>
        <v>0.99997400830218852</v>
      </c>
      <c r="P677" s="680" cm="1">
        <f t="array" ref="P677:Q677">ResultEXLN_MC($L$663:$L$667,$M$663:$M$667,$J$663:$J$667,$K$663:$K$667,J677,K677,MC)</f>
        <v>0.26075757338912608</v>
      </c>
      <c r="Q677" s="680">
        <v>1.1348645252464967E-3</v>
      </c>
      <c r="R677" s="679">
        <f t="shared" si="186"/>
        <v>4.352182414095981E-3</v>
      </c>
      <c r="S677" s="201">
        <f t="shared" si="187"/>
        <v>0.99991875417669107</v>
      </c>
      <c r="T677" s="785">
        <f t="shared" si="188"/>
        <v>0.96485407094513853</v>
      </c>
      <c r="U677" s="140" cm="1">
        <f t="array" ref="U677:V677">ResultEXQD($L$663:$L$667,$J$663:$J$667,J677)</f>
        <v>0.2608188402325996</v>
      </c>
      <c r="V677" s="793">
        <v>-187.5851907590351</v>
      </c>
      <c r="W677" s="201">
        <f t="shared" si="189"/>
        <v>0.99968387135249115</v>
      </c>
      <c r="X677" s="146">
        <f>(L677-AVERAGE($L$668:$L$677))/MEDIAN($M$668:$M$677)</f>
        <v>-2.206147844382881</v>
      </c>
      <c r="Y677" s="684">
        <f t="shared" si="191"/>
        <v>1.0187985005745259</v>
      </c>
    </row>
    <row r="678" spans="1:25" s="593" customFormat="1" ht="19.95" customHeight="1">
      <c r="A678" s="593" t="str">
        <f>RAW_DATA!A533</f>
        <v>SALT1_113</v>
      </c>
      <c r="B678" s="770" t="str">
        <f>RAW_DATA!B533</f>
        <v>2/20/2024 5:39:17 PM</v>
      </c>
      <c r="C678" s="80">
        <f>RAW_DATA!C533</f>
        <v>0.15677199999999999</v>
      </c>
      <c r="D678" s="80">
        <f t="shared" si="171"/>
        <v>6.139149999999999</v>
      </c>
      <c r="E678" s="80">
        <f t="shared" si="172"/>
        <v>6.9240499999999994</v>
      </c>
      <c r="F678" s="157">
        <f>C678-C659</f>
        <v>0.15657499999999999</v>
      </c>
      <c r="G678" s="157">
        <f>F678</f>
        <v>0.15657499999999999</v>
      </c>
      <c r="H678" s="80">
        <f t="shared" si="173"/>
        <v>0.17659336044077761</v>
      </c>
      <c r="I678" s="80">
        <f>H678/dSALT1</f>
        <v>0.17258717529872747</v>
      </c>
      <c r="J678" s="199">
        <f>I678</f>
        <v>0.17258717529872747</v>
      </c>
      <c r="K678" s="778">
        <f t="shared" ref="K678:K679" si="192">J678*(STDEV($I$668:$I$677)/AVERAGE($I$668:$I$677))</f>
        <v>6.7195356160908452E-4</v>
      </c>
      <c r="L678" s="762" cm="1">
        <f t="array" ref="L678:M678">ResultEXLN_GS($L$663:$L$667,$J$663:$J$667,J678,K678,pPO4v,0)</f>
        <v>0.14862643576983389</v>
      </c>
      <c r="M678" s="762">
        <v>8.2015120608268681E-4</v>
      </c>
      <c r="N678" s="743">
        <f t="shared" si="184"/>
        <v>5.518205437912746E-3</v>
      </c>
      <c r="O678" s="762">
        <f t="shared" si="185"/>
        <v>0.99997400830218852</v>
      </c>
      <c r="P678" s="766" cm="1">
        <f t="array" ref="P678:Q678">ResultEXLN_MC($L$663:$L$667,$M$663:$M$667,$J$663:$J$667,$K$663:$K$667,J678,K678,MC)</f>
        <v>0.14863820590176269</v>
      </c>
      <c r="Q678" s="766">
        <v>7.682127983752395E-4</v>
      </c>
      <c r="R678" s="677">
        <f t="shared" si="186"/>
        <v>5.1683400893775813E-3</v>
      </c>
      <c r="S678" s="198">
        <f t="shared" si="187"/>
        <v>0.99992081354953533</v>
      </c>
      <c r="T678" s="784">
        <f t="shared" si="188"/>
        <v>1.0676094017403723</v>
      </c>
      <c r="U678" s="138" cm="1">
        <f t="array" ref="U678:V678">ResultEXQD($L$663:$L$667,$J$663:$J$667,J678)</f>
        <v>0.14856868276083648</v>
      </c>
      <c r="V678" s="792">
        <v>-187.47294060156335</v>
      </c>
      <c r="W678" s="198">
        <f t="shared" si="189"/>
        <v>1.0003887293602136</v>
      </c>
    </row>
    <row r="679" spans="1:25" s="593" customFormat="1" ht="19.95" customHeight="1">
      <c r="A679" s="589" t="str">
        <f>RAW_DATA!A534</f>
        <v>MOOS3</v>
      </c>
      <c r="B679" s="771" t="str">
        <f>RAW_DATA!B534</f>
        <v>2/20/2024 5:40:31 PM</v>
      </c>
      <c r="C679" s="81">
        <f>RAW_DATA!C534</f>
        <v>0.15339</v>
      </c>
      <c r="D679" s="81">
        <f t="shared" si="171"/>
        <v>6.1537000000000006</v>
      </c>
      <c r="E679" s="81">
        <f t="shared" si="172"/>
        <v>6.9363500000000009</v>
      </c>
      <c r="F679" s="155">
        <f>C679-C660</f>
        <v>0.155893</v>
      </c>
      <c r="G679" s="155">
        <f t="shared" si="183"/>
        <v>0.155893</v>
      </c>
      <c r="H679" s="81">
        <f t="shared" si="173"/>
        <v>0.17572004006532654</v>
      </c>
      <c r="I679" s="81">
        <f>H679/dMOOS3</f>
        <v>0.17048611629506796</v>
      </c>
      <c r="J679" s="790">
        <f>I679</f>
        <v>0.17048611629506796</v>
      </c>
      <c r="K679" s="779">
        <f t="shared" si="192"/>
        <v>6.6377326618321554E-4</v>
      </c>
      <c r="L679" s="763" cm="1">
        <f t="array" ref="L679:M679">ResultEXLN_GS($L$663:$L$667,$J$663:$J$667,J679,K679,pPO4v,0)</f>
        <v>0.14681562540241458</v>
      </c>
      <c r="M679" s="763">
        <v>8.1796151885662723E-4</v>
      </c>
      <c r="N679" s="746">
        <f t="shared" si="184"/>
        <v>5.5713519362440749E-3</v>
      </c>
      <c r="O679" s="763">
        <f t="shared" si="185"/>
        <v>0.99997400830218852</v>
      </c>
      <c r="P679" s="767" cm="1">
        <f t="array" ref="P679:Q679">ResultEXLN_MC($L$663:$L$667,$M$663:$M$667,$J$663:$J$667,$K$663:$K$667,J679,K679,MC)</f>
        <v>0.1468013398287443</v>
      </c>
      <c r="Q679" s="767">
        <v>7.6842537706752357E-4</v>
      </c>
      <c r="R679" s="679">
        <f t="shared" si="186"/>
        <v>5.2344575190114359E-3</v>
      </c>
      <c r="S679" s="201">
        <f t="shared" si="187"/>
        <v>1.0000973122839816</v>
      </c>
      <c r="T679" s="785">
        <f t="shared" si="188"/>
        <v>1.0644644792681681</v>
      </c>
      <c r="U679" s="140" cm="1">
        <f t="array" ref="U679:V679">ResultEXQD($L$663:$L$667,$J$663:$J$667,J679)</f>
        <v>0.14675450551609526</v>
      </c>
      <c r="V679" s="793">
        <v>-187.47112642431861</v>
      </c>
      <c r="W679" s="201">
        <f t="shared" si="189"/>
        <v>1.0004164770689961</v>
      </c>
      <c r="X679" s="589"/>
      <c r="Y679" s="589"/>
    </row>
    <row r="680" spans="1:25" s="593" customFormat="1" ht="19.95" customHeight="1">
      <c r="A680" s="80"/>
      <c r="B680" s="80"/>
      <c r="C680" s="80"/>
      <c r="D680" s="80"/>
    </row>
    <row r="681" spans="1:25" s="148" customFormat="1" ht="19.95" customHeight="1">
      <c r="A681" s="593"/>
      <c r="B681" s="380" t="s">
        <v>2178</v>
      </c>
      <c r="C681" s="230"/>
      <c r="D681" s="380" t="s">
        <v>2184</v>
      </c>
      <c r="E681" s="230"/>
      <c r="F681" s="230"/>
      <c r="G681" s="380" t="s">
        <v>2185</v>
      </c>
      <c r="H681" s="230"/>
      <c r="I681" s="230"/>
      <c r="J681" s="230"/>
      <c r="K681" s="230"/>
      <c r="L681" s="233" t="s">
        <v>217</v>
      </c>
    </row>
    <row r="682" spans="1:25" s="148" customFormat="1" ht="19.95" customHeight="1">
      <c r="A682" s="587" t="s">
        <v>100</v>
      </c>
      <c r="B682" s="663" t="s">
        <v>2179</v>
      </c>
      <c r="C682" s="663" t="s">
        <v>2180</v>
      </c>
      <c r="D682" s="663" t="s">
        <v>229</v>
      </c>
      <c r="E682" s="663" t="s">
        <v>1171</v>
      </c>
      <c r="F682" s="663" t="s">
        <v>1172</v>
      </c>
      <c r="G682" s="589" t="s">
        <v>2181</v>
      </c>
      <c r="H682" s="589" t="s">
        <v>2182</v>
      </c>
      <c r="I682" s="589" t="s">
        <v>2183</v>
      </c>
      <c r="J682" s="589" t="s">
        <v>2186</v>
      </c>
      <c r="K682" s="589" t="s">
        <v>2187</v>
      </c>
      <c r="L682" s="663" t="s">
        <v>2188</v>
      </c>
    </row>
    <row r="683" spans="1:25" s="148" customFormat="1" ht="19.95" customHeight="1">
      <c r="A683" s="590" t="str">
        <f>A678</f>
        <v>SALT1_113</v>
      </c>
      <c r="B683" s="730">
        <f>G236</f>
        <v>0.14941720391854724</v>
      </c>
      <c r="C683" s="82">
        <f>H236</f>
        <v>9.7429073313829633E-4</v>
      </c>
      <c r="D683" s="272">
        <f>L678</f>
        <v>0.14862643576983389</v>
      </c>
      <c r="E683" s="272">
        <f>M678</f>
        <v>8.2015120608268681E-4</v>
      </c>
      <c r="F683" s="590">
        <v>3</v>
      </c>
      <c r="G683" s="590" t="b">
        <f>IF(ABS(B683-D683)&lt;2*SQRT(C683^2+E683^2/F683),TRUE,FALSE)</f>
        <v>1</v>
      </c>
      <c r="H683" s="590" t="b">
        <f>IF(SQRT(F683)*(ABS(D683-B683)-2*C683)/E683&gt;ABS(_xlfn.T.INV(0.05/2,F683-1)),FALSE,TRUE)</f>
        <v>1</v>
      </c>
      <c r="I683" s="590" t="b">
        <f>IF(AND((D683-B683)^2/MAX(E683^2/(F683-1),C683^2)&lt;_xlfn.T.INV(0.05/2,F683-1)^2,F683&gt;2),TRUE,FALSE)</f>
        <v>1</v>
      </c>
      <c r="J683" s="590" t="b">
        <f>IF(SQRT(F683)*ABS(D683-B683)/(E683/(1-0.333/F683))&gt;ABS(_xlfn.T.INV(0.05/2,F683-1)),FALSE,TRUE)</f>
        <v>1</v>
      </c>
      <c r="K683" s="590" t="b">
        <f>IF(F683*(D683-B683)^2/(2*C683)^2&lt;_xlfn.CHISQ.INV(SQRT(0.95),1),IF((F683-1)*E683^2/(2*C683)^2&lt;_xlfn.CHISQ.INV(SQRT(0.95),F683-1),TRUE,FALSE),FALSE)</f>
        <v>1</v>
      </c>
      <c r="L683" s="794">
        <f>D683/B683</f>
        <v>0.99470764993605143</v>
      </c>
    </row>
    <row r="684" spans="1:25" s="148" customFormat="1" ht="19.95" customHeight="1">
      <c r="A684" s="589" t="str">
        <f>A679</f>
        <v>MOOS3</v>
      </c>
      <c r="B684" s="319">
        <v>0.14699999999999999</v>
      </c>
      <c r="C684" s="319">
        <f>0.013/2</f>
        <v>6.4999999999999997E-3</v>
      </c>
      <c r="D684" s="143">
        <f>L679</f>
        <v>0.14681562540241458</v>
      </c>
      <c r="E684" s="143">
        <f>M679</f>
        <v>8.1796151885662723E-4</v>
      </c>
      <c r="F684" s="589">
        <v>3</v>
      </c>
      <c r="G684" s="589" t="b">
        <f>IF(ABS(B684-D684)&lt;2*SQRT(C684^2+E684^2/F684),TRUE,FALSE)</f>
        <v>1</v>
      </c>
      <c r="H684" s="589" t="b">
        <f>IF(SQRT(F684)*(ABS(D684-B684)-2*C684)/E684&gt;ABS(_xlfn.T.INV(0.05/2,F684-1)),FALSE,TRUE)</f>
        <v>1</v>
      </c>
      <c r="I684" s="589" t="b">
        <f>IF(AND((D684-B684)^2/MAX(E684^2/(F684-1),C684^2)&lt;_xlfn.T.INV(0.05/2,F684-1)^2,F684&gt;2),TRUE,FALSE)</f>
        <v>1</v>
      </c>
      <c r="J684" s="589" t="b">
        <f>IF(SQRT(F684)*ABS(D684-B684)/(E684/(1-0.333/F684))&gt;ABS(_xlfn.T.INV(0.05/2,F684-1)),FALSE,TRUE)</f>
        <v>1</v>
      </c>
      <c r="K684" s="589" t="b">
        <f>IF(F684*(D684-B684)^2/(2*C684)^2&lt;_xlfn.CHISQ.INV(SQRT(0.95),1),IF((F684-1)*E684^2/(2*C684)^2&lt;_xlfn.CHISQ.INV(SQRT(0.95),F684-1),TRUE,FALSE),FALSE)</f>
        <v>1</v>
      </c>
      <c r="L684" s="321">
        <f>D684/B684</f>
        <v>0.99874575103683394</v>
      </c>
    </row>
    <row r="685" spans="1:25" s="148" customFormat="1" ht="19.95" customHeight="1">
      <c r="A685" s="148" t="s">
        <v>2214</v>
      </c>
      <c r="B685" s="233"/>
      <c r="C685" s="233"/>
      <c r="D685" s="233"/>
    </row>
    <row r="686" spans="1:25" s="148" customFormat="1" ht="19.95" customHeight="1">
      <c r="A686" s="148" t="s">
        <v>2189</v>
      </c>
      <c r="D686" s="723"/>
    </row>
    <row r="687" spans="1:25" s="148" customFormat="1" ht="19.95" customHeight="1">
      <c r="A687" s="523" t="s">
        <v>2730</v>
      </c>
      <c r="D687" s="723"/>
    </row>
    <row r="688" spans="1:25" s="148" customFormat="1" ht="19.95" customHeight="1">
      <c r="A688" s="523" t="s">
        <v>2731</v>
      </c>
      <c r="D688" s="723"/>
    </row>
    <row r="689" spans="1:68" ht="19.95" customHeight="1">
      <c r="A689" s="588"/>
      <c r="B689" s="588"/>
    </row>
    <row r="690" spans="1:68" s="588" customFormat="1" ht="19.95" customHeight="1">
      <c r="A690" s="623" t="s">
        <v>2208</v>
      </c>
      <c r="B690" s="167"/>
      <c r="C690" s="167"/>
      <c r="D690" s="168"/>
      <c r="E690" s="167"/>
      <c r="F690" s="167"/>
      <c r="G690" s="167"/>
      <c r="H690" s="167"/>
      <c r="I690" s="167"/>
      <c r="J690" s="167"/>
      <c r="K690" s="167"/>
      <c r="L690" s="167"/>
      <c r="M690" s="167"/>
      <c r="N690" s="167"/>
      <c r="O690" s="167"/>
      <c r="P690" s="167"/>
      <c r="Q690" s="167"/>
      <c r="R690" s="167"/>
      <c r="S690" s="167"/>
      <c r="T690" s="167"/>
      <c r="U690" s="167"/>
      <c r="V690" s="167"/>
      <c r="W690" s="167"/>
      <c r="X690" s="167"/>
      <c r="Y690" s="167"/>
      <c r="Z690" s="167"/>
      <c r="AA690" s="167"/>
      <c r="AB690" s="167"/>
      <c r="AC690" s="167"/>
      <c r="AD690" s="167"/>
      <c r="AE690" s="167"/>
      <c r="AF690" s="167"/>
      <c r="AG690" s="167"/>
      <c r="AH690" s="167"/>
      <c r="AI690" s="167"/>
      <c r="AJ690" s="167"/>
      <c r="AK690" s="167"/>
      <c r="AL690" s="167"/>
      <c r="AM690" s="167"/>
      <c r="AN690" s="167"/>
      <c r="AO690" s="167"/>
      <c r="AP690" s="167"/>
      <c r="AQ690" s="167"/>
      <c r="AR690" s="167"/>
      <c r="AS690" s="167"/>
      <c r="AT690" s="167"/>
      <c r="AU690" s="167"/>
      <c r="AV690" s="167"/>
      <c r="AW690" s="167"/>
      <c r="AX690" s="167"/>
      <c r="AY690" s="167"/>
      <c r="AZ690" s="167"/>
      <c r="BA690" s="167"/>
      <c r="BB690" s="167"/>
      <c r="BC690" s="167"/>
      <c r="BD690" s="167"/>
      <c r="BE690" s="167"/>
      <c r="BF690" s="167"/>
      <c r="BG690" s="167"/>
      <c r="BH690" s="167"/>
      <c r="BI690" s="167"/>
      <c r="BJ690" s="167"/>
      <c r="BK690" s="167"/>
      <c r="BL690" s="167"/>
      <c r="BM690" s="167"/>
      <c r="BN690" s="167"/>
      <c r="BO690" s="167"/>
      <c r="BP690" s="167"/>
    </row>
    <row r="691" spans="1:68" s="148" customFormat="1" ht="19.95" customHeight="1">
      <c r="A691" s="233"/>
      <c r="D691" s="723"/>
    </row>
    <row r="692" spans="1:68" s="148" customFormat="1" ht="19.95" customHeight="1">
      <c r="D692" s="723"/>
      <c r="F692" s="593" t="s">
        <v>222</v>
      </c>
      <c r="G692" s="593" t="s">
        <v>223</v>
      </c>
      <c r="H692" s="593" t="s">
        <v>224</v>
      </c>
      <c r="I692" s="593" t="s">
        <v>134</v>
      </c>
      <c r="J692" s="593" t="s">
        <v>292</v>
      </c>
      <c r="K692" s="588" t="s">
        <v>1046</v>
      </c>
      <c r="L692" s="774" t="s">
        <v>2193</v>
      </c>
      <c r="M692" s="774"/>
      <c r="N692" s="774"/>
      <c r="O692" s="774"/>
      <c r="P692" s="290" t="s">
        <v>2064</v>
      </c>
      <c r="Q692" s="290"/>
      <c r="R692" s="290"/>
      <c r="S692" s="228" t="s">
        <v>2194</v>
      </c>
      <c r="T692" s="228"/>
      <c r="U692" s="593" t="s">
        <v>237</v>
      </c>
      <c r="V692" s="593" t="s">
        <v>237</v>
      </c>
      <c r="W692" s="593" t="s">
        <v>2203</v>
      </c>
    </row>
    <row r="693" spans="1:68" s="148" customFormat="1" ht="19.95" customHeight="1">
      <c r="A693" s="209" t="s">
        <v>1764</v>
      </c>
      <c r="B693" s="593"/>
      <c r="D693" s="723"/>
      <c r="F693" s="593" t="s">
        <v>242</v>
      </c>
      <c r="G693" s="593" t="s">
        <v>242</v>
      </c>
      <c r="H693" s="593" t="s">
        <v>242</v>
      </c>
      <c r="I693" s="593" t="s">
        <v>242</v>
      </c>
      <c r="J693" s="593" t="s">
        <v>242</v>
      </c>
      <c r="K693" s="588" t="s">
        <v>242</v>
      </c>
      <c r="L693" s="774" t="s">
        <v>1791</v>
      </c>
      <c r="M693" s="774" t="s">
        <v>1792</v>
      </c>
      <c r="N693" s="774" t="s">
        <v>2210</v>
      </c>
      <c r="O693" s="774" t="s">
        <v>2071</v>
      </c>
      <c r="P693" s="776" t="s">
        <v>1791</v>
      </c>
      <c r="Q693" s="776" t="s">
        <v>1792</v>
      </c>
      <c r="R693" s="776" t="s">
        <v>2210</v>
      </c>
      <c r="S693" s="228" t="s">
        <v>1791</v>
      </c>
      <c r="T693" s="228" t="s">
        <v>1792</v>
      </c>
      <c r="U693" s="593" t="s">
        <v>2211</v>
      </c>
      <c r="V693" s="593" t="s">
        <v>2212</v>
      </c>
      <c r="W693" s="593" t="s">
        <v>2202</v>
      </c>
      <c r="X693" s="314" t="s">
        <v>2400</v>
      </c>
      <c r="Y693" s="314" t="s">
        <v>2685</v>
      </c>
    </row>
    <row r="694" spans="1:68" s="148" customFormat="1" ht="19.95" customHeight="1">
      <c r="A694" s="587" t="str">
        <f>RAW_DATA!A538</f>
        <v>Sample ID</v>
      </c>
      <c r="B694" s="587" t="str">
        <f>RAW_DATA!B538</f>
        <v>Date</v>
      </c>
      <c r="C694" s="316" t="str">
        <f>RAW_DATA!C538</f>
        <v>810nm (Abs)</v>
      </c>
      <c r="D694" s="587" t="s">
        <v>113</v>
      </c>
      <c r="E694" s="587" t="s">
        <v>114</v>
      </c>
      <c r="F694" s="587" t="s">
        <v>2209</v>
      </c>
      <c r="G694" s="587" t="s">
        <v>2209</v>
      </c>
      <c r="H694" s="587" t="s">
        <v>2209</v>
      </c>
      <c r="I694" s="587" t="s">
        <v>2209</v>
      </c>
      <c r="J694" s="587" t="s">
        <v>2209</v>
      </c>
      <c r="K694" s="587" t="s">
        <v>2209</v>
      </c>
      <c r="L694" s="775" t="s">
        <v>156</v>
      </c>
      <c r="M694" s="775" t="s">
        <v>156</v>
      </c>
      <c r="N694" s="775" t="s">
        <v>74</v>
      </c>
      <c r="O694" s="775"/>
      <c r="P694" s="777" t="s">
        <v>156</v>
      </c>
      <c r="Q694" s="777" t="s">
        <v>156</v>
      </c>
      <c r="R694" s="777" t="s">
        <v>74</v>
      </c>
      <c r="S694" s="315" t="s">
        <v>74</v>
      </c>
      <c r="T694" s="315" t="s">
        <v>74</v>
      </c>
      <c r="U694" s="589" t="s">
        <v>156</v>
      </c>
      <c r="V694" s="589" t="s">
        <v>156</v>
      </c>
      <c r="W694" s="783" t="s">
        <v>74</v>
      </c>
      <c r="X694" s="315" t="s">
        <v>241</v>
      </c>
      <c r="Y694" s="315" t="s">
        <v>2686</v>
      </c>
    </row>
    <row r="695" spans="1:68" s="148" customFormat="1" ht="19.95" customHeight="1">
      <c r="A695" s="593" t="str">
        <f>RAW_DATA!A539</f>
        <v>BLS-DIW</v>
      </c>
      <c r="B695" s="770" t="str">
        <f>RAW_DATA!B539</f>
        <v>2/21/2024 11:43:54 AM</v>
      </c>
      <c r="C695" s="148">
        <f>RAW_DATA!C539</f>
        <v>8.2799999999999996E-4</v>
      </c>
      <c r="D695" s="723"/>
      <c r="L695" s="593"/>
      <c r="M695" s="593"/>
      <c r="N695" s="593"/>
      <c r="O695" s="593"/>
      <c r="P695" s="593"/>
      <c r="Q695" s="593"/>
      <c r="R695" s="593"/>
      <c r="S695" s="593"/>
      <c r="T695" s="593"/>
      <c r="U695" s="588"/>
      <c r="V695" s="593"/>
      <c r="W695" s="593"/>
    </row>
    <row r="696" spans="1:68" s="148" customFormat="1" ht="19.95" customHeight="1">
      <c r="A696" s="593" t="str">
        <f>RAW_DATA!A540</f>
        <v>BSL-LNWS</v>
      </c>
      <c r="B696" s="770" t="str">
        <f>RAW_DATA!B540</f>
        <v>2/21/2024 11:44:34 AM</v>
      </c>
      <c r="C696" s="148">
        <f>RAW_DATA!C540</f>
        <v>-2.8200000000000002E-4</v>
      </c>
      <c r="D696" s="723"/>
      <c r="L696" s="593"/>
      <c r="M696" s="593"/>
      <c r="N696" s="593"/>
      <c r="O696" s="593"/>
      <c r="P696" s="593"/>
      <c r="Q696" s="593"/>
      <c r="R696" s="593"/>
      <c r="S696" s="593"/>
      <c r="T696" s="593"/>
      <c r="U696" s="588"/>
      <c r="V696" s="593"/>
      <c r="W696" s="593"/>
    </row>
    <row r="697" spans="1:68" s="148" customFormat="1" ht="19.95" customHeight="1">
      <c r="A697" s="593" t="str">
        <f>RAW_DATA!A541</f>
        <v>BSL-M4</v>
      </c>
      <c r="B697" s="770" t="str">
        <f>RAW_DATA!B541</f>
        <v>2/21/2024 11:45:09 AM</v>
      </c>
      <c r="C697" s="148">
        <f>RAW_DATA!C541</f>
        <v>-2.34E-4</v>
      </c>
      <c r="D697" s="723"/>
      <c r="L697" s="593"/>
      <c r="M697" s="593"/>
      <c r="N697" s="593"/>
      <c r="O697" s="593"/>
      <c r="P697" s="593"/>
      <c r="Q697" s="593"/>
      <c r="R697" s="593"/>
      <c r="S697" s="593"/>
      <c r="T697" s="593"/>
      <c r="U697" s="588"/>
      <c r="V697" s="593"/>
      <c r="W697" s="593"/>
    </row>
    <row r="698" spans="1:68" s="148" customFormat="1" ht="19.95" customHeight="1">
      <c r="A698" s="593" t="str">
        <f>RAW_DATA!A542</f>
        <v>BSL-SALT</v>
      </c>
      <c r="B698" s="770" t="str">
        <f>RAW_DATA!B542</f>
        <v>2/21/2024 11:45:45 AM</v>
      </c>
      <c r="C698" s="148">
        <f>RAW_DATA!C542</f>
        <v>6.0000000000000002E-6</v>
      </c>
      <c r="D698" s="723"/>
      <c r="L698" s="593"/>
      <c r="M698" s="593"/>
      <c r="N698" s="593"/>
      <c r="O698" s="593"/>
      <c r="P698" s="593"/>
      <c r="Q698" s="593"/>
      <c r="R698" s="593"/>
      <c r="S698" s="593"/>
      <c r="T698" s="593"/>
      <c r="U698" s="588"/>
      <c r="V698" s="593"/>
      <c r="W698" s="593"/>
    </row>
    <row r="699" spans="1:68" s="148" customFormat="1" ht="19.95" customHeight="1">
      <c r="A699" s="593" t="str">
        <f>RAW_DATA!A543</f>
        <v>BSL-M3</v>
      </c>
      <c r="B699" s="770" t="str">
        <f>RAW_DATA!B543</f>
        <v>2/21/2024 11:46:19 AM</v>
      </c>
      <c r="C699" s="148">
        <f>RAW_DATA!C543</f>
        <v>3.8000000000000002E-5</v>
      </c>
      <c r="D699" s="723"/>
      <c r="L699" s="593"/>
      <c r="M699" s="593"/>
      <c r="N699" s="593"/>
      <c r="O699" s="593"/>
      <c r="P699" s="593"/>
      <c r="Q699" s="593"/>
      <c r="R699" s="593"/>
      <c r="S699" s="593"/>
      <c r="T699" s="593"/>
      <c r="U699" s="588"/>
      <c r="V699" s="593"/>
      <c r="W699" s="593"/>
    </row>
    <row r="700" spans="1:68" s="148" customFormat="1" ht="19.95" customHeight="1">
      <c r="A700" s="593" t="str">
        <f>RAW_DATA!A544</f>
        <v>BLK-DIW</v>
      </c>
      <c r="B700" s="770" t="str">
        <f>RAW_DATA!B544</f>
        <v>2/21/2024 11:47:01 AM</v>
      </c>
      <c r="C700" s="148">
        <f>RAW_DATA!C544</f>
        <v>2.1699999999999999E-4</v>
      </c>
      <c r="D700" s="723"/>
      <c r="F700" s="148">
        <f>C700-C695</f>
        <v>-6.11E-4</v>
      </c>
      <c r="L700" s="593"/>
      <c r="M700" s="593"/>
      <c r="N700" s="593"/>
      <c r="O700" s="593"/>
      <c r="P700" s="593"/>
      <c r="Q700" s="593"/>
      <c r="R700" s="593"/>
      <c r="S700" s="593"/>
      <c r="T700" s="593"/>
      <c r="U700" s="593"/>
      <c r="V700" s="593"/>
      <c r="W700" s="593"/>
    </row>
    <row r="701" spans="1:68" s="148" customFormat="1" ht="19.95" customHeight="1">
      <c r="A701" s="589" t="str">
        <f>RAW_DATA!A545</f>
        <v>BLK-LNSW</v>
      </c>
      <c r="B701" s="771" t="str">
        <f>RAW_DATA!B545</f>
        <v>2/21/2024 11:47:41 AM</v>
      </c>
      <c r="C701" s="315">
        <f>RAW_DATA!C545</f>
        <v>1.1604E-2</v>
      </c>
      <c r="D701" s="795"/>
      <c r="E701" s="315"/>
      <c r="F701" s="315">
        <f>C701-C696</f>
        <v>1.1885999999999999E-2</v>
      </c>
      <c r="G701" s="315"/>
      <c r="H701" s="315"/>
      <c r="I701" s="315"/>
      <c r="J701" s="315"/>
      <c r="K701" s="315"/>
      <c r="L701" s="589"/>
      <c r="M701" s="589"/>
      <c r="N701" s="589"/>
      <c r="O701" s="589"/>
      <c r="P701" s="589"/>
      <c r="Q701" s="589"/>
      <c r="R701" s="589"/>
      <c r="S701" s="589"/>
      <c r="T701" s="589"/>
      <c r="U701" s="589"/>
      <c r="V701" s="589"/>
      <c r="W701" s="589"/>
      <c r="X701" s="315"/>
      <c r="Y701" s="315"/>
    </row>
    <row r="702" spans="1:68" s="148" customFormat="1" ht="19.95" customHeight="1">
      <c r="A702" s="593" t="str">
        <f>RAW_DATA!A546</f>
        <v>CAL1</v>
      </c>
      <c r="B702" s="770" t="str">
        <f>RAW_DATA!B546</f>
        <v>2/21/2024 11:48:24 AM</v>
      </c>
      <c r="C702" s="148">
        <f>RAW_DATA!C546</f>
        <v>7.1960999999999997E-2</v>
      </c>
      <c r="D702" s="317">
        <f t="shared" ref="D702:E706" si="193">O472</f>
        <v>3.0641499999999997</v>
      </c>
      <c r="E702" s="317">
        <f t="shared" si="193"/>
        <v>3.3866000000000014</v>
      </c>
      <c r="F702" s="317">
        <f>C702-$C$696</f>
        <v>7.2243000000000002E-2</v>
      </c>
      <c r="G702" s="317">
        <f>F702-$F$701+$F$700</f>
        <v>5.9746E-2</v>
      </c>
      <c r="H702" s="80">
        <f t="shared" ref="H702:H719" si="194">G702*E702/D702</f>
        <v>6.6033256726987941E-2</v>
      </c>
      <c r="I702" s="317">
        <f t="shared" ref="I702:I707" si="195">H702/dLNSW</f>
        <v>6.4472422964057807E-2</v>
      </c>
      <c r="J702" s="199">
        <f>I702</f>
        <v>6.4472422964057807E-2</v>
      </c>
      <c r="K702" s="778">
        <f>J702*(STDEV($I$708:$I$717)/AVERAGE($I$708:$I$717))</f>
        <v>4.1986207765131253E-4</v>
      </c>
      <c r="L702" s="543">
        <f t="shared" ref="L702:M707" si="196">P453</f>
        <v>0.21333414089850519</v>
      </c>
      <c r="M702" s="543">
        <f t="shared" si="196"/>
        <v>1.8184962768054669E-4</v>
      </c>
      <c r="N702" s="593"/>
      <c r="O702" s="593"/>
      <c r="P702" s="593"/>
      <c r="Q702" s="593"/>
      <c r="R702" s="593"/>
      <c r="S702" s="593"/>
      <c r="T702" s="593"/>
      <c r="U702" s="593"/>
      <c r="V702" s="593"/>
      <c r="W702" s="593"/>
    </row>
    <row r="703" spans="1:68" s="148" customFormat="1" ht="19.95" customHeight="1">
      <c r="A703" s="593" t="str">
        <f>RAW_DATA!A547</f>
        <v>CAL2</v>
      </c>
      <c r="B703" s="770" t="str">
        <f>RAW_DATA!B547</f>
        <v>2/21/2024 11:49:04 AM</v>
      </c>
      <c r="C703" s="148">
        <f>RAW_DATA!C547</f>
        <v>0.100088</v>
      </c>
      <c r="D703" s="317">
        <f t="shared" si="193"/>
        <v>3.0711999999999993</v>
      </c>
      <c r="E703" s="317">
        <f t="shared" si="193"/>
        <v>3.3921499999999991</v>
      </c>
      <c r="F703" s="317">
        <f t="shared" ref="F703:F707" si="197">C703-$C$696</f>
        <v>0.10037</v>
      </c>
      <c r="G703" s="317">
        <f t="shared" ref="G703:G707" si="198">F703-$F$701+$F$700</f>
        <v>8.7873000000000007E-2</v>
      </c>
      <c r="H703" s="80">
        <f t="shared" si="194"/>
        <v>9.7056003174654862E-2</v>
      </c>
      <c r="I703" s="317">
        <f t="shared" si="195"/>
        <v>9.4761882088421331E-2</v>
      </c>
      <c r="J703" s="199">
        <f t="shared" ref="J703:J707" si="199">I703</f>
        <v>9.4761882088421331E-2</v>
      </c>
      <c r="K703" s="778">
        <f t="shared" ref="K703:K707" si="200">J703*(STDEV($I$708:$I$717)/AVERAGE($I$708:$I$717))</f>
        <v>6.1711533189893846E-4</v>
      </c>
      <c r="L703" s="543">
        <f t="shared" si="196"/>
        <v>0.3136767303155728</v>
      </c>
      <c r="M703" s="543">
        <f t="shared" si="196"/>
        <v>2.3434284536153616E-4</v>
      </c>
      <c r="N703" s="593"/>
      <c r="O703" s="593"/>
      <c r="P703" s="593"/>
      <c r="Q703" s="593"/>
      <c r="R703" s="593"/>
      <c r="S703" s="593"/>
      <c r="T703" s="593"/>
      <c r="U703" s="96"/>
      <c r="V703" s="593"/>
      <c r="W703" s="593"/>
    </row>
    <row r="704" spans="1:68" s="148" customFormat="1" ht="19.95" customHeight="1">
      <c r="A704" s="593" t="str">
        <f>RAW_DATA!A548</f>
        <v>CAL3</v>
      </c>
      <c r="B704" s="770" t="str">
        <f>RAW_DATA!B548</f>
        <v>2/21/2024 11:49:47 AM</v>
      </c>
      <c r="C704" s="148">
        <f>RAW_DATA!C548</f>
        <v>0.12858900000000001</v>
      </c>
      <c r="D704" s="317">
        <f t="shared" si="193"/>
        <v>3.0659999999999998</v>
      </c>
      <c r="E704" s="317">
        <f t="shared" si="193"/>
        <v>3.387999999999999</v>
      </c>
      <c r="F704" s="317">
        <f t="shared" si="197"/>
        <v>0.12887100000000001</v>
      </c>
      <c r="G704" s="317">
        <f t="shared" si="198"/>
        <v>0.11637400000000002</v>
      </c>
      <c r="H704" s="80">
        <f t="shared" si="194"/>
        <v>0.12859592694063926</v>
      </c>
      <c r="I704" s="317">
        <f t="shared" si="195"/>
        <v>0.12555629396639262</v>
      </c>
      <c r="J704" s="199">
        <f t="shared" si="199"/>
        <v>0.12555629396639262</v>
      </c>
      <c r="K704" s="778">
        <f t="shared" si="200"/>
        <v>8.1765697678706664E-4</v>
      </c>
      <c r="L704" s="543">
        <f t="shared" si="196"/>
        <v>0.4132310660178633</v>
      </c>
      <c r="M704" s="543">
        <f t="shared" si="196"/>
        <v>2.9219826262640578E-4</v>
      </c>
      <c r="N704" s="593"/>
      <c r="O704" s="593"/>
      <c r="P704" s="593"/>
      <c r="Q704" s="593"/>
      <c r="R704" s="593"/>
      <c r="S704" s="593"/>
      <c r="T704" s="593"/>
      <c r="U704" s="96"/>
      <c r="V704" s="593"/>
      <c r="W704" s="593"/>
    </row>
    <row r="705" spans="1:25" s="148" customFormat="1" ht="19.95" customHeight="1">
      <c r="A705" s="593" t="str">
        <f>RAW_DATA!A549</f>
        <v>CAL4</v>
      </c>
      <c r="B705" s="770" t="str">
        <f>RAW_DATA!B549</f>
        <v>2/21/2024 11:50:34 AM</v>
      </c>
      <c r="C705" s="148">
        <f>RAW_DATA!C549</f>
        <v>0.187859</v>
      </c>
      <c r="D705" s="317">
        <f t="shared" si="193"/>
        <v>3.0711999999999993</v>
      </c>
      <c r="E705" s="317">
        <f t="shared" si="193"/>
        <v>3.3927499999999995</v>
      </c>
      <c r="F705" s="317">
        <f t="shared" si="197"/>
        <v>0.188141</v>
      </c>
      <c r="G705" s="317">
        <f t="shared" si="198"/>
        <v>0.17564399999999999</v>
      </c>
      <c r="H705" s="80">
        <f t="shared" si="194"/>
        <v>0.19403366143526962</v>
      </c>
      <c r="I705" s="317">
        <f t="shared" si="195"/>
        <v>0.18944727110826723</v>
      </c>
      <c r="J705" s="199">
        <f t="shared" si="199"/>
        <v>0.18944727110826723</v>
      </c>
      <c r="K705" s="778">
        <f t="shared" si="200"/>
        <v>1.2337325199834913E-3</v>
      </c>
      <c r="L705" s="543">
        <f t="shared" si="196"/>
        <v>0.62413377469854381</v>
      </c>
      <c r="M705" s="543">
        <f t="shared" si="196"/>
        <v>4.2203588805543661E-4</v>
      </c>
      <c r="N705" s="593"/>
      <c r="O705" s="593"/>
      <c r="P705" s="593"/>
      <c r="Q705" s="593"/>
      <c r="R705" s="593"/>
      <c r="S705" s="593"/>
      <c r="T705" s="593"/>
      <c r="U705" s="96"/>
      <c r="V705" s="593"/>
      <c r="W705" s="593"/>
    </row>
    <row r="706" spans="1:25" s="148" customFormat="1" ht="19.95" customHeight="1">
      <c r="A706" s="593" t="str">
        <f>RAW_DATA!A550</f>
        <v>CAL5</v>
      </c>
      <c r="B706" s="770" t="str">
        <f>RAW_DATA!B550</f>
        <v>2/21/2024 11:51:30 AM</v>
      </c>
      <c r="C706" s="148">
        <f>RAW_DATA!C550</f>
        <v>0.24243500000000001</v>
      </c>
      <c r="D706" s="319">
        <f t="shared" si="193"/>
        <v>3.0686499999999999</v>
      </c>
      <c r="E706" s="319">
        <f t="shared" si="193"/>
        <v>3.3906500000000008</v>
      </c>
      <c r="F706" s="319">
        <f t="shared" si="197"/>
        <v>0.24271700000000002</v>
      </c>
      <c r="G706" s="319">
        <f t="shared" si="198"/>
        <v>0.23022000000000001</v>
      </c>
      <c r="H706" s="81">
        <f t="shared" si="194"/>
        <v>0.25437747641471009</v>
      </c>
      <c r="I706" s="319">
        <f t="shared" si="195"/>
        <v>0.24836473414820953</v>
      </c>
      <c r="J706" s="790">
        <f t="shared" si="199"/>
        <v>0.24836473414820953</v>
      </c>
      <c r="K706" s="779">
        <f t="shared" si="200"/>
        <v>1.6174191770784965E-3</v>
      </c>
      <c r="L706" s="319">
        <f t="shared" si="196"/>
        <v>0.82147852875710048</v>
      </c>
      <c r="M706" s="319">
        <f t="shared" si="196"/>
        <v>5.4651045135585444E-4</v>
      </c>
      <c r="N706" s="589"/>
      <c r="O706" s="589"/>
      <c r="P706" s="589"/>
      <c r="Q706" s="589"/>
      <c r="R706" s="589"/>
      <c r="S706" s="589"/>
      <c r="T706" s="589"/>
      <c r="U706" s="100"/>
      <c r="V706" s="589"/>
      <c r="W706" s="589"/>
      <c r="X706" s="315"/>
      <c r="Y706" s="315"/>
    </row>
    <row r="707" spans="1:25" s="148" customFormat="1" ht="19.95" customHeight="1">
      <c r="A707" s="184" t="str">
        <f>RAW_DATA!A563</f>
        <v>CAL6</v>
      </c>
      <c r="B707" s="772" t="str">
        <f>RAW_DATA!B563</f>
        <v>2/21/2024 12:00:27 PM</v>
      </c>
      <c r="C707" s="754">
        <f>RAW_DATA!C563</f>
        <v>0.66192700000000004</v>
      </c>
      <c r="D707" s="319">
        <f>O489</f>
        <v>3.0614500000000007</v>
      </c>
      <c r="E707" s="319">
        <f>P489</f>
        <v>3.3834999999999997</v>
      </c>
      <c r="F707" s="319">
        <f t="shared" si="197"/>
        <v>0.66220900000000005</v>
      </c>
      <c r="G707" s="319">
        <f t="shared" si="198"/>
        <v>0.64971200000000007</v>
      </c>
      <c r="H707" s="81">
        <f t="shared" si="194"/>
        <v>0.71805861666857196</v>
      </c>
      <c r="I707" s="319">
        <f t="shared" si="195"/>
        <v>0.70108580344972682</v>
      </c>
      <c r="J707" s="790">
        <f t="shared" si="199"/>
        <v>0.70108580344972682</v>
      </c>
      <c r="K707" s="779">
        <f t="shared" si="200"/>
        <v>4.5656627828667452E-3</v>
      </c>
      <c r="L707" s="755">
        <f t="shared" si="196"/>
        <v>2.3004162334348934</v>
      </c>
      <c r="M707" s="755">
        <f t="shared" si="196"/>
        <v>1.5000351615600432E-3</v>
      </c>
      <c r="N707" s="754"/>
      <c r="O707" s="754"/>
      <c r="P707" s="754"/>
      <c r="Q707" s="754"/>
      <c r="R707" s="754"/>
      <c r="S707" s="786"/>
      <c r="T707" s="787"/>
      <c r="U707" s="798"/>
      <c r="V707" s="799"/>
      <c r="W707" s="786"/>
      <c r="X707" s="315"/>
      <c r="Y707" s="315"/>
    </row>
    <row r="708" spans="1:25" s="148" customFormat="1" ht="19.95" customHeight="1">
      <c r="A708" s="593" t="str">
        <f>RAW_DATA!A551</f>
        <v>001a_1</v>
      </c>
      <c r="B708" s="770" t="str">
        <f>RAW_DATA!B551</f>
        <v>2/21/2024 11:52:29 AM</v>
      </c>
      <c r="C708" s="148">
        <f>RAW_DATA!C551</f>
        <v>0.11763999999999999</v>
      </c>
      <c r="D708" s="317">
        <f t="shared" ref="D708:D719" si="201">O477</f>
        <v>3.0450999999999997</v>
      </c>
      <c r="E708" s="317">
        <f t="shared" ref="E708:E719" si="202">P477</f>
        <v>3.3668999999999993</v>
      </c>
      <c r="F708" s="317">
        <f>C708-$C$697</f>
        <v>0.11787399999999999</v>
      </c>
      <c r="G708" s="317">
        <f>F708</f>
        <v>0.11787399999999999</v>
      </c>
      <c r="H708" s="80">
        <f t="shared" si="194"/>
        <v>0.1303306855604085</v>
      </c>
      <c r="I708" s="317">
        <f t="shared" ref="I708:I717" si="203">H708/dMOOS4</f>
        <v>0.12765117918943342</v>
      </c>
      <c r="J708" s="199">
        <f t="shared" ref="J708:J717" si="204">I708/m_efft_SiO2_v</f>
        <v>0.12765117918943342</v>
      </c>
      <c r="K708" s="778">
        <f t="shared" ref="K708:K717" si="205">J708*SQRT((STDEV($I$708:$I$717)/AVERAGE($I$708:$I$717))^2+(m_efft_SiO2_u/m_efft_SiO2_v)^2)</f>
        <v>8.3129944315873201E-4</v>
      </c>
      <c r="L708" s="744">
        <f t="array" ref="L708:M708">ResultEXLN_GS($L$702:$L$706,$J$702:$J$706,J708,K708,pSiO2v,0)</f>
        <v>0.42144320600798152</v>
      </c>
      <c r="M708" s="744">
        <v>2.8289859220615005E-3</v>
      </c>
      <c r="N708" s="743">
        <f>M708/L708</f>
        <v>6.7126148475814404E-3</v>
      </c>
      <c r="O708" s="762">
        <f>INDEX(LINEST($J$702:$J$706,$L$702:$L$706,TRUE,TRUE),3,1)</f>
        <v>0.99997296340302444</v>
      </c>
      <c r="P708" s="791" cm="1">
        <f t="array" ref="P708:Q708">ResultEXLN_MC($L$702:$L$706,$M$702:$M$706,$J$702:$J$706,$K$702:$K$706,J708,K708,MC)</f>
        <v>0.4215662461675117</v>
      </c>
      <c r="Q708" s="791">
        <v>2.9818137959586643E-3</v>
      </c>
      <c r="R708" s="677">
        <f>Q708/P708</f>
        <v>7.0731796557872992E-3</v>
      </c>
      <c r="S708" s="198">
        <f t="shared" ref="S708" si="206">L708/P708</f>
        <v>0.9997081356473656</v>
      </c>
      <c r="T708" s="784">
        <f t="shared" ref="T708" si="207">M708/Q708</f>
        <v>0.94874667422080627</v>
      </c>
      <c r="U708" s="138" cm="1">
        <f t="array" ref="U708:V708">ResultEXQD($L$702:$L$706,$J$702:$J$706,J708)</f>
        <v>0.4203797987215187</v>
      </c>
      <c r="V708" s="792">
        <v>38.173875183773433</v>
      </c>
      <c r="W708" s="198">
        <f>L708/U708</f>
        <v>1.0025296346058894</v>
      </c>
      <c r="X708" s="735">
        <f>(L708-AVERAGE($L$708:$L$717))/MEDIAN($M$708:$M$717)</f>
        <v>-1.5830736960237588</v>
      </c>
      <c r="Y708" s="949">
        <f>H708/$H$704</f>
        <v>1.0134899966199553</v>
      </c>
    </row>
    <row r="709" spans="1:25" s="148" customFormat="1" ht="19.95" customHeight="1">
      <c r="A709" s="593" t="str">
        <f>RAW_DATA!A552</f>
        <v>078a_1</v>
      </c>
      <c r="B709" s="770" t="str">
        <f>RAW_DATA!B552</f>
        <v>2/21/2024 11:53:08 AM</v>
      </c>
      <c r="C709" s="148">
        <f>RAW_DATA!C552</f>
        <v>0.118191</v>
      </c>
      <c r="D709" s="317">
        <f t="shared" si="201"/>
        <v>3.0386500000000014</v>
      </c>
      <c r="E709" s="317">
        <f t="shared" si="202"/>
        <v>3.3607500000000003</v>
      </c>
      <c r="F709" s="317">
        <f t="shared" ref="F709:F717" si="208">C709-$C$697</f>
        <v>0.118425</v>
      </c>
      <c r="G709" s="317">
        <f t="shared" ref="G709:G719" si="209">F709</f>
        <v>0.118425</v>
      </c>
      <c r="H709" s="80">
        <f t="shared" si="194"/>
        <v>0.13097817081598731</v>
      </c>
      <c r="I709" s="317">
        <f t="shared" si="203"/>
        <v>0.1282853526078192</v>
      </c>
      <c r="J709" s="199">
        <f t="shared" si="204"/>
        <v>0.1282853526078192</v>
      </c>
      <c r="K709" s="778">
        <f t="shared" si="205"/>
        <v>8.3542935416243554E-4</v>
      </c>
      <c r="L709" s="744">
        <f t="array" ref="L709:M709">ResultEXLN_GS($L$702:$L$706,$J$702:$J$706,J709,K709,pSiO2v,0)</f>
        <v>0.42353818932199305</v>
      </c>
      <c r="M709" s="744">
        <v>2.8418683432670441E-3</v>
      </c>
      <c r="N709" s="743">
        <f t="shared" ref="N709:N718" si="210">M709/L709</f>
        <v>6.7098278618425268E-3</v>
      </c>
      <c r="O709" s="762">
        <f t="shared" ref="O709:O718" si="211">INDEX(LINEST($J$702:$J$706,$L$702:$L$706,TRUE,TRUE),3,1)</f>
        <v>0.99997296340302444</v>
      </c>
      <c r="P709" s="791" cm="1">
        <f t="array" ref="P709:Q709">ResultEXLN_MC($L$702:$L$706,$M$702:$M$706,$J$702:$J$706,$K$702:$K$706,J709,K709,MC)</f>
        <v>0.42354669589323374</v>
      </c>
      <c r="Q709" s="791">
        <v>3.073959288806263E-3</v>
      </c>
      <c r="R709" s="677">
        <f t="shared" ref="R709:R719" si="212">Q709/P709</f>
        <v>7.2576632484960676E-3</v>
      </c>
      <c r="S709" s="198">
        <f t="shared" ref="S709:S719" si="213">L709/P709</f>
        <v>0.99997991585975488</v>
      </c>
      <c r="T709" s="784">
        <f t="shared" ref="T709:T719" si="214">M709/Q709</f>
        <v>0.92449771654934676</v>
      </c>
      <c r="U709" s="138" cm="1">
        <f t="array" ref="U709:V709">ResultEXQD($L$702:$L$706,$J$702:$J$706,J709)</f>
        <v>0.4224637518312091</v>
      </c>
      <c r="V709" s="792">
        <v>38.171791230663743</v>
      </c>
      <c r="W709" s="198">
        <f t="shared" ref="W709:W719" si="215">L709/U709</f>
        <v>1.0025432655136133</v>
      </c>
      <c r="X709" s="735">
        <f t="shared" ref="X709:X717" si="216">(L709-AVERAGE($L$708:$L$717))/MEDIAN($M$708:$M$717)</f>
        <v>-0.84989477455725337</v>
      </c>
      <c r="Y709" s="949">
        <f t="shared" ref="Y709:Y717" si="217">H709/$H$704</f>
        <v>1.0185250336618181</v>
      </c>
    </row>
    <row r="710" spans="1:25" s="148" customFormat="1" ht="19.95" customHeight="1">
      <c r="A710" s="593" t="str">
        <f>RAW_DATA!A553</f>
        <v>155a_1</v>
      </c>
      <c r="B710" s="770" t="str">
        <f>RAW_DATA!B553</f>
        <v>2/21/2024 11:53:53 AM</v>
      </c>
      <c r="C710" s="148">
        <f>RAW_DATA!C553</f>
        <v>0.11924</v>
      </c>
      <c r="D710" s="317">
        <f t="shared" si="201"/>
        <v>3.0331000000000001</v>
      </c>
      <c r="E710" s="317">
        <f t="shared" si="202"/>
        <v>3.3545000000000007</v>
      </c>
      <c r="F710" s="317">
        <f t="shared" si="208"/>
        <v>0.119474</v>
      </c>
      <c r="G710" s="317">
        <f t="shared" si="209"/>
        <v>0.119474</v>
      </c>
      <c r="H710" s="80">
        <f t="shared" si="194"/>
        <v>0.13213396623916127</v>
      </c>
      <c r="I710" s="317">
        <f t="shared" si="203"/>
        <v>0.1294173856976131</v>
      </c>
      <c r="J710" s="199">
        <f t="shared" si="204"/>
        <v>0.1294173856976131</v>
      </c>
      <c r="K710" s="778">
        <f t="shared" si="205"/>
        <v>8.4280146371252759E-4</v>
      </c>
      <c r="L710" s="744">
        <f t="array" ref="L710:M710">ResultEXLN_GS($L$702:$L$706,$J$702:$J$706,J710,K710,pSiO2v,0)</f>
        <v>0.42727784532975149</v>
      </c>
      <c r="M710" s="744">
        <v>2.8649159737586262E-3</v>
      </c>
      <c r="N710" s="743">
        <f t="shared" si="210"/>
        <v>6.7050421758882177E-3</v>
      </c>
      <c r="O710" s="762">
        <f t="shared" si="211"/>
        <v>0.99997296340302444</v>
      </c>
      <c r="P710" s="791" cm="1">
        <f t="array" ref="P710:Q710">ResultEXLN_MC($L$702:$L$706,$M$702:$M$706,$J$702:$J$706,$K$702:$K$706,J710,K710,MC)</f>
        <v>0.42733904624902591</v>
      </c>
      <c r="Q710" s="791">
        <v>3.1123678321459286E-3</v>
      </c>
      <c r="R710" s="677">
        <f t="shared" si="212"/>
        <v>7.2831346900424339E-3</v>
      </c>
      <c r="S710" s="198">
        <f t="shared" si="213"/>
        <v>0.99985678603485539</v>
      </c>
      <c r="T710" s="784">
        <f t="shared" si="214"/>
        <v>0.92049401878804016</v>
      </c>
      <c r="U710" s="138" cm="1">
        <f t="array" ref="U710:V710">ResultEXQD($L$702:$L$706,$J$702:$J$706,J710)</f>
        <v>0.42618429039464018</v>
      </c>
      <c r="V710" s="792">
        <v>38.168070692100308</v>
      </c>
      <c r="W710" s="198">
        <f t="shared" si="215"/>
        <v>1.0025659203301434</v>
      </c>
      <c r="X710" s="735">
        <f t="shared" si="216"/>
        <v>0.45886837409710207</v>
      </c>
      <c r="Y710" s="949">
        <f t="shared" si="217"/>
        <v>1.027512841057207</v>
      </c>
    </row>
    <row r="711" spans="1:25" s="148" customFormat="1" ht="19.95" customHeight="1">
      <c r="A711" s="593" t="str">
        <f>RAW_DATA!A554</f>
        <v>232a_1</v>
      </c>
      <c r="B711" s="770" t="str">
        <f>RAW_DATA!B554</f>
        <v>2/21/2024 11:54:31 AM</v>
      </c>
      <c r="C711" s="148">
        <f>RAW_DATA!C554</f>
        <v>0.11856</v>
      </c>
      <c r="D711" s="317">
        <f t="shared" si="201"/>
        <v>3.0344499999999996</v>
      </c>
      <c r="E711" s="317">
        <f t="shared" si="202"/>
        <v>3.35595</v>
      </c>
      <c r="F711" s="317">
        <f t="shared" si="208"/>
        <v>0.118794</v>
      </c>
      <c r="G711" s="317">
        <f t="shared" si="209"/>
        <v>0.118794</v>
      </c>
      <c r="H711" s="80">
        <f t="shared" si="194"/>
        <v>0.13138022518084003</v>
      </c>
      <c r="I711" s="317">
        <f t="shared" si="203"/>
        <v>0.12867914102035632</v>
      </c>
      <c r="J711" s="199">
        <f t="shared" si="204"/>
        <v>0.12867914102035632</v>
      </c>
      <c r="K711" s="778">
        <f t="shared" si="205"/>
        <v>8.3799381216543352E-4</v>
      </c>
      <c r="L711" s="744">
        <f t="array" ref="L711:M711">ResultEXLN_GS($L$702:$L$706,$J$702:$J$706,J711,K711,pSiO2v,0)</f>
        <v>0.42483906401903765</v>
      </c>
      <c r="M711" s="744">
        <v>2.84987819905023E-3</v>
      </c>
      <c r="N711" s="743">
        <f t="shared" si="210"/>
        <v>6.7081359517412991E-3</v>
      </c>
      <c r="O711" s="762">
        <f t="shared" si="211"/>
        <v>0.99997296340302444</v>
      </c>
      <c r="P711" s="791" cm="1">
        <f t="array" ref="P711:Q711">ResultEXLN_MC($L$702:$L$706,$M$702:$M$706,$J$702:$J$706,$K$702:$K$706,J711,K711,MC)</f>
        <v>0.42491493681908088</v>
      </c>
      <c r="Q711" s="791">
        <v>3.1072669520881896E-3</v>
      </c>
      <c r="R711" s="677">
        <f t="shared" si="212"/>
        <v>7.3126799809609729E-3</v>
      </c>
      <c r="S711" s="198">
        <f t="shared" si="213"/>
        <v>0.99982144002606443</v>
      </c>
      <c r="T711" s="784">
        <f t="shared" si="214"/>
        <v>0.91716554869384959</v>
      </c>
      <c r="U711" s="138" cm="1">
        <f t="array" ref="U711:V711">ResultEXQD($L$702:$L$706,$J$702:$J$706,J711)</f>
        <v>0.42375789315334378</v>
      </c>
      <c r="V711" s="792">
        <v>38.170497089341602</v>
      </c>
      <c r="W711" s="198">
        <f t="shared" si="215"/>
        <v>1.0025513881467751</v>
      </c>
      <c r="X711" s="735">
        <f t="shared" si="216"/>
        <v>-0.3946291402377558</v>
      </c>
      <c r="Y711" s="949">
        <f t="shared" si="217"/>
        <v>1.0216515274351265</v>
      </c>
    </row>
    <row r="712" spans="1:25" s="148" customFormat="1" ht="19.95" customHeight="1">
      <c r="A712" s="593" t="str">
        <f>RAW_DATA!A555</f>
        <v>310a_1</v>
      </c>
      <c r="B712" s="770" t="str">
        <f>RAW_DATA!B555</f>
        <v>2/21/2024 11:55:10 AM</v>
      </c>
      <c r="C712" s="148">
        <f>RAW_DATA!C555</f>
        <v>0.119785</v>
      </c>
      <c r="D712" s="317">
        <f t="shared" si="201"/>
        <v>3.0447500000000005</v>
      </c>
      <c r="E712" s="317">
        <f t="shared" si="202"/>
        <v>3.3652999999999995</v>
      </c>
      <c r="F712" s="317">
        <f t="shared" si="208"/>
        <v>0.120019</v>
      </c>
      <c r="G712" s="317">
        <f t="shared" si="209"/>
        <v>0.120019</v>
      </c>
      <c r="H712" s="80">
        <f t="shared" si="194"/>
        <v>0.13265454986452085</v>
      </c>
      <c r="I712" s="317">
        <f t="shared" si="203"/>
        <v>0.12992726649320718</v>
      </c>
      <c r="J712" s="199">
        <f t="shared" si="204"/>
        <v>0.12992726649320718</v>
      </c>
      <c r="K712" s="778">
        <f t="shared" si="205"/>
        <v>8.4612194711225931E-4</v>
      </c>
      <c r="L712" s="744">
        <f t="array" ref="L712:M712">ResultEXLN_GS($L$702:$L$706,$J$702:$J$706,J712,K712,pSiO2v,0)</f>
        <v>0.42896222964472874</v>
      </c>
      <c r="M712" s="744">
        <v>2.8753182442513565E-3</v>
      </c>
      <c r="N712" s="743">
        <f t="shared" si="210"/>
        <v>6.7029636773212574E-3</v>
      </c>
      <c r="O712" s="762">
        <f t="shared" si="211"/>
        <v>0.99997296340302444</v>
      </c>
      <c r="P712" s="791" cm="1">
        <f t="array" ref="P712:Q712">ResultEXLN_MC($L$702:$L$706,$M$702:$M$706,$J$702:$J$706,$K$702:$K$706,J712,K712,MC)</f>
        <v>0.42896529556680529</v>
      </c>
      <c r="Q712" s="791">
        <v>3.0937257540930244E-3</v>
      </c>
      <c r="R712" s="677">
        <f t="shared" si="212"/>
        <v>7.2120653723401745E-3</v>
      </c>
      <c r="S712" s="198">
        <f t="shared" si="213"/>
        <v>0.99999285275030814</v>
      </c>
      <c r="T712" s="784">
        <f t="shared" si="214"/>
        <v>0.92940307991013327</v>
      </c>
      <c r="U712" s="138" cm="1">
        <f t="array" ref="U712:V712">ResultEXQD($L$702:$L$706,$J$702:$J$706,J712)</f>
        <v>0.42786030361398075</v>
      </c>
      <c r="V712" s="792">
        <v>38.16639467888097</v>
      </c>
      <c r="W712" s="198">
        <f t="shared" si="215"/>
        <v>1.0025754341345539</v>
      </c>
      <c r="X712" s="735">
        <f t="shared" si="216"/>
        <v>1.0483504320832306</v>
      </c>
      <c r="Y712" s="949">
        <f t="shared" si="217"/>
        <v>1.031561053451989</v>
      </c>
    </row>
    <row r="713" spans="1:25" s="148" customFormat="1" ht="19.95" customHeight="1">
      <c r="A713" s="593" t="str">
        <f>RAW_DATA!A556</f>
        <v>001a_2</v>
      </c>
      <c r="B713" s="770" t="str">
        <f>RAW_DATA!B556</f>
        <v>2/21/2024 11:55:49 AM</v>
      </c>
      <c r="C713" s="148">
        <f>RAW_DATA!C556</f>
        <v>0.11821</v>
      </c>
      <c r="D713" s="317">
        <f t="shared" si="201"/>
        <v>3.0284500000000012</v>
      </c>
      <c r="E713" s="317">
        <f t="shared" si="202"/>
        <v>3.350200000000001</v>
      </c>
      <c r="F713" s="317">
        <f t="shared" si="208"/>
        <v>0.11844399999999999</v>
      </c>
      <c r="G713" s="317">
        <f t="shared" si="209"/>
        <v>0.11844399999999999</v>
      </c>
      <c r="H713" s="80">
        <f t="shared" si="194"/>
        <v>0.131027782793178</v>
      </c>
      <c r="I713" s="317">
        <f t="shared" si="203"/>
        <v>0.12833394459797931</v>
      </c>
      <c r="J713" s="199">
        <f t="shared" si="204"/>
        <v>0.12833394459797931</v>
      </c>
      <c r="K713" s="778">
        <f t="shared" si="205"/>
        <v>8.3574579851193999E-4</v>
      </c>
      <c r="L713" s="744">
        <f t="array" ref="L713:M713">ResultEXLN_GS($L$702:$L$706,$J$702:$J$706,J713,K713,pSiO2v,0)</f>
        <v>0.4236987123045538</v>
      </c>
      <c r="M713" s="744">
        <v>2.8428562940038789E-3</v>
      </c>
      <c r="N713" s="743">
        <f t="shared" si="210"/>
        <v>6.7096174981066247E-3</v>
      </c>
      <c r="O713" s="762">
        <f t="shared" si="211"/>
        <v>0.99997296340302444</v>
      </c>
      <c r="P713" s="791" cm="1">
        <f t="array" ref="P713:Q713">ResultEXLN_MC($L$702:$L$706,$M$702:$M$706,$J$702:$J$706,$K$702:$K$706,J713,K713,MC)</f>
        <v>0.4238002232326552</v>
      </c>
      <c r="Q713" s="791">
        <v>3.0368178703570848E-3</v>
      </c>
      <c r="R713" s="677">
        <f t="shared" si="212"/>
        <v>7.165682564282066E-3</v>
      </c>
      <c r="S713" s="198">
        <f t="shared" si="213"/>
        <v>0.99976047457614081</v>
      </c>
      <c r="T713" s="784">
        <f t="shared" si="214"/>
        <v>0.93612999375217754</v>
      </c>
      <c r="U713" s="138" cm="1">
        <f t="array" ref="U713:V713">ResultEXQD($L$702:$L$706,$J$702:$J$706,J713)</f>
        <v>0.42262343914181555</v>
      </c>
      <c r="V713" s="792">
        <v>38.171631543353136</v>
      </c>
      <c r="W713" s="198">
        <f t="shared" si="215"/>
        <v>1.0025442818905683</v>
      </c>
      <c r="X713" s="735">
        <f t="shared" si="216"/>
        <v>-0.79371672939701865</v>
      </c>
      <c r="Y713" s="949">
        <f t="shared" si="217"/>
        <v>1.0189108310845747</v>
      </c>
    </row>
    <row r="714" spans="1:25" s="148" customFormat="1" ht="19.95" customHeight="1">
      <c r="A714" s="593" t="str">
        <f>RAW_DATA!A557</f>
        <v>078a_2</v>
      </c>
      <c r="B714" s="770" t="str">
        <f>RAW_DATA!B557</f>
        <v>2/21/2024 11:56:26 AM</v>
      </c>
      <c r="C714" s="148">
        <f>RAW_DATA!C557</f>
        <v>0.119827</v>
      </c>
      <c r="D714" s="317">
        <f t="shared" si="201"/>
        <v>3.0285499999999992</v>
      </c>
      <c r="E714" s="317">
        <f t="shared" si="202"/>
        <v>3.3497000000000003</v>
      </c>
      <c r="F714" s="317">
        <f t="shared" si="208"/>
        <v>0.120061</v>
      </c>
      <c r="G714" s="317">
        <f t="shared" si="209"/>
        <v>0.120061</v>
      </c>
      <c r="H714" s="80">
        <f t="shared" si="194"/>
        <v>0.13279236984695653</v>
      </c>
      <c r="I714" s="317">
        <f t="shared" si="203"/>
        <v>0.13006225299464491</v>
      </c>
      <c r="J714" s="199">
        <f t="shared" si="204"/>
        <v>0.13006225299464491</v>
      </c>
      <c r="K714" s="778">
        <f t="shared" si="205"/>
        <v>8.4700101618307919E-4</v>
      </c>
      <c r="L714" s="744">
        <f t="array" ref="L714:M714">ResultEXLN_GS($L$702:$L$706,$J$702:$J$706,J714,K714,pSiO2v,0)</f>
        <v>0.42940815572729563</v>
      </c>
      <c r="M714" s="744">
        <v>2.8780743469063977E-3</v>
      </c>
      <c r="N714" s="743">
        <f t="shared" si="210"/>
        <v>6.7024212477561265E-3</v>
      </c>
      <c r="O714" s="762">
        <f t="shared" si="211"/>
        <v>0.99997296340302444</v>
      </c>
      <c r="P714" s="791" cm="1">
        <f t="array" ref="P714:Q714">ResultEXLN_MC($L$702:$L$706,$M$702:$M$706,$J$702:$J$706,$K$702:$K$706,J714,K714,MC)</f>
        <v>0.42957908963266805</v>
      </c>
      <c r="Q714" s="791">
        <v>3.106590621645847E-3</v>
      </c>
      <c r="R714" s="677">
        <f t="shared" si="212"/>
        <v>7.2317081920870137E-3</v>
      </c>
      <c r="S714" s="198">
        <f t="shared" si="213"/>
        <v>0.99960208979091936</v>
      </c>
      <c r="T714" s="784">
        <f t="shared" si="214"/>
        <v>0.9264414586372558</v>
      </c>
      <c r="U714" s="138" cm="1">
        <f t="array" ref="U714:V714">ResultEXQD($L$702:$L$706,$J$702:$J$706,J714)</f>
        <v>0.42830403844504</v>
      </c>
      <c r="V714" s="792">
        <v>38.165950944049911</v>
      </c>
      <c r="W714" s="198">
        <f t="shared" si="215"/>
        <v>1.0025778820257314</v>
      </c>
      <c r="X714" s="735">
        <f t="shared" si="216"/>
        <v>1.204410674703555</v>
      </c>
      <c r="Y714" s="949">
        <f t="shared" si="217"/>
        <v>1.0326327824383923</v>
      </c>
    </row>
    <row r="715" spans="1:25" s="148" customFormat="1" ht="19.95" customHeight="1">
      <c r="A715" s="593" t="str">
        <f>RAW_DATA!A558</f>
        <v>155a_2</v>
      </c>
      <c r="B715" s="770" t="str">
        <f>RAW_DATA!B558</f>
        <v>2/21/2024 11:57:02 AM</v>
      </c>
      <c r="C715" s="148">
        <f>RAW_DATA!C558</f>
        <v>0.118369</v>
      </c>
      <c r="D715" s="317">
        <f t="shared" si="201"/>
        <v>3.0305</v>
      </c>
      <c r="E715" s="317">
        <f t="shared" si="202"/>
        <v>3.3520000000000003</v>
      </c>
      <c r="F715" s="317">
        <f t="shared" si="208"/>
        <v>0.118603</v>
      </c>
      <c r="G715" s="317">
        <f t="shared" si="209"/>
        <v>0.118603</v>
      </c>
      <c r="H715" s="80">
        <f t="shared" si="194"/>
        <v>0.131185367431117</v>
      </c>
      <c r="I715" s="317">
        <f t="shared" si="203"/>
        <v>0.12848828940763452</v>
      </c>
      <c r="J715" s="199">
        <f t="shared" si="204"/>
        <v>0.12848828940763452</v>
      </c>
      <c r="K715" s="778">
        <f t="shared" si="205"/>
        <v>8.3675093418820665E-4</v>
      </c>
      <c r="L715" s="744">
        <f t="array" ref="L715:M715">ResultEXLN_GS($L$702:$L$706,$J$702:$J$706,J715,K715,pSiO2v,0)</f>
        <v>0.42420858829660502</v>
      </c>
      <c r="M715" s="744">
        <v>2.8459951773599831E-3</v>
      </c>
      <c r="N715" s="743">
        <f t="shared" si="210"/>
        <v>6.7089522840354998E-3</v>
      </c>
      <c r="O715" s="762">
        <f t="shared" si="211"/>
        <v>0.99997296340302444</v>
      </c>
      <c r="P715" s="791" cm="1">
        <f t="array" ref="P715:Q715">ResultEXLN_MC($L$702:$L$706,$M$702:$M$706,$J$702:$J$706,$K$702:$K$706,J715,K715,MC)</f>
        <v>0.42433108363341843</v>
      </c>
      <c r="Q715" s="791">
        <v>3.0372145017655491E-3</v>
      </c>
      <c r="R715" s="677">
        <f t="shared" si="212"/>
        <v>7.1576526417975374E-3</v>
      </c>
      <c r="S715" s="198">
        <f t="shared" si="213"/>
        <v>0.99971132132069018</v>
      </c>
      <c r="T715" s="784">
        <f t="shared" si="214"/>
        <v>0.9370412184274739</v>
      </c>
      <c r="U715" s="138" cm="1">
        <f t="array" ref="U715:V715">ResultEXQD($L$702:$L$706,$J$702:$J$706,J715)</f>
        <v>0.42313066971471547</v>
      </c>
      <c r="V715" s="792">
        <v>38.171124312780236</v>
      </c>
      <c r="W715" s="198">
        <f t="shared" si="215"/>
        <v>1.0025474839311845</v>
      </c>
      <c r="X715" s="735">
        <f t="shared" si="216"/>
        <v>-0.61527600987741959</v>
      </c>
      <c r="Y715" s="949">
        <f t="shared" si="217"/>
        <v>1.0201362558836957</v>
      </c>
    </row>
    <row r="716" spans="1:25" s="148" customFormat="1" ht="19.95" customHeight="1">
      <c r="A716" s="593" t="str">
        <f>RAW_DATA!A559</f>
        <v>232a_2</v>
      </c>
      <c r="B716" s="770" t="str">
        <f>RAW_DATA!B559</f>
        <v>2/21/2024 11:57:35 AM</v>
      </c>
      <c r="C716" s="148">
        <f>RAW_DATA!C559</f>
        <v>0.119736</v>
      </c>
      <c r="D716" s="317">
        <f t="shared" si="201"/>
        <v>3.0397499999999997</v>
      </c>
      <c r="E716" s="317">
        <f t="shared" si="202"/>
        <v>3.3613999999999997</v>
      </c>
      <c r="F716" s="317">
        <f t="shared" si="208"/>
        <v>0.11996999999999999</v>
      </c>
      <c r="G716" s="317">
        <f t="shared" si="209"/>
        <v>0.11996999999999999</v>
      </c>
      <c r="H716" s="80">
        <f t="shared" si="194"/>
        <v>0.13266458031088083</v>
      </c>
      <c r="I716" s="317">
        <f t="shared" si="203"/>
        <v>0.12993709072071077</v>
      </c>
      <c r="J716" s="199">
        <f t="shared" si="204"/>
        <v>0.12993709072071077</v>
      </c>
      <c r="K716" s="778">
        <f t="shared" si="205"/>
        <v>8.4618592517266618E-4</v>
      </c>
      <c r="L716" s="744">
        <f t="array" ref="L716:M716">ResultEXLN_GS($L$702:$L$706,$J$702:$J$706,J716,K716,pSiO2v,0)</f>
        <v>0.42899468384746947</v>
      </c>
      <c r="M716" s="744">
        <v>2.8755188007126343E-3</v>
      </c>
      <c r="N716" s="743">
        <f t="shared" si="210"/>
        <v>6.7029240896957941E-3</v>
      </c>
      <c r="O716" s="762">
        <f t="shared" si="211"/>
        <v>0.99997296340302444</v>
      </c>
      <c r="P716" s="791" cm="1">
        <f t="array" ref="P716:Q716">ResultEXLN_MC($L$702:$L$706,$M$702:$M$706,$J$702:$J$706,$K$702:$K$706,J716,K716,MC)</f>
        <v>0.4290022166069733</v>
      </c>
      <c r="Q716" s="791">
        <v>3.2210325886735777E-3</v>
      </c>
      <c r="R716" s="677">
        <f t="shared" si="212"/>
        <v>7.5081956782160385E-3</v>
      </c>
      <c r="S716" s="198">
        <f t="shared" si="213"/>
        <v>0.99998244121076252</v>
      </c>
      <c r="T716" s="784">
        <f t="shared" si="214"/>
        <v>0.89273198005636256</v>
      </c>
      <c r="U716" s="138" cm="1">
        <f t="array" ref="U716:V716">ResultEXQD($L$702:$L$706,$J$702:$J$706,J716)</f>
        <v>0.42789259798680784</v>
      </c>
      <c r="V716" s="792">
        <v>38.16636238450814</v>
      </c>
      <c r="W716" s="198">
        <f t="shared" si="215"/>
        <v>1.0025756132867145</v>
      </c>
      <c r="X716" s="735">
        <f t="shared" si="216"/>
        <v>1.0597083924084321</v>
      </c>
      <c r="Y716" s="949">
        <f t="shared" si="217"/>
        <v>1.0316390531724982</v>
      </c>
    </row>
    <row r="717" spans="1:25" s="148" customFormat="1" ht="19.95" customHeight="1">
      <c r="A717" s="589" t="str">
        <f>RAW_DATA!A560</f>
        <v>310a_2</v>
      </c>
      <c r="B717" s="771" t="str">
        <f>RAW_DATA!B560</f>
        <v>2/21/2024 11:58:10 AM</v>
      </c>
      <c r="C717" s="315">
        <f>RAW_DATA!C560</f>
        <v>0.119271</v>
      </c>
      <c r="D717" s="319">
        <f t="shared" si="201"/>
        <v>3.0404499999999999</v>
      </c>
      <c r="E717" s="319">
        <f t="shared" si="202"/>
        <v>3.3619000000000003</v>
      </c>
      <c r="F717" s="319">
        <f t="shared" si="208"/>
        <v>0.119505</v>
      </c>
      <c r="G717" s="319">
        <f t="shared" si="209"/>
        <v>0.119505</v>
      </c>
      <c r="H717" s="81">
        <f t="shared" si="194"/>
        <v>0.13213960417043533</v>
      </c>
      <c r="I717" s="319">
        <f t="shared" si="203"/>
        <v>0.12942290771702264</v>
      </c>
      <c r="J717" s="790">
        <f t="shared" si="204"/>
        <v>0.12942290771702264</v>
      </c>
      <c r="K717" s="779">
        <f t="shared" si="205"/>
        <v>8.4283742461543042E-4</v>
      </c>
      <c r="L717" s="747">
        <f t="array" ref="L717:M717">ResultEXLN_GS($L$702:$L$706,$J$702:$J$706,J717,K717,pSiO2v,0)</f>
        <v>0.4272960872462167</v>
      </c>
      <c r="M717" s="747">
        <v>2.8650285601051336E-3</v>
      </c>
      <c r="N717" s="746">
        <f t="shared" si="210"/>
        <v>6.7050194130475289E-3</v>
      </c>
      <c r="O717" s="763">
        <f t="shared" si="211"/>
        <v>0.99997296340302444</v>
      </c>
      <c r="P717" s="680" cm="1">
        <f t="array" ref="P717:Q717">ResultEXLN_MC($L$702:$L$706,$M$702:$M$706,$J$702:$J$706,$K$702:$K$706,J717,K717,MC)</f>
        <v>0.42741495033049043</v>
      </c>
      <c r="Q717" s="680">
        <v>3.0876610300594833E-3</v>
      </c>
      <c r="R717" s="679">
        <f t="shared" si="212"/>
        <v>7.2240360981102991E-3</v>
      </c>
      <c r="S717" s="201">
        <f t="shared" si="213"/>
        <v>0.99972190237102887</v>
      </c>
      <c r="T717" s="785">
        <f t="shared" si="214"/>
        <v>0.92789607803870211</v>
      </c>
      <c r="U717" s="140" cm="1">
        <f t="array" ref="U717:V717">ResultEXQD($L$702:$L$706,$J$702:$J$706,J717)</f>
        <v>0.42620244085465037</v>
      </c>
      <c r="V717" s="793">
        <v>38.1680525416403</v>
      </c>
      <c r="W717" s="201">
        <f t="shared" si="215"/>
        <v>1.0025660256411795</v>
      </c>
      <c r="X717" s="599">
        <f t="shared" si="216"/>
        <v>0.46525247680092541</v>
      </c>
      <c r="Y717" s="950">
        <f t="shared" si="217"/>
        <v>1.0275566832799599</v>
      </c>
    </row>
    <row r="718" spans="1:25" s="148" customFormat="1" ht="19.95" customHeight="1">
      <c r="A718" s="593" t="str">
        <f>RAW_DATA!A561</f>
        <v>SALT1_113</v>
      </c>
      <c r="B718" s="770" t="str">
        <f>RAW_DATA!B561</f>
        <v>2/21/2024 11:59:02 AM</v>
      </c>
      <c r="C718" s="148">
        <f>RAW_DATA!C561</f>
        <v>0.14979899999999999</v>
      </c>
      <c r="D718" s="317">
        <f t="shared" si="201"/>
        <v>3.0365999999999991</v>
      </c>
      <c r="E718" s="317">
        <f t="shared" si="202"/>
        <v>3.3571999999999997</v>
      </c>
      <c r="F718" s="317">
        <f>C718-C698</f>
        <v>0.14979299999999998</v>
      </c>
      <c r="G718" s="317">
        <f t="shared" si="209"/>
        <v>0.14979299999999998</v>
      </c>
      <c r="H718" s="80">
        <f t="shared" si="194"/>
        <v>0.16560793637621024</v>
      </c>
      <c r="I718" s="317">
        <f>H718/dSALT1</f>
        <v>0.16185096582839364</v>
      </c>
      <c r="J718" s="796">
        <f>I718</f>
        <v>0.16185096582839364</v>
      </c>
      <c r="K718" s="778">
        <f t="shared" ref="K718:K719" si="218">J718*(STDEV($I$708:$I$717)/AVERAGE($I$708:$I$717))</f>
        <v>1.0540178212390847E-3</v>
      </c>
      <c r="L718" s="744">
        <f t="array" ref="L718:M718">ResultEXLN_GS($L$702:$L$706,$J$702:$J$706,J718,K718,pSiO2v,0)</f>
        <v>0.53442173881017185</v>
      </c>
      <c r="M718" s="744">
        <v>3.5478210148718655E-3</v>
      </c>
      <c r="N718" s="743">
        <f t="shared" si="210"/>
        <v>6.6386165779309019E-3</v>
      </c>
      <c r="O718" s="762">
        <f t="shared" si="211"/>
        <v>0.99997296340302444</v>
      </c>
      <c r="P718" s="791" cm="1">
        <f t="array" ref="P718:Q718">ResultEXLN_MC($L$702:$L$706,$M$702:$M$706,$J$702:$J$706,$K$702:$K$706,J718,K718,MC)</f>
        <v>0.53452741656968161</v>
      </c>
      <c r="Q718" s="791">
        <v>3.9070538188868313E-3</v>
      </c>
      <c r="R718" s="677">
        <f t="shared" si="212"/>
        <v>7.3093609378547253E-3</v>
      </c>
      <c r="S718" s="198">
        <f t="shared" si="213"/>
        <v>0.99980229683972444</v>
      </c>
      <c r="T718" s="784">
        <f t="shared" si="214"/>
        <v>0.90805532233049302</v>
      </c>
      <c r="U718" s="138" cm="1">
        <f t="array" ref="U718:V718">ResultEXQD($L$702:$L$706,$J$702:$J$706,J718)</f>
        <v>0.53309380022927566</v>
      </c>
      <c r="V718" s="792">
        <v>38.061161182265671</v>
      </c>
      <c r="W718" s="198">
        <f t="shared" si="215"/>
        <v>1.0024910036101058</v>
      </c>
    </row>
    <row r="719" spans="1:25" s="148" customFormat="1" ht="19.95" customHeight="1">
      <c r="A719" s="589" t="str">
        <f>RAW_DATA!A562</f>
        <v>MOOS3</v>
      </c>
      <c r="B719" s="771" t="str">
        <f>RAW_DATA!B562</f>
        <v>2/21/2024 11:59:42 AM</v>
      </c>
      <c r="C719" s="315">
        <f>RAW_DATA!C562</f>
        <v>0.49205100000000002</v>
      </c>
      <c r="D719" s="319">
        <f t="shared" si="201"/>
        <v>3.0619999999999994</v>
      </c>
      <c r="E719" s="319">
        <f t="shared" si="202"/>
        <v>3.3841000000000001</v>
      </c>
      <c r="F719" s="319">
        <f>C719-C699</f>
        <v>0.49201300000000003</v>
      </c>
      <c r="G719" s="319">
        <f t="shared" si="209"/>
        <v>0.49201300000000003</v>
      </c>
      <c r="H719" s="81">
        <f t="shared" si="194"/>
        <v>0.54376916828870037</v>
      </c>
      <c r="I719" s="319">
        <f>H719/dMOOS3</f>
        <v>0.52757268680382308</v>
      </c>
      <c r="J719" s="797">
        <f>I719</f>
        <v>0.52757268680382308</v>
      </c>
      <c r="K719" s="779">
        <f t="shared" si="218"/>
        <v>3.4356978411843597E-3</v>
      </c>
      <c r="L719" s="747">
        <f t="array" ref="L719:M719">ResultEXLN_GS($L$702:$L$707,$J$702:$J$707,J719,K719,pSiO2v,0)</f>
        <v>1.7326419892479867</v>
      </c>
      <c r="M719" s="747">
        <v>1.1375399081618203E-2</v>
      </c>
      <c r="N719" s="746">
        <f>M719/L719</f>
        <v>6.5653488442557213E-3</v>
      </c>
      <c r="O719" s="763">
        <f>INDEX(LINEST($J$702:$J$707,$L$702:$L$707,TRUE,TRUE),3,1)</f>
        <v>0.99999273444997927</v>
      </c>
      <c r="P719" s="680">
        <f t="array" ref="P719:Q719">ResultEXLN_MC($L$702:$L$707,$M$702:$M$707,$J$702:$J$707,$K$702:$K$707,J719,K719,MC)</f>
        <v>1.7329460367421856</v>
      </c>
      <c r="Q719" s="680">
        <v>1.4977557732023417E-2</v>
      </c>
      <c r="R719" s="679">
        <f t="shared" si="212"/>
        <v>8.6428298484009063E-3</v>
      </c>
      <c r="S719" s="201">
        <f t="shared" si="213"/>
        <v>0.99982454878123583</v>
      </c>
      <c r="T719" s="785">
        <f t="shared" si="214"/>
        <v>0.75949626001417692</v>
      </c>
      <c r="U719" s="140" cm="1">
        <f t="array" ref="U719:V719">ResultEXQD($L$702:$L$707,$J$702:$J$707,J719)</f>
        <v>1.7353631402280649</v>
      </c>
      <c r="V719" s="793">
        <v>-217.95935985945144</v>
      </c>
      <c r="W719" s="201">
        <f t="shared" si="215"/>
        <v>0.99843194146689063</v>
      </c>
      <c r="X719" s="315"/>
      <c r="Y719" s="315"/>
    </row>
    <row r="721" spans="1:68" s="148" customFormat="1" ht="19.95" customHeight="1">
      <c r="A721" s="593"/>
      <c r="B721" s="380" t="s">
        <v>2178</v>
      </c>
      <c r="C721" s="230"/>
      <c r="D721" s="380" t="s">
        <v>2184</v>
      </c>
      <c r="E721" s="230"/>
      <c r="F721" s="230"/>
      <c r="G721" s="380" t="s">
        <v>2185</v>
      </c>
      <c r="H721" s="230"/>
      <c r="I721" s="230"/>
      <c r="J721" s="230"/>
      <c r="K721" s="230"/>
      <c r="L721" s="233" t="s">
        <v>217</v>
      </c>
    </row>
    <row r="722" spans="1:68" s="148" customFormat="1" ht="19.95" customHeight="1">
      <c r="A722" s="587" t="s">
        <v>100</v>
      </c>
      <c r="B722" s="663" t="s">
        <v>2179</v>
      </c>
      <c r="C722" s="663" t="s">
        <v>2180</v>
      </c>
      <c r="D722" s="663" t="s">
        <v>229</v>
      </c>
      <c r="E722" s="663" t="s">
        <v>1171</v>
      </c>
      <c r="F722" s="663" t="s">
        <v>1172</v>
      </c>
      <c r="G722" s="589" t="s">
        <v>2181</v>
      </c>
      <c r="H722" s="589" t="s">
        <v>2182</v>
      </c>
      <c r="I722" s="589" t="s">
        <v>2183</v>
      </c>
      <c r="J722" s="589" t="s">
        <v>2186</v>
      </c>
      <c r="K722" s="589" t="s">
        <v>2187</v>
      </c>
      <c r="L722" s="663" t="s">
        <v>2188</v>
      </c>
    </row>
    <row r="723" spans="1:68" s="148" customFormat="1" ht="19.95" customHeight="1">
      <c r="A723" s="590" t="str">
        <f>A718</f>
        <v>SALT1_113</v>
      </c>
      <c r="B723" s="730">
        <f>I236</f>
        <v>0.52039043991872747</v>
      </c>
      <c r="C723" s="730">
        <f>J236</f>
        <v>8.3172007802317597E-3</v>
      </c>
      <c r="D723" s="272">
        <f>L718</f>
        <v>0.53442173881017185</v>
      </c>
      <c r="E723" s="272">
        <f>M718</f>
        <v>3.5478210148718655E-3</v>
      </c>
      <c r="F723" s="590">
        <v>3</v>
      </c>
      <c r="G723" s="590" t="b">
        <f>IF(ABS(B723-D723)&lt;2*SQRT(C723^2+E723^2/F723),TRUE,FALSE)</f>
        <v>1</v>
      </c>
      <c r="H723" s="590" t="b">
        <f>IF(SQRT(F723)*(ABS(D723-B723)-2*C723)/E723&gt;ABS(_xlfn.T.INV(0.05/2,F723-1)),FALSE,TRUE)</f>
        <v>1</v>
      </c>
      <c r="I723" s="590" t="b">
        <f>IF(AND((D723-B723)^2/MAX(E723^2/(F723-1),C723^2)&lt;_xlfn.T.INV(0.05/2,F723-1)^2,F723&gt;2),TRUE,FALSE)</f>
        <v>1</v>
      </c>
      <c r="J723" s="590" t="b">
        <f>IF(SQRT(F723)*ABS(D723-B723)/(E723/(1-0.333/F723))&gt;ABS(_xlfn.T.INV(0.05/2,F723-1)),FALSE,TRUE)</f>
        <v>0</v>
      </c>
      <c r="K723" s="590" t="b">
        <f>IF(F723*(D723-B723)^2/(2*C723)^2&lt;_xlfn.CHISQ.INV(SQRT(0.95),1),IF((F723-1)*E723^2/(2*C723)^2&lt;_xlfn.CHISQ.INV(SQRT(0.95),F723-1),TRUE,FALSE),FALSE)</f>
        <v>1</v>
      </c>
      <c r="L723" s="794">
        <f>D723/B723</f>
        <v>1.0269630220217645</v>
      </c>
    </row>
    <row r="724" spans="1:68" s="148" customFormat="1" ht="19.95" customHeight="1">
      <c r="A724" s="589" t="str">
        <f>A719</f>
        <v>MOOS3</v>
      </c>
      <c r="B724" s="319">
        <v>1.77</v>
      </c>
      <c r="C724" s="319">
        <f>0.04/2</f>
        <v>0.02</v>
      </c>
      <c r="D724" s="143">
        <f>L719</f>
        <v>1.7326419892479867</v>
      </c>
      <c r="E724" s="143">
        <f>M719</f>
        <v>1.1375399081618203E-2</v>
      </c>
      <c r="F724" s="589">
        <v>3</v>
      </c>
      <c r="G724" s="589" t="b">
        <f>IF(ABS(B724-D724)&lt;2*SQRT(C724^2+E724^2/F724),TRUE,FALSE)</f>
        <v>1</v>
      </c>
      <c r="H724" s="589" t="b">
        <f>IF(SQRT(F724)*(ABS(D724-B724)-2*C724)/E724&gt;ABS(_xlfn.T.INV(0.05/2,F724-1)),FALSE,TRUE)</f>
        <v>1</v>
      </c>
      <c r="I724" s="589" t="b">
        <f>IF(AND((D724-B724)^2/MAX(E724^2/(F724-1),C724^2)&lt;_xlfn.T.INV(0.05/2,F724-1)^2,F724&gt;2),TRUE,FALSE)</f>
        <v>1</v>
      </c>
      <c r="J724" s="589" t="b">
        <f>IF(SQRT(F724)*ABS(D724-B724)/(E724/(1-0.333/F724))&gt;ABS(_xlfn.T.INV(0.05/2,F724-1)),FALSE,TRUE)</f>
        <v>0</v>
      </c>
      <c r="K724" s="589" t="b">
        <f>IF(F724*(D724-B724)^2/(2*C724)^2&lt;_xlfn.CHISQ.INV(SQRT(0.95),1),IF((F724-1)*E724^2/(2*C724)^2&lt;_xlfn.CHISQ.INV(SQRT(0.95),F724-1),TRUE,FALSE),FALSE)</f>
        <v>1</v>
      </c>
      <c r="L724" s="321">
        <f>D724/B724</f>
        <v>0.97889377923615073</v>
      </c>
    </row>
    <row r="725" spans="1:68" s="148" customFormat="1" ht="19.95" customHeight="1">
      <c r="A725" s="148" t="s">
        <v>2213</v>
      </c>
      <c r="B725" s="233"/>
      <c r="C725" s="233"/>
      <c r="D725" s="233"/>
    </row>
    <row r="726" spans="1:68" s="148" customFormat="1" ht="19.95" customHeight="1">
      <c r="A726" s="148" t="s">
        <v>2189</v>
      </c>
      <c r="D726" s="723"/>
    </row>
    <row r="727" spans="1:68" s="148" customFormat="1" ht="19.95" customHeight="1">
      <c r="A727" s="523" t="s">
        <v>2730</v>
      </c>
      <c r="D727" s="723"/>
    </row>
    <row r="728" spans="1:68" s="148" customFormat="1" ht="19.95" customHeight="1">
      <c r="A728" s="523" t="s">
        <v>2731</v>
      </c>
      <c r="D728" s="723"/>
    </row>
    <row r="729" spans="1:68" s="148" customFormat="1" ht="19.95" customHeight="1">
      <c r="A729" s="233"/>
      <c r="D729" s="723"/>
    </row>
    <row r="730" spans="1:68" s="588" customFormat="1" ht="19.95" customHeight="1">
      <c r="A730" s="623" t="s">
        <v>1814</v>
      </c>
      <c r="B730" s="167"/>
      <c r="C730" s="167"/>
      <c r="D730" s="168"/>
      <c r="E730" s="167"/>
      <c r="F730" s="167"/>
      <c r="G730" s="167"/>
      <c r="H730" s="167"/>
      <c r="I730" s="167"/>
      <c r="J730" s="167"/>
      <c r="K730" s="167"/>
      <c r="L730" s="167"/>
      <c r="M730" s="167"/>
      <c r="N730" s="167"/>
      <c r="O730" s="167"/>
      <c r="P730" s="167"/>
      <c r="Q730" s="167"/>
      <c r="R730" s="167"/>
      <c r="S730" s="167"/>
      <c r="T730" s="167"/>
      <c r="U730" s="167"/>
      <c r="V730" s="167"/>
      <c r="W730" s="167"/>
      <c r="X730" s="167"/>
      <c r="Y730" s="167"/>
      <c r="Z730" s="167"/>
      <c r="AA730" s="167"/>
      <c r="AB730" s="167"/>
      <c r="AC730" s="167"/>
      <c r="AD730" s="167"/>
      <c r="AE730" s="167"/>
      <c r="AF730" s="167"/>
      <c r="AG730" s="167"/>
      <c r="AH730" s="167"/>
      <c r="AI730" s="167"/>
      <c r="AJ730" s="167"/>
      <c r="AK730" s="167"/>
      <c r="AL730" s="167"/>
      <c r="AM730" s="167"/>
      <c r="AN730" s="167"/>
      <c r="AO730" s="167"/>
      <c r="AP730" s="167"/>
      <c r="AQ730" s="167"/>
      <c r="AR730" s="167"/>
      <c r="AS730" s="167"/>
      <c r="AT730" s="167"/>
      <c r="AU730" s="167"/>
      <c r="AV730" s="167"/>
      <c r="AW730" s="167"/>
      <c r="AX730" s="167"/>
      <c r="AY730" s="167"/>
      <c r="AZ730" s="167"/>
      <c r="BA730" s="167"/>
      <c r="BB730" s="167"/>
      <c r="BC730" s="167"/>
      <c r="BD730" s="167"/>
      <c r="BE730" s="167"/>
      <c r="BF730" s="167"/>
      <c r="BG730" s="167"/>
      <c r="BH730" s="167"/>
      <c r="BI730" s="167"/>
      <c r="BJ730" s="167"/>
      <c r="BK730" s="167"/>
      <c r="BL730" s="167"/>
      <c r="BM730" s="167"/>
      <c r="BN730" s="167"/>
      <c r="BO730" s="167"/>
      <c r="BP730" s="167"/>
    </row>
    <row r="731" spans="1:68" s="593" customFormat="1" ht="19.95" customHeight="1">
      <c r="A731" s="80"/>
      <c r="B731" s="80"/>
      <c r="C731" s="80"/>
      <c r="D731" s="80"/>
    </row>
    <row r="732" spans="1:68" s="593" customFormat="1" ht="19.95" customHeight="1">
      <c r="A732" s="80"/>
      <c r="B732" s="80"/>
      <c r="C732" s="80"/>
      <c r="D732" s="80"/>
      <c r="F732" s="593" t="s">
        <v>222</v>
      </c>
      <c r="G732" s="593" t="s">
        <v>223</v>
      </c>
      <c r="H732" s="593" t="s">
        <v>224</v>
      </c>
      <c r="I732" s="593" t="s">
        <v>134</v>
      </c>
      <c r="J732" s="593" t="s">
        <v>292</v>
      </c>
      <c r="K732" s="588" t="s">
        <v>1046</v>
      </c>
      <c r="L732" s="774" t="s">
        <v>2193</v>
      </c>
      <c r="M732" s="774"/>
      <c r="N732" s="774"/>
      <c r="O732" s="774"/>
      <c r="P732" s="290" t="s">
        <v>2064</v>
      </c>
      <c r="Q732" s="290"/>
      <c r="R732" s="290"/>
      <c r="S732" s="228" t="s">
        <v>2194</v>
      </c>
      <c r="T732" s="228"/>
      <c r="U732" s="593" t="s">
        <v>237</v>
      </c>
      <c r="V732" s="593" t="s">
        <v>237</v>
      </c>
      <c r="W732" s="593" t="s">
        <v>2203</v>
      </c>
    </row>
    <row r="733" spans="1:68" s="593" customFormat="1" ht="19.95" customHeight="1">
      <c r="A733" s="209" t="s">
        <v>1711</v>
      </c>
      <c r="C733" s="80"/>
      <c r="D733" s="80"/>
      <c r="F733" s="593" t="s">
        <v>242</v>
      </c>
      <c r="G733" s="593" t="s">
        <v>242</v>
      </c>
      <c r="H733" s="593" t="s">
        <v>242</v>
      </c>
      <c r="I733" s="593" t="s">
        <v>242</v>
      </c>
      <c r="J733" s="593" t="s">
        <v>242</v>
      </c>
      <c r="K733" s="588" t="s">
        <v>242</v>
      </c>
      <c r="L733" s="774" t="s">
        <v>1737</v>
      </c>
      <c r="M733" s="774" t="s">
        <v>1738</v>
      </c>
      <c r="N733" s="774" t="s">
        <v>1815</v>
      </c>
      <c r="O733" s="774" t="s">
        <v>2071</v>
      </c>
      <c r="P733" s="776" t="s">
        <v>1737</v>
      </c>
      <c r="Q733" s="776" t="s">
        <v>1738</v>
      </c>
      <c r="R733" s="776" t="s">
        <v>1815</v>
      </c>
      <c r="S733" s="228" t="s">
        <v>1737</v>
      </c>
      <c r="T733" s="228" t="s">
        <v>1738</v>
      </c>
      <c r="U733" s="593" t="s">
        <v>2200</v>
      </c>
      <c r="V733" s="593" t="s">
        <v>2201</v>
      </c>
      <c r="W733" s="593" t="s">
        <v>2202</v>
      </c>
      <c r="X733" s="314" t="s">
        <v>2400</v>
      </c>
      <c r="Y733" s="314" t="s">
        <v>2685</v>
      </c>
    </row>
    <row r="734" spans="1:68" s="593" customFormat="1" ht="19.95" customHeight="1">
      <c r="A734" s="587" t="str">
        <f>RAW_DATA!A567</f>
        <v>Sample ID</v>
      </c>
      <c r="B734" s="587" t="str">
        <f>RAW_DATA!B567</f>
        <v>Date</v>
      </c>
      <c r="C734" s="567" t="str">
        <f>RAW_DATA!C567</f>
        <v>541nm (Abs)</v>
      </c>
      <c r="D734" s="587" t="s">
        <v>113</v>
      </c>
      <c r="E734" s="587" t="s">
        <v>114</v>
      </c>
      <c r="F734" s="587" t="s">
        <v>1736</v>
      </c>
      <c r="G734" s="587" t="s">
        <v>1736</v>
      </c>
      <c r="H734" s="587" t="s">
        <v>1736</v>
      </c>
      <c r="I734" s="587" t="s">
        <v>1736</v>
      </c>
      <c r="J734" s="587" t="s">
        <v>1736</v>
      </c>
      <c r="K734" s="587" t="s">
        <v>1736</v>
      </c>
      <c r="L734" s="775" t="s">
        <v>156</v>
      </c>
      <c r="M734" s="775" t="s">
        <v>156</v>
      </c>
      <c r="N734" s="775" t="s">
        <v>74</v>
      </c>
      <c r="O734" s="775"/>
      <c r="P734" s="777" t="s">
        <v>156</v>
      </c>
      <c r="Q734" s="777" t="s">
        <v>156</v>
      </c>
      <c r="R734" s="777" t="s">
        <v>74</v>
      </c>
      <c r="S734" s="315" t="s">
        <v>74</v>
      </c>
      <c r="T734" s="315" t="s">
        <v>74</v>
      </c>
      <c r="U734" s="589" t="s">
        <v>156</v>
      </c>
      <c r="V734" s="589" t="s">
        <v>156</v>
      </c>
      <c r="W734" s="783" t="s">
        <v>74</v>
      </c>
      <c r="X734" s="315" t="s">
        <v>241</v>
      </c>
      <c r="Y734" s="315" t="s">
        <v>2686</v>
      </c>
    </row>
    <row r="735" spans="1:68" s="593" customFormat="1" ht="19.95" customHeight="1">
      <c r="A735" s="590" t="str">
        <f>RAW_DATA!A568</f>
        <v>BLS-DIW</v>
      </c>
      <c r="B735" s="769" t="str">
        <f>RAW_DATA!B568</f>
        <v>2/21/2024 1:35:24 PM</v>
      </c>
      <c r="C735" s="80">
        <f>RAW_DATA!C568</f>
        <v>1.2E-5</v>
      </c>
      <c r="D735" s="80"/>
      <c r="J735" s="148"/>
      <c r="K735" s="148"/>
    </row>
    <row r="736" spans="1:68" s="593" customFormat="1" ht="19.95" customHeight="1">
      <c r="A736" s="593" t="str">
        <f>RAW_DATA!A569</f>
        <v>BSL-LNWS</v>
      </c>
      <c r="B736" s="770" t="str">
        <f>RAW_DATA!B569</f>
        <v>2/21/2024 1:36:29 PM</v>
      </c>
      <c r="C736" s="80">
        <f>RAW_DATA!C569</f>
        <v>-8.7000000000000001E-5</v>
      </c>
      <c r="D736" s="80"/>
      <c r="J736" s="148"/>
      <c r="K736" s="148"/>
    </row>
    <row r="737" spans="1:25" s="593" customFormat="1" ht="19.95" customHeight="1">
      <c r="A737" s="593" t="str">
        <f>RAW_DATA!A570</f>
        <v>BSL-M4</v>
      </c>
      <c r="B737" s="770" t="str">
        <f>RAW_DATA!B570</f>
        <v>2/21/2024 1:37:26 PM</v>
      </c>
      <c r="C737" s="80">
        <f>RAW_DATA!C570</f>
        <v>-1.5799999999999999E-4</v>
      </c>
      <c r="D737" s="80"/>
      <c r="J737" s="148"/>
      <c r="K737" s="148"/>
    </row>
    <row r="738" spans="1:25" s="593" customFormat="1" ht="19.95" customHeight="1">
      <c r="A738" s="593" t="str">
        <f>RAW_DATA!A571</f>
        <v>BSL-M3</v>
      </c>
      <c r="B738" s="770" t="str">
        <f>RAW_DATA!B571</f>
        <v>2/21/2024 1:38:07 PM</v>
      </c>
      <c r="C738" s="80">
        <f>RAW_DATA!C571</f>
        <v>4.3000000000000002E-5</v>
      </c>
      <c r="D738" s="80"/>
      <c r="J738" s="148"/>
      <c r="K738" s="148"/>
    </row>
    <row r="739" spans="1:25" s="593" customFormat="1" ht="19.95" customHeight="1">
      <c r="A739" s="593" t="str">
        <f>RAW_DATA!A572</f>
        <v>BLK-DIW</v>
      </c>
      <c r="B739" s="770" t="str">
        <f>RAW_DATA!B572</f>
        <v>2/21/2024 1:38:43 PM</v>
      </c>
      <c r="C739" s="80">
        <f>RAW_DATA!C572</f>
        <v>9.1000000000000003E-5</v>
      </c>
      <c r="D739" s="80"/>
      <c r="F739" s="80">
        <f>C739-C735</f>
        <v>7.8999999999999996E-5</v>
      </c>
      <c r="J739" s="148"/>
      <c r="K739" s="148"/>
      <c r="L739" s="228"/>
    </row>
    <row r="740" spans="1:25" s="593" customFormat="1" ht="19.95" customHeight="1">
      <c r="A740" s="589" t="str">
        <f>RAW_DATA!A573</f>
        <v>BLK-LNSW</v>
      </c>
      <c r="B740" s="771" t="str">
        <f>RAW_DATA!B573</f>
        <v>2/21/2024 1:39:25 PM</v>
      </c>
      <c r="C740" s="81">
        <f>RAW_DATA!C573</f>
        <v>5.0000000000000004E-6</v>
      </c>
      <c r="D740" s="81"/>
      <c r="E740" s="589"/>
      <c r="F740" s="81">
        <f>C740-C736</f>
        <v>9.2E-5</v>
      </c>
      <c r="G740" s="589"/>
      <c r="H740" s="589"/>
      <c r="I740" s="589"/>
      <c r="J740" s="315"/>
      <c r="K740" s="315"/>
      <c r="L740" s="315"/>
      <c r="M740" s="589"/>
      <c r="N740" s="589"/>
      <c r="O740" s="589"/>
      <c r="P740" s="589"/>
      <c r="Q740" s="589"/>
      <c r="R740" s="589"/>
      <c r="S740" s="589"/>
      <c r="T740" s="589"/>
      <c r="U740" s="589"/>
      <c r="V740" s="589"/>
      <c r="W740" s="589"/>
      <c r="X740" s="589"/>
      <c r="Y740" s="589"/>
    </row>
    <row r="741" spans="1:25" s="593" customFormat="1" ht="19.95" customHeight="1">
      <c r="A741" s="593" t="str">
        <f>RAW_DATA!A574</f>
        <v>CAL1</v>
      </c>
      <c r="B741" s="770" t="str">
        <f>RAW_DATA!B574</f>
        <v>2/21/2024 1:40:11 PM</v>
      </c>
      <c r="C741" s="80">
        <f>RAW_DATA!C574</f>
        <v>4.4309000000000001E-2</v>
      </c>
      <c r="D741" s="80">
        <f t="shared" ref="D741:D751" si="219">O533</f>
        <v>5.1150500000000001</v>
      </c>
      <c r="E741" s="80">
        <f t="shared" ref="E741:E751" si="220">P533</f>
        <v>5.3161000000000005</v>
      </c>
      <c r="F741" s="80">
        <f>C741-$C$736</f>
        <v>4.4395999999999998E-2</v>
      </c>
      <c r="G741" s="80">
        <f>F741-$F$740+$F$739</f>
        <v>4.4382999999999999E-2</v>
      </c>
      <c r="H741" s="80">
        <f t="shared" ref="H741:H751" si="221">G741*E741/D741</f>
        <v>4.6127499496583617E-2</v>
      </c>
      <c r="I741" s="80">
        <f>H741/dLNSW</f>
        <v>4.5037179827640425E-2</v>
      </c>
      <c r="J741" s="800">
        <f>I741</f>
        <v>4.5037179827640425E-2</v>
      </c>
      <c r="K741" s="778">
        <f>J741*(STDEV($I$630:$I$639)/AVERAGE($I$630:$I$639))</f>
        <v>2.0249537596215176E-4</v>
      </c>
      <c r="L741" s="596">
        <f t="shared" ref="L741:M745" si="222">P515</f>
        <v>3.9684107473247014E-2</v>
      </c>
      <c r="M741" s="157">
        <f t="shared" si="222"/>
        <v>2.5954345711333705E-5</v>
      </c>
    </row>
    <row r="742" spans="1:25" s="593" customFormat="1" ht="19.95" customHeight="1">
      <c r="A742" s="593" t="str">
        <f>RAW_DATA!A575</f>
        <v>CAL2</v>
      </c>
      <c r="B742" s="770" t="str">
        <f>RAW_DATA!B575</f>
        <v>2/21/2024 1:40:59 PM</v>
      </c>
      <c r="C742" s="80">
        <f>RAW_DATA!C575</f>
        <v>6.5183000000000005E-2</v>
      </c>
      <c r="D742" s="80">
        <f t="shared" si="219"/>
        <v>5.11585</v>
      </c>
      <c r="E742" s="80">
        <f t="shared" si="220"/>
        <v>5.3164499999999997</v>
      </c>
      <c r="F742" s="80">
        <f t="shared" ref="F742:F745" si="223">C742-$C$736</f>
        <v>6.5270000000000009E-2</v>
      </c>
      <c r="G742" s="80">
        <f t="shared" ref="G742:G745" si="224">F742-$F$740+$F$739</f>
        <v>6.5257000000000009E-2</v>
      </c>
      <c r="H742" s="80">
        <f t="shared" si="221"/>
        <v>6.781582291310341E-2</v>
      </c>
      <c r="I742" s="80">
        <f>H742/dLNSW</f>
        <v>6.6212854480071359E-2</v>
      </c>
      <c r="J742" s="800">
        <f t="shared" ref="J742:J745" si="225">I742</f>
        <v>6.6212854480071359E-2</v>
      </c>
      <c r="K742" s="778">
        <f t="shared" ref="K742:K751" si="226">J742*(STDEV($I$630:$I$639)/AVERAGE($I$630:$I$639))</f>
        <v>2.9770507196013636E-4</v>
      </c>
      <c r="L742" s="596">
        <f t="shared" si="222"/>
        <v>5.8942902180080019E-2</v>
      </c>
      <c r="M742" s="157">
        <f t="shared" si="222"/>
        <v>2.9981987142965792E-5</v>
      </c>
    </row>
    <row r="743" spans="1:25" s="593" customFormat="1" ht="19.95" customHeight="1">
      <c r="A743" s="593" t="str">
        <f>RAW_DATA!A576</f>
        <v>CAL3</v>
      </c>
      <c r="B743" s="770" t="str">
        <f>RAW_DATA!B576</f>
        <v>2/21/2024 1:41:49 PM</v>
      </c>
      <c r="C743" s="80">
        <f>RAW_DATA!C576</f>
        <v>8.7085999999999997E-2</v>
      </c>
      <c r="D743" s="80">
        <f t="shared" si="219"/>
        <v>5.1299500000000009</v>
      </c>
      <c r="E743" s="80">
        <f t="shared" si="220"/>
        <v>5.3312500000000007</v>
      </c>
      <c r="F743" s="80">
        <f t="shared" si="223"/>
        <v>8.7173E-2</v>
      </c>
      <c r="G743" s="80">
        <f t="shared" si="224"/>
        <v>8.7160000000000001E-2</v>
      </c>
      <c r="H743" s="80">
        <f t="shared" si="221"/>
        <v>9.0580171346699281E-2</v>
      </c>
      <c r="I743" s="80">
        <f>H743/dLNSW</f>
        <v>8.8439120053796103E-2</v>
      </c>
      <c r="J743" s="800">
        <f t="shared" si="225"/>
        <v>8.8439120053796103E-2</v>
      </c>
      <c r="K743" s="778">
        <f t="shared" si="226"/>
        <v>3.9763841638379904E-4</v>
      </c>
      <c r="L743" s="596">
        <f t="shared" si="222"/>
        <v>7.8513267016509111E-2</v>
      </c>
      <c r="M743" s="157">
        <f t="shared" si="222"/>
        <v>3.5105349810267528E-5</v>
      </c>
    </row>
    <row r="744" spans="1:25" s="593" customFormat="1" ht="19.95" customHeight="1">
      <c r="A744" s="593" t="str">
        <f>RAW_DATA!A577</f>
        <v>CAL4</v>
      </c>
      <c r="B744" s="770" t="str">
        <f>RAW_DATA!B577</f>
        <v>2/21/2024 1:42:41 PM</v>
      </c>
      <c r="C744" s="80">
        <f>RAW_DATA!C577</f>
        <v>0.13109499999999999</v>
      </c>
      <c r="D744" s="80">
        <f t="shared" si="219"/>
        <v>5.1338499999999998</v>
      </c>
      <c r="E744" s="80">
        <f t="shared" si="220"/>
        <v>5.3354500000000007</v>
      </c>
      <c r="F744" s="80">
        <f t="shared" si="223"/>
        <v>0.13118199999999999</v>
      </c>
      <c r="G744" s="80">
        <f t="shared" si="224"/>
        <v>0.13116899999999998</v>
      </c>
      <c r="H744" s="80">
        <f t="shared" si="221"/>
        <v>0.1363198459343378</v>
      </c>
      <c r="I744" s="80">
        <f>H744/dLNSW</f>
        <v>0.13309764202318664</v>
      </c>
      <c r="J744" s="800">
        <f t="shared" si="225"/>
        <v>0.13309764202318664</v>
      </c>
      <c r="K744" s="778">
        <f t="shared" si="226"/>
        <v>5.9843127754238671E-4</v>
      </c>
      <c r="L744" s="596">
        <f t="shared" si="222"/>
        <v>0.1184828691521142</v>
      </c>
      <c r="M744" s="157">
        <f t="shared" si="222"/>
        <v>4.7001837238881657E-5</v>
      </c>
    </row>
    <row r="745" spans="1:25" s="593" customFormat="1" ht="19.95" customHeight="1">
      <c r="A745" s="589" t="str">
        <f>RAW_DATA!A578</f>
        <v>CAL5</v>
      </c>
      <c r="B745" s="771" t="str">
        <f>RAW_DATA!B578</f>
        <v>2/21/2024 1:43:29 PM</v>
      </c>
      <c r="C745" s="81">
        <f>RAW_DATA!C578</f>
        <v>0.200797</v>
      </c>
      <c r="D745" s="81">
        <f t="shared" si="219"/>
        <v>5.1382499999999993</v>
      </c>
      <c r="E745" s="81">
        <f t="shared" si="220"/>
        <v>5.3391999999999999</v>
      </c>
      <c r="F745" s="81">
        <f t="shared" si="223"/>
        <v>0.20088400000000001</v>
      </c>
      <c r="G745" s="81">
        <f t="shared" si="224"/>
        <v>0.20087099999999999</v>
      </c>
      <c r="H745" s="81">
        <f t="shared" si="221"/>
        <v>0.20872679281856665</v>
      </c>
      <c r="I745" s="81">
        <f>H745/dLNSW</f>
        <v>0.20379309968260184</v>
      </c>
      <c r="J745" s="801">
        <f t="shared" si="225"/>
        <v>0.20379309968260184</v>
      </c>
      <c r="K745" s="779">
        <f t="shared" si="226"/>
        <v>9.1629095109090422E-4</v>
      </c>
      <c r="L745" s="622">
        <f t="shared" si="222"/>
        <v>0.18389066319855393</v>
      </c>
      <c r="M745" s="155">
        <f t="shared" si="222"/>
        <v>6.8379487657414833E-5</v>
      </c>
      <c r="N745" s="589"/>
      <c r="O745" s="589"/>
      <c r="P745" s="589"/>
      <c r="Q745" s="589"/>
      <c r="R745" s="589"/>
      <c r="S745" s="589"/>
      <c r="T745" s="589"/>
      <c r="U745" s="589"/>
      <c r="V745" s="589"/>
      <c r="W745" s="589"/>
      <c r="X745" s="589"/>
      <c r="Y745" s="589"/>
    </row>
    <row r="746" spans="1:25" s="593" customFormat="1" ht="19.95" customHeight="1">
      <c r="A746" s="590" t="str">
        <f>RAW_DATA!A579</f>
        <v>001a_1</v>
      </c>
      <c r="B746" s="769" t="str">
        <f>RAW_DATA!B579</f>
        <v>2/21/2024 1:44:41 PM</v>
      </c>
      <c r="C746" s="80">
        <f>RAW_DATA!C579</f>
        <v>8.4116999999999997E-2</v>
      </c>
      <c r="D746" s="80">
        <f t="shared" si="219"/>
        <v>5.0787999999999993</v>
      </c>
      <c r="E746" s="80">
        <f t="shared" si="220"/>
        <v>5.2805</v>
      </c>
      <c r="F746" s="80">
        <f>C746-$C$737</f>
        <v>8.4275000000000003E-2</v>
      </c>
      <c r="G746" s="80">
        <f>F746</f>
        <v>8.4275000000000003E-2</v>
      </c>
      <c r="H746" s="80">
        <f t="shared" si="221"/>
        <v>8.7621906257383655E-2</v>
      </c>
      <c r="I746" s="80">
        <f>H746/dMOOS4</f>
        <v>8.5820462069132089E-2</v>
      </c>
      <c r="J746" s="199">
        <f>I746/m_efft_NO2_v</f>
        <v>8.5006310086386774E-2</v>
      </c>
      <c r="K746" s="778">
        <f t="shared" si="226"/>
        <v>3.8220387657430242E-4</v>
      </c>
      <c r="L746" s="762">
        <f t="array" ref="L746:M746">ResultEXLN_GS($L$741:$L$745,$J$741:$J$745,J746,K746,pNO2v,0)</f>
        <v>7.5664653555261349E-2</v>
      </c>
      <c r="M746" s="762">
        <v>4.5503501980766555E-4</v>
      </c>
      <c r="N746" s="743">
        <f>M746/L746</f>
        <v>6.0138386740293832E-3</v>
      </c>
      <c r="O746" s="762">
        <f>INDEX(LINEST($J$741:$J$745,$L$741:$L$745,TRUE,TRUE),3,1)</f>
        <v>0.99991389964681832</v>
      </c>
      <c r="P746" s="791" cm="1">
        <f t="array" ref="P746:Q746">ResultEXLN_MC($L$741:$L$745,$M$741:$M$745,$J$741:$J$745,$K$741:$K$745,J746,K746,MC)</f>
        <v>7.5686352317390848E-2</v>
      </c>
      <c r="Q746" s="791">
        <v>3.7815724769284232E-4</v>
      </c>
      <c r="R746" s="677">
        <f>Q746/P746</f>
        <v>4.9963730066820934E-3</v>
      </c>
      <c r="S746" s="198">
        <f t="shared" ref="S746" si="227">L746/P746</f>
        <v>0.99971330680545278</v>
      </c>
      <c r="T746" s="784">
        <f t="shared" ref="T746" si="228">M746/Q746</f>
        <v>1.2032957786313991</v>
      </c>
      <c r="U746" s="138" cm="1">
        <f t="array" ref="U746:V746">ResultEXQD($L$741:$L$745,$J$741:$J$745,J746)</f>
        <v>7.5363057744242248E-2</v>
      </c>
      <c r="V746" s="792">
        <v>5.0358747172141598</v>
      </c>
      <c r="W746" s="198">
        <f>L746/U746</f>
        <v>1.0040019051780333</v>
      </c>
      <c r="X746" s="145">
        <f>(L746-AVERAGE($L$746:$L$750))/MEDIAN($M$746:$M$750)</f>
        <v>0.10819733964159935</v>
      </c>
      <c r="Y746" s="951">
        <f>H746/$H$743</f>
        <v>0.96734091970313518</v>
      </c>
    </row>
    <row r="747" spans="1:25" s="593" customFormat="1" ht="19.95" customHeight="1">
      <c r="A747" s="593" t="str">
        <f>RAW_DATA!A580</f>
        <v>078a_1</v>
      </c>
      <c r="B747" s="770" t="str">
        <f>RAW_DATA!B580</f>
        <v>2/21/2024 1:45:23 PM</v>
      </c>
      <c r="C747" s="80">
        <f>RAW_DATA!C580</f>
        <v>8.412E-2</v>
      </c>
      <c r="D747" s="80">
        <f t="shared" si="219"/>
        <v>5.0862499999999997</v>
      </c>
      <c r="E747" s="80">
        <f t="shared" si="220"/>
        <v>5.2881499999999999</v>
      </c>
      <c r="F747" s="80">
        <f t="shared" ref="F747:F750" si="229">C747-$C$737</f>
        <v>8.4278000000000006E-2</v>
      </c>
      <c r="G747" s="80">
        <f t="shared" ref="G747:G751" si="230">F747</f>
        <v>8.4278000000000006E-2</v>
      </c>
      <c r="H747" s="80">
        <f t="shared" si="221"/>
        <v>8.762343685426395E-2</v>
      </c>
      <c r="I747" s="80">
        <f>H747/dMOOS4</f>
        <v>8.5821961198027125E-2</v>
      </c>
      <c r="J747" s="199">
        <f>I747/m_efft_NO2_v</f>
        <v>8.5007794993513089E-2</v>
      </c>
      <c r="K747" s="778">
        <f t="shared" si="226"/>
        <v>3.8221055298761166E-4</v>
      </c>
      <c r="L747" s="762">
        <f t="array" ref="L747:M747">ResultEXLN_GS($L$741:$L$745,$J$741:$J$745,J747,K747,pNO2v,0)</f>
        <v>7.5666000581565973E-2</v>
      </c>
      <c r="M747" s="762">
        <v>4.5503791505456911E-4</v>
      </c>
      <c r="N747" s="743">
        <f t="shared" ref="N747:N751" si="231">M747/L747</f>
        <v>6.0137698775826025E-3</v>
      </c>
      <c r="O747" s="762">
        <f t="shared" ref="O747:O751" si="232">INDEX(LINEST($J$741:$J$745,$L$741:$L$745,TRUE,TRUE),3,1)</f>
        <v>0.99991389964681832</v>
      </c>
      <c r="P747" s="791" cm="1">
        <f t="array" ref="P747:Q747">ResultEXLN_MC($L$741:$L$745,$M$741:$M$745,$J$741:$J$745,$K$741:$K$745,J747,K747,MC)</f>
        <v>7.5677603653626579E-2</v>
      </c>
      <c r="Q747" s="791">
        <v>3.8290321406333696E-4</v>
      </c>
      <c r="R747" s="677">
        <f t="shared" ref="R747:R751" si="233">Q747/P747</f>
        <v>5.0596635672539251E-3</v>
      </c>
      <c r="S747" s="198">
        <f t="shared" ref="S747:S751" si="234">L747/P747</f>
        <v>0.99984667759679979</v>
      </c>
      <c r="T747" s="784">
        <f t="shared" ref="T747:T751" si="235">M747/Q747</f>
        <v>1.1883888626207775</v>
      </c>
      <c r="U747" s="138" cm="1">
        <f t="array" ref="U747:V747">ResultEXQD($L$741:$L$745,$J$741:$J$745,J747)</f>
        <v>7.536438408141731E-2</v>
      </c>
      <c r="V747" s="792">
        <v>5.0358733908769855</v>
      </c>
      <c r="W747" s="198">
        <f t="shared" ref="W747:W751" si="236">L747/U747</f>
        <v>1.0040021092698486</v>
      </c>
      <c r="X747" s="145">
        <f t="shared" ref="X747:X750" si="237">(L747-AVERAGE($L$746:$L$750))/MEDIAN($M$746:$M$750)</f>
        <v>0.11115760917248792</v>
      </c>
      <c r="Y747" s="951">
        <f t="shared" ref="Y747:Y750" si="238">H747/$H$743</f>
        <v>0.96735781740665616</v>
      </c>
    </row>
    <row r="748" spans="1:25" s="593" customFormat="1" ht="19.95" customHeight="1">
      <c r="A748" s="593" t="str">
        <f>RAW_DATA!A581</f>
        <v>155a_1</v>
      </c>
      <c r="B748" s="770" t="str">
        <f>RAW_DATA!B581</f>
        <v>2/21/2024 1:46:03 PM</v>
      </c>
      <c r="C748" s="80">
        <f>RAW_DATA!C581</f>
        <v>8.4168000000000007E-2</v>
      </c>
      <c r="D748" s="80">
        <f t="shared" si="219"/>
        <v>5.0938500000000007</v>
      </c>
      <c r="E748" s="80">
        <f t="shared" si="220"/>
        <v>5.2952000000000004</v>
      </c>
      <c r="F748" s="80">
        <f t="shared" si="229"/>
        <v>8.4326000000000012E-2</v>
      </c>
      <c r="G748" s="80">
        <f t="shared" si="230"/>
        <v>8.4326000000000012E-2</v>
      </c>
      <c r="H748" s="80">
        <f t="shared" si="221"/>
        <v>8.7659243047989249E-2</v>
      </c>
      <c r="I748" s="80">
        <f>H748/dMOOS4</f>
        <v>8.5857031241828904E-2</v>
      </c>
      <c r="J748" s="199">
        <f>I748/m_efft_NO2_v</f>
        <v>8.5042532338736848E-2</v>
      </c>
      <c r="K748" s="778">
        <f t="shared" si="226"/>
        <v>3.8236673842835045E-4</v>
      </c>
      <c r="L748" s="762">
        <f t="array" ref="L748:M748">ResultEXLN_GS($L$741:$L$745,$J$741:$J$745,J748,K748,pNO2v,0)</f>
        <v>7.5697512395968572E-2</v>
      </c>
      <c r="M748" s="762">
        <v>4.551056957384248E-4</v>
      </c>
      <c r="N748" s="743">
        <f t="shared" si="231"/>
        <v>6.0121618443390538E-3</v>
      </c>
      <c r="O748" s="762">
        <f t="shared" si="232"/>
        <v>0.99991389964681832</v>
      </c>
      <c r="P748" s="791" cm="1">
        <f t="array" ref="P748:Q748">ResultEXLN_MC($L$741:$L$745,$M$741:$M$745,$J$741:$J$745,$K$741:$K$745,J748,K748,MC)</f>
        <v>7.5703887427867378E-2</v>
      </c>
      <c r="Q748" s="791">
        <v>3.8155737495320784E-4</v>
      </c>
      <c r="R748" s="677">
        <f t="shared" si="233"/>
        <v>5.0401292181562743E-3</v>
      </c>
      <c r="S748" s="198">
        <f t="shared" si="234"/>
        <v>0.99991578990042118</v>
      </c>
      <c r="T748" s="784">
        <f t="shared" si="235"/>
        <v>1.1927582209470766</v>
      </c>
      <c r="U748" s="138" cm="1">
        <f t="array" ref="U748:V748">ResultEXQD($L$741:$L$745,$J$741:$J$745,J748)</f>
        <v>7.5395412104669837E-2</v>
      </c>
      <c r="V748" s="792">
        <v>5.0358423628537325</v>
      </c>
      <c r="W748" s="198">
        <f t="shared" si="236"/>
        <v>1.0040068789713534</v>
      </c>
      <c r="X748" s="145">
        <f t="shared" si="237"/>
        <v>0.18040901407736382</v>
      </c>
      <c r="Y748" s="951">
        <f t="shared" si="238"/>
        <v>0.96775311577265555</v>
      </c>
    </row>
    <row r="749" spans="1:25" s="593" customFormat="1" ht="19.95" customHeight="1">
      <c r="A749" s="593" t="str">
        <f>RAW_DATA!A582</f>
        <v>232a_1</v>
      </c>
      <c r="B749" s="770" t="str">
        <f>RAW_DATA!B582</f>
        <v>2/21/2024 1:46:44 PM</v>
      </c>
      <c r="C749" s="80">
        <f>RAW_DATA!C582</f>
        <v>8.4109000000000003E-2</v>
      </c>
      <c r="D749" s="80">
        <f t="shared" si="219"/>
        <v>5.0958999999999994</v>
      </c>
      <c r="E749" s="80">
        <f t="shared" si="220"/>
        <v>5.2969999999999997</v>
      </c>
      <c r="F749" s="80">
        <f t="shared" si="229"/>
        <v>8.4267000000000009E-2</v>
      </c>
      <c r="G749" s="80">
        <f t="shared" si="230"/>
        <v>8.4267000000000009E-2</v>
      </c>
      <c r="H749" s="80">
        <f t="shared" si="221"/>
        <v>8.7592436861005915E-2</v>
      </c>
      <c r="I749" s="80">
        <f>H749/dMOOS4</f>
        <v>8.5791598542623013E-2</v>
      </c>
      <c r="J749" s="199">
        <f>I749/m_efft_NO2_v</f>
        <v>8.4977720379160057E-2</v>
      </c>
      <c r="K749" s="778">
        <f t="shared" si="226"/>
        <v>3.8207533203541967E-4</v>
      </c>
      <c r="L749" s="762">
        <f t="array" ref="L749:M749">ResultEXLN_GS($L$741:$L$745,$J$741:$J$745,J749,K749,pNO2v,0)</f>
        <v>7.5638718540879848E-2</v>
      </c>
      <c r="M749" s="762">
        <v>4.5497931052342397E-4</v>
      </c>
      <c r="N749" s="743">
        <f t="shared" si="231"/>
        <v>6.0151641817877306E-3</v>
      </c>
      <c r="O749" s="762">
        <f t="shared" si="232"/>
        <v>0.99991389964681832</v>
      </c>
      <c r="P749" s="791" cm="1">
        <f t="array" ref="P749:Q749">ResultEXLN_MC($L$741:$L$745,$M$741:$M$745,$J$741:$J$745,$K$741:$K$745,J749,K749,MC)</f>
        <v>7.563984974115201E-2</v>
      </c>
      <c r="Q749" s="791">
        <v>4.0042841382854482E-4</v>
      </c>
      <c r="R749" s="677">
        <f t="shared" si="233"/>
        <v>5.2938816668575556E-3</v>
      </c>
      <c r="S749" s="198">
        <f t="shared" si="234"/>
        <v>0.99998504491645568</v>
      </c>
      <c r="T749" s="784">
        <f t="shared" si="235"/>
        <v>1.1362313332695635</v>
      </c>
      <c r="U749" s="138" cm="1">
        <f t="array" ref="U749:V749">ResultEXQD($L$741:$L$745,$J$741:$J$745,J749)</f>
        <v>7.5337521206973346E-2</v>
      </c>
      <c r="V749" s="792">
        <v>5.0359002537514295</v>
      </c>
      <c r="W749" s="198">
        <f t="shared" si="236"/>
        <v>1.0039979724456161</v>
      </c>
      <c r="X749" s="145">
        <f t="shared" si="237"/>
        <v>5.1201694795488549E-2</v>
      </c>
      <c r="Y749" s="951">
        <f t="shared" si="238"/>
        <v>0.96701557922365045</v>
      </c>
    </row>
    <row r="750" spans="1:25" s="593" customFormat="1" ht="19.95" customHeight="1">
      <c r="A750" s="589" t="str">
        <f>RAW_DATA!A583</f>
        <v>310a_1</v>
      </c>
      <c r="B750" s="771" t="str">
        <f>RAW_DATA!B583</f>
        <v>2/21/2024 1:47:23 PM</v>
      </c>
      <c r="C750" s="81">
        <f>RAW_DATA!C583</f>
        <v>8.3852999999999997E-2</v>
      </c>
      <c r="D750" s="81">
        <f t="shared" si="219"/>
        <v>5.0910500000000001</v>
      </c>
      <c r="E750" s="81">
        <f t="shared" si="220"/>
        <v>5.2923499999999999</v>
      </c>
      <c r="F750" s="81">
        <f t="shared" si="229"/>
        <v>8.4011000000000002E-2</v>
      </c>
      <c r="G750" s="81">
        <f t="shared" si="230"/>
        <v>8.4011000000000002E-2</v>
      </c>
      <c r="H750" s="81">
        <f t="shared" si="221"/>
        <v>8.7332793009300635E-2</v>
      </c>
      <c r="I750" s="81">
        <f>H750/dMOOS4</f>
        <v>8.5537292784182858E-2</v>
      </c>
      <c r="J750" s="790">
        <f>I750/m_efft_NO2_v</f>
        <v>8.4725827140210777E-2</v>
      </c>
      <c r="K750" s="779">
        <f t="shared" si="226"/>
        <v>3.8094277408399899E-4</v>
      </c>
      <c r="L750" s="763">
        <f t="array" ref="L750:M750">ResultEXLN_GS($L$741:$L$745,$J$741:$J$745,J750,K750,pNO2v,0)</f>
        <v>7.5410214809696313E-2</v>
      </c>
      <c r="M750" s="763">
        <v>4.544913106009388E-4</v>
      </c>
      <c r="N750" s="746">
        <f t="shared" si="231"/>
        <v>6.0269197183416574E-3</v>
      </c>
      <c r="O750" s="763">
        <f t="shared" si="232"/>
        <v>0.99991389964681832</v>
      </c>
      <c r="P750" s="680" cm="1">
        <f t="array" ref="P750:Q750">ResultEXLN_MC($L$741:$L$745,$M$741:$M$745,$J$741:$J$745,$K$741:$K$745,J750,K750,MC)</f>
        <v>7.5431842222383125E-2</v>
      </c>
      <c r="Q750" s="680">
        <v>3.7698364859045392E-4</v>
      </c>
      <c r="R750" s="679">
        <f t="shared" si="233"/>
        <v>4.9976725674955131E-3</v>
      </c>
      <c r="S750" s="201">
        <f t="shared" si="234"/>
        <v>0.99971328537061244</v>
      </c>
      <c r="T750" s="785">
        <f t="shared" si="235"/>
        <v>1.2055995327656435</v>
      </c>
      <c r="U750" s="140" cm="1">
        <f t="array" ref="U750:V750">ResultEXQD($L$741:$L$745,$J$741:$J$745,J750)</f>
        <v>7.5112539670957629E-2</v>
      </c>
      <c r="V750" s="793">
        <v>5.0361252352874448</v>
      </c>
      <c r="W750" s="201">
        <f t="shared" si="236"/>
        <v>1.0039630551708503</v>
      </c>
      <c r="X750" s="146">
        <f t="shared" si="237"/>
        <v>-0.45096565768678715</v>
      </c>
      <c r="Y750" s="684">
        <f t="shared" si="238"/>
        <v>0.96414912569585265</v>
      </c>
    </row>
    <row r="751" spans="1:25" s="593" customFormat="1" ht="19.95" customHeight="1">
      <c r="A751" s="589" t="str">
        <f>RAW_DATA!A584</f>
        <v>MOOS3</v>
      </c>
      <c r="B751" s="771" t="str">
        <f>RAW_DATA!B584</f>
        <v>2/21/2024 1:48:24 PM</v>
      </c>
      <c r="C751" s="81">
        <f>RAW_DATA!C584</f>
        <v>0.16705</v>
      </c>
      <c r="D751" s="81">
        <f t="shared" si="219"/>
        <v>4.9188500000000008</v>
      </c>
      <c r="E751" s="81">
        <f t="shared" si="220"/>
        <v>5.1199500000000011</v>
      </c>
      <c r="F751" s="81">
        <f>C751-C738</f>
        <v>0.16700700000000002</v>
      </c>
      <c r="G751" s="81">
        <f t="shared" si="230"/>
        <v>0.16700700000000002</v>
      </c>
      <c r="H751" s="81">
        <f t="shared" si="221"/>
        <v>0.17383483734002869</v>
      </c>
      <c r="I751" s="81">
        <f>H751/dMOOS3</f>
        <v>0.16865706543128817</v>
      </c>
      <c r="J751" s="801">
        <f t="shared" ref="J751" si="239">I751</f>
        <v>0.16865706543128817</v>
      </c>
      <c r="K751" s="779">
        <f t="shared" si="226"/>
        <v>7.5831293175737072E-4</v>
      </c>
      <c r="L751" s="763">
        <f t="array" ref="L751:M751">ResultEXLN_GS($L$741:$L$745,$J$741:$J$745,J751,K751,pNO2v,0)</f>
        <v>0.15154803094309327</v>
      </c>
      <c r="M751" s="763">
        <v>7.9822980267999237E-4</v>
      </c>
      <c r="N751" s="746">
        <f t="shared" si="231"/>
        <v>5.2671736987445917E-3</v>
      </c>
      <c r="O751" s="763">
        <f t="shared" si="232"/>
        <v>0.99991389964681832</v>
      </c>
      <c r="P751" s="680" cm="1">
        <f t="array" ref="P751:Q751">ResultEXLN_MC($L$741:$L$745,$M$741:$M$745,$J$741:$J$745,$K$741:$K$745,J751,K751,MC)</f>
        <v>0.15157391813609075</v>
      </c>
      <c r="Q751" s="680">
        <v>8.543210308478526E-4</v>
      </c>
      <c r="R751" s="679">
        <f t="shared" si="233"/>
        <v>5.6363326972969042E-3</v>
      </c>
      <c r="S751" s="201">
        <f t="shared" si="234"/>
        <v>0.99982921076847642</v>
      </c>
      <c r="T751" s="785">
        <f t="shared" si="235"/>
        <v>0.9343440859553771</v>
      </c>
      <c r="U751" s="140" cm="1">
        <f t="array" ref="U751:V751">ResultEXQD($L$741:$L$745,$J$741:$J$745,J751)</f>
        <v>0.15124159076167643</v>
      </c>
      <c r="V751" s="793">
        <v>4.9599961841967257</v>
      </c>
      <c r="W751" s="201">
        <f t="shared" si="236"/>
        <v>1.0020261634374088</v>
      </c>
      <c r="X751" s="589"/>
      <c r="Y751" s="589"/>
    </row>
    <row r="752" spans="1:25" s="593" customFormat="1" ht="19.95" customHeight="1">
      <c r="A752" s="80"/>
      <c r="B752" s="80"/>
      <c r="C752" s="80"/>
      <c r="D752" s="80"/>
    </row>
    <row r="753" spans="1:12" s="148" customFormat="1" ht="19.95" customHeight="1">
      <c r="A753" s="593"/>
      <c r="B753" s="380" t="s">
        <v>2178</v>
      </c>
      <c r="C753" s="230"/>
      <c r="D753" s="380" t="s">
        <v>2184</v>
      </c>
      <c r="E753" s="230"/>
      <c r="F753" s="230"/>
      <c r="G753" s="380" t="s">
        <v>2185</v>
      </c>
      <c r="H753" s="230"/>
      <c r="I753" s="230"/>
      <c r="J753" s="230"/>
      <c r="K753" s="230"/>
      <c r="L753" s="233" t="s">
        <v>217</v>
      </c>
    </row>
    <row r="754" spans="1:12" s="148" customFormat="1" ht="19.95" customHeight="1">
      <c r="A754" s="587" t="s">
        <v>100</v>
      </c>
      <c r="B754" s="663" t="s">
        <v>2179</v>
      </c>
      <c r="C754" s="663" t="s">
        <v>2180</v>
      </c>
      <c r="D754" s="663" t="s">
        <v>229</v>
      </c>
      <c r="E754" s="663" t="s">
        <v>1171</v>
      </c>
      <c r="F754" s="663" t="s">
        <v>1172</v>
      </c>
      <c r="G754" s="589" t="s">
        <v>2181</v>
      </c>
      <c r="H754" s="589" t="s">
        <v>2182</v>
      </c>
      <c r="I754" s="589" t="s">
        <v>2183</v>
      </c>
      <c r="J754" s="589" t="s">
        <v>2186</v>
      </c>
      <c r="K754" s="589" t="s">
        <v>2187</v>
      </c>
      <c r="L754" s="663" t="s">
        <v>2188</v>
      </c>
    </row>
    <row r="755" spans="1:12" s="148" customFormat="1" ht="19.95" customHeight="1">
      <c r="A755" s="589" t="str">
        <f>A751</f>
        <v>MOOS3</v>
      </c>
      <c r="B755" s="81">
        <v>0.15809999999999999</v>
      </c>
      <c r="C755" s="81">
        <f>0.0023/2</f>
        <v>1.15E-3</v>
      </c>
      <c r="D755" s="143">
        <f>L751</f>
        <v>0.15154803094309327</v>
      </c>
      <c r="E755" s="143">
        <f>M751</f>
        <v>7.9822980267999237E-4</v>
      </c>
      <c r="F755" s="589">
        <v>3</v>
      </c>
      <c r="G755" s="589" t="b">
        <f>IF(ABS(B755-D755)&lt;2*SQRT(C755^2+E755^2/F755),TRUE,FALSE)</f>
        <v>0</v>
      </c>
      <c r="H755" s="589" t="b">
        <f>IF(SQRT(F755)*(ABS(D755-B755)-2*C755)/E755&gt;ABS(_xlfn.T.INV(0.05/2,F755-1)),FALSE,TRUE)</f>
        <v>0</v>
      </c>
      <c r="I755" s="589" t="b">
        <f>IF(AND((D755-B755)^2/MAX(E755^2/(F755-1),C755^2)&lt;_xlfn.T.INV(0.05/2,F755-1)^2,F755&gt;2),TRUE,FALSE)</f>
        <v>0</v>
      </c>
      <c r="J755" s="589" t="b">
        <f>IF(SQRT(F755)*ABS(D755-B755)/(E755/(1-0.333/F755))&gt;ABS(_xlfn.T.INV(0.05/2,F755-1)),FALSE,TRUE)</f>
        <v>0</v>
      </c>
      <c r="K755" s="589" t="b">
        <f>IF(F755*(D755-B755)^2/(2*C755)^2&lt;_xlfn.CHISQ.INV(SQRT(0.95),1),IF((F755-1)*E755^2/(2*C755)^2&lt;_xlfn.CHISQ.INV(SQRT(0.95),F755-1),TRUE,FALSE),FALSE)</f>
        <v>0</v>
      </c>
      <c r="L755" s="624">
        <f>D755/B755</f>
        <v>0.95855807048129837</v>
      </c>
    </row>
    <row r="756" spans="1:12" s="148" customFormat="1" ht="19.95" customHeight="1">
      <c r="A756" s="148" t="s">
        <v>2215</v>
      </c>
      <c r="B756" s="233"/>
      <c r="C756" s="233"/>
      <c r="D756" s="233"/>
    </row>
    <row r="757" spans="1:12" s="148" customFormat="1" ht="19.95" customHeight="1">
      <c r="A757" s="148" t="s">
        <v>2190</v>
      </c>
      <c r="D757" s="723"/>
    </row>
    <row r="758" spans="1:12" s="148" customFormat="1" ht="19.95" customHeight="1">
      <c r="A758" s="148" t="s">
        <v>2189</v>
      </c>
      <c r="D758" s="723"/>
    </row>
    <row r="759" spans="1:12" s="148" customFormat="1" ht="19.95" customHeight="1">
      <c r="A759" s="523" t="s">
        <v>2730</v>
      </c>
      <c r="D759" s="723"/>
    </row>
    <row r="760" spans="1:12" s="148" customFormat="1" ht="19.95" customHeight="1">
      <c r="A760" s="523" t="s">
        <v>2731</v>
      </c>
      <c r="D760" s="723"/>
    </row>
    <row r="761" spans="1:12" s="593" customFormat="1" ht="19.95" customHeight="1">
      <c r="A761" s="80"/>
      <c r="B761" s="80"/>
      <c r="C761" s="80"/>
      <c r="D761" s="80"/>
    </row>
    <row r="762" spans="1:12" s="149" customFormat="1" ht="19.95" customHeight="1">
      <c r="A762" s="537" t="s">
        <v>2228</v>
      </c>
      <c r="B762" s="536"/>
      <c r="C762" s="536"/>
      <c r="D762" s="536"/>
    </row>
    <row r="763" spans="1:12" s="588" customFormat="1" ht="19.95" customHeight="1">
      <c r="C763" s="60"/>
      <c r="D763" s="60"/>
      <c r="J763" s="593"/>
    </row>
    <row r="764" spans="1:12" s="148" customFormat="1" ht="19.95" customHeight="1">
      <c r="A764" s="128" t="s">
        <v>1575</v>
      </c>
      <c r="B764" s="543"/>
      <c r="C764" s="543"/>
      <c r="D764" s="543"/>
    </row>
    <row r="765" spans="1:12" s="148" customFormat="1" ht="19.95" customHeight="1">
      <c r="A765" s="128" t="s">
        <v>1631</v>
      </c>
      <c r="B765" s="543"/>
      <c r="C765" s="543"/>
      <c r="D765" s="543"/>
    </row>
    <row r="766" spans="1:12" s="148" customFormat="1" ht="19.95" customHeight="1">
      <c r="A766" s="128" t="s">
        <v>1576</v>
      </c>
      <c r="B766" s="543"/>
      <c r="C766" s="543"/>
      <c r="D766" s="543"/>
    </row>
    <row r="767" spans="1:12" s="148" customFormat="1" ht="19.95" customHeight="1">
      <c r="A767" s="128"/>
      <c r="B767" s="543"/>
      <c r="C767" s="543"/>
      <c r="D767" s="543"/>
    </row>
    <row r="768" spans="1:12" s="129" customFormat="1" ht="19.95" customHeight="1">
      <c r="A768" s="128" t="s">
        <v>1564</v>
      </c>
    </row>
    <row r="769" spans="1:34" s="129" customFormat="1" ht="19.95" customHeight="1">
      <c r="A769" s="128"/>
    </row>
    <row r="770" spans="1:34" s="129" customFormat="1" ht="19.95" customHeight="1">
      <c r="B770" s="89" t="s">
        <v>158</v>
      </c>
      <c r="D770" s="89" t="s">
        <v>2156</v>
      </c>
      <c r="F770" s="89" t="s">
        <v>2167</v>
      </c>
      <c r="H770" s="89" t="s">
        <v>2158</v>
      </c>
      <c r="P770" s="89" t="s">
        <v>176</v>
      </c>
    </row>
    <row r="771" spans="1:34" s="129" customFormat="1" ht="19.95" customHeight="1">
      <c r="A771" s="89" t="s">
        <v>157</v>
      </c>
      <c r="B771" s="89" t="s">
        <v>1557</v>
      </c>
      <c r="C771" s="89" t="s">
        <v>1558</v>
      </c>
      <c r="D771" s="129" t="s">
        <v>169</v>
      </c>
      <c r="E771" s="129" t="s">
        <v>170</v>
      </c>
      <c r="F771" s="129" t="s">
        <v>169</v>
      </c>
      <c r="G771" s="129" t="s">
        <v>170</v>
      </c>
      <c r="H771" s="129" t="s">
        <v>169</v>
      </c>
      <c r="I771" s="129" t="s">
        <v>170</v>
      </c>
      <c r="J771" s="89" t="s">
        <v>140</v>
      </c>
      <c r="K771" s="89" t="s">
        <v>2218</v>
      </c>
      <c r="L771" s="89" t="s">
        <v>2219</v>
      </c>
      <c r="M771" s="89" t="s">
        <v>2171</v>
      </c>
      <c r="N771" s="89" t="s">
        <v>2172</v>
      </c>
      <c r="O771" s="89" t="s">
        <v>2173</v>
      </c>
      <c r="P771" s="89" t="s">
        <v>1557</v>
      </c>
      <c r="Q771" s="89" t="s">
        <v>1558</v>
      </c>
      <c r="R771" s="89" t="s">
        <v>179</v>
      </c>
      <c r="S771" s="89" t="s">
        <v>159</v>
      </c>
      <c r="T771" s="89" t="s">
        <v>160</v>
      </c>
      <c r="U771" s="89" t="s">
        <v>161</v>
      </c>
      <c r="V771" s="89" t="s">
        <v>79</v>
      </c>
      <c r="W771" s="89" t="s">
        <v>80</v>
      </c>
      <c r="X771" s="89" t="s">
        <v>3</v>
      </c>
      <c r="Y771" s="89" t="s">
        <v>75</v>
      </c>
    </row>
    <row r="772" spans="1:34" s="129" customFormat="1" ht="19.95" customHeight="1">
      <c r="A772" s="576" t="s">
        <v>162</v>
      </c>
      <c r="B772" s="576" t="s">
        <v>156</v>
      </c>
      <c r="C772" s="576" t="s">
        <v>156</v>
      </c>
      <c r="D772" s="576" t="s">
        <v>64</v>
      </c>
      <c r="E772" s="576" t="s">
        <v>64</v>
      </c>
      <c r="F772" s="576" t="s">
        <v>64</v>
      </c>
      <c r="G772" s="576" t="s">
        <v>64</v>
      </c>
      <c r="H772" s="576" t="s">
        <v>64</v>
      </c>
      <c r="I772" s="576" t="s">
        <v>64</v>
      </c>
      <c r="J772" s="576" t="s">
        <v>64</v>
      </c>
      <c r="K772" s="576" t="s">
        <v>64</v>
      </c>
      <c r="L772" s="576" t="s">
        <v>64</v>
      </c>
      <c r="M772" s="576" t="s">
        <v>64</v>
      </c>
      <c r="N772" s="576" t="s">
        <v>64</v>
      </c>
      <c r="O772" s="576" t="s">
        <v>64</v>
      </c>
      <c r="P772" s="576" t="s">
        <v>156</v>
      </c>
      <c r="Q772" s="576" t="s">
        <v>156</v>
      </c>
      <c r="R772" s="576" t="s">
        <v>74</v>
      </c>
      <c r="S772" s="576"/>
      <c r="T772" s="576" t="s">
        <v>163</v>
      </c>
      <c r="U772" s="576" t="s">
        <v>163</v>
      </c>
      <c r="V772" s="576" t="s">
        <v>92</v>
      </c>
      <c r="W772" s="576" t="s">
        <v>74</v>
      </c>
      <c r="X772" s="576" t="s">
        <v>90</v>
      </c>
      <c r="Y772" s="576" t="s">
        <v>91</v>
      </c>
    </row>
    <row r="773" spans="1:34" s="129" customFormat="1" ht="19.95" customHeight="1">
      <c r="A773" s="513" t="s">
        <v>1817</v>
      </c>
      <c r="B773" s="544">
        <f>pSiO2v</f>
        <v>21432.06367811999</v>
      </c>
      <c r="C773" s="544">
        <v>0</v>
      </c>
      <c r="D773" s="539">
        <v>11.7875</v>
      </c>
      <c r="E773" s="539">
        <v>0</v>
      </c>
      <c r="F773" s="539">
        <v>12.835900000000001</v>
      </c>
      <c r="G773" s="539">
        <v>0</v>
      </c>
      <c r="H773" s="539">
        <v>41.969499999999996</v>
      </c>
      <c r="I773" s="539">
        <v>0</v>
      </c>
      <c r="J773" s="112">
        <f>D773-E773/2</f>
        <v>11.7875</v>
      </c>
      <c r="K773" s="112">
        <f>F773-G773/2</f>
        <v>12.835900000000001</v>
      </c>
      <c r="L773" s="112">
        <f>H773-I773/2</f>
        <v>41.969499999999996</v>
      </c>
      <c r="M773" s="513">
        <f>u_m1</f>
        <v>2.0000000000000001E-4</v>
      </c>
      <c r="N773" s="513">
        <f>u_m1</f>
        <v>2.0000000000000001E-4</v>
      </c>
      <c r="O773" s="513">
        <f>u_m1</f>
        <v>2.0000000000000001E-4</v>
      </c>
      <c r="P773" s="545" cm="1">
        <f t="array" ref="P773:Q773">WnA1S(B773:C773,J773:L773,M773:O773)</f>
        <v>744.46277781926381</v>
      </c>
      <c r="Q773" s="545">
        <v>0.20096610640142498</v>
      </c>
      <c r="R773" s="513" t="s">
        <v>2155</v>
      </c>
      <c r="S773" s="513" t="s">
        <v>196</v>
      </c>
      <c r="T773" s="541">
        <v>20240305</v>
      </c>
      <c r="U773" s="513">
        <f>T773+1</f>
        <v>20240306</v>
      </c>
      <c r="V773" s="541">
        <v>22.7</v>
      </c>
      <c r="W773" s="541">
        <v>31.3</v>
      </c>
      <c r="X773" s="513" t="s">
        <v>101</v>
      </c>
      <c r="Y773" s="513" t="s">
        <v>94</v>
      </c>
    </row>
    <row r="774" spans="1:34" s="129" customFormat="1" ht="19.95" customHeight="1">
      <c r="A774" s="129" t="s">
        <v>1566</v>
      </c>
      <c r="D774" s="147"/>
      <c r="E774" s="147"/>
      <c r="F774" s="132"/>
      <c r="G774" s="132"/>
    </row>
    <row r="775" spans="1:34" s="129" customFormat="1" ht="19.95" customHeight="1">
      <c r="D775" s="147"/>
      <c r="E775" s="147"/>
      <c r="F775" s="147"/>
    </row>
    <row r="776" spans="1:34" s="129" customFormat="1" ht="19.95" customHeight="1">
      <c r="A776" s="128" t="s">
        <v>1816</v>
      </c>
      <c r="D776" s="147"/>
      <c r="E776" s="147"/>
      <c r="F776" s="147"/>
    </row>
    <row r="777" spans="1:34" s="129" customFormat="1" ht="19.95" customHeight="1"/>
    <row r="778" spans="1:34" s="129" customFormat="1" ht="19.95" customHeight="1">
      <c r="A778" s="104"/>
      <c r="B778" s="89" t="s">
        <v>158</v>
      </c>
      <c r="D778" s="89" t="s">
        <v>158</v>
      </c>
      <c r="F778" s="89" t="s">
        <v>2156</v>
      </c>
      <c r="H778" s="89" t="s">
        <v>2220</v>
      </c>
      <c r="J778" s="89" t="s">
        <v>2221</v>
      </c>
      <c r="L778" s="89" t="s">
        <v>2222</v>
      </c>
      <c r="V778" s="89" t="s">
        <v>176</v>
      </c>
      <c r="X778" s="89" t="s">
        <v>176</v>
      </c>
      <c r="Z778" s="89" t="s">
        <v>179</v>
      </c>
    </row>
    <row r="779" spans="1:34" s="129" customFormat="1" ht="19.95" customHeight="1">
      <c r="A779" s="89" t="s">
        <v>157</v>
      </c>
      <c r="B779" s="89" t="s">
        <v>168</v>
      </c>
      <c r="C779" s="89" t="s">
        <v>173</v>
      </c>
      <c r="D779" s="89" t="s">
        <v>1557</v>
      </c>
      <c r="E779" s="89" t="s">
        <v>1558</v>
      </c>
      <c r="F779" s="129" t="s">
        <v>169</v>
      </c>
      <c r="G779" s="129" t="s">
        <v>170</v>
      </c>
      <c r="H779" s="129" t="s">
        <v>169</v>
      </c>
      <c r="I779" s="129" t="s">
        <v>170</v>
      </c>
      <c r="J779" s="129" t="s">
        <v>169</v>
      </c>
      <c r="K779" s="129" t="s">
        <v>170</v>
      </c>
      <c r="L779" s="129" t="s">
        <v>169</v>
      </c>
      <c r="M779" s="129" t="s">
        <v>170</v>
      </c>
      <c r="N779" s="89" t="s">
        <v>140</v>
      </c>
      <c r="O779" s="89" t="s">
        <v>2218</v>
      </c>
      <c r="P779" s="89" t="s">
        <v>2219</v>
      </c>
      <c r="Q779" s="89" t="s">
        <v>2223</v>
      </c>
      <c r="R779" s="89" t="s">
        <v>2171</v>
      </c>
      <c r="S779" s="89" t="s">
        <v>2172</v>
      </c>
      <c r="T779" s="89" t="s">
        <v>2173</v>
      </c>
      <c r="U779" s="89" t="s">
        <v>2224</v>
      </c>
      <c r="V779" s="89" t="s">
        <v>168</v>
      </c>
      <c r="W779" s="89" t="s">
        <v>173</v>
      </c>
      <c r="X779" s="89" t="s">
        <v>1557</v>
      </c>
      <c r="Y779" s="89" t="s">
        <v>1558</v>
      </c>
      <c r="Z779" s="129" t="s">
        <v>258</v>
      </c>
      <c r="AA779" s="129" t="s">
        <v>1559</v>
      </c>
      <c r="AB779" s="89" t="s">
        <v>159</v>
      </c>
      <c r="AC779" s="89" t="s">
        <v>160</v>
      </c>
      <c r="AD779" s="89" t="s">
        <v>161</v>
      </c>
      <c r="AE779" s="89" t="s">
        <v>79</v>
      </c>
      <c r="AF779" s="89" t="s">
        <v>80</v>
      </c>
      <c r="AG779" s="89" t="s">
        <v>3</v>
      </c>
      <c r="AH779" s="89" t="s">
        <v>75</v>
      </c>
    </row>
    <row r="780" spans="1:34" s="129" customFormat="1" ht="19.95" customHeight="1">
      <c r="A780" s="576" t="s">
        <v>162</v>
      </c>
      <c r="B780" s="576" t="s">
        <v>156</v>
      </c>
      <c r="C780" s="576" t="s">
        <v>156</v>
      </c>
      <c r="D780" s="576" t="s">
        <v>156</v>
      </c>
      <c r="E780" s="576" t="s">
        <v>156</v>
      </c>
      <c r="F780" s="576" t="s">
        <v>64</v>
      </c>
      <c r="G780" s="576" t="s">
        <v>64</v>
      </c>
      <c r="H780" s="576" t="s">
        <v>64</v>
      </c>
      <c r="I780" s="576" t="s">
        <v>64</v>
      </c>
      <c r="J780" s="576" t="s">
        <v>64</v>
      </c>
      <c r="K780" s="576" t="s">
        <v>64</v>
      </c>
      <c r="L780" s="576" t="s">
        <v>64</v>
      </c>
      <c r="M780" s="576" t="s">
        <v>64</v>
      </c>
      <c r="N780" s="576" t="s">
        <v>64</v>
      </c>
      <c r="O780" s="576" t="s">
        <v>64</v>
      </c>
      <c r="P780" s="576" t="s">
        <v>64</v>
      </c>
      <c r="Q780" s="576" t="s">
        <v>64</v>
      </c>
      <c r="R780" s="576" t="s">
        <v>64</v>
      </c>
      <c r="S780" s="576" t="s">
        <v>64</v>
      </c>
      <c r="T780" s="576" t="s">
        <v>64</v>
      </c>
      <c r="U780" s="576" t="s">
        <v>64</v>
      </c>
      <c r="V780" s="576" t="s">
        <v>156</v>
      </c>
      <c r="W780" s="576" t="s">
        <v>156</v>
      </c>
      <c r="X780" s="576" t="s">
        <v>156</v>
      </c>
      <c r="Y780" s="576" t="s">
        <v>156</v>
      </c>
      <c r="Z780" s="576" t="s">
        <v>74</v>
      </c>
      <c r="AA780" s="576" t="s">
        <v>74</v>
      </c>
      <c r="AB780" s="576"/>
      <c r="AC780" s="576" t="s">
        <v>163</v>
      </c>
      <c r="AD780" s="576" t="s">
        <v>163</v>
      </c>
      <c r="AE780" s="576" t="s">
        <v>92</v>
      </c>
      <c r="AF780" s="576" t="s">
        <v>74</v>
      </c>
      <c r="AG780" s="576" t="s">
        <v>90</v>
      </c>
      <c r="AH780" s="576" t="s">
        <v>91</v>
      </c>
    </row>
    <row r="781" spans="1:34" s="129" customFormat="1" ht="19.95" customHeight="1">
      <c r="A781" s="513" t="s">
        <v>1818</v>
      </c>
      <c r="B781" s="538">
        <f>pPO4v</f>
        <v>1000.5</v>
      </c>
      <c r="C781" s="538">
        <v>0</v>
      </c>
      <c r="D781" s="538">
        <f>P773</f>
        <v>744.46277781926381</v>
      </c>
      <c r="E781" s="538">
        <f>Q773</f>
        <v>0.20096610640142498</v>
      </c>
      <c r="F781" s="539">
        <v>11.8017</v>
      </c>
      <c r="G781" s="539">
        <v>0</v>
      </c>
      <c r="H781" s="539">
        <v>12.574999999999999</v>
      </c>
      <c r="I781" s="539">
        <v>0</v>
      </c>
      <c r="J781" s="539">
        <v>14.311999999999999</v>
      </c>
      <c r="K781" s="539">
        <v>-1E-4</v>
      </c>
      <c r="L781" s="539">
        <v>42.238999999999997</v>
      </c>
      <c r="M781" s="539">
        <v>2.0000000000000001E-4</v>
      </c>
      <c r="N781" s="112">
        <f>F781-G781/2</f>
        <v>11.8017</v>
      </c>
      <c r="O781" s="112">
        <f>H781-I781/2</f>
        <v>12.574999999999999</v>
      </c>
      <c r="P781" s="112">
        <f>J781-K781/2</f>
        <v>14.312049999999999</v>
      </c>
      <c r="Q781" s="112">
        <f>L781-M781/2</f>
        <v>42.238899999999994</v>
      </c>
      <c r="R781" s="513">
        <f>u_m1</f>
        <v>2.0000000000000001E-4</v>
      </c>
      <c r="S781" s="513">
        <f>u_m1</f>
        <v>2.0000000000000001E-4</v>
      </c>
      <c r="T781" s="513">
        <f>u_m1</f>
        <v>2.0000000000000001E-4</v>
      </c>
      <c r="U781" s="513">
        <f>u_m2</f>
        <v>2E-3</v>
      </c>
      <c r="V781" s="540" cm="1">
        <f t="array" ref="V781:Y781">WnAnS(B781:E781,N781:Q781,R781:U781)</f>
        <v>25.419113781819586</v>
      </c>
      <c r="W781" s="540">
        <v>9.4476288518206605E-3</v>
      </c>
      <c r="X781" s="540">
        <v>42.486466173332389</v>
      </c>
      <c r="Y781" s="540">
        <v>1.3684737144223072E-2</v>
      </c>
      <c r="Z781" s="513" t="s">
        <v>2155</v>
      </c>
      <c r="AA781" s="513" t="s">
        <v>2155</v>
      </c>
      <c r="AB781" s="513" t="s">
        <v>196</v>
      </c>
      <c r="AC781" s="541">
        <v>20240305</v>
      </c>
      <c r="AD781" s="513">
        <f>AC781+1</f>
        <v>20240306</v>
      </c>
      <c r="AE781" s="541">
        <v>22.7</v>
      </c>
      <c r="AF781" s="541">
        <v>31.3</v>
      </c>
      <c r="AG781" s="513" t="s">
        <v>101</v>
      </c>
      <c r="AH781" s="513" t="s">
        <v>94</v>
      </c>
    </row>
    <row r="782" spans="1:34" s="129" customFormat="1" ht="19.95" customHeight="1">
      <c r="A782" s="86" t="s">
        <v>1566</v>
      </c>
      <c r="S782" s="77"/>
    </row>
    <row r="783" spans="1:34" s="129" customFormat="1" ht="19.95" customHeight="1">
      <c r="A783" s="86"/>
      <c r="S783" s="77"/>
    </row>
    <row r="784" spans="1:34" s="129" customFormat="1" ht="19.95" customHeight="1">
      <c r="B784" s="89" t="s">
        <v>158</v>
      </c>
      <c r="D784" s="89" t="s">
        <v>158</v>
      </c>
      <c r="F784" s="89" t="s">
        <v>2156</v>
      </c>
      <c r="H784" s="89" t="s">
        <v>2167</v>
      </c>
      <c r="J784" s="89" t="s">
        <v>2168</v>
      </c>
      <c r="R784" s="89" t="s">
        <v>176</v>
      </c>
      <c r="T784" s="89" t="s">
        <v>176</v>
      </c>
      <c r="V784" s="89" t="s">
        <v>179</v>
      </c>
    </row>
    <row r="785" spans="1:31" s="129" customFormat="1" ht="19.95" customHeight="1">
      <c r="A785" s="89" t="s">
        <v>157</v>
      </c>
      <c r="B785" s="89" t="s">
        <v>168</v>
      </c>
      <c r="C785" s="89" t="s">
        <v>173</v>
      </c>
      <c r="D785" s="89" t="s">
        <v>1557</v>
      </c>
      <c r="E785" s="89" t="s">
        <v>1558</v>
      </c>
      <c r="F785" s="129" t="s">
        <v>169</v>
      </c>
      <c r="G785" s="129" t="s">
        <v>170</v>
      </c>
      <c r="H785" s="129" t="s">
        <v>169</v>
      </c>
      <c r="I785" s="129" t="s">
        <v>170</v>
      </c>
      <c r="J785" s="129" t="s">
        <v>169</v>
      </c>
      <c r="K785" s="129" t="s">
        <v>170</v>
      </c>
      <c r="L785" s="89" t="s">
        <v>140</v>
      </c>
      <c r="M785" s="89" t="s">
        <v>2218</v>
      </c>
      <c r="N785" s="89" t="s">
        <v>2219</v>
      </c>
      <c r="O785" s="89" t="s">
        <v>2171</v>
      </c>
      <c r="P785" s="89" t="s">
        <v>2172</v>
      </c>
      <c r="Q785" s="89" t="s">
        <v>2173</v>
      </c>
      <c r="R785" s="89" t="s">
        <v>168</v>
      </c>
      <c r="S785" s="89" t="s">
        <v>173</v>
      </c>
      <c r="T785" s="89" t="s">
        <v>1557</v>
      </c>
      <c r="U785" s="89" t="s">
        <v>1558</v>
      </c>
      <c r="V785" s="129" t="s">
        <v>258</v>
      </c>
      <c r="W785" s="129" t="s">
        <v>1559</v>
      </c>
      <c r="X785" s="89" t="s">
        <v>159</v>
      </c>
      <c r="Y785" s="89" t="s">
        <v>160</v>
      </c>
      <c r="Z785" s="89" t="s">
        <v>161</v>
      </c>
      <c r="AA785" s="89" t="s">
        <v>79</v>
      </c>
      <c r="AB785" s="89" t="s">
        <v>80</v>
      </c>
      <c r="AC785" s="89" t="s">
        <v>3</v>
      </c>
      <c r="AD785" s="89" t="s">
        <v>75</v>
      </c>
    </row>
    <row r="786" spans="1:31" s="129" customFormat="1" ht="19.95" customHeight="1">
      <c r="A786" s="576" t="s">
        <v>162</v>
      </c>
      <c r="B786" s="576" t="s">
        <v>156</v>
      </c>
      <c r="C786" s="576" t="s">
        <v>156</v>
      </c>
      <c r="D786" s="576" t="s">
        <v>156</v>
      </c>
      <c r="E786" s="576" t="s">
        <v>156</v>
      </c>
      <c r="F786" s="576" t="s">
        <v>64</v>
      </c>
      <c r="G786" s="576" t="s">
        <v>64</v>
      </c>
      <c r="H786" s="576" t="s">
        <v>64</v>
      </c>
      <c r="I786" s="576" t="s">
        <v>64</v>
      </c>
      <c r="J786" s="576" t="s">
        <v>64</v>
      </c>
      <c r="K786" s="576" t="s">
        <v>64</v>
      </c>
      <c r="L786" s="576" t="s">
        <v>64</v>
      </c>
      <c r="M786" s="576" t="s">
        <v>64</v>
      </c>
      <c r="N786" s="576" t="s">
        <v>64</v>
      </c>
      <c r="O786" s="576" t="s">
        <v>64</v>
      </c>
      <c r="P786" s="576" t="s">
        <v>64</v>
      </c>
      <c r="Q786" s="576" t="s">
        <v>64</v>
      </c>
      <c r="R786" s="576" t="s">
        <v>156</v>
      </c>
      <c r="S786" s="576" t="s">
        <v>156</v>
      </c>
      <c r="T786" s="576" t="s">
        <v>156</v>
      </c>
      <c r="U786" s="576" t="s">
        <v>156</v>
      </c>
      <c r="V786" s="576" t="s">
        <v>74</v>
      </c>
      <c r="W786" s="576" t="s">
        <v>74</v>
      </c>
      <c r="X786" s="576"/>
      <c r="Y786" s="576" t="s">
        <v>163</v>
      </c>
      <c r="Z786" s="576" t="s">
        <v>163</v>
      </c>
      <c r="AA786" s="576" t="s">
        <v>92</v>
      </c>
      <c r="AB786" s="576" t="s">
        <v>74</v>
      </c>
      <c r="AC786" s="576" t="s">
        <v>90</v>
      </c>
      <c r="AD786" s="576" t="s">
        <v>91</v>
      </c>
    </row>
    <row r="787" spans="1:31" s="129" customFormat="1" ht="19.95" customHeight="1">
      <c r="A787" s="578" t="s">
        <v>1825</v>
      </c>
      <c r="B787" s="142">
        <f>V781</f>
        <v>25.419113781819586</v>
      </c>
      <c r="C787" s="142">
        <f>W781</f>
        <v>9.4476288518206605E-3</v>
      </c>
      <c r="D787" s="142">
        <f>X781</f>
        <v>42.486466173332389</v>
      </c>
      <c r="E787" s="142">
        <f>Y781</f>
        <v>1.3684737144223072E-2</v>
      </c>
      <c r="F787" s="111">
        <v>8.1928999999999998</v>
      </c>
      <c r="G787" s="111">
        <v>-1E-4</v>
      </c>
      <c r="H787" s="67">
        <v>15.849299999999999</v>
      </c>
      <c r="I787" s="111">
        <v>0</v>
      </c>
      <c r="J787" s="67">
        <v>36.234099999999998</v>
      </c>
      <c r="K787" s="111">
        <v>-2.0000000000000001E-4</v>
      </c>
      <c r="L787" s="77">
        <f t="shared" ref="L787:L793" si="240">F787-G787/2</f>
        <v>8.1929499999999997</v>
      </c>
      <c r="M787" s="77">
        <f t="shared" ref="M787:M793" si="241">H787-I787/2</f>
        <v>15.849299999999999</v>
      </c>
      <c r="N787" s="77">
        <f t="shared" ref="N787:N793" si="242">J787-K787/2</f>
        <v>36.234200000000001</v>
      </c>
      <c r="O787" s="129">
        <f t="shared" ref="O787:P793" si="243">u_m1</f>
        <v>2.0000000000000001E-4</v>
      </c>
      <c r="P787" s="129">
        <f t="shared" si="243"/>
        <v>2.0000000000000001E-4</v>
      </c>
      <c r="Q787" s="129">
        <f t="shared" ref="Q787:Q793" si="244">u_m2</f>
        <v>2E-3</v>
      </c>
      <c r="R787" s="716" cm="1">
        <f t="array" ref="R787:U787">WnA1S(B787:E787,L787:N787,O787:Q787)</f>
        <v>6.9404050034657647</v>
      </c>
      <c r="S787" s="716">
        <v>2.6395844231708572E-3</v>
      </c>
      <c r="T787" s="716">
        <v>11.600454875805942</v>
      </c>
      <c r="U787" s="716">
        <v>3.851782893413079E-3</v>
      </c>
      <c r="V787" s="226" t="s">
        <v>2155</v>
      </c>
      <c r="W787" s="226" t="s">
        <v>2155</v>
      </c>
      <c r="X787" s="578" t="s">
        <v>196</v>
      </c>
      <c r="Y787" s="108">
        <v>20240305</v>
      </c>
      <c r="Z787" s="578">
        <f>Y787+1</f>
        <v>20240306</v>
      </c>
      <c r="AA787" s="108">
        <v>22.7</v>
      </c>
      <c r="AB787" s="108">
        <v>31.3</v>
      </c>
      <c r="AC787" s="578" t="s">
        <v>101</v>
      </c>
      <c r="AD787" s="578" t="s">
        <v>94</v>
      </c>
    </row>
    <row r="788" spans="1:31" s="129" customFormat="1" ht="19.95" customHeight="1">
      <c r="A788" s="575" t="s">
        <v>1819</v>
      </c>
      <c r="B788" s="142">
        <f>R787</f>
        <v>6.9404050034657647</v>
      </c>
      <c r="C788" s="142">
        <f t="shared" ref="C788:E788" si="245">S787</f>
        <v>2.6395844231708572E-3</v>
      </c>
      <c r="D788" s="142">
        <f t="shared" si="245"/>
        <v>11.600454875805942</v>
      </c>
      <c r="E788" s="142">
        <f t="shared" si="245"/>
        <v>3.851782893413079E-3</v>
      </c>
      <c r="F788" s="111">
        <v>8.1820000000000004</v>
      </c>
      <c r="G788" s="111">
        <v>-1E-4</v>
      </c>
      <c r="H788" s="111">
        <v>8.6976999999999993</v>
      </c>
      <c r="I788" s="111">
        <v>0</v>
      </c>
      <c r="J788" s="111">
        <v>35.885100000000001</v>
      </c>
      <c r="K788" s="111">
        <v>1E-4</v>
      </c>
      <c r="L788" s="77">
        <f t="shared" si="240"/>
        <v>8.1820500000000003</v>
      </c>
      <c r="M788" s="77">
        <f t="shared" si="241"/>
        <v>8.6976999999999993</v>
      </c>
      <c r="N788" s="77">
        <f t="shared" si="242"/>
        <v>35.88505</v>
      </c>
      <c r="O788" s="129">
        <f t="shared" si="243"/>
        <v>2.0000000000000001E-4</v>
      </c>
      <c r="P788" s="129">
        <f t="shared" si="243"/>
        <v>2.0000000000000001E-4</v>
      </c>
      <c r="Q788" s="129">
        <f t="shared" si="244"/>
        <v>2E-3</v>
      </c>
      <c r="R788" s="119" cm="1">
        <f t="array" ref="R788:U788">WnA1S(B788:E788,L788:N788,O788:Q788)</f>
        <v>0.12918528101783616</v>
      </c>
      <c r="S788" s="119">
        <v>8.67351198373459E-5</v>
      </c>
      <c r="T788" s="119">
        <v>0.21592515455760472</v>
      </c>
      <c r="U788" s="119">
        <v>1.3933173521125442E-4</v>
      </c>
      <c r="V788" s="226">
        <f>R788/J147</f>
        <v>0.98202418105538702</v>
      </c>
      <c r="W788" s="226">
        <f>T788/R147</f>
        <v>1.0192360375624485</v>
      </c>
      <c r="X788" s="575" t="s">
        <v>196</v>
      </c>
      <c r="Y788" s="106">
        <v>20240305</v>
      </c>
      <c r="Z788" s="575">
        <f t="shared" ref="Z788:Z793" si="246">Y788+1</f>
        <v>20240306</v>
      </c>
      <c r="AA788" s="106">
        <v>22.7</v>
      </c>
      <c r="AB788" s="106">
        <v>31.3</v>
      </c>
      <c r="AC788" s="575" t="s">
        <v>101</v>
      </c>
      <c r="AD788" s="575" t="s">
        <v>94</v>
      </c>
    </row>
    <row r="789" spans="1:31" s="129" customFormat="1" ht="19.95" customHeight="1">
      <c r="A789" s="575" t="s">
        <v>1820</v>
      </c>
      <c r="B789" s="142">
        <f>B788</f>
        <v>6.9404050034657647</v>
      </c>
      <c r="C789" s="142">
        <f t="shared" ref="C789:E789" si="247">C788</f>
        <v>2.6395844231708572E-3</v>
      </c>
      <c r="D789" s="142">
        <f t="shared" si="247"/>
        <v>11.600454875805942</v>
      </c>
      <c r="E789" s="142">
        <f t="shared" si="247"/>
        <v>3.851782893413079E-3</v>
      </c>
      <c r="F789" s="111">
        <v>8.1875999999999998</v>
      </c>
      <c r="G789" s="111">
        <v>0</v>
      </c>
      <c r="H789" s="111">
        <v>8.9603000000000002</v>
      </c>
      <c r="I789" s="111">
        <v>-2.0000000000000001E-4</v>
      </c>
      <c r="J789" s="111">
        <v>35.531799999999997</v>
      </c>
      <c r="K789" s="111">
        <v>2.0000000000000001E-4</v>
      </c>
      <c r="L789" s="77">
        <f t="shared" si="240"/>
        <v>8.1875999999999998</v>
      </c>
      <c r="M789" s="77">
        <f t="shared" si="241"/>
        <v>8.9603999999999999</v>
      </c>
      <c r="N789" s="77">
        <f t="shared" si="242"/>
        <v>35.531699999999994</v>
      </c>
      <c r="O789" s="129">
        <f t="shared" si="243"/>
        <v>2.0000000000000001E-4</v>
      </c>
      <c r="P789" s="129">
        <f t="shared" si="243"/>
        <v>2.0000000000000001E-4</v>
      </c>
      <c r="Q789" s="129">
        <f t="shared" si="244"/>
        <v>2E-3</v>
      </c>
      <c r="R789" s="119" cm="1">
        <f t="array" ref="R789:U789">WnA1S(B789:E789,L789:N789,O789:Q789)</f>
        <v>0.19614999165005781</v>
      </c>
      <c r="S789" s="119">
        <v>1.045318648655512E-4</v>
      </c>
      <c r="T789" s="119">
        <v>0.32785249936998606</v>
      </c>
      <c r="U789" s="119">
        <v>1.6379701902936779E-4</v>
      </c>
      <c r="V789" s="226">
        <f>R789/J148</f>
        <v>0.99404531432944543</v>
      </c>
      <c r="W789" s="226">
        <f>T789/R148</f>
        <v>1.0317126878136607</v>
      </c>
      <c r="X789" s="575" t="s">
        <v>196</v>
      </c>
      <c r="Y789" s="106">
        <v>20240305</v>
      </c>
      <c r="Z789" s="575">
        <f t="shared" si="246"/>
        <v>20240306</v>
      </c>
      <c r="AA789" s="106">
        <v>22.7</v>
      </c>
      <c r="AB789" s="106">
        <v>31.3</v>
      </c>
      <c r="AC789" s="575" t="s">
        <v>101</v>
      </c>
      <c r="AD789" s="575" t="s">
        <v>94</v>
      </c>
    </row>
    <row r="790" spans="1:31" s="129" customFormat="1" ht="19.95" customHeight="1">
      <c r="A790" s="575" t="s">
        <v>1821</v>
      </c>
      <c r="B790" s="142">
        <f>B788</f>
        <v>6.9404050034657647</v>
      </c>
      <c r="C790" s="142">
        <f t="shared" ref="C790:E790" si="248">C788</f>
        <v>2.6395844231708572E-3</v>
      </c>
      <c r="D790" s="142">
        <f t="shared" si="248"/>
        <v>11.600454875805942</v>
      </c>
      <c r="E790" s="142">
        <f t="shared" si="248"/>
        <v>3.851782893413079E-3</v>
      </c>
      <c r="F790" s="111">
        <v>8.1213999999999995</v>
      </c>
      <c r="G790" s="111">
        <v>-1E-4</v>
      </c>
      <c r="H790" s="111">
        <v>9.1493000000000002</v>
      </c>
      <c r="I790" s="111">
        <v>-1E-4</v>
      </c>
      <c r="J790" s="111">
        <v>35.659999999999997</v>
      </c>
      <c r="K790" s="111">
        <v>1E-4</v>
      </c>
      <c r="L790" s="77">
        <f t="shared" si="240"/>
        <v>8.1214499999999994</v>
      </c>
      <c r="M790" s="77">
        <f t="shared" si="241"/>
        <v>9.1493500000000001</v>
      </c>
      <c r="N790" s="77">
        <f t="shared" si="242"/>
        <v>35.659949999999995</v>
      </c>
      <c r="O790" s="129">
        <f t="shared" si="243"/>
        <v>2.0000000000000001E-4</v>
      </c>
      <c r="P790" s="129">
        <f t="shared" si="243"/>
        <v>2.0000000000000001E-4</v>
      </c>
      <c r="Q790" s="129">
        <f t="shared" si="244"/>
        <v>2E-3</v>
      </c>
      <c r="R790" s="119" cm="1">
        <f t="array" ref="R790:U790">WnA1S(B790:E790,L790:N790,O790:Q790)</f>
        <v>0.25905704025500537</v>
      </c>
      <c r="S790" s="119">
        <v>1.2306918498232908E-4</v>
      </c>
      <c r="T790" s="119">
        <v>0.43299771472087945</v>
      </c>
      <c r="U790" s="119">
        <v>1.8937997782665351E-4</v>
      </c>
      <c r="V790" s="226">
        <f>R790/J149</f>
        <v>0.98463337231092884</v>
      </c>
      <c r="W790" s="226">
        <f>T790/R149</f>
        <v>1.0219440989400033</v>
      </c>
      <c r="X790" s="575" t="s">
        <v>196</v>
      </c>
      <c r="Y790" s="106">
        <v>20240305</v>
      </c>
      <c r="Z790" s="575">
        <f t="shared" si="246"/>
        <v>20240306</v>
      </c>
      <c r="AA790" s="106">
        <v>22.7</v>
      </c>
      <c r="AB790" s="106">
        <v>31.3</v>
      </c>
      <c r="AC790" s="575" t="s">
        <v>101</v>
      </c>
      <c r="AD790" s="575" t="s">
        <v>94</v>
      </c>
    </row>
    <row r="791" spans="1:31" s="129" customFormat="1" ht="19.95" customHeight="1">
      <c r="A791" s="575" t="s">
        <v>1822</v>
      </c>
      <c r="B791" s="142">
        <f>B788</f>
        <v>6.9404050034657647</v>
      </c>
      <c r="C791" s="142">
        <f t="shared" ref="C791:E791" si="249">C788</f>
        <v>2.6395844231708572E-3</v>
      </c>
      <c r="D791" s="142">
        <f t="shared" si="249"/>
        <v>11.600454875805942</v>
      </c>
      <c r="E791" s="142">
        <f t="shared" si="249"/>
        <v>3.851782893413079E-3</v>
      </c>
      <c r="F791" s="111">
        <v>8.2167999999999992</v>
      </c>
      <c r="G791" s="111">
        <v>0</v>
      </c>
      <c r="H791" s="111">
        <v>9.7593999999999994</v>
      </c>
      <c r="I791" s="111">
        <v>0</v>
      </c>
      <c r="J791" s="111">
        <v>35.737699999999997</v>
      </c>
      <c r="K791" s="111">
        <v>1E-4</v>
      </c>
      <c r="L791" s="77">
        <f t="shared" si="240"/>
        <v>8.2167999999999992</v>
      </c>
      <c r="M791" s="77">
        <f t="shared" si="241"/>
        <v>9.7593999999999994</v>
      </c>
      <c r="N791" s="77">
        <f t="shared" si="242"/>
        <v>35.737649999999995</v>
      </c>
      <c r="O791" s="129">
        <f t="shared" si="243"/>
        <v>2.0000000000000001E-4</v>
      </c>
      <c r="P791" s="129">
        <f t="shared" si="243"/>
        <v>2.0000000000000001E-4</v>
      </c>
      <c r="Q791" s="129">
        <f t="shared" si="244"/>
        <v>2E-3</v>
      </c>
      <c r="R791" s="119" cm="1">
        <f t="array" ref="R791:U791">WnA1S(B791:E791,L791:N791,O791:Q791)</f>
        <v>0.38902391308212836</v>
      </c>
      <c r="S791" s="119">
        <v>1.6668995940527314E-4</v>
      </c>
      <c r="T791" s="119">
        <v>0.65022925132829301</v>
      </c>
      <c r="U791" s="119">
        <v>2.5116165669339526E-4</v>
      </c>
      <c r="V791" s="226">
        <f>R791/J150</f>
        <v>0.98574411017896457</v>
      </c>
      <c r="W791" s="226">
        <f>T791/R150</f>
        <v>1.0230969260141498</v>
      </c>
      <c r="X791" s="575" t="s">
        <v>196</v>
      </c>
      <c r="Y791" s="106">
        <v>20240305</v>
      </c>
      <c r="Z791" s="575">
        <f t="shared" si="246"/>
        <v>20240306</v>
      </c>
      <c r="AA791" s="106">
        <v>22.7</v>
      </c>
      <c r="AB791" s="106">
        <v>31.3</v>
      </c>
      <c r="AC791" s="575" t="s">
        <v>101</v>
      </c>
      <c r="AD791" s="575" t="s">
        <v>94</v>
      </c>
    </row>
    <row r="792" spans="1:31" s="129" customFormat="1" ht="19.95" customHeight="1">
      <c r="A792" s="575" t="s">
        <v>1823</v>
      </c>
      <c r="B792" s="197">
        <f>B788</f>
        <v>6.9404050034657647</v>
      </c>
      <c r="C792" s="197">
        <f t="shared" ref="C792:E792" si="250">C788</f>
        <v>2.6395844231708572E-3</v>
      </c>
      <c r="D792" s="197">
        <f t="shared" si="250"/>
        <v>11.600454875805942</v>
      </c>
      <c r="E792" s="197">
        <f t="shared" si="250"/>
        <v>3.851782893413079E-3</v>
      </c>
      <c r="F792" s="69">
        <v>8.1149000000000004</v>
      </c>
      <c r="G792" s="69">
        <v>-2.0000000000000001E-4</v>
      </c>
      <c r="H792" s="69">
        <v>10.1706</v>
      </c>
      <c r="I792" s="69">
        <v>-1E-4</v>
      </c>
      <c r="J792" s="69">
        <v>35.910899999999998</v>
      </c>
      <c r="K792" s="69">
        <v>1E-4</v>
      </c>
      <c r="L792" s="114">
        <f t="shared" si="240"/>
        <v>8.1150000000000002</v>
      </c>
      <c r="M792" s="114">
        <f t="shared" si="241"/>
        <v>10.17065</v>
      </c>
      <c r="N792" s="114">
        <f t="shared" si="242"/>
        <v>35.910849999999996</v>
      </c>
      <c r="O792" s="129">
        <f t="shared" si="243"/>
        <v>2.0000000000000001E-4</v>
      </c>
      <c r="P792" s="129">
        <f t="shared" si="243"/>
        <v>2.0000000000000001E-4</v>
      </c>
      <c r="Q792" s="129">
        <f t="shared" si="244"/>
        <v>2E-3</v>
      </c>
      <c r="R792" s="119" cm="1">
        <f t="array" ref="R792:U792">WnA1S(B792:E792,L792:N792,O792:Q792)</f>
        <v>0.51327962790756176</v>
      </c>
      <c r="S792" s="119">
        <v>2.108855908500903E-4</v>
      </c>
      <c r="T792" s="119">
        <v>0.85791494289437054</v>
      </c>
      <c r="U792" s="119">
        <v>3.1452797990964382E-4</v>
      </c>
      <c r="V792" s="226">
        <f>R792/J151</f>
        <v>0.9754458911204138</v>
      </c>
      <c r="W792" s="226">
        <f>T792/R151</f>
        <v>1.0124084763917518</v>
      </c>
      <c r="X792" s="575" t="s">
        <v>196</v>
      </c>
      <c r="Y792" s="106">
        <v>20240305</v>
      </c>
      <c r="Z792" s="575">
        <f t="shared" si="246"/>
        <v>20240306</v>
      </c>
      <c r="AA792" s="106">
        <v>22.7</v>
      </c>
      <c r="AB792" s="106">
        <v>31.3</v>
      </c>
      <c r="AC792" s="575" t="s">
        <v>101</v>
      </c>
      <c r="AD792" s="575" t="s">
        <v>94</v>
      </c>
    </row>
    <row r="793" spans="1:31" s="147" customFormat="1" ht="19.95" customHeight="1">
      <c r="A793" s="576" t="s">
        <v>1824</v>
      </c>
      <c r="B793" s="143">
        <f>B788</f>
        <v>6.9404050034657647</v>
      </c>
      <c r="C793" s="143">
        <f t="shared" ref="C793:E793" si="251">C788</f>
        <v>2.6395844231708572E-3</v>
      </c>
      <c r="D793" s="143">
        <f t="shared" si="251"/>
        <v>11.600454875805942</v>
      </c>
      <c r="E793" s="143">
        <f t="shared" si="251"/>
        <v>3.851782893413079E-3</v>
      </c>
      <c r="F793" s="76">
        <v>8.2155000000000005</v>
      </c>
      <c r="G793" s="76">
        <v>0</v>
      </c>
      <c r="H793" s="76">
        <v>12.805099999999999</v>
      </c>
      <c r="I793" s="76">
        <v>2.0000000000000001E-4</v>
      </c>
      <c r="J793" s="76">
        <v>37.346800000000002</v>
      </c>
      <c r="K793" s="76">
        <v>1E-4</v>
      </c>
      <c r="L793" s="122">
        <f t="shared" si="240"/>
        <v>8.2155000000000005</v>
      </c>
      <c r="M793" s="122">
        <f t="shared" si="241"/>
        <v>12.805</v>
      </c>
      <c r="N793" s="122">
        <f t="shared" si="242"/>
        <v>37.34675</v>
      </c>
      <c r="O793" s="576">
        <f t="shared" si="243"/>
        <v>2.0000000000000001E-4</v>
      </c>
      <c r="P793" s="576">
        <f t="shared" si="243"/>
        <v>2.0000000000000001E-4</v>
      </c>
      <c r="Q793" s="576">
        <f t="shared" si="244"/>
        <v>2E-3</v>
      </c>
      <c r="R793" s="186" cm="1">
        <f t="array" ref="R793:U793">WnA1S(B793:E793,L793:N793,O793:Q793)</f>
        <v>1.0934302085700449</v>
      </c>
      <c r="S793" s="186">
        <v>4.2798122017636409E-4</v>
      </c>
      <c r="T793" s="186">
        <v>1.8276005201462815</v>
      </c>
      <c r="U793" s="186">
        <v>6.2994549219422627E-4</v>
      </c>
      <c r="V793" s="234" t="s">
        <v>2155</v>
      </c>
      <c r="W793" s="234">
        <f>T793/1.8</f>
        <v>1.0153336223034897</v>
      </c>
      <c r="X793" s="576" t="s">
        <v>196</v>
      </c>
      <c r="Y793" s="125">
        <v>20240305</v>
      </c>
      <c r="Z793" s="576">
        <f t="shared" si="246"/>
        <v>20240306</v>
      </c>
      <c r="AA793" s="125">
        <v>22.7</v>
      </c>
      <c r="AB793" s="125">
        <v>31.3</v>
      </c>
      <c r="AC793" s="576" t="s">
        <v>101</v>
      </c>
      <c r="AD793" s="576" t="s">
        <v>94</v>
      </c>
      <c r="AE793" s="86"/>
    </row>
    <row r="794" spans="1:31" s="147" customFormat="1" ht="19.95" customHeight="1">
      <c r="A794" s="86"/>
      <c r="B794" s="597"/>
      <c r="C794" s="597"/>
      <c r="D794" s="597"/>
      <c r="E794" s="597"/>
      <c r="F794" s="132"/>
      <c r="G794" s="132"/>
      <c r="H794" s="132"/>
      <c r="I794" s="132"/>
      <c r="J794" s="132"/>
      <c r="K794" s="132"/>
      <c r="L794" s="87"/>
      <c r="M794" s="87"/>
      <c r="N794" s="87"/>
      <c r="O794" s="86"/>
      <c r="P794" s="86"/>
      <c r="Q794" s="86"/>
      <c r="R794" s="722"/>
      <c r="S794" s="722"/>
      <c r="T794" s="722"/>
      <c r="U794" s="722"/>
      <c r="V794" s="802"/>
      <c r="W794" s="802"/>
      <c r="X794" s="86"/>
      <c r="Y794" s="554"/>
      <c r="Z794" s="86"/>
      <c r="AA794" s="554"/>
      <c r="AB794" s="554"/>
      <c r="AC794" s="86"/>
      <c r="AD794" s="86"/>
      <c r="AE794" s="86"/>
    </row>
    <row r="795" spans="1:31" s="147" customFormat="1" ht="19.95" customHeight="1">
      <c r="A795" s="128" t="s">
        <v>1574</v>
      </c>
      <c r="B795" s="597"/>
      <c r="C795" s="597"/>
      <c r="D795" s="597"/>
      <c r="E795" s="597"/>
      <c r="F795" s="132"/>
      <c r="G795" s="132"/>
      <c r="H795" s="132"/>
      <c r="I795" s="132"/>
      <c r="J795" s="132"/>
      <c r="K795" s="132"/>
      <c r="L795" s="87"/>
      <c r="M795" s="87"/>
      <c r="N795" s="87"/>
      <c r="O795" s="86"/>
      <c r="P795" s="86"/>
      <c r="Q795" s="86"/>
      <c r="R795" s="722"/>
      <c r="S795" s="722"/>
      <c r="T795" s="722"/>
      <c r="U795" s="722"/>
      <c r="V795" s="802"/>
      <c r="W795" s="802"/>
      <c r="X795" s="86"/>
      <c r="Y795" s="554"/>
      <c r="Z795" s="86"/>
      <c r="AA795" s="554"/>
      <c r="AB795" s="554"/>
      <c r="AC795" s="86"/>
      <c r="AD795" s="86"/>
      <c r="AE795" s="86"/>
    </row>
    <row r="796" spans="1:31" s="147" customFormat="1" ht="19.95" customHeight="1">
      <c r="A796" s="86"/>
      <c r="B796" s="597"/>
      <c r="C796" s="597"/>
      <c r="D796" s="597"/>
      <c r="E796" s="597"/>
      <c r="F796" s="132"/>
      <c r="G796" s="132"/>
      <c r="H796" s="132"/>
      <c r="I796" s="132"/>
      <c r="J796" s="132"/>
      <c r="K796" s="132"/>
      <c r="L796" s="87"/>
      <c r="M796" s="87"/>
      <c r="N796" s="87"/>
      <c r="O796" s="86"/>
      <c r="P796" s="86"/>
      <c r="Q796" s="86"/>
      <c r="R796" s="722"/>
      <c r="S796" s="722"/>
      <c r="T796" s="722"/>
      <c r="U796" s="722"/>
      <c r="V796" s="802"/>
      <c r="W796" s="802"/>
      <c r="X796" s="86"/>
      <c r="Y796" s="554"/>
      <c r="Z796" s="86"/>
      <c r="AA796" s="554"/>
      <c r="AB796" s="554"/>
      <c r="AC796" s="86"/>
      <c r="AD796" s="86"/>
      <c r="AE796" s="86"/>
    </row>
    <row r="797" spans="1:31" s="147" customFormat="1" ht="19.95" customHeight="1">
      <c r="A797" s="104"/>
      <c r="B797" s="89" t="s">
        <v>158</v>
      </c>
      <c r="C797" s="129"/>
      <c r="D797" s="89" t="s">
        <v>2156</v>
      </c>
      <c r="E797" s="129"/>
      <c r="F797" s="89" t="s">
        <v>2167</v>
      </c>
      <c r="G797" s="129"/>
      <c r="H797" s="89" t="s">
        <v>2158</v>
      </c>
      <c r="I797" s="129"/>
      <c r="J797" s="132"/>
      <c r="K797" s="132"/>
      <c r="L797" s="87"/>
      <c r="M797" s="87"/>
      <c r="N797" s="87"/>
      <c r="O797" s="86"/>
      <c r="P797" s="89" t="s">
        <v>176</v>
      </c>
      <c r="Q797" s="129"/>
      <c r="R797" s="722"/>
      <c r="S797" s="722"/>
      <c r="T797" s="722"/>
      <c r="U797" s="722"/>
      <c r="V797" s="802"/>
      <c r="W797" s="802"/>
      <c r="X797" s="86"/>
      <c r="Y797" s="554"/>
      <c r="Z797" s="86"/>
      <c r="AA797" s="554"/>
      <c r="AB797" s="554"/>
      <c r="AC797" s="86"/>
      <c r="AD797" s="86"/>
      <c r="AE797" s="86"/>
    </row>
    <row r="798" spans="1:31" s="147" customFormat="1" ht="19.95" customHeight="1">
      <c r="A798" s="89" t="s">
        <v>157</v>
      </c>
      <c r="B798" s="89" t="s">
        <v>1561</v>
      </c>
      <c r="C798" s="89" t="s">
        <v>1562</v>
      </c>
      <c r="D798" s="129" t="s">
        <v>169</v>
      </c>
      <c r="E798" s="129" t="s">
        <v>170</v>
      </c>
      <c r="F798" s="129" t="s">
        <v>169</v>
      </c>
      <c r="G798" s="129" t="s">
        <v>170</v>
      </c>
      <c r="H798" s="129" t="s">
        <v>169</v>
      </c>
      <c r="I798" s="129" t="s">
        <v>170</v>
      </c>
      <c r="J798" s="89" t="s">
        <v>140</v>
      </c>
      <c r="K798" s="89" t="s">
        <v>2218</v>
      </c>
      <c r="L798" s="89" t="s">
        <v>2219</v>
      </c>
      <c r="M798" s="89" t="s">
        <v>2171</v>
      </c>
      <c r="N798" s="89" t="s">
        <v>2172</v>
      </c>
      <c r="O798" s="89" t="s">
        <v>2173</v>
      </c>
      <c r="P798" s="89" t="s">
        <v>1561</v>
      </c>
      <c r="Q798" s="89" t="s">
        <v>1562</v>
      </c>
      <c r="R798" s="89" t="s">
        <v>179</v>
      </c>
      <c r="S798" s="89" t="s">
        <v>159</v>
      </c>
      <c r="T798" s="89" t="s">
        <v>160</v>
      </c>
      <c r="U798" s="89" t="s">
        <v>161</v>
      </c>
      <c r="V798" s="89" t="s">
        <v>79</v>
      </c>
      <c r="W798" s="89" t="s">
        <v>80</v>
      </c>
      <c r="X798" s="89" t="s">
        <v>3</v>
      </c>
      <c r="Y798" s="89" t="s">
        <v>75</v>
      </c>
      <c r="Z798" s="86"/>
      <c r="AA798" s="554"/>
      <c r="AB798" s="554"/>
      <c r="AC798" s="86"/>
      <c r="AD798" s="86"/>
      <c r="AE798" s="86"/>
    </row>
    <row r="799" spans="1:31" s="147" customFormat="1" ht="19.95" customHeight="1">
      <c r="A799" s="576" t="s">
        <v>162</v>
      </c>
      <c r="B799" s="576" t="s">
        <v>156</v>
      </c>
      <c r="C799" s="576" t="s">
        <v>156</v>
      </c>
      <c r="D799" s="576" t="s">
        <v>64</v>
      </c>
      <c r="E799" s="576" t="s">
        <v>64</v>
      </c>
      <c r="F799" s="576" t="s">
        <v>64</v>
      </c>
      <c r="G799" s="576" t="s">
        <v>64</v>
      </c>
      <c r="H799" s="576" t="s">
        <v>64</v>
      </c>
      <c r="I799" s="576" t="s">
        <v>64</v>
      </c>
      <c r="J799" s="576" t="s">
        <v>64</v>
      </c>
      <c r="K799" s="576" t="s">
        <v>64</v>
      </c>
      <c r="L799" s="576" t="s">
        <v>64</v>
      </c>
      <c r="M799" s="576" t="s">
        <v>64</v>
      </c>
      <c r="N799" s="576" t="s">
        <v>64</v>
      </c>
      <c r="O799" s="576" t="s">
        <v>64</v>
      </c>
      <c r="P799" s="576" t="s">
        <v>156</v>
      </c>
      <c r="Q799" s="576" t="s">
        <v>156</v>
      </c>
      <c r="R799" s="576" t="s">
        <v>74</v>
      </c>
      <c r="S799" s="576"/>
      <c r="T799" s="576" t="s">
        <v>163</v>
      </c>
      <c r="U799" s="576" t="s">
        <v>163</v>
      </c>
      <c r="V799" s="576" t="s">
        <v>92</v>
      </c>
      <c r="W799" s="576" t="s">
        <v>74</v>
      </c>
      <c r="X799" s="576" t="s">
        <v>90</v>
      </c>
      <c r="Y799" s="576" t="s">
        <v>91</v>
      </c>
      <c r="Z799" s="86"/>
      <c r="AA799" s="554"/>
      <c r="AB799" s="554"/>
      <c r="AC799" s="86"/>
      <c r="AD799" s="86"/>
      <c r="AE799" s="86"/>
    </row>
    <row r="800" spans="1:31" s="147" customFormat="1" ht="19.95" customHeight="1">
      <c r="A800" s="513" t="s">
        <v>1826</v>
      </c>
      <c r="B800" s="544">
        <f>pNO2v</f>
        <v>1004.0619057904013</v>
      </c>
      <c r="C800" s="544">
        <v>0</v>
      </c>
      <c r="D800" s="539">
        <v>11.791700000000001</v>
      </c>
      <c r="E800" s="539">
        <v>2.0000000000000001E-4</v>
      </c>
      <c r="F800" s="539">
        <v>14.7713</v>
      </c>
      <c r="G800" s="539">
        <v>0</v>
      </c>
      <c r="H800" s="539">
        <v>42.242400000000004</v>
      </c>
      <c r="I800" s="539">
        <v>1E-4</v>
      </c>
      <c r="J800" s="112">
        <f>D800-E800/2</f>
        <v>11.791600000000001</v>
      </c>
      <c r="K800" s="112">
        <f>F800-G800/2</f>
        <v>14.7713</v>
      </c>
      <c r="L800" s="112">
        <f>H800-I800/2</f>
        <v>42.242350000000002</v>
      </c>
      <c r="M800" s="803">
        <f>u_m1</f>
        <v>2.0000000000000001E-4</v>
      </c>
      <c r="N800" s="803">
        <f>u_m1</f>
        <v>2.0000000000000001E-4</v>
      </c>
      <c r="O800" s="803">
        <f>u_m1</f>
        <v>2.0000000000000001E-4</v>
      </c>
      <c r="P800" s="545" cm="1">
        <f t="array" ref="P800:Q800">WnA1S(B800:C800,J800:L800,M800:O800)</f>
        <v>98.250560681876749</v>
      </c>
      <c r="Q800" s="545">
        <v>9.3708035345352984E-3</v>
      </c>
      <c r="R800" s="513" t="s">
        <v>2155</v>
      </c>
      <c r="S800" s="513" t="s">
        <v>196</v>
      </c>
      <c r="T800" s="541">
        <v>20240305</v>
      </c>
      <c r="U800" s="513">
        <f>T800+1</f>
        <v>20240306</v>
      </c>
      <c r="V800" s="541">
        <v>22.7</v>
      </c>
      <c r="W800" s="541">
        <v>31.3</v>
      </c>
      <c r="X800" s="513" t="s">
        <v>101</v>
      </c>
      <c r="Y800" s="513" t="s">
        <v>94</v>
      </c>
      <c r="Z800" s="86"/>
      <c r="AA800" s="554"/>
      <c r="AB800" s="554"/>
      <c r="AC800" s="86"/>
      <c r="AD800" s="86"/>
      <c r="AE800" s="86"/>
    </row>
    <row r="801" spans="1:34" s="147" customFormat="1" ht="19.95" customHeight="1">
      <c r="A801" s="80" t="s">
        <v>1566</v>
      </c>
      <c r="B801" s="597"/>
      <c r="C801" s="597"/>
      <c r="D801" s="597"/>
      <c r="E801" s="597"/>
      <c r="F801" s="132"/>
      <c r="G801" s="132"/>
      <c r="H801" s="132"/>
      <c r="I801" s="132"/>
      <c r="J801" s="132"/>
      <c r="K801" s="132"/>
      <c r="L801" s="87"/>
      <c r="M801" s="87"/>
      <c r="N801" s="87"/>
      <c r="O801" s="86"/>
      <c r="P801" s="86"/>
      <c r="Q801" s="86"/>
      <c r="R801" s="722"/>
      <c r="S801" s="722"/>
      <c r="T801" s="722"/>
      <c r="U801" s="722"/>
      <c r="V801" s="802"/>
      <c r="W801" s="802"/>
      <c r="X801" s="86"/>
      <c r="Y801" s="554"/>
      <c r="Z801" s="86"/>
      <c r="AA801" s="554"/>
      <c r="AB801" s="554"/>
      <c r="AC801" s="86"/>
      <c r="AD801" s="86"/>
      <c r="AE801" s="86"/>
    </row>
    <row r="802" spans="1:34" s="147" customFormat="1" ht="19.95" customHeight="1">
      <c r="A802" s="86"/>
      <c r="B802" s="597"/>
      <c r="C802" s="597"/>
      <c r="D802" s="597"/>
      <c r="E802" s="597"/>
      <c r="F802" s="132"/>
      <c r="G802" s="132"/>
      <c r="H802" s="132"/>
      <c r="I802" s="132"/>
      <c r="J802" s="132"/>
      <c r="K802" s="132"/>
      <c r="L802" s="87"/>
      <c r="M802" s="87"/>
      <c r="N802" s="87"/>
      <c r="O802" s="86"/>
      <c r="P802" s="86"/>
      <c r="Q802" s="86"/>
      <c r="R802" s="722"/>
      <c r="S802" s="722"/>
      <c r="T802" s="722"/>
      <c r="U802" s="722"/>
      <c r="V802" s="802"/>
      <c r="W802" s="802"/>
      <c r="X802" s="86"/>
      <c r="Y802" s="554"/>
      <c r="Z802" s="86"/>
      <c r="AA802" s="554"/>
      <c r="AB802" s="554"/>
      <c r="AC802" s="86"/>
      <c r="AD802" s="86"/>
      <c r="AE802" s="86"/>
    </row>
    <row r="803" spans="1:34" s="147" customFormat="1" ht="19.95" customHeight="1">
      <c r="A803" s="104"/>
      <c r="B803" s="89" t="s">
        <v>158</v>
      </c>
      <c r="C803" s="129"/>
      <c r="D803" s="89" t="s">
        <v>158</v>
      </c>
      <c r="E803" s="129"/>
      <c r="F803" s="89" t="s">
        <v>2156</v>
      </c>
      <c r="G803" s="129"/>
      <c r="H803" s="89" t="s">
        <v>2159</v>
      </c>
      <c r="I803" s="129"/>
      <c r="J803" s="89" t="s">
        <v>2169</v>
      </c>
      <c r="K803" s="129"/>
      <c r="L803" s="89" t="s">
        <v>2170</v>
      </c>
      <c r="M803" s="129"/>
      <c r="N803" s="87"/>
      <c r="O803" s="86"/>
      <c r="P803" s="86"/>
      <c r="Q803" s="86"/>
      <c r="R803" s="722"/>
      <c r="S803" s="722"/>
      <c r="T803" s="722"/>
      <c r="U803" s="722"/>
      <c r="V803" s="89" t="s">
        <v>176</v>
      </c>
      <c r="W803" s="129"/>
      <c r="X803" s="89" t="s">
        <v>176</v>
      </c>
      <c r="Y803" s="129"/>
      <c r="Z803" s="89" t="s">
        <v>179</v>
      </c>
      <c r="AA803" s="129"/>
      <c r="AB803" s="129"/>
      <c r="AC803" s="129"/>
      <c r="AD803" s="129"/>
      <c r="AE803" s="129"/>
      <c r="AF803" s="129"/>
      <c r="AG803" s="129"/>
      <c r="AH803" s="129"/>
    </row>
    <row r="804" spans="1:34" s="147" customFormat="1" ht="19.95" customHeight="1">
      <c r="A804" s="89" t="s">
        <v>157</v>
      </c>
      <c r="B804" s="89" t="s">
        <v>1561</v>
      </c>
      <c r="C804" s="89" t="s">
        <v>1562</v>
      </c>
      <c r="D804" s="89" t="s">
        <v>181</v>
      </c>
      <c r="E804" s="89" t="s">
        <v>182</v>
      </c>
      <c r="F804" s="129" t="s">
        <v>169</v>
      </c>
      <c r="G804" s="129" t="s">
        <v>170</v>
      </c>
      <c r="H804" s="129" t="s">
        <v>169</v>
      </c>
      <c r="I804" s="129" t="s">
        <v>170</v>
      </c>
      <c r="J804" s="129" t="s">
        <v>169</v>
      </c>
      <c r="K804" s="129" t="s">
        <v>170</v>
      </c>
      <c r="L804" s="129" t="s">
        <v>169</v>
      </c>
      <c r="M804" s="129" t="s">
        <v>170</v>
      </c>
      <c r="N804" s="89" t="s">
        <v>140</v>
      </c>
      <c r="O804" s="89" t="s">
        <v>2218</v>
      </c>
      <c r="P804" s="89" t="s">
        <v>2219</v>
      </c>
      <c r="Q804" s="89" t="s">
        <v>2223</v>
      </c>
      <c r="R804" s="89" t="s">
        <v>2171</v>
      </c>
      <c r="S804" s="89" t="s">
        <v>2172</v>
      </c>
      <c r="T804" s="89" t="s">
        <v>2173</v>
      </c>
      <c r="U804" s="89" t="s">
        <v>2224</v>
      </c>
      <c r="V804" s="89" t="s">
        <v>1561</v>
      </c>
      <c r="W804" s="89" t="s">
        <v>1562</v>
      </c>
      <c r="X804" s="89" t="s">
        <v>181</v>
      </c>
      <c r="Y804" s="89" t="s">
        <v>182</v>
      </c>
      <c r="Z804" s="129" t="s">
        <v>1563</v>
      </c>
      <c r="AA804" s="129" t="s">
        <v>1579</v>
      </c>
      <c r="AB804" s="89" t="s">
        <v>159</v>
      </c>
      <c r="AC804" s="89" t="s">
        <v>160</v>
      </c>
      <c r="AD804" s="89" t="s">
        <v>161</v>
      </c>
      <c r="AE804" s="89" t="s">
        <v>79</v>
      </c>
      <c r="AF804" s="89" t="s">
        <v>80</v>
      </c>
      <c r="AG804" s="89" t="s">
        <v>3</v>
      </c>
      <c r="AH804" s="89" t="s">
        <v>75</v>
      </c>
    </row>
    <row r="805" spans="1:34" s="147" customFormat="1" ht="19.95" customHeight="1">
      <c r="A805" s="576" t="s">
        <v>162</v>
      </c>
      <c r="B805" s="576" t="s">
        <v>156</v>
      </c>
      <c r="C805" s="576" t="s">
        <v>156</v>
      </c>
      <c r="D805" s="576" t="s">
        <v>156</v>
      </c>
      <c r="E805" s="576" t="s">
        <v>156</v>
      </c>
      <c r="F805" s="576" t="s">
        <v>64</v>
      </c>
      <c r="G805" s="576" t="s">
        <v>64</v>
      </c>
      <c r="H805" s="576" t="s">
        <v>64</v>
      </c>
      <c r="I805" s="576" t="s">
        <v>64</v>
      </c>
      <c r="J805" s="576" t="s">
        <v>64</v>
      </c>
      <c r="K805" s="576" t="s">
        <v>64</v>
      </c>
      <c r="L805" s="576" t="s">
        <v>64</v>
      </c>
      <c r="M805" s="576" t="s">
        <v>64</v>
      </c>
      <c r="N805" s="576" t="s">
        <v>64</v>
      </c>
      <c r="O805" s="576" t="s">
        <v>64</v>
      </c>
      <c r="P805" s="576" t="s">
        <v>64</v>
      </c>
      <c r="Q805" s="576" t="s">
        <v>64</v>
      </c>
      <c r="R805" s="576" t="s">
        <v>64</v>
      </c>
      <c r="S805" s="576" t="s">
        <v>64</v>
      </c>
      <c r="T805" s="576" t="s">
        <v>64</v>
      </c>
      <c r="U805" s="576" t="s">
        <v>64</v>
      </c>
      <c r="V805" s="576" t="s">
        <v>156</v>
      </c>
      <c r="W805" s="576" t="s">
        <v>156</v>
      </c>
      <c r="X805" s="576" t="s">
        <v>156</v>
      </c>
      <c r="Y805" s="576" t="s">
        <v>156</v>
      </c>
      <c r="Z805" s="576" t="s">
        <v>74</v>
      </c>
      <c r="AA805" s="576" t="s">
        <v>74</v>
      </c>
      <c r="AB805" s="576"/>
      <c r="AC805" s="576" t="s">
        <v>163</v>
      </c>
      <c r="AD805" s="576" t="s">
        <v>163</v>
      </c>
      <c r="AE805" s="576" t="s">
        <v>92</v>
      </c>
      <c r="AF805" s="576" t="s">
        <v>74</v>
      </c>
      <c r="AG805" s="576" t="s">
        <v>90</v>
      </c>
      <c r="AH805" s="576" t="s">
        <v>91</v>
      </c>
    </row>
    <row r="806" spans="1:34" s="147" customFormat="1" ht="19.95" customHeight="1">
      <c r="A806" s="513" t="s">
        <v>1827</v>
      </c>
      <c r="B806" s="538">
        <f>P800</f>
        <v>98.250560681876749</v>
      </c>
      <c r="C806" s="538">
        <f>Q800</f>
        <v>9.3708035345352984E-3</v>
      </c>
      <c r="D806" s="538">
        <f>pNO3v</f>
        <v>1000.5999999999999</v>
      </c>
      <c r="E806" s="538">
        <v>0</v>
      </c>
      <c r="F806" s="539">
        <v>11.797000000000001</v>
      </c>
      <c r="G806" s="539">
        <v>0</v>
      </c>
      <c r="H806" s="539">
        <v>12.5489</v>
      </c>
      <c r="I806" s="539">
        <v>1E-4</v>
      </c>
      <c r="J806" s="539">
        <v>13.553000000000001</v>
      </c>
      <c r="K806" s="539">
        <v>1E-4</v>
      </c>
      <c r="L806" s="539">
        <v>39.959899999999998</v>
      </c>
      <c r="M806" s="539">
        <v>1E-4</v>
      </c>
      <c r="N806" s="112">
        <f>F806-G806/2</f>
        <v>11.797000000000001</v>
      </c>
      <c r="O806" s="112">
        <f>H806-I806/2</f>
        <v>12.54885</v>
      </c>
      <c r="P806" s="112">
        <f>J806-K806/2</f>
        <v>13.552950000000001</v>
      </c>
      <c r="Q806" s="112">
        <f>L806-M806/2</f>
        <v>39.959849999999996</v>
      </c>
      <c r="R806" s="803">
        <f>u_m1</f>
        <v>2.0000000000000001E-4</v>
      </c>
      <c r="S806" s="803">
        <f>u_m1</f>
        <v>2.0000000000000001E-4</v>
      </c>
      <c r="T806" s="803">
        <f>u_m1</f>
        <v>2.0000000000000001E-4</v>
      </c>
      <c r="U806" s="803">
        <f>u_m1</f>
        <v>2.0000000000000001E-4</v>
      </c>
      <c r="V806" s="540" cm="1">
        <f t="array" ref="V806:Y806">WnAnS(B806:E806,N806:Q806,R806:U806)</f>
        <v>2.6229477502692009</v>
      </c>
      <c r="W806" s="540">
        <v>1.0183009429122869E-3</v>
      </c>
      <c r="X806" s="540">
        <v>35.674743855824289</v>
      </c>
      <c r="Y806" s="540">
        <v>1.0055524857029386E-2</v>
      </c>
      <c r="Z806" s="513" t="s">
        <v>2155</v>
      </c>
      <c r="AA806" s="513" t="s">
        <v>2155</v>
      </c>
      <c r="AB806" s="513" t="s">
        <v>196</v>
      </c>
      <c r="AC806" s="541">
        <v>20240305</v>
      </c>
      <c r="AD806" s="513">
        <f>AC806+1</f>
        <v>20240306</v>
      </c>
      <c r="AE806" s="541">
        <v>22.7</v>
      </c>
      <c r="AF806" s="541">
        <v>31.3</v>
      </c>
      <c r="AG806" s="513" t="s">
        <v>101</v>
      </c>
      <c r="AH806" s="513" t="s">
        <v>94</v>
      </c>
    </row>
    <row r="807" spans="1:34" s="147" customFormat="1" ht="19.95" customHeight="1">
      <c r="A807" s="86" t="s">
        <v>1566</v>
      </c>
      <c r="F807" s="132"/>
      <c r="G807" s="132"/>
      <c r="H807" s="87"/>
      <c r="I807" s="132"/>
      <c r="J807" s="132"/>
      <c r="K807" s="87"/>
      <c r="L807" s="132"/>
      <c r="M807" s="132"/>
      <c r="O807" s="132"/>
      <c r="Q807" s="87"/>
      <c r="R807" s="722"/>
      <c r="S807" s="722"/>
      <c r="T807" s="722"/>
      <c r="U807" s="722"/>
      <c r="V807" s="86"/>
      <c r="W807" s="86"/>
      <c r="X807" s="86"/>
      <c r="Y807" s="86"/>
      <c r="Z807" s="554"/>
      <c r="AA807" s="86"/>
      <c r="AB807" s="554"/>
      <c r="AC807" s="554"/>
      <c r="AD807" s="86"/>
      <c r="AE807" s="86"/>
    </row>
    <row r="808" spans="1:34" s="147" customFormat="1" ht="19.95" customHeight="1">
      <c r="A808" s="86"/>
      <c r="F808" s="132"/>
      <c r="G808" s="132"/>
      <c r="H808" s="87"/>
      <c r="I808" s="132"/>
      <c r="J808" s="132"/>
      <c r="K808" s="87"/>
      <c r="L808" s="132"/>
      <c r="M808" s="132"/>
      <c r="O808" s="132"/>
      <c r="Q808" s="87"/>
      <c r="R808" s="722"/>
      <c r="S808" s="722"/>
      <c r="T808" s="722"/>
      <c r="U808" s="722"/>
      <c r="V808" s="86"/>
      <c r="W808" s="86"/>
      <c r="X808" s="86"/>
      <c r="Y808" s="86"/>
      <c r="Z808" s="554"/>
      <c r="AA808" s="86"/>
      <c r="AB808" s="554"/>
      <c r="AC808" s="554"/>
      <c r="AD808" s="86"/>
      <c r="AE808" s="86"/>
    </row>
    <row r="809" spans="1:34" s="147" customFormat="1" ht="19.95" customHeight="1">
      <c r="A809" s="104"/>
      <c r="B809" s="89" t="s">
        <v>158</v>
      </c>
      <c r="C809" s="129"/>
      <c r="D809" s="89" t="s">
        <v>158</v>
      </c>
      <c r="E809" s="129"/>
      <c r="F809" s="89" t="s">
        <v>172</v>
      </c>
      <c r="G809" s="129"/>
      <c r="H809" s="89" t="s">
        <v>174</v>
      </c>
      <c r="I809" s="129"/>
      <c r="J809" s="89" t="s">
        <v>183</v>
      </c>
      <c r="K809" s="129"/>
      <c r="L809" s="132"/>
      <c r="M809" s="132"/>
      <c r="O809" s="132"/>
      <c r="Q809" s="87"/>
      <c r="R809" s="89" t="s">
        <v>176</v>
      </c>
      <c r="S809" s="129"/>
      <c r="T809" s="89" t="s">
        <v>176</v>
      </c>
      <c r="U809" s="129"/>
      <c r="V809" s="89" t="s">
        <v>179</v>
      </c>
      <c r="W809" s="129"/>
      <c r="X809" s="129"/>
      <c r="Y809" s="129"/>
      <c r="Z809" s="129"/>
      <c r="AA809" s="129"/>
      <c r="AB809" s="129"/>
      <c r="AC809" s="129"/>
      <c r="AD809" s="129"/>
      <c r="AE809" s="86"/>
    </row>
    <row r="810" spans="1:34" s="147" customFormat="1" ht="19.95" customHeight="1">
      <c r="A810" s="89" t="s">
        <v>157</v>
      </c>
      <c r="B810" s="89" t="s">
        <v>1561</v>
      </c>
      <c r="C810" s="89" t="s">
        <v>1562</v>
      </c>
      <c r="D810" s="89" t="s">
        <v>181</v>
      </c>
      <c r="E810" s="89" t="s">
        <v>182</v>
      </c>
      <c r="F810" s="129" t="s">
        <v>169</v>
      </c>
      <c r="G810" s="129" t="s">
        <v>170</v>
      </c>
      <c r="H810" s="129" t="s">
        <v>169</v>
      </c>
      <c r="I810" s="129" t="s">
        <v>170</v>
      </c>
      <c r="J810" s="129" t="s">
        <v>169</v>
      </c>
      <c r="K810" s="129" t="s">
        <v>170</v>
      </c>
      <c r="L810" s="89" t="s">
        <v>140</v>
      </c>
      <c r="M810" s="89" t="s">
        <v>2218</v>
      </c>
      <c r="N810" s="89" t="s">
        <v>2219</v>
      </c>
      <c r="O810" s="89" t="s">
        <v>2171</v>
      </c>
      <c r="P810" s="89" t="s">
        <v>2172</v>
      </c>
      <c r="Q810" s="89" t="s">
        <v>2173</v>
      </c>
      <c r="R810" s="89" t="s">
        <v>1561</v>
      </c>
      <c r="S810" s="89" t="s">
        <v>1562</v>
      </c>
      <c r="T810" s="89" t="s">
        <v>181</v>
      </c>
      <c r="U810" s="89" t="s">
        <v>182</v>
      </c>
      <c r="V810" s="129" t="s">
        <v>1563</v>
      </c>
      <c r="W810" s="129" t="s">
        <v>1579</v>
      </c>
      <c r="X810" s="89" t="s">
        <v>159</v>
      </c>
      <c r="Y810" s="89" t="s">
        <v>160</v>
      </c>
      <c r="Z810" s="89" t="s">
        <v>161</v>
      </c>
      <c r="AA810" s="89" t="s">
        <v>79</v>
      </c>
      <c r="AB810" s="89" t="s">
        <v>80</v>
      </c>
      <c r="AC810" s="89" t="s">
        <v>3</v>
      </c>
      <c r="AD810" s="89" t="s">
        <v>75</v>
      </c>
      <c r="AE810" s="86"/>
    </row>
    <row r="811" spans="1:34" s="147" customFormat="1" ht="19.95" customHeight="1">
      <c r="A811" s="576" t="s">
        <v>162</v>
      </c>
      <c r="B811" s="576" t="s">
        <v>156</v>
      </c>
      <c r="C811" s="576" t="s">
        <v>156</v>
      </c>
      <c r="D811" s="576" t="s">
        <v>156</v>
      </c>
      <c r="E811" s="576" t="s">
        <v>156</v>
      </c>
      <c r="F811" s="576" t="s">
        <v>64</v>
      </c>
      <c r="G811" s="576" t="s">
        <v>64</v>
      </c>
      <c r="H811" s="576" t="s">
        <v>64</v>
      </c>
      <c r="I811" s="576" t="s">
        <v>64</v>
      </c>
      <c r="J811" s="576" t="s">
        <v>64</v>
      </c>
      <c r="K811" s="576" t="s">
        <v>64</v>
      </c>
      <c r="L811" s="576" t="s">
        <v>64</v>
      </c>
      <c r="M811" s="576" t="s">
        <v>64</v>
      </c>
      <c r="N811" s="576" t="s">
        <v>64</v>
      </c>
      <c r="O811" s="576" t="s">
        <v>64</v>
      </c>
      <c r="P811" s="576" t="s">
        <v>64</v>
      </c>
      <c r="Q811" s="576" t="s">
        <v>64</v>
      </c>
      <c r="R811" s="576" t="s">
        <v>156</v>
      </c>
      <c r="S811" s="576" t="s">
        <v>156</v>
      </c>
      <c r="T811" s="576" t="s">
        <v>156</v>
      </c>
      <c r="U811" s="576" t="s">
        <v>156</v>
      </c>
      <c r="V811" s="576" t="s">
        <v>74</v>
      </c>
      <c r="W811" s="576" t="s">
        <v>74</v>
      </c>
      <c r="X811" s="576"/>
      <c r="Y811" s="576" t="s">
        <v>163</v>
      </c>
      <c r="Z811" s="576" t="s">
        <v>163</v>
      </c>
      <c r="AA811" s="576" t="s">
        <v>92</v>
      </c>
      <c r="AB811" s="576" t="s">
        <v>74</v>
      </c>
      <c r="AC811" s="576" t="s">
        <v>90</v>
      </c>
      <c r="AD811" s="576" t="s">
        <v>91</v>
      </c>
      <c r="AE811" s="86"/>
    </row>
    <row r="812" spans="1:34" s="147" customFormat="1" ht="19.95" customHeight="1">
      <c r="A812" s="578" t="s">
        <v>1849</v>
      </c>
      <c r="B812" s="550">
        <f>V806</f>
        <v>2.6229477502692009</v>
      </c>
      <c r="C812" s="550">
        <f t="shared" ref="C812:E812" si="252">W806</f>
        <v>1.0183009429122869E-3</v>
      </c>
      <c r="D812" s="550">
        <f t="shared" si="252"/>
        <v>35.674743855824289</v>
      </c>
      <c r="E812" s="550">
        <f t="shared" si="252"/>
        <v>1.0055524857029386E-2</v>
      </c>
      <c r="F812" s="67">
        <v>8.2029999999999994</v>
      </c>
      <c r="G812" s="67">
        <v>2.0000000000000001E-4</v>
      </c>
      <c r="H812" s="67">
        <v>8.6039999999999992</v>
      </c>
      <c r="I812" s="67">
        <v>1E-4</v>
      </c>
      <c r="J812" s="67">
        <v>35.207999999999998</v>
      </c>
      <c r="K812" s="67">
        <v>1E-4</v>
      </c>
      <c r="L812" s="512">
        <f>F812-G812/2</f>
        <v>8.2028999999999996</v>
      </c>
      <c r="M812" s="512">
        <f>H812-I812/2</f>
        <v>8.6039499999999993</v>
      </c>
      <c r="N812" s="512">
        <f>J812-K812/2</f>
        <v>35.207949999999997</v>
      </c>
      <c r="O812" s="131">
        <f t="shared" ref="O812:Q815" si="253">u_m1</f>
        <v>2.0000000000000001E-4</v>
      </c>
      <c r="P812" s="117">
        <f t="shared" si="253"/>
        <v>2.0000000000000001E-4</v>
      </c>
      <c r="Q812" s="131">
        <f t="shared" si="253"/>
        <v>2.0000000000000001E-4</v>
      </c>
      <c r="R812" s="551" cm="1">
        <f t="array" ref="R812:U812">WnA1S(B812:E812,L812:N812,O812:Q812)</f>
        <v>3.8953203021118731E-2</v>
      </c>
      <c r="S812" s="551">
        <v>3.1361942874945648E-5</v>
      </c>
      <c r="T812" s="551">
        <v>0.52980298215994126</v>
      </c>
      <c r="U812" s="551">
        <v>4.0242150600765681E-4</v>
      </c>
      <c r="V812" s="555">
        <f>R812/N147</f>
        <v>1.0041202817233046</v>
      </c>
      <c r="W812" s="555">
        <f>T812/B147</f>
        <v>0.99790501723768965</v>
      </c>
      <c r="X812" s="578" t="s">
        <v>196</v>
      </c>
      <c r="Y812" s="108">
        <v>20240305</v>
      </c>
      <c r="Z812" s="578">
        <f>Y812+1</f>
        <v>20240306</v>
      </c>
      <c r="AA812" s="108">
        <v>22.7</v>
      </c>
      <c r="AB812" s="108">
        <v>31.3</v>
      </c>
      <c r="AC812" s="578" t="s">
        <v>101</v>
      </c>
      <c r="AD812" s="578" t="s">
        <v>94</v>
      </c>
      <c r="AE812" s="86"/>
    </row>
    <row r="813" spans="1:34" s="147" customFormat="1" ht="19.95" customHeight="1">
      <c r="A813" s="575" t="s">
        <v>1850</v>
      </c>
      <c r="B813" s="552">
        <f>B812</f>
        <v>2.6229477502692009</v>
      </c>
      <c r="C813" s="552">
        <f t="shared" ref="C813:E813" si="254">C812</f>
        <v>1.0183009429122869E-3</v>
      </c>
      <c r="D813" s="552">
        <f t="shared" si="254"/>
        <v>35.674743855824289</v>
      </c>
      <c r="E813" s="552">
        <f t="shared" si="254"/>
        <v>1.0055524857029386E-2</v>
      </c>
      <c r="F813" s="69">
        <v>8.2763000000000009</v>
      </c>
      <c r="G813" s="69">
        <v>-1E-4</v>
      </c>
      <c r="H813" s="69">
        <v>9.0776000000000003</v>
      </c>
      <c r="I813" s="69">
        <v>-1E-4</v>
      </c>
      <c r="J813" s="69">
        <v>35.213900000000002</v>
      </c>
      <c r="K813" s="69">
        <v>-1E-4</v>
      </c>
      <c r="L813" s="114">
        <f>F813-G813/2</f>
        <v>8.2763500000000008</v>
      </c>
      <c r="M813" s="114">
        <f>H813-I813/2</f>
        <v>9.0776500000000002</v>
      </c>
      <c r="N813" s="114">
        <f>J813-K813/2</f>
        <v>35.213950000000004</v>
      </c>
      <c r="O813" s="87">
        <f t="shared" si="253"/>
        <v>2.0000000000000001E-4</v>
      </c>
      <c r="P813" s="86">
        <f t="shared" si="253"/>
        <v>2.0000000000000001E-4</v>
      </c>
      <c r="Q813" s="87">
        <f t="shared" si="253"/>
        <v>2.0000000000000001E-4</v>
      </c>
      <c r="R813" s="120" cm="1">
        <f t="array" ref="R813:U813">WnA1S(B813:E813,L813:N813,O813:Q813)</f>
        <v>7.8023581621625857E-2</v>
      </c>
      <c r="S813" s="120">
        <v>4.094756989872857E-5</v>
      </c>
      <c r="T813" s="120">
        <v>1.0611996707825486</v>
      </c>
      <c r="U813" s="120">
        <v>4.7948597403569832E-4</v>
      </c>
      <c r="V813" s="126">
        <f>R813/N148</f>
        <v>1.0056305346250078</v>
      </c>
      <c r="W813" s="126">
        <f>T813/B148</f>
        <v>0.99940592203499268</v>
      </c>
      <c r="X813" s="575" t="s">
        <v>196</v>
      </c>
      <c r="Y813" s="106">
        <v>20240305</v>
      </c>
      <c r="Z813" s="575">
        <f t="shared" ref="Z813:Z815" si="255">Y813+1</f>
        <v>20240306</v>
      </c>
      <c r="AA813" s="106">
        <v>22.7</v>
      </c>
      <c r="AB813" s="106">
        <v>31.3</v>
      </c>
      <c r="AC813" s="575" t="s">
        <v>101</v>
      </c>
      <c r="AD813" s="575" t="s">
        <v>94</v>
      </c>
      <c r="AE813" s="86"/>
    </row>
    <row r="814" spans="1:34" s="147" customFormat="1" ht="19.95" customHeight="1">
      <c r="A814" s="575" t="s">
        <v>1851</v>
      </c>
      <c r="B814" s="552">
        <f>B812</f>
        <v>2.6229477502692009</v>
      </c>
      <c r="C814" s="552">
        <f t="shared" ref="C814:E814" si="256">C812</f>
        <v>1.0183009429122869E-3</v>
      </c>
      <c r="D814" s="552">
        <f t="shared" si="256"/>
        <v>35.674743855824289</v>
      </c>
      <c r="E814" s="552">
        <f t="shared" si="256"/>
        <v>1.0055524857029386E-2</v>
      </c>
      <c r="F814" s="69">
        <v>8.2600999999999996</v>
      </c>
      <c r="G814" s="69">
        <v>2.0000000000000001E-4</v>
      </c>
      <c r="H814" s="69">
        <v>9.8674999999999997</v>
      </c>
      <c r="I814" s="69">
        <v>0</v>
      </c>
      <c r="J814" s="69">
        <v>35.375399999999999</v>
      </c>
      <c r="K814" s="69">
        <v>1E-4</v>
      </c>
      <c r="L814" s="114">
        <f>F814-G814/2</f>
        <v>8.26</v>
      </c>
      <c r="M814" s="114">
        <f>H814-I814/2</f>
        <v>9.8674999999999997</v>
      </c>
      <c r="N814" s="114">
        <f>J814-K814/2</f>
        <v>35.375349999999997</v>
      </c>
      <c r="O814" s="87">
        <f t="shared" si="253"/>
        <v>2.0000000000000001E-4</v>
      </c>
      <c r="P814" s="86">
        <f t="shared" si="253"/>
        <v>2.0000000000000001E-4</v>
      </c>
      <c r="Q814" s="87">
        <f t="shared" si="253"/>
        <v>2.0000000000000001E-4</v>
      </c>
      <c r="R814" s="120" cm="1">
        <f t="array" ref="R814:U814">WnA1S(B814:E814,L814:N814,O814:Q814)</f>
        <v>0.15549821442680034</v>
      </c>
      <c r="S814" s="120">
        <v>6.6299271764051201E-5</v>
      </c>
      <c r="T814" s="120">
        <v>2.1149330821190779</v>
      </c>
      <c r="U814" s="120">
        <v>7.0308965502306709E-4</v>
      </c>
      <c r="V814" s="126">
        <f>R814/N149</f>
        <v>1.0020928881834048</v>
      </c>
      <c r="W814" s="126">
        <f>T814/B149</f>
        <v>0.9958901727791063</v>
      </c>
      <c r="X814" s="575" t="s">
        <v>196</v>
      </c>
      <c r="Y814" s="106">
        <v>20240305</v>
      </c>
      <c r="Z814" s="575">
        <f t="shared" si="255"/>
        <v>20240306</v>
      </c>
      <c r="AA814" s="106">
        <v>22.7</v>
      </c>
      <c r="AB814" s="106">
        <v>31.3</v>
      </c>
      <c r="AC814" s="575" t="s">
        <v>101</v>
      </c>
      <c r="AD814" s="575" t="s">
        <v>94</v>
      </c>
      <c r="AE814" s="86"/>
    </row>
    <row r="815" spans="1:34" s="147" customFormat="1" ht="19.95" customHeight="1">
      <c r="A815" s="576" t="s">
        <v>1852</v>
      </c>
      <c r="B815" s="553">
        <f>B812</f>
        <v>2.6229477502692009</v>
      </c>
      <c r="C815" s="553">
        <f t="shared" ref="C815:E815" si="257">C812</f>
        <v>1.0183009429122869E-3</v>
      </c>
      <c r="D815" s="553">
        <f t="shared" si="257"/>
        <v>35.674743855824289</v>
      </c>
      <c r="E815" s="553">
        <f t="shared" si="257"/>
        <v>1.0055524857029386E-2</v>
      </c>
      <c r="F815" s="76">
        <v>8.2216000000000005</v>
      </c>
      <c r="G815" s="76">
        <v>-1E-4</v>
      </c>
      <c r="H815" s="76">
        <v>10.6394</v>
      </c>
      <c r="I815" s="76">
        <v>0</v>
      </c>
      <c r="J815" s="76">
        <v>35.3063</v>
      </c>
      <c r="K815" s="76">
        <v>-1E-4</v>
      </c>
      <c r="L815" s="122">
        <f>F815-G815/2</f>
        <v>8.2216500000000003</v>
      </c>
      <c r="M815" s="122">
        <f>H815-I815/2</f>
        <v>10.6394</v>
      </c>
      <c r="N815" s="122">
        <f>J815-K815/2</f>
        <v>35.306350000000002</v>
      </c>
      <c r="O815" s="188">
        <f t="shared" si="253"/>
        <v>2.0000000000000001E-4</v>
      </c>
      <c r="P815" s="124">
        <f t="shared" si="253"/>
        <v>2.0000000000000001E-4</v>
      </c>
      <c r="Q815" s="188">
        <f t="shared" si="253"/>
        <v>2.0000000000000001E-4</v>
      </c>
      <c r="R815" s="123" cm="1">
        <f t="array" ref="R815:U815">WnA1S(B815:E815,L815:N815,O815:Q815)</f>
        <v>0.23414074821627562</v>
      </c>
      <c r="S815" s="123">
        <v>9.4968681936543451E-5</v>
      </c>
      <c r="T815" s="123">
        <v>3.1845511287708246</v>
      </c>
      <c r="U815" s="123">
        <v>9.7242883320911055E-4</v>
      </c>
      <c r="V815" s="127">
        <f>R815/N150</f>
        <v>1.0059312877487381</v>
      </c>
      <c r="W815" s="127">
        <f>T815/B150</f>
        <v>0.9997048135687886</v>
      </c>
      <c r="X815" s="576" t="s">
        <v>196</v>
      </c>
      <c r="Y815" s="125">
        <v>20240305</v>
      </c>
      <c r="Z815" s="576">
        <f t="shared" si="255"/>
        <v>20240306</v>
      </c>
      <c r="AA815" s="125">
        <v>22.7</v>
      </c>
      <c r="AB815" s="125">
        <v>31.3</v>
      </c>
      <c r="AC815" s="576" t="s">
        <v>101</v>
      </c>
      <c r="AD815" s="576" t="s">
        <v>94</v>
      </c>
      <c r="AE815" s="86"/>
    </row>
    <row r="816" spans="1:34" s="147" customFormat="1" ht="19.95" customHeight="1">
      <c r="A816" s="80" t="s">
        <v>1580</v>
      </c>
      <c r="F816" s="132"/>
      <c r="G816" s="132"/>
      <c r="H816" s="87"/>
      <c r="I816" s="132"/>
      <c r="J816" s="132"/>
      <c r="K816" s="87"/>
      <c r="L816" s="132"/>
      <c r="M816" s="132"/>
      <c r="O816" s="132"/>
      <c r="Q816" s="87"/>
      <c r="R816" s="722"/>
      <c r="S816" s="722"/>
      <c r="T816" s="722"/>
      <c r="U816" s="722"/>
      <c r="V816" s="86"/>
      <c r="W816" s="86"/>
      <c r="X816" s="86"/>
      <c r="Y816" s="86"/>
      <c r="Z816" s="554"/>
      <c r="AA816" s="86"/>
      <c r="AB816" s="554"/>
      <c r="AC816" s="554"/>
      <c r="AD816" s="86"/>
      <c r="AE816" s="86"/>
    </row>
    <row r="817" spans="1:22" s="588" customFormat="1" ht="19.95" customHeight="1">
      <c r="A817" s="80"/>
      <c r="B817" s="80"/>
      <c r="C817" s="80"/>
      <c r="D817" s="80"/>
    </row>
    <row r="818" spans="1:22" s="588" customFormat="1" ht="19.95" customHeight="1">
      <c r="A818" s="804" t="s">
        <v>1581</v>
      </c>
      <c r="B818" s="543"/>
      <c r="C818" s="543"/>
      <c r="D818" s="543"/>
      <c r="E818" s="148"/>
      <c r="U818" s="60"/>
      <c r="V818" s="60"/>
    </row>
    <row r="819" spans="1:22" s="588" customFormat="1" ht="19.95" customHeight="1">
      <c r="A819" s="543"/>
      <c r="B819" s="543"/>
      <c r="C819" s="543"/>
      <c r="D819" s="543"/>
      <c r="E819" s="148"/>
      <c r="U819" s="60"/>
      <c r="V819" s="60"/>
    </row>
    <row r="820" spans="1:22" s="129" customFormat="1" ht="19.95" customHeight="1">
      <c r="A820" s="128"/>
      <c r="E820" s="105" t="s">
        <v>172</v>
      </c>
      <c r="H820" s="105" t="s">
        <v>189</v>
      </c>
      <c r="K820" s="105" t="s">
        <v>190</v>
      </c>
      <c r="U820" s="60"/>
      <c r="V820" s="60"/>
    </row>
    <row r="821" spans="1:22" s="129" customFormat="1" ht="19.95" customHeight="1">
      <c r="E821" s="575" t="s">
        <v>169</v>
      </c>
      <c r="F821" s="575" t="s">
        <v>170</v>
      </c>
      <c r="G821" s="575" t="s">
        <v>171</v>
      </c>
      <c r="H821" s="575" t="s">
        <v>169</v>
      </c>
      <c r="I821" s="575" t="s">
        <v>170</v>
      </c>
      <c r="J821" s="575" t="s">
        <v>171</v>
      </c>
      <c r="K821" s="575" t="s">
        <v>169</v>
      </c>
      <c r="L821" s="575" t="s">
        <v>170</v>
      </c>
      <c r="M821" s="575" t="s">
        <v>171</v>
      </c>
      <c r="O821" s="593" t="s">
        <v>220</v>
      </c>
      <c r="P821" s="593" t="s">
        <v>221</v>
      </c>
      <c r="U821" s="60"/>
      <c r="V821" s="60"/>
    </row>
    <row r="822" spans="1:22" s="129" customFormat="1" ht="19.95" customHeight="1">
      <c r="A822" s="577" t="s">
        <v>184</v>
      </c>
      <c r="B822" s="457" t="s">
        <v>185</v>
      </c>
      <c r="C822" s="576"/>
      <c r="D822" s="577" t="s">
        <v>96</v>
      </c>
      <c r="E822" s="576" t="s">
        <v>64</v>
      </c>
      <c r="F822" s="576" t="s">
        <v>64</v>
      </c>
      <c r="G822" s="576" t="s">
        <v>64</v>
      </c>
      <c r="H822" s="576" t="s">
        <v>64</v>
      </c>
      <c r="I822" s="576" t="s">
        <v>64</v>
      </c>
      <c r="J822" s="576" t="s">
        <v>64</v>
      </c>
      <c r="K822" s="576" t="s">
        <v>64</v>
      </c>
      <c r="L822" s="576" t="s">
        <v>64</v>
      </c>
      <c r="M822" s="576" t="s">
        <v>64</v>
      </c>
      <c r="N822" s="576" t="s">
        <v>2</v>
      </c>
      <c r="O822" s="576" t="s">
        <v>64</v>
      </c>
      <c r="P822" s="576" t="s">
        <v>64</v>
      </c>
      <c r="U822" s="60"/>
      <c r="V822" s="60"/>
    </row>
    <row r="823" spans="1:22" s="129" customFormat="1" ht="19.95" customHeight="1">
      <c r="A823" s="578" t="s">
        <v>110</v>
      </c>
      <c r="B823" s="175" t="str">
        <f t="shared" ref="B823:B843" si="258">A115</f>
        <v>Reag BLK DIW</v>
      </c>
      <c r="D823" s="578" t="s">
        <v>1596</v>
      </c>
      <c r="E823" s="130"/>
      <c r="F823" s="130"/>
      <c r="G823" s="131"/>
      <c r="H823" s="130"/>
      <c r="I823" s="130"/>
      <c r="J823" s="131"/>
      <c r="K823" s="130"/>
      <c r="L823" s="130"/>
      <c r="M823" s="131"/>
      <c r="N823" s="546">
        <v>45356</v>
      </c>
    </row>
    <row r="824" spans="1:22" s="129" customFormat="1" ht="19.95" customHeight="1">
      <c r="A824" s="575" t="s">
        <v>110</v>
      </c>
      <c r="B824" s="175" t="str">
        <f t="shared" si="258"/>
        <v>Reag BLK 3.5% NaCl</v>
      </c>
      <c r="D824" s="575" t="s">
        <v>1602</v>
      </c>
      <c r="E824" s="132"/>
      <c r="F824" s="132"/>
      <c r="G824" s="87"/>
      <c r="H824" s="132"/>
      <c r="I824" s="132"/>
      <c r="J824" s="87"/>
      <c r="K824" s="132"/>
      <c r="L824" s="132"/>
      <c r="M824" s="87"/>
      <c r="N824" s="556"/>
    </row>
    <row r="825" spans="1:22" s="129" customFormat="1" ht="19.95" customHeight="1">
      <c r="A825" s="575" t="s">
        <v>110</v>
      </c>
      <c r="B825" s="175" t="str">
        <f t="shared" si="258"/>
        <v>IntST BLK DIW</v>
      </c>
      <c r="D825" s="575" t="s">
        <v>1603</v>
      </c>
      <c r="E825" s="69">
        <v>7.3247</v>
      </c>
      <c r="F825" s="69">
        <v>-2.0000000000000001E-4</v>
      </c>
      <c r="G825" s="114">
        <f t="shared" ref="G825:G844" si="259">E825-F825/2</f>
        <v>7.3247999999999998</v>
      </c>
      <c r="H825" s="69">
        <v>15.316700000000001</v>
      </c>
      <c r="I825" s="69">
        <v>-1E-4</v>
      </c>
      <c r="J825" s="114">
        <f t="shared" ref="J825:J844" si="260">H825-I825/2</f>
        <v>15.316750000000001</v>
      </c>
      <c r="K825" s="69">
        <v>16.113199999999999</v>
      </c>
      <c r="L825" s="69">
        <v>1E-4</v>
      </c>
      <c r="M825" s="114">
        <f t="shared" ref="M825:M844" si="261">K825-L825/2</f>
        <v>16.113149999999997</v>
      </c>
      <c r="N825" s="558"/>
      <c r="O825" s="87">
        <f t="shared" ref="O825:O844" si="262">J825-G825</f>
        <v>7.991950000000001</v>
      </c>
      <c r="P825" s="87">
        <f t="shared" ref="P825:P844" si="263">M825-J825</f>
        <v>0.79639999999999667</v>
      </c>
    </row>
    <row r="826" spans="1:22" s="129" customFormat="1" ht="19.95" customHeight="1">
      <c r="A826" s="576" t="s">
        <v>110</v>
      </c>
      <c r="B826" s="456" t="str">
        <f t="shared" si="258"/>
        <v>InST BLK 3.5% NaCl</v>
      </c>
      <c r="C826" s="576"/>
      <c r="D826" s="576" t="s">
        <v>1853</v>
      </c>
      <c r="E826" s="76">
        <v>7.3202999999999996</v>
      </c>
      <c r="F826" s="76">
        <v>0</v>
      </c>
      <c r="G826" s="122">
        <f t="shared" si="259"/>
        <v>7.3202999999999996</v>
      </c>
      <c r="H826" s="76">
        <v>15.5114</v>
      </c>
      <c r="I826" s="76">
        <v>1E-4</v>
      </c>
      <c r="J826" s="122">
        <f t="shared" si="260"/>
        <v>15.51135</v>
      </c>
      <c r="K826" s="76">
        <v>16.307099999999998</v>
      </c>
      <c r="L826" s="76">
        <v>0</v>
      </c>
      <c r="M826" s="122">
        <f t="shared" si="261"/>
        <v>16.307099999999998</v>
      </c>
      <c r="N826" s="559"/>
      <c r="O826" s="188">
        <f t="shared" si="262"/>
        <v>8.1910500000000006</v>
      </c>
      <c r="P826" s="188">
        <f t="shared" si="263"/>
        <v>0.79574999999999818</v>
      </c>
    </row>
    <row r="827" spans="1:22" s="129" customFormat="1" ht="19.95" customHeight="1">
      <c r="A827" s="575" t="s">
        <v>1582</v>
      </c>
      <c r="B827" s="175" t="str">
        <f t="shared" si="258"/>
        <v>A*B-1</v>
      </c>
      <c r="D827" s="575" t="s">
        <v>1374</v>
      </c>
      <c r="E827" s="69">
        <v>7.3451000000000004</v>
      </c>
      <c r="F827" s="69">
        <v>1E-4</v>
      </c>
      <c r="G827" s="114">
        <f t="shared" si="259"/>
        <v>7.3450500000000005</v>
      </c>
      <c r="H827" s="69">
        <v>15.3301</v>
      </c>
      <c r="I827" s="69">
        <v>1E-4</v>
      </c>
      <c r="J827" s="114">
        <f t="shared" si="260"/>
        <v>15.33005</v>
      </c>
      <c r="K827" s="69">
        <v>16.125499999999999</v>
      </c>
      <c r="L827" s="69">
        <v>0</v>
      </c>
      <c r="M827" s="114">
        <f t="shared" si="261"/>
        <v>16.125499999999999</v>
      </c>
      <c r="N827" s="558"/>
      <c r="O827" s="189">
        <f t="shared" si="262"/>
        <v>7.9849999999999994</v>
      </c>
      <c r="P827" s="189">
        <f t="shared" si="263"/>
        <v>0.79544999999999888</v>
      </c>
    </row>
    <row r="828" spans="1:22" s="129" customFormat="1" ht="19.95" customHeight="1">
      <c r="A828" s="575" t="s">
        <v>1582</v>
      </c>
      <c r="B828" s="175" t="str">
        <f t="shared" si="258"/>
        <v>A*B-2A</v>
      </c>
      <c r="D828" s="575" t="s">
        <v>1586</v>
      </c>
      <c r="E828" s="69">
        <v>7.3262</v>
      </c>
      <c r="F828" s="69">
        <v>1E-4</v>
      </c>
      <c r="G828" s="114">
        <f t="shared" si="259"/>
        <v>7.3261500000000002</v>
      </c>
      <c r="H828" s="69">
        <v>15.3146</v>
      </c>
      <c r="I828" s="69">
        <v>2.0000000000000001E-4</v>
      </c>
      <c r="J828" s="114">
        <f t="shared" si="260"/>
        <v>15.314500000000001</v>
      </c>
      <c r="K828" s="69">
        <v>16.110800000000001</v>
      </c>
      <c r="L828" s="69">
        <v>0</v>
      </c>
      <c r="M828" s="114">
        <f t="shared" si="261"/>
        <v>16.110800000000001</v>
      </c>
      <c r="N828" s="558"/>
      <c r="O828" s="189">
        <f t="shared" si="262"/>
        <v>7.9883500000000005</v>
      </c>
      <c r="P828" s="189">
        <f t="shared" si="263"/>
        <v>0.79630000000000045</v>
      </c>
    </row>
    <row r="829" spans="1:22" s="129" customFormat="1" ht="19.95" customHeight="1">
      <c r="A829" s="575" t="s">
        <v>1582</v>
      </c>
      <c r="B829" s="175" t="str">
        <f t="shared" si="258"/>
        <v>A*B-2B</v>
      </c>
      <c r="D829" s="575" t="s">
        <v>1587</v>
      </c>
      <c r="E829" s="69">
        <v>7.3068999999999997</v>
      </c>
      <c r="F829" s="69">
        <v>-2.0000000000000001E-4</v>
      </c>
      <c r="G829" s="114">
        <f t="shared" si="259"/>
        <v>7.3069999999999995</v>
      </c>
      <c r="H829" s="69">
        <v>15.336</v>
      </c>
      <c r="I829" s="69">
        <v>0</v>
      </c>
      <c r="J829" s="114">
        <f t="shared" si="260"/>
        <v>15.336</v>
      </c>
      <c r="K829" s="69">
        <v>16.132100000000001</v>
      </c>
      <c r="L829" s="69">
        <v>0</v>
      </c>
      <c r="M829" s="114">
        <f t="shared" si="261"/>
        <v>16.132100000000001</v>
      </c>
      <c r="N829" s="558"/>
      <c r="O829" s="189">
        <f t="shared" si="262"/>
        <v>8.0289999999999999</v>
      </c>
      <c r="P829" s="189">
        <f t="shared" si="263"/>
        <v>0.79610000000000092</v>
      </c>
    </row>
    <row r="830" spans="1:22" s="129" customFormat="1" ht="19.95" customHeight="1">
      <c r="A830" s="576" t="s">
        <v>1582</v>
      </c>
      <c r="B830" s="456" t="str">
        <f t="shared" si="258"/>
        <v>A*B-3</v>
      </c>
      <c r="C830" s="576"/>
      <c r="D830" s="576" t="s">
        <v>1378</v>
      </c>
      <c r="E830" s="76">
        <v>7.2979000000000003</v>
      </c>
      <c r="F830" s="76">
        <v>0</v>
      </c>
      <c r="G830" s="122">
        <f t="shared" si="259"/>
        <v>7.2979000000000003</v>
      </c>
      <c r="H830" s="76">
        <v>15.276400000000001</v>
      </c>
      <c r="I830" s="76">
        <v>0</v>
      </c>
      <c r="J830" s="122">
        <f t="shared" si="260"/>
        <v>15.276400000000001</v>
      </c>
      <c r="K830" s="76">
        <v>16.072099999999999</v>
      </c>
      <c r="L830" s="76">
        <v>1E-4</v>
      </c>
      <c r="M830" s="122">
        <f t="shared" si="261"/>
        <v>16.072049999999997</v>
      </c>
      <c r="N830" s="559"/>
      <c r="O830" s="188">
        <f t="shared" si="262"/>
        <v>7.9785000000000004</v>
      </c>
      <c r="P830" s="188">
        <f t="shared" si="263"/>
        <v>0.79564999999999664</v>
      </c>
    </row>
    <row r="831" spans="1:22" s="129" customFormat="1" ht="19.95" customHeight="1">
      <c r="A831" s="575" t="s">
        <v>187</v>
      </c>
      <c r="B831" s="175" t="str">
        <f t="shared" si="258"/>
        <v>MOOS052a_i</v>
      </c>
      <c r="D831" s="575" t="s">
        <v>1838</v>
      </c>
      <c r="E831" s="69">
        <v>7.3384999999999998</v>
      </c>
      <c r="F831" s="69">
        <v>-1E-4</v>
      </c>
      <c r="G831" s="114">
        <f t="shared" si="259"/>
        <v>7.3385499999999997</v>
      </c>
      <c r="H831" s="69">
        <v>15.531700000000001</v>
      </c>
      <c r="I831" s="69">
        <v>-1E-4</v>
      </c>
      <c r="J831" s="114">
        <f t="shared" si="260"/>
        <v>15.531750000000001</v>
      </c>
      <c r="K831" s="69">
        <v>16.327200000000001</v>
      </c>
      <c r="L831" s="69">
        <v>0</v>
      </c>
      <c r="M831" s="114">
        <f t="shared" si="261"/>
        <v>16.327200000000001</v>
      </c>
      <c r="N831" s="558"/>
      <c r="O831" s="77">
        <f t="shared" si="262"/>
        <v>8.1932000000000009</v>
      </c>
      <c r="P831" s="77">
        <f t="shared" si="263"/>
        <v>0.79545000000000066</v>
      </c>
    </row>
    <row r="832" spans="1:22" s="129" customFormat="1" ht="19.95" customHeight="1">
      <c r="A832" s="575" t="s">
        <v>187</v>
      </c>
      <c r="B832" s="175" t="str">
        <f t="shared" si="258"/>
        <v>MOOS130a_i</v>
      </c>
      <c r="D832" s="575" t="s">
        <v>1839</v>
      </c>
      <c r="E832" s="69">
        <v>7.2987000000000002</v>
      </c>
      <c r="F832" s="69">
        <v>0</v>
      </c>
      <c r="G832" s="114">
        <f t="shared" si="259"/>
        <v>7.2987000000000002</v>
      </c>
      <c r="H832" s="69">
        <v>15.4391</v>
      </c>
      <c r="I832" s="69">
        <v>0</v>
      </c>
      <c r="J832" s="114">
        <f t="shared" si="260"/>
        <v>15.4391</v>
      </c>
      <c r="K832" s="69">
        <v>16.233799999999999</v>
      </c>
      <c r="L832" s="69">
        <v>0</v>
      </c>
      <c r="M832" s="114">
        <f t="shared" si="261"/>
        <v>16.233799999999999</v>
      </c>
      <c r="N832" s="558"/>
      <c r="O832" s="77">
        <f t="shared" si="262"/>
        <v>8.1403999999999996</v>
      </c>
      <c r="P832" s="77">
        <f t="shared" si="263"/>
        <v>0.79469999999999885</v>
      </c>
    </row>
    <row r="833" spans="1:16" s="129" customFormat="1" ht="19.95" customHeight="1">
      <c r="A833" s="575" t="s">
        <v>187</v>
      </c>
      <c r="B833" s="175" t="str">
        <f t="shared" si="258"/>
        <v>MOOS207a_i</v>
      </c>
      <c r="D833" s="575" t="s">
        <v>1840</v>
      </c>
      <c r="E833" s="69">
        <v>7.3196000000000003</v>
      </c>
      <c r="F833" s="69">
        <v>-1E-4</v>
      </c>
      <c r="G833" s="114">
        <f t="shared" si="259"/>
        <v>7.3196500000000002</v>
      </c>
      <c r="H833" s="69">
        <v>15.4413</v>
      </c>
      <c r="I833" s="69">
        <v>0</v>
      </c>
      <c r="J833" s="114">
        <f t="shared" si="260"/>
        <v>15.4413</v>
      </c>
      <c r="K833" s="69">
        <v>16.2377</v>
      </c>
      <c r="L833" s="69">
        <v>0</v>
      </c>
      <c r="M833" s="114">
        <f t="shared" si="261"/>
        <v>16.2377</v>
      </c>
      <c r="N833" s="558"/>
      <c r="O833" s="77">
        <f t="shared" si="262"/>
        <v>8.1216499999999989</v>
      </c>
      <c r="P833" s="77">
        <f t="shared" si="263"/>
        <v>0.79640000000000022</v>
      </c>
    </row>
    <row r="834" spans="1:16" s="129" customFormat="1" ht="19.95" customHeight="1">
      <c r="A834" s="575" t="s">
        <v>187</v>
      </c>
      <c r="B834" s="175" t="str">
        <f t="shared" si="258"/>
        <v>MOOS284a_i</v>
      </c>
      <c r="D834" s="575" t="s">
        <v>1841</v>
      </c>
      <c r="E834" s="69">
        <v>7.3131000000000004</v>
      </c>
      <c r="F834" s="69">
        <v>2.0000000000000001E-4</v>
      </c>
      <c r="G834" s="114">
        <f t="shared" si="259"/>
        <v>7.3130000000000006</v>
      </c>
      <c r="H834" s="69">
        <v>15.4336</v>
      </c>
      <c r="I834" s="69">
        <v>0</v>
      </c>
      <c r="J834" s="114">
        <f t="shared" si="260"/>
        <v>15.4336</v>
      </c>
      <c r="K834" s="69">
        <v>16.229600000000001</v>
      </c>
      <c r="L834" s="69">
        <v>1E-4</v>
      </c>
      <c r="M834" s="114">
        <f t="shared" si="261"/>
        <v>16.22955</v>
      </c>
      <c r="N834" s="558"/>
      <c r="O834" s="77">
        <f t="shared" si="262"/>
        <v>8.1205999999999996</v>
      </c>
      <c r="P834" s="77">
        <f t="shared" si="263"/>
        <v>0.79594999999999949</v>
      </c>
    </row>
    <row r="835" spans="1:16" s="129" customFormat="1" ht="19.95" customHeight="1">
      <c r="A835" s="575" t="s">
        <v>187</v>
      </c>
      <c r="B835" s="175" t="str">
        <f t="shared" si="258"/>
        <v>MOOS360a_i</v>
      </c>
      <c r="D835" s="575" t="s">
        <v>1842</v>
      </c>
      <c r="E835" s="69">
        <v>7.3441999999999998</v>
      </c>
      <c r="F835" s="69">
        <v>-1E-4</v>
      </c>
      <c r="G835" s="114">
        <f t="shared" si="259"/>
        <v>7.3442499999999997</v>
      </c>
      <c r="H835" s="69">
        <v>15.4595</v>
      </c>
      <c r="I835" s="69">
        <v>0</v>
      </c>
      <c r="J835" s="114">
        <f t="shared" si="260"/>
        <v>15.4595</v>
      </c>
      <c r="K835" s="69">
        <v>16.252500000000001</v>
      </c>
      <c r="L835" s="69">
        <v>1E-4</v>
      </c>
      <c r="M835" s="114">
        <f t="shared" si="261"/>
        <v>16.25245</v>
      </c>
      <c r="N835" s="558"/>
      <c r="O835" s="114">
        <f t="shared" si="262"/>
        <v>8.1152499999999996</v>
      </c>
      <c r="P835" s="114">
        <f t="shared" si="263"/>
        <v>0.79294999999999938</v>
      </c>
    </row>
    <row r="836" spans="1:16" s="129" customFormat="1" ht="19.95" customHeight="1">
      <c r="A836" s="575" t="s">
        <v>187</v>
      </c>
      <c r="B836" s="175" t="str">
        <f t="shared" si="258"/>
        <v>MOOS052a_ii</v>
      </c>
      <c r="D836" s="575" t="s">
        <v>1843</v>
      </c>
      <c r="E836" s="69">
        <v>7.3094999999999999</v>
      </c>
      <c r="F836" s="69">
        <v>2.0000000000000001E-4</v>
      </c>
      <c r="G836" s="114">
        <f t="shared" si="259"/>
        <v>7.3094000000000001</v>
      </c>
      <c r="H836" s="69">
        <v>15.428599999999999</v>
      </c>
      <c r="I836" s="69">
        <v>-2.0000000000000001E-4</v>
      </c>
      <c r="J836" s="114">
        <f t="shared" si="260"/>
        <v>15.428699999999999</v>
      </c>
      <c r="K836" s="69">
        <v>16.222899999999999</v>
      </c>
      <c r="L836" s="69">
        <v>-2.0000000000000001E-4</v>
      </c>
      <c r="M836" s="114">
        <f t="shared" si="261"/>
        <v>16.222999999999999</v>
      </c>
      <c r="N836" s="558"/>
      <c r="O836" s="114">
        <f t="shared" si="262"/>
        <v>8.1192999999999991</v>
      </c>
      <c r="P836" s="114">
        <f t="shared" si="263"/>
        <v>0.79429999999999978</v>
      </c>
    </row>
    <row r="837" spans="1:16" s="129" customFormat="1" ht="19.95" customHeight="1">
      <c r="A837" s="575" t="s">
        <v>187</v>
      </c>
      <c r="B837" s="175" t="str">
        <f t="shared" si="258"/>
        <v>MOOS130a_ii</v>
      </c>
      <c r="D837" s="575" t="s">
        <v>1844</v>
      </c>
      <c r="E837" s="69">
        <v>7.3357000000000001</v>
      </c>
      <c r="F837" s="69">
        <v>-2.0000000000000001E-4</v>
      </c>
      <c r="G837" s="114">
        <f t="shared" si="259"/>
        <v>7.3357999999999999</v>
      </c>
      <c r="H837" s="69">
        <v>15.454599999999999</v>
      </c>
      <c r="I837" s="69">
        <v>-1E-4</v>
      </c>
      <c r="J837" s="114">
        <f t="shared" si="260"/>
        <v>15.454649999999999</v>
      </c>
      <c r="K837" s="69">
        <v>16.251899999999999</v>
      </c>
      <c r="L837" s="69">
        <v>0</v>
      </c>
      <c r="M837" s="114">
        <f t="shared" si="261"/>
        <v>16.251899999999999</v>
      </c>
      <c r="N837" s="558"/>
      <c r="O837" s="114">
        <f t="shared" si="262"/>
        <v>8.1188499999999983</v>
      </c>
      <c r="P837" s="114">
        <f t="shared" si="263"/>
        <v>0.79725000000000001</v>
      </c>
    </row>
    <row r="838" spans="1:16" s="129" customFormat="1" ht="19.95" customHeight="1">
      <c r="A838" s="575" t="s">
        <v>187</v>
      </c>
      <c r="B838" s="175" t="str">
        <f t="shared" si="258"/>
        <v>MOOS207a_ii</v>
      </c>
      <c r="D838" s="575" t="s">
        <v>1845</v>
      </c>
      <c r="E838" s="69">
        <v>7.3204000000000002</v>
      </c>
      <c r="F838" s="69">
        <v>0</v>
      </c>
      <c r="G838" s="114">
        <f t="shared" si="259"/>
        <v>7.3204000000000002</v>
      </c>
      <c r="H838" s="69">
        <v>15.4232</v>
      </c>
      <c r="I838" s="69">
        <v>1E-4</v>
      </c>
      <c r="J838" s="114">
        <f t="shared" si="260"/>
        <v>15.42315</v>
      </c>
      <c r="K838" s="69">
        <v>16.216999999999999</v>
      </c>
      <c r="L838" s="69">
        <v>0</v>
      </c>
      <c r="M838" s="114">
        <f t="shared" si="261"/>
        <v>16.216999999999999</v>
      </c>
      <c r="N838" s="558"/>
      <c r="O838" s="114">
        <f t="shared" si="262"/>
        <v>8.1027500000000003</v>
      </c>
      <c r="P838" s="114">
        <f t="shared" si="263"/>
        <v>0.79384999999999906</v>
      </c>
    </row>
    <row r="839" spans="1:16" s="129" customFormat="1" ht="19.95" customHeight="1">
      <c r="A839" s="575" t="s">
        <v>187</v>
      </c>
      <c r="B839" s="175" t="str">
        <f t="shared" si="258"/>
        <v>MOOS284a_ii</v>
      </c>
      <c r="D839" s="575" t="s">
        <v>1856</v>
      </c>
      <c r="E839" s="69">
        <v>7.3120000000000003</v>
      </c>
      <c r="F839" s="69">
        <v>0</v>
      </c>
      <c r="G839" s="114">
        <f t="shared" si="259"/>
        <v>7.3120000000000003</v>
      </c>
      <c r="H839" s="69">
        <v>15.416</v>
      </c>
      <c r="I839" s="69">
        <v>0</v>
      </c>
      <c r="J839" s="114">
        <f t="shared" si="260"/>
        <v>15.416</v>
      </c>
      <c r="K839" s="69">
        <v>16.2134</v>
      </c>
      <c r="L839" s="69">
        <v>0</v>
      </c>
      <c r="M839" s="114">
        <f t="shared" si="261"/>
        <v>16.2134</v>
      </c>
      <c r="N839" s="558"/>
      <c r="O839" s="114">
        <f t="shared" si="262"/>
        <v>8.1039999999999992</v>
      </c>
      <c r="P839" s="114">
        <f t="shared" si="263"/>
        <v>0.79739999999999966</v>
      </c>
    </row>
    <row r="840" spans="1:16" s="129" customFormat="1" ht="19.95" customHeight="1">
      <c r="A840" s="576" t="s">
        <v>187</v>
      </c>
      <c r="B840" s="456" t="str">
        <f t="shared" si="258"/>
        <v>MOOS360a_ii</v>
      </c>
      <c r="C840" s="576"/>
      <c r="D840" s="576" t="s">
        <v>1846</v>
      </c>
      <c r="E840" s="76">
        <v>7.3152999999999997</v>
      </c>
      <c r="F840" s="76">
        <v>1E-4</v>
      </c>
      <c r="G840" s="122">
        <f t="shared" si="259"/>
        <v>7.3152499999999998</v>
      </c>
      <c r="H840" s="76">
        <v>15.427</v>
      </c>
      <c r="I840" s="76">
        <v>-1E-4</v>
      </c>
      <c r="J840" s="122">
        <f t="shared" si="260"/>
        <v>15.427049999999999</v>
      </c>
      <c r="K840" s="76">
        <v>16.2211</v>
      </c>
      <c r="L840" s="76">
        <v>-2.0000000000000001E-4</v>
      </c>
      <c r="M840" s="122">
        <f t="shared" si="261"/>
        <v>16.2212</v>
      </c>
      <c r="N840" s="559"/>
      <c r="O840" s="122">
        <f t="shared" si="262"/>
        <v>8.1117999999999988</v>
      </c>
      <c r="P840" s="122">
        <f t="shared" si="263"/>
        <v>0.79415000000000013</v>
      </c>
    </row>
    <row r="841" spans="1:16" s="129" customFormat="1" ht="19.95" customHeight="1">
      <c r="A841" s="129" t="s">
        <v>188</v>
      </c>
      <c r="B841" s="175" t="str">
        <f t="shared" si="258"/>
        <v>SALT-1</v>
      </c>
      <c r="D841" s="129" t="s">
        <v>1854</v>
      </c>
      <c r="E841" s="69">
        <v>7.3136999999999999</v>
      </c>
      <c r="F841" s="69">
        <v>1E-4</v>
      </c>
      <c r="G841" s="114">
        <f t="shared" si="259"/>
        <v>7.31365</v>
      </c>
      <c r="H841" s="69">
        <v>15.504799999999999</v>
      </c>
      <c r="I841" s="69">
        <v>0</v>
      </c>
      <c r="J841" s="114">
        <f t="shared" si="260"/>
        <v>15.504799999999999</v>
      </c>
      <c r="K841" s="69">
        <v>16.297599999999999</v>
      </c>
      <c r="L841" s="69">
        <v>-2.9999999999999997E-4</v>
      </c>
      <c r="M841" s="114">
        <f t="shared" si="261"/>
        <v>16.297750000000001</v>
      </c>
      <c r="N841" s="558"/>
      <c r="O841" s="114">
        <f t="shared" si="262"/>
        <v>8.1911500000000004</v>
      </c>
      <c r="P841" s="114">
        <f t="shared" si="263"/>
        <v>0.79295000000000115</v>
      </c>
    </row>
    <row r="842" spans="1:16" s="129" customFormat="1" ht="19.95" customHeight="1">
      <c r="A842" s="576" t="s">
        <v>188</v>
      </c>
      <c r="B842" s="456" t="str">
        <f t="shared" si="258"/>
        <v>MOOS-3</v>
      </c>
      <c r="C842" s="576"/>
      <c r="D842" s="576" t="s">
        <v>193</v>
      </c>
      <c r="E842" s="76">
        <v>7.3385999999999996</v>
      </c>
      <c r="F842" s="76">
        <v>0</v>
      </c>
      <c r="G842" s="122">
        <f t="shared" si="259"/>
        <v>7.3385999999999996</v>
      </c>
      <c r="H842" s="76">
        <v>15.57</v>
      </c>
      <c r="I842" s="76">
        <v>0</v>
      </c>
      <c r="J842" s="122">
        <f t="shared" si="260"/>
        <v>15.57</v>
      </c>
      <c r="K842" s="76">
        <v>16.366299999999999</v>
      </c>
      <c r="L842" s="76">
        <v>0</v>
      </c>
      <c r="M842" s="122">
        <f t="shared" si="261"/>
        <v>16.366299999999999</v>
      </c>
      <c r="N842" s="559"/>
      <c r="O842" s="122">
        <f t="shared" si="262"/>
        <v>8.2314000000000007</v>
      </c>
      <c r="P842" s="122">
        <f t="shared" si="263"/>
        <v>0.79629999999999868</v>
      </c>
    </row>
    <row r="843" spans="1:16" s="129" customFormat="1" ht="19.95" customHeight="1">
      <c r="A843" s="576" t="s">
        <v>1582</v>
      </c>
      <c r="B843" s="456" t="str">
        <f t="shared" si="258"/>
        <v>A*B-2C</v>
      </c>
      <c r="C843" s="576"/>
      <c r="D843" s="576" t="s">
        <v>1589</v>
      </c>
      <c r="E843" s="76">
        <v>7.3102999999999998</v>
      </c>
      <c r="F843" s="76">
        <v>0</v>
      </c>
      <c r="G843" s="122">
        <f t="shared" si="259"/>
        <v>7.3102999999999998</v>
      </c>
      <c r="H843" s="76">
        <v>15.3302</v>
      </c>
      <c r="I843" s="76">
        <v>0</v>
      </c>
      <c r="J843" s="122">
        <f t="shared" si="260"/>
        <v>15.3302</v>
      </c>
      <c r="K843" s="76">
        <v>16.1249</v>
      </c>
      <c r="L843" s="76">
        <v>-1E-4</v>
      </c>
      <c r="M843" s="122">
        <f t="shared" si="261"/>
        <v>16.124950000000002</v>
      </c>
      <c r="N843" s="566"/>
      <c r="O843" s="122">
        <f t="shared" si="262"/>
        <v>8.0198999999999998</v>
      </c>
      <c r="P843" s="122">
        <f t="shared" si="263"/>
        <v>0.79475000000000229</v>
      </c>
    </row>
    <row r="844" spans="1:16" s="129" customFormat="1" ht="19.95" customHeight="1">
      <c r="A844" s="576" t="s">
        <v>1582</v>
      </c>
      <c r="B844" s="456" t="str">
        <f>G135</f>
        <v>A*B-4</v>
      </c>
      <c r="C844" s="576"/>
      <c r="D844" s="576" t="s">
        <v>1621</v>
      </c>
      <c r="E844" s="76">
        <v>7.3460999999999999</v>
      </c>
      <c r="F844" s="76">
        <v>0</v>
      </c>
      <c r="G844" s="122">
        <f t="shared" si="259"/>
        <v>7.3460999999999999</v>
      </c>
      <c r="H844" s="76">
        <v>15.3428</v>
      </c>
      <c r="I844" s="76">
        <v>-1E-4</v>
      </c>
      <c r="J844" s="122">
        <f t="shared" si="260"/>
        <v>15.34285</v>
      </c>
      <c r="K844" s="76">
        <v>16.139299999999999</v>
      </c>
      <c r="L844" s="76">
        <v>1E-4</v>
      </c>
      <c r="M844" s="122">
        <f t="shared" si="261"/>
        <v>16.139249999999997</v>
      </c>
      <c r="N844" s="548">
        <v>45356</v>
      </c>
      <c r="O844" s="122">
        <f t="shared" si="262"/>
        <v>7.9967500000000005</v>
      </c>
      <c r="P844" s="122">
        <f t="shared" si="263"/>
        <v>0.79639999999999667</v>
      </c>
    </row>
    <row r="845" spans="1:16" s="588" customFormat="1" ht="19.95" customHeight="1">
      <c r="A845" s="80"/>
      <c r="B845" s="80"/>
      <c r="C845" s="80"/>
      <c r="D845" s="80"/>
    </row>
    <row r="846" spans="1:16" s="588" customFormat="1" ht="19.95" customHeight="1">
      <c r="A846" s="199" t="s">
        <v>1855</v>
      </c>
      <c r="B846" s="80"/>
      <c r="C846" s="80"/>
      <c r="D846" s="80"/>
    </row>
    <row r="847" spans="1:16" s="588" customFormat="1" ht="19.95" customHeight="1">
      <c r="A847" s="199" t="s">
        <v>2225</v>
      </c>
      <c r="B847" s="80"/>
      <c r="C847" s="80"/>
      <c r="D847" s="80"/>
    </row>
    <row r="848" spans="1:16" s="588" customFormat="1" ht="19.95" customHeight="1">
      <c r="A848" s="199" t="s">
        <v>1583</v>
      </c>
      <c r="B848" s="80"/>
      <c r="C848" s="80"/>
      <c r="D848" s="80"/>
    </row>
    <row r="849" spans="1:16" s="588" customFormat="1" ht="19.95" customHeight="1">
      <c r="A849" s="199" t="s">
        <v>1584</v>
      </c>
      <c r="B849" s="80"/>
      <c r="C849" s="80"/>
      <c r="D849" s="80"/>
    </row>
    <row r="850" spans="1:16" s="588" customFormat="1" ht="19.95" customHeight="1">
      <c r="A850" s="199" t="s">
        <v>1585</v>
      </c>
      <c r="B850" s="80"/>
      <c r="C850" s="80"/>
      <c r="D850" s="80"/>
    </row>
    <row r="851" spans="1:16" s="588" customFormat="1" ht="19.95" customHeight="1">
      <c r="A851" s="199" t="s">
        <v>1618</v>
      </c>
      <c r="B851" s="80"/>
      <c r="C851" s="80"/>
      <c r="D851" s="80"/>
    </row>
    <row r="852" spans="1:16" s="588" customFormat="1" ht="19.95" customHeight="1">
      <c r="A852" s="199" t="s">
        <v>1848</v>
      </c>
      <c r="B852" s="80"/>
      <c r="C852" s="80"/>
      <c r="D852" s="80"/>
    </row>
    <row r="854" spans="1:16" s="588" customFormat="1" ht="19.95" customHeight="1">
      <c r="A854" s="128" t="s">
        <v>194</v>
      </c>
      <c r="B854" s="129"/>
      <c r="C854" s="129"/>
      <c r="D854" s="129"/>
      <c r="E854" s="129"/>
      <c r="F854" s="129"/>
      <c r="G854" s="129"/>
      <c r="H854" s="129"/>
      <c r="I854" s="129"/>
      <c r="J854" s="129"/>
      <c r="K854" s="129"/>
      <c r="L854" s="129"/>
      <c r="M854" s="129"/>
      <c r="N854" s="129"/>
      <c r="O854" s="129"/>
      <c r="P854" s="129"/>
    </row>
    <row r="855" spans="1:16" s="588" customFormat="1" ht="19.95" customHeight="1">
      <c r="A855" s="129"/>
      <c r="B855" s="129"/>
      <c r="C855" s="129"/>
      <c r="D855" s="129"/>
      <c r="E855" s="129"/>
      <c r="F855" s="129"/>
      <c r="G855" s="129"/>
      <c r="H855" s="129"/>
      <c r="I855" s="129"/>
      <c r="J855" s="129"/>
      <c r="K855" s="129"/>
      <c r="L855" s="129"/>
      <c r="M855" s="129"/>
      <c r="N855" s="129"/>
      <c r="O855" s="129"/>
      <c r="P855" s="129"/>
    </row>
    <row r="856" spans="1:16" s="588" customFormat="1" ht="19.95" customHeight="1">
      <c r="A856" s="128"/>
      <c r="B856" s="129"/>
      <c r="C856" s="129"/>
      <c r="D856" s="129"/>
      <c r="E856" s="105" t="s">
        <v>172</v>
      </c>
      <c r="F856" s="129"/>
      <c r="G856" s="129"/>
      <c r="H856" s="105" t="s">
        <v>189</v>
      </c>
      <c r="I856" s="129"/>
      <c r="J856" s="129"/>
      <c r="K856" s="105" t="s">
        <v>195</v>
      </c>
      <c r="L856" s="129"/>
      <c r="M856" s="129"/>
      <c r="N856" s="129"/>
      <c r="O856" s="129"/>
      <c r="P856" s="129"/>
    </row>
    <row r="857" spans="1:16" s="588" customFormat="1" ht="19.95" customHeight="1">
      <c r="A857" s="129"/>
      <c r="B857" s="129"/>
      <c r="C857" s="129"/>
      <c r="D857" s="129"/>
      <c r="E857" s="575" t="s">
        <v>169</v>
      </c>
      <c r="F857" s="575" t="s">
        <v>170</v>
      </c>
      <c r="G857" s="575" t="s">
        <v>171</v>
      </c>
      <c r="H857" s="575" t="s">
        <v>169</v>
      </c>
      <c r="I857" s="575" t="s">
        <v>170</v>
      </c>
      <c r="J857" s="575" t="s">
        <v>171</v>
      </c>
      <c r="K857" s="575" t="s">
        <v>169</v>
      </c>
      <c r="L857" s="575" t="s">
        <v>170</v>
      </c>
      <c r="M857" s="575" t="s">
        <v>171</v>
      </c>
      <c r="N857" s="129"/>
      <c r="O857" s="593" t="s">
        <v>218</v>
      </c>
      <c r="P857" s="593" t="s">
        <v>219</v>
      </c>
    </row>
    <row r="858" spans="1:16" s="588" customFormat="1" ht="19.95" customHeight="1">
      <c r="A858" s="577" t="s">
        <v>184</v>
      </c>
      <c r="B858" s="577" t="s">
        <v>185</v>
      </c>
      <c r="C858" s="577"/>
      <c r="D858" s="577" t="s">
        <v>96</v>
      </c>
      <c r="E858" s="576" t="s">
        <v>64</v>
      </c>
      <c r="F858" s="576" t="s">
        <v>64</v>
      </c>
      <c r="G858" s="576" t="s">
        <v>64</v>
      </c>
      <c r="H858" s="576" t="s">
        <v>64</v>
      </c>
      <c r="I858" s="576" t="s">
        <v>64</v>
      </c>
      <c r="J858" s="576" t="s">
        <v>64</v>
      </c>
      <c r="K858" s="576" t="s">
        <v>64</v>
      </c>
      <c r="L858" s="576" t="s">
        <v>64</v>
      </c>
      <c r="M858" s="576" t="s">
        <v>64</v>
      </c>
      <c r="N858" s="576" t="s">
        <v>2</v>
      </c>
      <c r="O858" s="576" t="s">
        <v>64</v>
      </c>
      <c r="P858" s="576" t="s">
        <v>64</v>
      </c>
    </row>
    <row r="859" spans="1:16" s="588" customFormat="1" ht="19.95" customHeight="1">
      <c r="A859" s="575" t="s">
        <v>110</v>
      </c>
      <c r="B859" s="575" t="str">
        <f t="shared" ref="B859:B870" si="264">D116</f>
        <v>Baseline DIW</v>
      </c>
      <c r="C859" s="575"/>
      <c r="D859" s="575" t="s">
        <v>1591</v>
      </c>
      <c r="E859" s="132"/>
      <c r="F859" s="132"/>
      <c r="G859" s="87"/>
      <c r="H859" s="132"/>
      <c r="I859" s="132"/>
      <c r="J859" s="87"/>
      <c r="K859" s="132"/>
      <c r="L859" s="132"/>
      <c r="M859" s="87"/>
      <c r="N859" s="546">
        <v>45356</v>
      </c>
      <c r="O859" s="129"/>
      <c r="P859" s="129"/>
    </row>
    <row r="860" spans="1:16" s="588" customFormat="1" ht="19.95" customHeight="1">
      <c r="A860" s="129" t="s">
        <v>110</v>
      </c>
      <c r="B860" s="575" t="str">
        <f t="shared" si="264"/>
        <v>Baseline LNSW</v>
      </c>
      <c r="C860" s="575"/>
      <c r="D860" s="575" t="s">
        <v>1592</v>
      </c>
      <c r="E860" s="132"/>
      <c r="F860" s="132"/>
      <c r="G860" s="87"/>
      <c r="H860" s="132"/>
      <c r="I860" s="132"/>
      <c r="J860" s="87"/>
      <c r="K860" s="132"/>
      <c r="L860" s="132"/>
      <c r="M860" s="87"/>
      <c r="N860" s="556"/>
      <c r="O860" s="129"/>
      <c r="P860" s="129"/>
    </row>
    <row r="861" spans="1:16" s="588" customFormat="1" ht="19.95" customHeight="1">
      <c r="A861" s="129" t="s">
        <v>110</v>
      </c>
      <c r="B861" s="575" t="str">
        <f t="shared" si="264"/>
        <v>Baseline MOOS-4</v>
      </c>
      <c r="C861" s="575"/>
      <c r="D861" s="575" t="s">
        <v>1593</v>
      </c>
      <c r="E861" s="132"/>
      <c r="F861" s="132"/>
      <c r="G861" s="87"/>
      <c r="H861" s="132"/>
      <c r="I861" s="132"/>
      <c r="J861" s="87"/>
      <c r="K861" s="132"/>
      <c r="L861" s="132"/>
      <c r="M861" s="87"/>
      <c r="N861" s="556"/>
      <c r="O861" s="129"/>
      <c r="P861" s="129"/>
    </row>
    <row r="862" spans="1:16" s="588" customFormat="1" ht="19.95" customHeight="1">
      <c r="A862" s="129" t="s">
        <v>110</v>
      </c>
      <c r="B862" s="575" t="str">
        <f t="shared" si="264"/>
        <v>Baseline SALT-1</v>
      </c>
      <c r="C862" s="575"/>
      <c r="D862" s="575" t="s">
        <v>1594</v>
      </c>
      <c r="E862" s="132"/>
      <c r="F862" s="132"/>
      <c r="G862" s="87"/>
      <c r="H862" s="132"/>
      <c r="I862" s="132"/>
      <c r="J862" s="87"/>
      <c r="K862" s="132"/>
      <c r="L862" s="132"/>
      <c r="M862" s="87"/>
      <c r="N862" s="556"/>
      <c r="O862" s="129"/>
      <c r="P862" s="129"/>
    </row>
    <row r="863" spans="1:16" s="588" customFormat="1" ht="19.95" customHeight="1">
      <c r="A863" s="129" t="s">
        <v>110</v>
      </c>
      <c r="B863" s="575" t="str">
        <f t="shared" si="264"/>
        <v>Baseline MOOS-3</v>
      </c>
      <c r="C863" s="575"/>
      <c r="D863" s="129" t="s">
        <v>1595</v>
      </c>
      <c r="E863" s="129"/>
      <c r="F863" s="129"/>
      <c r="G863" s="129"/>
      <c r="H863" s="129"/>
      <c r="I863" s="129"/>
      <c r="J863" s="129"/>
      <c r="K863" s="129"/>
      <c r="L863" s="129"/>
      <c r="M863" s="129"/>
      <c r="N863" s="556"/>
      <c r="O863" s="129"/>
      <c r="P863" s="129"/>
    </row>
    <row r="864" spans="1:16" s="588" customFormat="1" ht="19.95" customHeight="1">
      <c r="A864" s="129" t="s">
        <v>110</v>
      </c>
      <c r="B864" s="575" t="str">
        <f t="shared" si="264"/>
        <v>Reag BLK DIW</v>
      </c>
      <c r="C864" s="575"/>
      <c r="D864" s="575" t="s">
        <v>1596</v>
      </c>
      <c r="E864" s="132"/>
      <c r="F864" s="132"/>
      <c r="G864" s="87"/>
      <c r="H864" s="132"/>
      <c r="I864" s="132"/>
      <c r="J864" s="87"/>
      <c r="K864" s="132"/>
      <c r="L864" s="132"/>
      <c r="M864" s="87"/>
      <c r="N864" s="556"/>
      <c r="O864" s="129"/>
      <c r="P864" s="129"/>
    </row>
    <row r="865" spans="1:18" s="588" customFormat="1" ht="19.95" customHeight="1">
      <c r="A865" s="576" t="s">
        <v>110</v>
      </c>
      <c r="B865" s="576" t="str">
        <f t="shared" si="264"/>
        <v>Reag BLK LNSW</v>
      </c>
      <c r="C865" s="576"/>
      <c r="D865" s="576" t="s">
        <v>1597</v>
      </c>
      <c r="E865" s="187"/>
      <c r="F865" s="187"/>
      <c r="G865" s="188"/>
      <c r="H865" s="187"/>
      <c r="I865" s="187"/>
      <c r="J865" s="188"/>
      <c r="K865" s="187"/>
      <c r="L865" s="187"/>
      <c r="M865" s="188"/>
      <c r="N865" s="557"/>
      <c r="O865" s="576"/>
      <c r="P865" s="576"/>
    </row>
    <row r="866" spans="1:18" s="588" customFormat="1" ht="19.95" customHeight="1">
      <c r="A866" s="129" t="s">
        <v>186</v>
      </c>
      <c r="B866" s="575" t="str">
        <f t="shared" si="264"/>
        <v>CAL-1</v>
      </c>
      <c r="C866" s="575"/>
      <c r="D866" s="129" t="s">
        <v>125</v>
      </c>
      <c r="E866" s="69">
        <v>7.3140999999999998</v>
      </c>
      <c r="F866" s="69">
        <v>0</v>
      </c>
      <c r="G866" s="114">
        <f t="shared" ref="G866:G882" si="265">E866-F866/2</f>
        <v>7.3140999999999998</v>
      </c>
      <c r="H866" s="69">
        <v>13.485799999999999</v>
      </c>
      <c r="I866" s="69">
        <v>0</v>
      </c>
      <c r="J866" s="114">
        <f t="shared" ref="J866:J882" si="266">H866-I866/2</f>
        <v>13.485799999999999</v>
      </c>
      <c r="K866" s="69">
        <v>14.322699999999999</v>
      </c>
      <c r="L866" s="69">
        <v>-1E-4</v>
      </c>
      <c r="M866" s="114">
        <f t="shared" ref="M866:M882" si="267">K866-L866/2</f>
        <v>14.322749999999999</v>
      </c>
      <c r="N866" s="556"/>
      <c r="O866" s="77">
        <f t="shared" ref="O866:O882" si="268">J866-G866</f>
        <v>6.1716999999999995</v>
      </c>
      <c r="P866" s="77">
        <f t="shared" ref="P866:P882" si="269">M866-G866</f>
        <v>7.0086499999999994</v>
      </c>
      <c r="R866" s="60"/>
    </row>
    <row r="867" spans="1:18" s="588" customFormat="1" ht="19.95" customHeight="1">
      <c r="A867" s="129" t="s">
        <v>186</v>
      </c>
      <c r="B867" s="575" t="str">
        <f t="shared" si="264"/>
        <v>CAL-2</v>
      </c>
      <c r="C867" s="575"/>
      <c r="D867" s="129" t="s">
        <v>126</v>
      </c>
      <c r="E867" s="69">
        <v>7.3133999999999997</v>
      </c>
      <c r="F867" s="69">
        <v>0</v>
      </c>
      <c r="G867" s="114">
        <f t="shared" si="265"/>
        <v>7.3133999999999997</v>
      </c>
      <c r="H867" s="69">
        <v>13.472899999999999</v>
      </c>
      <c r="I867" s="69">
        <v>0</v>
      </c>
      <c r="J867" s="114">
        <f t="shared" si="266"/>
        <v>13.472899999999999</v>
      </c>
      <c r="K867" s="69">
        <v>14.309100000000001</v>
      </c>
      <c r="L867" s="69">
        <v>0</v>
      </c>
      <c r="M867" s="114">
        <f t="shared" si="267"/>
        <v>14.309100000000001</v>
      </c>
      <c r="N867" s="556"/>
      <c r="O867" s="77">
        <f t="shared" si="268"/>
        <v>6.1594999999999995</v>
      </c>
      <c r="P867" s="77">
        <f t="shared" si="269"/>
        <v>6.9957000000000011</v>
      </c>
      <c r="R867" s="60"/>
    </row>
    <row r="868" spans="1:18" s="588" customFormat="1" ht="19.95" customHeight="1">
      <c r="A868" s="129" t="s">
        <v>186</v>
      </c>
      <c r="B868" s="575" t="str">
        <f t="shared" si="264"/>
        <v>CAL-3</v>
      </c>
      <c r="C868" s="575"/>
      <c r="D868" s="129" t="s">
        <v>127</v>
      </c>
      <c r="E868" s="69">
        <v>7.3144</v>
      </c>
      <c r="F868" s="69">
        <v>0</v>
      </c>
      <c r="G868" s="114">
        <f t="shared" si="265"/>
        <v>7.3144</v>
      </c>
      <c r="H868" s="69">
        <v>13.4452</v>
      </c>
      <c r="I868" s="69">
        <v>0</v>
      </c>
      <c r="J868" s="114">
        <f t="shared" si="266"/>
        <v>13.4452</v>
      </c>
      <c r="K868" s="69">
        <v>14.2821</v>
      </c>
      <c r="L868" s="69">
        <v>1E-4</v>
      </c>
      <c r="M868" s="114">
        <f t="shared" si="267"/>
        <v>14.28205</v>
      </c>
      <c r="N868" s="556"/>
      <c r="O868" s="77">
        <f t="shared" si="268"/>
        <v>6.1307999999999998</v>
      </c>
      <c r="P868" s="77">
        <f t="shared" si="269"/>
        <v>6.9676499999999999</v>
      </c>
      <c r="R868" s="60"/>
    </row>
    <row r="869" spans="1:18" s="588" customFormat="1" ht="19.95" customHeight="1">
      <c r="A869" s="129" t="s">
        <v>186</v>
      </c>
      <c r="B869" s="575" t="str">
        <f t="shared" si="264"/>
        <v>CAL-4</v>
      </c>
      <c r="C869" s="575"/>
      <c r="D869" s="129" t="s">
        <v>129</v>
      </c>
      <c r="E869" s="69">
        <v>7.3048000000000002</v>
      </c>
      <c r="F869" s="69">
        <v>0</v>
      </c>
      <c r="G869" s="114">
        <f t="shared" si="265"/>
        <v>7.3048000000000002</v>
      </c>
      <c r="H869" s="69">
        <v>13.4504</v>
      </c>
      <c r="I869" s="69">
        <v>-1E-4</v>
      </c>
      <c r="J869" s="114">
        <f t="shared" si="266"/>
        <v>13.45045</v>
      </c>
      <c r="K869" s="69">
        <v>14.288399999999999</v>
      </c>
      <c r="L869" s="69">
        <v>0</v>
      </c>
      <c r="M869" s="114">
        <f t="shared" si="267"/>
        <v>14.288399999999999</v>
      </c>
      <c r="N869" s="556"/>
      <c r="O869" s="77">
        <f t="shared" si="268"/>
        <v>6.1456499999999998</v>
      </c>
      <c r="P869" s="77">
        <f t="shared" si="269"/>
        <v>6.9835999999999991</v>
      </c>
      <c r="R869" s="60"/>
    </row>
    <row r="870" spans="1:18" s="588" customFormat="1" ht="19.95" customHeight="1">
      <c r="A870" s="576" t="s">
        <v>186</v>
      </c>
      <c r="B870" s="576" t="str">
        <f t="shared" si="264"/>
        <v>CAL-5</v>
      </c>
      <c r="C870" s="576"/>
      <c r="D870" s="576" t="s">
        <v>130</v>
      </c>
      <c r="E870" s="76">
        <v>7.2849000000000004</v>
      </c>
      <c r="F870" s="76">
        <v>0</v>
      </c>
      <c r="G870" s="122">
        <f t="shared" si="265"/>
        <v>7.2849000000000004</v>
      </c>
      <c r="H870" s="76">
        <v>13.437099999999999</v>
      </c>
      <c r="I870" s="76">
        <v>-2.0000000000000001E-4</v>
      </c>
      <c r="J870" s="122">
        <f t="shared" si="266"/>
        <v>13.437199999999999</v>
      </c>
      <c r="K870" s="76">
        <v>14.2742</v>
      </c>
      <c r="L870" s="76">
        <v>-1E-4</v>
      </c>
      <c r="M870" s="122">
        <f t="shared" si="267"/>
        <v>14.27425</v>
      </c>
      <c r="N870" s="557"/>
      <c r="O870" s="122">
        <f t="shared" si="268"/>
        <v>6.1522999999999985</v>
      </c>
      <c r="P870" s="122">
        <f t="shared" si="269"/>
        <v>6.98935</v>
      </c>
      <c r="R870" s="60"/>
    </row>
    <row r="871" spans="1:18" s="588" customFormat="1" ht="19.95" customHeight="1">
      <c r="A871" s="129" t="s">
        <v>187</v>
      </c>
      <c r="B871" s="575" t="str">
        <f t="shared" ref="B871:B880" si="270">D129</f>
        <v>MOOS052a_i</v>
      </c>
      <c r="C871" s="575"/>
      <c r="D871" s="575" t="s">
        <v>1838</v>
      </c>
      <c r="E871" s="69">
        <v>7.3135000000000003</v>
      </c>
      <c r="F871" s="69">
        <v>1E-4</v>
      </c>
      <c r="G871" s="114">
        <f t="shared" si="265"/>
        <v>7.3134500000000005</v>
      </c>
      <c r="H871" s="69">
        <v>13.4543</v>
      </c>
      <c r="I871" s="69">
        <v>0</v>
      </c>
      <c r="J871" s="114">
        <f t="shared" si="266"/>
        <v>13.4543</v>
      </c>
      <c r="K871" s="69">
        <v>14.292199999999999</v>
      </c>
      <c r="L871" s="69">
        <v>1E-4</v>
      </c>
      <c r="M871" s="114">
        <f t="shared" si="267"/>
        <v>14.292149999999999</v>
      </c>
      <c r="N871" s="556"/>
      <c r="O871" s="77">
        <f t="shared" si="268"/>
        <v>6.1408499999999995</v>
      </c>
      <c r="P871" s="77">
        <f t="shared" si="269"/>
        <v>6.978699999999999</v>
      </c>
      <c r="R871" s="60"/>
    </row>
    <row r="872" spans="1:18" s="588" customFormat="1" ht="19.95" customHeight="1">
      <c r="A872" s="129" t="s">
        <v>187</v>
      </c>
      <c r="B872" s="575" t="str">
        <f t="shared" si="270"/>
        <v>MOOS130a_i</v>
      </c>
      <c r="C872" s="575"/>
      <c r="D872" s="575" t="s">
        <v>1839</v>
      </c>
      <c r="E872" s="69">
        <v>7.2737999999999996</v>
      </c>
      <c r="F872" s="69">
        <v>0</v>
      </c>
      <c r="G872" s="114">
        <f t="shared" si="265"/>
        <v>7.2737999999999996</v>
      </c>
      <c r="H872" s="69">
        <v>13.4335</v>
      </c>
      <c r="I872" s="69">
        <v>0</v>
      </c>
      <c r="J872" s="114">
        <f t="shared" si="266"/>
        <v>13.4335</v>
      </c>
      <c r="K872" s="69">
        <v>14.271699999999999</v>
      </c>
      <c r="L872" s="69">
        <v>0</v>
      </c>
      <c r="M872" s="114">
        <f t="shared" si="267"/>
        <v>14.271699999999999</v>
      </c>
      <c r="N872" s="556"/>
      <c r="O872" s="77">
        <f t="shared" si="268"/>
        <v>6.1597000000000008</v>
      </c>
      <c r="P872" s="77">
        <f t="shared" si="269"/>
        <v>6.9978999999999996</v>
      </c>
      <c r="R872" s="60"/>
    </row>
    <row r="873" spans="1:18" s="588" customFormat="1" ht="19.95" customHeight="1">
      <c r="A873" s="129" t="s">
        <v>187</v>
      </c>
      <c r="B873" s="575" t="str">
        <f t="shared" si="270"/>
        <v>MOOS207a_i</v>
      </c>
      <c r="C873" s="575"/>
      <c r="D873" s="575" t="s">
        <v>1840</v>
      </c>
      <c r="E873" s="69">
        <v>7.3391999999999999</v>
      </c>
      <c r="F873" s="69">
        <v>1E-4</v>
      </c>
      <c r="G873" s="114">
        <f t="shared" si="265"/>
        <v>7.3391500000000001</v>
      </c>
      <c r="H873" s="69">
        <v>13.4878</v>
      </c>
      <c r="I873" s="69">
        <v>0</v>
      </c>
      <c r="J873" s="114">
        <f t="shared" si="266"/>
        <v>13.4878</v>
      </c>
      <c r="K873" s="69">
        <v>14.326000000000001</v>
      </c>
      <c r="L873" s="69">
        <v>-1E-4</v>
      </c>
      <c r="M873" s="114">
        <f t="shared" si="267"/>
        <v>14.32605</v>
      </c>
      <c r="N873" s="556"/>
      <c r="O873" s="114">
        <f t="shared" si="268"/>
        <v>6.1486499999999999</v>
      </c>
      <c r="P873" s="114">
        <f t="shared" si="269"/>
        <v>6.9869000000000003</v>
      </c>
      <c r="R873" s="60"/>
    </row>
    <row r="874" spans="1:18" s="588" customFormat="1" ht="19.95" customHeight="1">
      <c r="A874" s="129" t="s">
        <v>187</v>
      </c>
      <c r="B874" s="575" t="str">
        <f t="shared" si="270"/>
        <v>MOOS284a_i</v>
      </c>
      <c r="C874" s="575"/>
      <c r="D874" s="575" t="s">
        <v>1841</v>
      </c>
      <c r="E874" s="69">
        <v>7.3268000000000004</v>
      </c>
      <c r="F874" s="69">
        <v>0</v>
      </c>
      <c r="G874" s="114">
        <f t="shared" si="265"/>
        <v>7.3268000000000004</v>
      </c>
      <c r="H874" s="69">
        <v>13.467000000000001</v>
      </c>
      <c r="I874" s="69">
        <v>1E-4</v>
      </c>
      <c r="J874" s="114">
        <f t="shared" si="266"/>
        <v>13.466950000000001</v>
      </c>
      <c r="K874" s="69">
        <v>14.3028</v>
      </c>
      <c r="L874" s="69">
        <v>0</v>
      </c>
      <c r="M874" s="114">
        <f t="shared" si="267"/>
        <v>14.3028</v>
      </c>
      <c r="N874" s="556"/>
      <c r="O874" s="114">
        <f t="shared" si="268"/>
        <v>6.1401500000000002</v>
      </c>
      <c r="P874" s="114">
        <f t="shared" si="269"/>
        <v>6.9759999999999991</v>
      </c>
      <c r="R874" s="60"/>
    </row>
    <row r="875" spans="1:18" s="588" customFormat="1" ht="19.95" customHeight="1">
      <c r="A875" s="129" t="s">
        <v>187</v>
      </c>
      <c r="B875" s="575" t="str">
        <f t="shared" si="270"/>
        <v>MOOS360a_i</v>
      </c>
      <c r="C875" s="575"/>
      <c r="D875" s="575" t="s">
        <v>1842</v>
      </c>
      <c r="E875" s="69">
        <v>7.2904999999999998</v>
      </c>
      <c r="F875" s="69">
        <v>-1E-4</v>
      </c>
      <c r="G875" s="114">
        <f t="shared" si="265"/>
        <v>7.2905499999999996</v>
      </c>
      <c r="H875" s="69">
        <v>13.447100000000001</v>
      </c>
      <c r="I875" s="69">
        <v>-1E-4</v>
      </c>
      <c r="J875" s="114">
        <f t="shared" si="266"/>
        <v>13.447150000000001</v>
      </c>
      <c r="K875" s="69">
        <v>14.2835</v>
      </c>
      <c r="L875" s="69">
        <v>0</v>
      </c>
      <c r="M875" s="114">
        <f t="shared" si="267"/>
        <v>14.2835</v>
      </c>
      <c r="N875" s="556"/>
      <c r="O875" s="114">
        <f t="shared" si="268"/>
        <v>6.156600000000001</v>
      </c>
      <c r="P875" s="114">
        <f t="shared" si="269"/>
        <v>6.9929500000000004</v>
      </c>
      <c r="R875" s="60"/>
    </row>
    <row r="876" spans="1:18" s="588" customFormat="1" ht="19.95" customHeight="1">
      <c r="A876" s="575" t="s">
        <v>187</v>
      </c>
      <c r="B876" s="575" t="str">
        <f t="shared" si="270"/>
        <v>MOOS052a_ii</v>
      </c>
      <c r="C876" s="575"/>
      <c r="D876" s="575" t="s">
        <v>1843</v>
      </c>
      <c r="E876" s="69">
        <v>7.3269000000000002</v>
      </c>
      <c r="F876" s="69">
        <v>0</v>
      </c>
      <c r="G876" s="114">
        <f t="shared" si="265"/>
        <v>7.3269000000000002</v>
      </c>
      <c r="H876" s="69">
        <v>13.4527</v>
      </c>
      <c r="I876" s="69">
        <v>0</v>
      </c>
      <c r="J876" s="114">
        <f t="shared" si="266"/>
        <v>13.4527</v>
      </c>
      <c r="K876" s="69">
        <v>14.2879</v>
      </c>
      <c r="L876" s="69">
        <v>0</v>
      </c>
      <c r="M876" s="114">
        <f t="shared" si="267"/>
        <v>14.2879</v>
      </c>
      <c r="N876" s="556"/>
      <c r="O876" s="114">
        <f t="shared" si="268"/>
        <v>6.1257999999999999</v>
      </c>
      <c r="P876" s="114">
        <f t="shared" si="269"/>
        <v>6.9610000000000003</v>
      </c>
      <c r="R876" s="60"/>
    </row>
    <row r="877" spans="1:18" s="588" customFormat="1" ht="19.95" customHeight="1">
      <c r="A877" s="575" t="s">
        <v>187</v>
      </c>
      <c r="B877" s="575" t="str">
        <f t="shared" si="270"/>
        <v>MOOS130a_ii</v>
      </c>
      <c r="C877" s="575"/>
      <c r="D877" s="575" t="s">
        <v>1844</v>
      </c>
      <c r="E877" s="69">
        <v>7.3459000000000003</v>
      </c>
      <c r="F877" s="69">
        <v>0</v>
      </c>
      <c r="G877" s="114">
        <f t="shared" si="265"/>
        <v>7.3459000000000003</v>
      </c>
      <c r="H877" s="69">
        <v>13.49</v>
      </c>
      <c r="I877" s="69">
        <v>0</v>
      </c>
      <c r="J877" s="114">
        <f t="shared" si="266"/>
        <v>13.49</v>
      </c>
      <c r="K877" s="69">
        <v>14.3073</v>
      </c>
      <c r="L877" s="69">
        <v>0</v>
      </c>
      <c r="M877" s="114">
        <f t="shared" si="267"/>
        <v>14.3073</v>
      </c>
      <c r="N877" s="556"/>
      <c r="O877" s="114">
        <f t="shared" si="268"/>
        <v>6.1440999999999999</v>
      </c>
      <c r="P877" s="114">
        <f t="shared" si="269"/>
        <v>6.9613999999999994</v>
      </c>
      <c r="R877" s="60"/>
    </row>
    <row r="878" spans="1:18" s="588" customFormat="1" ht="19.95" customHeight="1">
      <c r="A878" s="575" t="s">
        <v>187</v>
      </c>
      <c r="B878" s="575" t="str">
        <f t="shared" si="270"/>
        <v>MOOS207a_ii</v>
      </c>
      <c r="C878" s="575"/>
      <c r="D878" s="575" t="s">
        <v>1845</v>
      </c>
      <c r="E878" s="69">
        <v>7.3023999999999996</v>
      </c>
      <c r="F878" s="69">
        <v>1E-4</v>
      </c>
      <c r="G878" s="114">
        <f t="shared" si="265"/>
        <v>7.3023499999999997</v>
      </c>
      <c r="H878" s="69">
        <v>13.434900000000001</v>
      </c>
      <c r="I878" s="69">
        <v>1E-4</v>
      </c>
      <c r="J878" s="114">
        <f t="shared" si="266"/>
        <v>13.434850000000001</v>
      </c>
      <c r="K878" s="69">
        <v>14.270899999999999</v>
      </c>
      <c r="L878" s="69">
        <v>1E-4</v>
      </c>
      <c r="M878" s="114">
        <f t="shared" si="267"/>
        <v>14.270849999999999</v>
      </c>
      <c r="N878" s="556"/>
      <c r="O878" s="114">
        <f t="shared" si="268"/>
        <v>6.1325000000000012</v>
      </c>
      <c r="P878" s="114">
        <f t="shared" si="269"/>
        <v>6.9684999999999997</v>
      </c>
      <c r="R878" s="60"/>
    </row>
    <row r="879" spans="1:18" s="588" customFormat="1" ht="19.95" customHeight="1">
      <c r="A879" s="80" t="s">
        <v>187</v>
      </c>
      <c r="B879" s="80" t="str">
        <f t="shared" si="270"/>
        <v>MOOS284a_ii</v>
      </c>
      <c r="C879" s="80"/>
      <c r="D879" s="575" t="s">
        <v>1857</v>
      </c>
      <c r="E879" s="69">
        <v>7.3346999999999998</v>
      </c>
      <c r="F879" s="69">
        <v>-1E-4</v>
      </c>
      <c r="G879" s="114">
        <f t="shared" si="265"/>
        <v>7.3347499999999997</v>
      </c>
      <c r="H879" s="69">
        <v>13.481</v>
      </c>
      <c r="I879" s="69">
        <v>0</v>
      </c>
      <c r="J879" s="114">
        <f t="shared" si="266"/>
        <v>13.481</v>
      </c>
      <c r="K879" s="69">
        <v>14.317500000000001</v>
      </c>
      <c r="L879" s="69">
        <v>0</v>
      </c>
      <c r="M879" s="114">
        <f t="shared" si="267"/>
        <v>14.317500000000001</v>
      </c>
      <c r="N879" s="556"/>
      <c r="O879" s="114">
        <f t="shared" si="268"/>
        <v>6.1462500000000002</v>
      </c>
      <c r="P879" s="114">
        <f t="shared" si="269"/>
        <v>6.9827500000000011</v>
      </c>
      <c r="R879" s="60"/>
    </row>
    <row r="880" spans="1:18" s="588" customFormat="1" ht="19.95" customHeight="1">
      <c r="A880" s="81" t="s">
        <v>187</v>
      </c>
      <c r="B880" s="81" t="str">
        <f t="shared" si="270"/>
        <v>MOOS360a_ii</v>
      </c>
      <c r="C880" s="81"/>
      <c r="D880" s="576" t="s">
        <v>1846</v>
      </c>
      <c r="E880" s="76">
        <v>7.3125999999999998</v>
      </c>
      <c r="F880" s="76">
        <v>-1E-4</v>
      </c>
      <c r="G880" s="122">
        <f t="shared" si="265"/>
        <v>7.3126499999999997</v>
      </c>
      <c r="H880" s="76">
        <v>13.4603</v>
      </c>
      <c r="I880" s="76">
        <v>-1E-4</v>
      </c>
      <c r="J880" s="122">
        <f t="shared" si="266"/>
        <v>13.46035</v>
      </c>
      <c r="K880" s="76">
        <v>14.2987</v>
      </c>
      <c r="L880" s="76">
        <v>-1E-4</v>
      </c>
      <c r="M880" s="122">
        <f t="shared" si="267"/>
        <v>14.29875</v>
      </c>
      <c r="N880" s="557"/>
      <c r="O880" s="122">
        <f t="shared" si="268"/>
        <v>6.1477000000000004</v>
      </c>
      <c r="P880" s="122">
        <f t="shared" si="269"/>
        <v>6.9861000000000004</v>
      </c>
      <c r="R880" s="60"/>
    </row>
    <row r="881" spans="1:18" s="588" customFormat="1" ht="19.95" customHeight="1">
      <c r="A881" s="80" t="s">
        <v>188</v>
      </c>
      <c r="B881" s="80" t="str">
        <f>D140</f>
        <v>SALT-1</v>
      </c>
      <c r="C881" s="80"/>
      <c r="D881" s="575" t="s">
        <v>1854</v>
      </c>
      <c r="E881" s="69">
        <v>7.3460000000000001</v>
      </c>
      <c r="F881" s="69">
        <v>1E-4</v>
      </c>
      <c r="G881" s="114">
        <f t="shared" si="265"/>
        <v>7.3459500000000002</v>
      </c>
      <c r="H881" s="69">
        <v>13.4907</v>
      </c>
      <c r="I881" s="69">
        <v>0</v>
      </c>
      <c r="J881" s="114">
        <f t="shared" si="266"/>
        <v>13.4907</v>
      </c>
      <c r="K881" s="69">
        <v>14.327999999999999</v>
      </c>
      <c r="L881" s="69">
        <v>1E-4</v>
      </c>
      <c r="M881" s="114">
        <f t="shared" si="267"/>
        <v>14.32795</v>
      </c>
      <c r="N881" s="556"/>
      <c r="O881" s="114">
        <f t="shared" si="268"/>
        <v>6.1447500000000002</v>
      </c>
      <c r="P881" s="114">
        <f t="shared" si="269"/>
        <v>6.9819999999999993</v>
      </c>
      <c r="R881" s="60"/>
    </row>
    <row r="882" spans="1:18" s="588" customFormat="1" ht="19.95" customHeight="1">
      <c r="A882" s="81" t="s">
        <v>188</v>
      </c>
      <c r="B882" s="81" t="str">
        <f>D141</f>
        <v>MOOS-3</v>
      </c>
      <c r="C882" s="81"/>
      <c r="D882" s="576" t="s">
        <v>193</v>
      </c>
      <c r="E882" s="76">
        <v>7.3318000000000003</v>
      </c>
      <c r="F882" s="76">
        <v>-1E-4</v>
      </c>
      <c r="G882" s="122">
        <f t="shared" si="265"/>
        <v>7.3318500000000002</v>
      </c>
      <c r="H882" s="76">
        <v>13.495100000000001</v>
      </c>
      <c r="I882" s="76">
        <v>-1E-4</v>
      </c>
      <c r="J882" s="122">
        <f t="shared" si="266"/>
        <v>13.495150000000001</v>
      </c>
      <c r="K882" s="76">
        <v>14.324</v>
      </c>
      <c r="L882" s="76">
        <v>-1E-4</v>
      </c>
      <c r="M882" s="122">
        <f t="shared" si="267"/>
        <v>14.32405</v>
      </c>
      <c r="N882" s="548">
        <v>45356</v>
      </c>
      <c r="O882" s="122">
        <f t="shared" si="268"/>
        <v>6.1633000000000004</v>
      </c>
      <c r="P882" s="122">
        <f t="shared" si="269"/>
        <v>6.9921999999999995</v>
      </c>
      <c r="R882" s="60"/>
    </row>
    <row r="883" spans="1:18" s="588" customFormat="1" ht="19.95" customHeight="1">
      <c r="A883" s="80"/>
      <c r="B883" s="80"/>
      <c r="C883" s="80"/>
      <c r="D883" s="80"/>
    </row>
    <row r="884" spans="1:18" s="588" customFormat="1" ht="19.95" customHeight="1">
      <c r="A884" s="199" t="s">
        <v>1600</v>
      </c>
      <c r="B884" s="80"/>
      <c r="C884" s="80"/>
      <c r="D884" s="80"/>
    </row>
    <row r="885" spans="1:18" s="588" customFormat="1" ht="19.95" customHeight="1">
      <c r="A885" s="199" t="s">
        <v>1601</v>
      </c>
      <c r="B885" s="80"/>
      <c r="C885" s="80"/>
      <c r="D885" s="80"/>
    </row>
    <row r="887" spans="1:18" s="588" customFormat="1" ht="19.95" customHeight="1">
      <c r="D887" s="479"/>
    </row>
    <row r="888" spans="1:18" s="588" customFormat="1" ht="19.95" customHeight="1">
      <c r="A888" s="560" t="s">
        <v>1614</v>
      </c>
      <c r="B888" s="80"/>
      <c r="C888" s="80"/>
      <c r="D888" s="80"/>
    </row>
    <row r="889" spans="1:18" s="588" customFormat="1" ht="19.95" customHeight="1">
      <c r="A889" s="80"/>
      <c r="B889" s="80"/>
      <c r="C889" s="80"/>
      <c r="D889" s="80"/>
    </row>
    <row r="890" spans="1:18" s="588" customFormat="1" ht="19.95" customHeight="1">
      <c r="A890" s="80"/>
      <c r="B890" s="80"/>
      <c r="C890" s="80"/>
      <c r="D890" s="80"/>
    </row>
    <row r="891" spans="1:18" s="588" customFormat="1" ht="19.95" customHeight="1">
      <c r="A891" s="199" t="s">
        <v>1615</v>
      </c>
      <c r="B891" s="80"/>
      <c r="C891" s="80"/>
      <c r="D891" s="80"/>
    </row>
    <row r="892" spans="1:18" s="588" customFormat="1" ht="19.95" customHeight="1">
      <c r="A892" s="199" t="s">
        <v>1616</v>
      </c>
      <c r="B892" s="80"/>
      <c r="C892" s="80"/>
      <c r="D892" s="80"/>
    </row>
    <row r="893" spans="1:18" s="588" customFormat="1" ht="19.95" customHeight="1">
      <c r="A893" s="199" t="s">
        <v>1585</v>
      </c>
      <c r="B893" s="80"/>
      <c r="C893" s="80"/>
      <c r="D893" s="80"/>
    </row>
    <row r="894" spans="1:18" s="588" customFormat="1" ht="19.95" customHeight="1">
      <c r="A894" s="199" t="s">
        <v>1617</v>
      </c>
      <c r="B894" s="80"/>
      <c r="C894" s="80"/>
      <c r="D894" s="80"/>
    </row>
    <row r="896" spans="1:18" s="588" customFormat="1" ht="19.95" customHeight="1">
      <c r="A896" s="128" t="s">
        <v>1619</v>
      </c>
      <c r="B896" s="129"/>
      <c r="C896" s="129"/>
      <c r="D896" s="129"/>
      <c r="E896" s="129"/>
      <c r="F896" s="129"/>
      <c r="G896" s="77"/>
      <c r="H896" s="129"/>
      <c r="I896" s="129"/>
      <c r="J896" s="129"/>
      <c r="K896" s="129"/>
      <c r="L896" s="129"/>
      <c r="M896" s="129"/>
      <c r="N896" s="129"/>
      <c r="O896" s="129"/>
      <c r="P896" s="129"/>
    </row>
    <row r="897" spans="1:18" s="588" customFormat="1" ht="19.95" customHeight="1">
      <c r="A897" s="129"/>
      <c r="B897" s="129"/>
      <c r="C897" s="129"/>
      <c r="D897" s="129"/>
      <c r="E897" s="129"/>
      <c r="F897" s="129"/>
      <c r="G897" s="129"/>
      <c r="H897" s="129"/>
      <c r="I897" s="129"/>
      <c r="J897" s="129"/>
      <c r="K897" s="129"/>
      <c r="L897" s="129"/>
      <c r="M897" s="129"/>
      <c r="N897" s="129"/>
      <c r="O897" s="129"/>
      <c r="P897" s="129"/>
    </row>
    <row r="898" spans="1:18" s="588" customFormat="1" ht="19.95" customHeight="1">
      <c r="A898" s="128"/>
      <c r="B898" s="129"/>
      <c r="C898" s="129"/>
      <c r="D898" s="129"/>
      <c r="E898" s="105" t="s">
        <v>172</v>
      </c>
      <c r="F898" s="129"/>
      <c r="G898" s="129"/>
      <c r="H898" s="105" t="s">
        <v>189</v>
      </c>
      <c r="I898" s="129"/>
      <c r="J898" s="129"/>
      <c r="K898" s="105" t="s">
        <v>195</v>
      </c>
      <c r="L898" s="129"/>
      <c r="M898" s="129"/>
      <c r="N898" s="129"/>
      <c r="O898" s="129"/>
      <c r="P898" s="129"/>
    </row>
    <row r="899" spans="1:18" s="588" customFormat="1" ht="19.95" customHeight="1">
      <c r="A899" s="129"/>
      <c r="B899" s="129"/>
      <c r="C899" s="129"/>
      <c r="D899" s="129"/>
      <c r="E899" s="575" t="s">
        <v>169</v>
      </c>
      <c r="F899" s="575" t="s">
        <v>170</v>
      </c>
      <c r="G899" s="575" t="s">
        <v>171</v>
      </c>
      <c r="H899" s="575" t="s">
        <v>169</v>
      </c>
      <c r="I899" s="575" t="s">
        <v>170</v>
      </c>
      <c r="J899" s="575" t="s">
        <v>171</v>
      </c>
      <c r="K899" s="575" t="s">
        <v>169</v>
      </c>
      <c r="L899" s="575" t="s">
        <v>170</v>
      </c>
      <c r="M899" s="575" t="s">
        <v>171</v>
      </c>
      <c r="N899" s="129"/>
      <c r="O899" s="593" t="s">
        <v>218</v>
      </c>
      <c r="P899" s="593" t="s">
        <v>219</v>
      </c>
    </row>
    <row r="900" spans="1:18" s="588" customFormat="1" ht="19.95" customHeight="1">
      <c r="A900" s="577" t="s">
        <v>184</v>
      </c>
      <c r="B900" s="577" t="s">
        <v>185</v>
      </c>
      <c r="C900" s="577"/>
      <c r="D900" s="577" t="s">
        <v>96</v>
      </c>
      <c r="E900" s="576" t="s">
        <v>64</v>
      </c>
      <c r="F900" s="576" t="s">
        <v>64</v>
      </c>
      <c r="G900" s="576" t="s">
        <v>64</v>
      </c>
      <c r="H900" s="576" t="s">
        <v>64</v>
      </c>
      <c r="I900" s="576" t="s">
        <v>64</v>
      </c>
      <c r="J900" s="576" t="s">
        <v>64</v>
      </c>
      <c r="K900" s="576" t="s">
        <v>64</v>
      </c>
      <c r="L900" s="576" t="s">
        <v>64</v>
      </c>
      <c r="M900" s="576" t="s">
        <v>64</v>
      </c>
      <c r="N900" s="576" t="s">
        <v>2</v>
      </c>
      <c r="O900" s="576" t="s">
        <v>64</v>
      </c>
      <c r="P900" s="576" t="s">
        <v>64</v>
      </c>
    </row>
    <row r="901" spans="1:18" s="588" customFormat="1" ht="19.95" customHeight="1">
      <c r="A901" s="575" t="s">
        <v>110</v>
      </c>
      <c r="B901" s="575" t="str">
        <f t="shared" ref="B901:B912" si="271">J116</f>
        <v>Baseline DIW</v>
      </c>
      <c r="C901" s="575"/>
      <c r="D901" s="575" t="s">
        <v>1591</v>
      </c>
      <c r="E901" s="132"/>
      <c r="F901" s="132"/>
      <c r="G901" s="87"/>
      <c r="H901" s="132"/>
      <c r="I901" s="132"/>
      <c r="J901" s="87"/>
      <c r="K901" s="132"/>
      <c r="L901" s="132"/>
      <c r="M901" s="87"/>
      <c r="N901" s="546">
        <v>45357</v>
      </c>
      <c r="O901" s="129"/>
      <c r="P901" s="129"/>
    </row>
    <row r="902" spans="1:18" s="588" customFormat="1" ht="19.95" customHeight="1">
      <c r="A902" s="129" t="s">
        <v>110</v>
      </c>
      <c r="B902" s="575" t="str">
        <f t="shared" si="271"/>
        <v>Baseline LNSW</v>
      </c>
      <c r="C902" s="575"/>
      <c r="D902" s="575" t="s">
        <v>1592</v>
      </c>
      <c r="E902" s="132"/>
      <c r="F902" s="132"/>
      <c r="G902" s="87"/>
      <c r="H902" s="132"/>
      <c r="I902" s="132"/>
      <c r="J902" s="87"/>
      <c r="K902" s="132"/>
      <c r="L902" s="132"/>
      <c r="M902" s="87"/>
      <c r="N902" s="556"/>
      <c r="O902" s="129"/>
      <c r="P902" s="129"/>
    </row>
    <row r="903" spans="1:18" s="588" customFormat="1" ht="19.95" customHeight="1">
      <c r="A903" s="129" t="s">
        <v>110</v>
      </c>
      <c r="B903" s="575" t="str">
        <f t="shared" si="271"/>
        <v>Baseline MOOS-4</v>
      </c>
      <c r="C903" s="575"/>
      <c r="D903" s="575" t="s">
        <v>1593</v>
      </c>
      <c r="E903" s="132"/>
      <c r="F903" s="132"/>
      <c r="G903" s="87"/>
      <c r="H903" s="132"/>
      <c r="I903" s="132"/>
      <c r="J903" s="87"/>
      <c r="K903" s="132"/>
      <c r="L903" s="132"/>
      <c r="M903" s="87"/>
      <c r="N903" s="556"/>
      <c r="O903" s="129"/>
      <c r="P903" s="129"/>
    </row>
    <row r="904" spans="1:18" s="588" customFormat="1" ht="19.95" customHeight="1">
      <c r="A904" s="129" t="s">
        <v>110</v>
      </c>
      <c r="B904" s="575" t="str">
        <f t="shared" si="271"/>
        <v>Baseline SALT-1</v>
      </c>
      <c r="C904" s="575"/>
      <c r="D904" s="575" t="s">
        <v>1594</v>
      </c>
      <c r="E904" s="132"/>
      <c r="F904" s="132"/>
      <c r="G904" s="87"/>
      <c r="H904" s="132"/>
      <c r="I904" s="132"/>
      <c r="J904" s="87"/>
      <c r="K904" s="132"/>
      <c r="L904" s="132"/>
      <c r="M904" s="87"/>
      <c r="N904" s="556"/>
      <c r="O904" s="129"/>
      <c r="P904" s="129"/>
    </row>
    <row r="905" spans="1:18" s="588" customFormat="1" ht="19.95" customHeight="1">
      <c r="A905" s="129" t="s">
        <v>110</v>
      </c>
      <c r="B905" s="575" t="str">
        <f t="shared" si="271"/>
        <v>Baseline MOOS-3</v>
      </c>
      <c r="C905" s="575"/>
      <c r="D905" s="129" t="s">
        <v>1595</v>
      </c>
      <c r="E905" s="129"/>
      <c r="F905" s="129"/>
      <c r="G905" s="129"/>
      <c r="H905" s="129"/>
      <c r="I905" s="129"/>
      <c r="J905" s="129"/>
      <c r="K905" s="129"/>
      <c r="L905" s="129"/>
      <c r="M905" s="129"/>
      <c r="N905" s="556"/>
      <c r="O905" s="129"/>
      <c r="P905" s="129"/>
    </row>
    <row r="906" spans="1:18" s="588" customFormat="1" ht="19.95" customHeight="1">
      <c r="A906" s="129" t="s">
        <v>110</v>
      </c>
      <c r="B906" s="575" t="str">
        <f t="shared" si="271"/>
        <v>Reag BLK DIW</v>
      </c>
      <c r="C906" s="575"/>
      <c r="D906" s="575" t="s">
        <v>1596</v>
      </c>
      <c r="E906" s="132"/>
      <c r="F906" s="132"/>
      <c r="G906" s="87"/>
      <c r="H906" s="132"/>
      <c r="I906" s="132"/>
      <c r="J906" s="87"/>
      <c r="K906" s="132"/>
      <c r="L906" s="132"/>
      <c r="M906" s="87"/>
      <c r="N906" s="556"/>
      <c r="O906" s="129"/>
      <c r="P906" s="129"/>
    </row>
    <row r="907" spans="1:18" s="588" customFormat="1" ht="19.95" customHeight="1">
      <c r="A907" s="576" t="s">
        <v>110</v>
      </c>
      <c r="B907" s="576" t="str">
        <f t="shared" si="271"/>
        <v>Reag BLK LNSW</v>
      </c>
      <c r="C907" s="576"/>
      <c r="D907" s="576" t="s">
        <v>1597</v>
      </c>
      <c r="E907" s="187"/>
      <c r="F907" s="187"/>
      <c r="G907" s="188"/>
      <c r="H907" s="187"/>
      <c r="I907" s="187"/>
      <c r="J907" s="188"/>
      <c r="K907" s="187"/>
      <c r="L907" s="187"/>
      <c r="M907" s="188"/>
      <c r="N907" s="557"/>
      <c r="O907" s="576"/>
      <c r="P907" s="576"/>
    </row>
    <row r="908" spans="1:18" s="588" customFormat="1" ht="19.95" customHeight="1">
      <c r="A908" s="129" t="s">
        <v>186</v>
      </c>
      <c r="B908" s="575" t="str">
        <f t="shared" si="271"/>
        <v>CAL-1</v>
      </c>
      <c r="C908" s="575"/>
      <c r="D908" s="129" t="s">
        <v>125</v>
      </c>
      <c r="E908" s="69">
        <v>6.1097000000000001</v>
      </c>
      <c r="F908" s="69">
        <v>-2.0000000000000001E-4</v>
      </c>
      <c r="G908" s="114">
        <f t="shared" ref="G908:G925" si="272">E908-F908/2</f>
        <v>6.1097999999999999</v>
      </c>
      <c r="H908" s="69">
        <v>9.1814</v>
      </c>
      <c r="I908" s="69">
        <v>-2.0000000000000001E-4</v>
      </c>
      <c r="J908" s="114">
        <f t="shared" ref="J908:J925" si="273">H908-I908/2</f>
        <v>9.1814999999999998</v>
      </c>
      <c r="K908" s="69">
        <v>9.5035000000000007</v>
      </c>
      <c r="L908" s="69">
        <v>1E-4</v>
      </c>
      <c r="M908" s="114">
        <f t="shared" ref="M908:M925" si="274">K908-L908/2</f>
        <v>9.5034500000000008</v>
      </c>
      <c r="N908" s="556"/>
      <c r="O908" s="77">
        <f t="shared" ref="O908:O925" si="275">J908-G908</f>
        <v>3.0716999999999999</v>
      </c>
      <c r="P908" s="77">
        <f t="shared" ref="P908:P925" si="276">M908-G908</f>
        <v>3.3936500000000009</v>
      </c>
      <c r="R908" s="60"/>
    </row>
    <row r="909" spans="1:18" s="588" customFormat="1" ht="19.95" customHeight="1">
      <c r="A909" s="129" t="s">
        <v>186</v>
      </c>
      <c r="B909" s="575" t="str">
        <f t="shared" si="271"/>
        <v>CAL-2</v>
      </c>
      <c r="C909" s="575"/>
      <c r="D909" s="129" t="s">
        <v>126</v>
      </c>
      <c r="E909" s="69">
        <v>6.1177999999999999</v>
      </c>
      <c r="F909" s="69">
        <v>2.0000000000000001E-4</v>
      </c>
      <c r="G909" s="114">
        <f t="shared" si="272"/>
        <v>6.1177000000000001</v>
      </c>
      <c r="H909" s="69">
        <v>9.1826000000000008</v>
      </c>
      <c r="I909" s="69">
        <v>-1E-4</v>
      </c>
      <c r="J909" s="114">
        <f t="shared" si="273"/>
        <v>9.1826500000000006</v>
      </c>
      <c r="K909" s="69">
        <v>9.5055999999999994</v>
      </c>
      <c r="L909" s="69">
        <v>-1E-4</v>
      </c>
      <c r="M909" s="114">
        <f t="shared" si="274"/>
        <v>9.5056499999999993</v>
      </c>
      <c r="N909" s="556"/>
      <c r="O909" s="77">
        <f t="shared" si="275"/>
        <v>3.0649500000000005</v>
      </c>
      <c r="P909" s="77">
        <f t="shared" si="276"/>
        <v>3.3879499999999991</v>
      </c>
      <c r="R909" s="60"/>
    </row>
    <row r="910" spans="1:18" s="588" customFormat="1" ht="19.95" customHeight="1">
      <c r="A910" s="129" t="s">
        <v>186</v>
      </c>
      <c r="B910" s="575" t="str">
        <f t="shared" si="271"/>
        <v>CAL-3</v>
      </c>
      <c r="C910" s="575"/>
      <c r="D910" s="129" t="s">
        <v>127</v>
      </c>
      <c r="E910" s="69">
        <v>6.1162999999999998</v>
      </c>
      <c r="F910" s="69">
        <v>0</v>
      </c>
      <c r="G910" s="114">
        <f t="shared" si="272"/>
        <v>6.1162999999999998</v>
      </c>
      <c r="H910" s="69">
        <v>9.1883999999999997</v>
      </c>
      <c r="I910" s="69">
        <v>-1E-4</v>
      </c>
      <c r="J910" s="114">
        <f t="shared" si="273"/>
        <v>9.1884499999999996</v>
      </c>
      <c r="K910" s="69">
        <v>9.5114999999999998</v>
      </c>
      <c r="L910" s="69">
        <v>0</v>
      </c>
      <c r="M910" s="114">
        <f t="shared" si="274"/>
        <v>9.5114999999999998</v>
      </c>
      <c r="N910" s="556"/>
      <c r="O910" s="77">
        <f t="shared" si="275"/>
        <v>3.0721499999999997</v>
      </c>
      <c r="P910" s="77">
        <f t="shared" si="276"/>
        <v>3.3952</v>
      </c>
      <c r="R910" s="60"/>
    </row>
    <row r="911" spans="1:18" s="588" customFormat="1" ht="19.95" customHeight="1">
      <c r="A911" s="129" t="s">
        <v>186</v>
      </c>
      <c r="B911" s="575" t="str">
        <f t="shared" si="271"/>
        <v>CAL-4</v>
      </c>
      <c r="C911" s="575"/>
      <c r="D911" s="129" t="s">
        <v>129</v>
      </c>
      <c r="E911" s="69">
        <v>6.1222000000000003</v>
      </c>
      <c r="F911" s="69">
        <v>-1E-4</v>
      </c>
      <c r="G911" s="114">
        <f t="shared" si="272"/>
        <v>6.1222500000000002</v>
      </c>
      <c r="H911" s="69">
        <v>9.1918000000000006</v>
      </c>
      <c r="I911" s="69">
        <v>1E-4</v>
      </c>
      <c r="J911" s="114">
        <f t="shared" si="273"/>
        <v>9.1917500000000008</v>
      </c>
      <c r="K911" s="69">
        <v>9.5143000000000004</v>
      </c>
      <c r="L911" s="69">
        <v>1E-4</v>
      </c>
      <c r="M911" s="114">
        <f t="shared" si="274"/>
        <v>9.5142500000000005</v>
      </c>
      <c r="N911" s="556"/>
      <c r="O911" s="77">
        <f t="shared" si="275"/>
        <v>3.0695000000000006</v>
      </c>
      <c r="P911" s="77">
        <f t="shared" si="276"/>
        <v>3.3920000000000003</v>
      </c>
      <c r="R911" s="60"/>
    </row>
    <row r="912" spans="1:18" s="588" customFormat="1" ht="19.95" customHeight="1">
      <c r="A912" s="576" t="s">
        <v>186</v>
      </c>
      <c r="B912" s="576" t="str">
        <f t="shared" si="271"/>
        <v>CAL-5</v>
      </c>
      <c r="C912" s="576"/>
      <c r="D912" s="576" t="s">
        <v>130</v>
      </c>
      <c r="E912" s="76">
        <v>6.1077000000000004</v>
      </c>
      <c r="F912" s="76">
        <v>0</v>
      </c>
      <c r="G912" s="122">
        <f t="shared" si="272"/>
        <v>6.1077000000000004</v>
      </c>
      <c r="H912" s="76">
        <v>9.1814</v>
      </c>
      <c r="I912" s="76">
        <v>1E-4</v>
      </c>
      <c r="J912" s="122">
        <f t="shared" si="273"/>
        <v>9.1813500000000001</v>
      </c>
      <c r="K912" s="76">
        <v>9.5038</v>
      </c>
      <c r="L912" s="76">
        <v>-1E-4</v>
      </c>
      <c r="M912" s="122">
        <f t="shared" si="274"/>
        <v>9.5038499999999999</v>
      </c>
      <c r="N912" s="557"/>
      <c r="O912" s="122">
        <f t="shared" si="275"/>
        <v>3.0736499999999998</v>
      </c>
      <c r="P912" s="122">
        <f t="shared" si="276"/>
        <v>3.3961499999999996</v>
      </c>
      <c r="R912" s="60"/>
    </row>
    <row r="913" spans="1:19" s="588" customFormat="1" ht="19.95" customHeight="1">
      <c r="A913" s="129" t="s">
        <v>187</v>
      </c>
      <c r="B913" s="575" t="str">
        <f t="shared" ref="B913:B922" si="277">J129</f>
        <v>MOOS052a_i</v>
      </c>
      <c r="C913" s="575"/>
      <c r="D913" s="575" t="s">
        <v>1838</v>
      </c>
      <c r="E913" s="69">
        <v>6.1329000000000002</v>
      </c>
      <c r="F913" s="69">
        <v>1E-4</v>
      </c>
      <c r="G913" s="114">
        <f t="shared" si="272"/>
        <v>6.1328500000000004</v>
      </c>
      <c r="H913" s="69">
        <v>9.1905000000000001</v>
      </c>
      <c r="I913" s="69">
        <v>-1E-4</v>
      </c>
      <c r="J913" s="114">
        <f t="shared" si="273"/>
        <v>9.19055</v>
      </c>
      <c r="K913" s="69">
        <v>9.5135000000000005</v>
      </c>
      <c r="L913" s="69">
        <v>1E-4</v>
      </c>
      <c r="M913" s="114">
        <f t="shared" si="274"/>
        <v>9.5134500000000006</v>
      </c>
      <c r="N913" s="556"/>
      <c r="O913" s="77">
        <f t="shared" si="275"/>
        <v>3.0576999999999996</v>
      </c>
      <c r="P913" s="77">
        <f t="shared" si="276"/>
        <v>3.3806000000000003</v>
      </c>
      <c r="R913" s="60"/>
    </row>
    <row r="914" spans="1:19" s="588" customFormat="1" ht="19.95" customHeight="1">
      <c r="A914" s="129" t="s">
        <v>187</v>
      </c>
      <c r="B914" s="575" t="str">
        <f t="shared" si="277"/>
        <v>MOOS130a_i</v>
      </c>
      <c r="C914" s="575"/>
      <c r="D914" s="575" t="s">
        <v>1839</v>
      </c>
      <c r="E914" s="69">
        <v>6.1406999999999998</v>
      </c>
      <c r="F914" s="69">
        <v>1E-4</v>
      </c>
      <c r="G914" s="114">
        <f t="shared" si="272"/>
        <v>6.1406499999999999</v>
      </c>
      <c r="H914" s="69">
        <v>9.2042999999999999</v>
      </c>
      <c r="I914" s="69">
        <v>0</v>
      </c>
      <c r="J914" s="114">
        <f t="shared" si="273"/>
        <v>9.2042999999999999</v>
      </c>
      <c r="K914" s="69">
        <v>9.5257000000000005</v>
      </c>
      <c r="L914" s="69">
        <v>-2.0000000000000001E-4</v>
      </c>
      <c r="M914" s="114">
        <f t="shared" si="274"/>
        <v>9.5258000000000003</v>
      </c>
      <c r="N914" s="556"/>
      <c r="O914" s="77">
        <f t="shared" si="275"/>
        <v>3.06365</v>
      </c>
      <c r="P914" s="77">
        <f t="shared" si="276"/>
        <v>3.3851500000000003</v>
      </c>
      <c r="R914" s="60"/>
    </row>
    <row r="915" spans="1:19" s="588" customFormat="1" ht="19.95" customHeight="1">
      <c r="A915" s="129" t="s">
        <v>187</v>
      </c>
      <c r="B915" s="575" t="str">
        <f t="shared" si="277"/>
        <v>MOOS207a_i</v>
      </c>
      <c r="C915" s="575"/>
      <c r="D915" s="575" t="s">
        <v>1840</v>
      </c>
      <c r="E915" s="69">
        <v>6.1026999999999996</v>
      </c>
      <c r="F915" s="69">
        <v>1E-4</v>
      </c>
      <c r="G915" s="114">
        <f t="shared" si="272"/>
        <v>6.1026499999999997</v>
      </c>
      <c r="H915" s="69">
        <v>9.1644000000000005</v>
      </c>
      <c r="I915" s="69">
        <v>0</v>
      </c>
      <c r="J915" s="114">
        <f t="shared" si="273"/>
        <v>9.1644000000000005</v>
      </c>
      <c r="K915" s="69">
        <v>9.4872999999999994</v>
      </c>
      <c r="L915" s="69">
        <v>0</v>
      </c>
      <c r="M915" s="114">
        <f t="shared" si="274"/>
        <v>9.4872999999999994</v>
      </c>
      <c r="N915" s="556"/>
      <c r="O915" s="114">
        <f t="shared" si="275"/>
        <v>3.0617500000000009</v>
      </c>
      <c r="P915" s="114">
        <f t="shared" si="276"/>
        <v>3.3846499999999997</v>
      </c>
      <c r="R915" s="60"/>
    </row>
    <row r="916" spans="1:19" s="588" customFormat="1" ht="19.95" customHeight="1">
      <c r="A916" s="129" t="s">
        <v>187</v>
      </c>
      <c r="B916" s="575" t="str">
        <f t="shared" si="277"/>
        <v>MOOS284a_i</v>
      </c>
      <c r="C916" s="575"/>
      <c r="D916" s="575" t="s">
        <v>1841</v>
      </c>
      <c r="E916" s="69">
        <v>6.0975999999999999</v>
      </c>
      <c r="F916" s="69">
        <v>2.9999999999999997E-4</v>
      </c>
      <c r="G916" s="114">
        <f t="shared" si="272"/>
        <v>6.0974500000000003</v>
      </c>
      <c r="H916" s="69">
        <v>9.1644000000000005</v>
      </c>
      <c r="I916" s="69">
        <v>0</v>
      </c>
      <c r="J916" s="114">
        <f t="shared" si="273"/>
        <v>9.1644000000000005</v>
      </c>
      <c r="K916" s="69">
        <v>9.4878</v>
      </c>
      <c r="L916" s="69">
        <v>-1E-4</v>
      </c>
      <c r="M916" s="114">
        <f t="shared" si="274"/>
        <v>9.4878499999999999</v>
      </c>
      <c r="N916" s="556"/>
      <c r="O916" s="114">
        <f t="shared" si="275"/>
        <v>3.0669500000000003</v>
      </c>
      <c r="P916" s="114">
        <f t="shared" si="276"/>
        <v>3.3903999999999996</v>
      </c>
      <c r="R916" s="60"/>
    </row>
    <row r="917" spans="1:19" s="588" customFormat="1" ht="19.95" customHeight="1">
      <c r="A917" s="129" t="s">
        <v>187</v>
      </c>
      <c r="B917" s="575" t="str">
        <f t="shared" si="277"/>
        <v>MOOS360a_i</v>
      </c>
      <c r="C917" s="575"/>
      <c r="D917" s="575" t="s">
        <v>1842</v>
      </c>
      <c r="E917" s="69">
        <v>6.1181000000000001</v>
      </c>
      <c r="F917" s="69">
        <v>-1E-4</v>
      </c>
      <c r="G917" s="114">
        <f t="shared" si="272"/>
        <v>6.11815</v>
      </c>
      <c r="H917" s="69">
        <v>9.1861999999999995</v>
      </c>
      <c r="I917" s="69">
        <v>0</v>
      </c>
      <c r="J917" s="114">
        <f t="shared" si="273"/>
        <v>9.1861999999999995</v>
      </c>
      <c r="K917" s="69">
        <v>9.5089000000000006</v>
      </c>
      <c r="L917" s="69">
        <v>0</v>
      </c>
      <c r="M917" s="114">
        <f t="shared" si="274"/>
        <v>9.5089000000000006</v>
      </c>
      <c r="N917" s="556"/>
      <c r="O917" s="114">
        <f t="shared" si="275"/>
        <v>3.0680499999999995</v>
      </c>
      <c r="P917" s="114">
        <f t="shared" si="276"/>
        <v>3.3907500000000006</v>
      </c>
      <c r="R917" s="60"/>
    </row>
    <row r="918" spans="1:19" s="588" customFormat="1" ht="19.95" customHeight="1">
      <c r="A918" s="575" t="s">
        <v>187</v>
      </c>
      <c r="B918" s="575" t="str">
        <f t="shared" si="277"/>
        <v>MOOS052a_ii</v>
      </c>
      <c r="C918" s="575"/>
      <c r="D918" s="575" t="s">
        <v>1843</v>
      </c>
      <c r="E918" s="69">
        <v>6.1271000000000004</v>
      </c>
      <c r="F918" s="69">
        <v>-2.9999999999999997E-4</v>
      </c>
      <c r="G918" s="114">
        <f t="shared" si="272"/>
        <v>6.1272500000000001</v>
      </c>
      <c r="H918" s="69">
        <v>9.1850000000000005</v>
      </c>
      <c r="I918" s="69">
        <v>0</v>
      </c>
      <c r="J918" s="114">
        <f t="shared" si="273"/>
        <v>9.1850000000000005</v>
      </c>
      <c r="K918" s="69">
        <v>9.5082000000000004</v>
      </c>
      <c r="L918" s="69">
        <v>1E-4</v>
      </c>
      <c r="M918" s="114">
        <f t="shared" si="274"/>
        <v>9.5081500000000005</v>
      </c>
      <c r="N918" s="556"/>
      <c r="O918" s="114">
        <f t="shared" si="275"/>
        <v>3.0577500000000004</v>
      </c>
      <c r="P918" s="114">
        <f t="shared" si="276"/>
        <v>3.3809000000000005</v>
      </c>
      <c r="R918" s="60"/>
    </row>
    <row r="919" spans="1:19" s="588" customFormat="1" ht="19.95" customHeight="1">
      <c r="A919" s="575" t="s">
        <v>187</v>
      </c>
      <c r="B919" s="575" t="str">
        <f t="shared" si="277"/>
        <v>MOOS130a_ii</v>
      </c>
      <c r="C919" s="575"/>
      <c r="D919" s="575" t="s">
        <v>1844</v>
      </c>
      <c r="E919" s="69">
        <v>6.1391999999999998</v>
      </c>
      <c r="F919" s="69">
        <v>2.0000000000000001E-4</v>
      </c>
      <c r="G919" s="114">
        <f t="shared" si="272"/>
        <v>6.1391</v>
      </c>
      <c r="H919" s="69">
        <v>9.2106999999999992</v>
      </c>
      <c r="I919" s="69">
        <v>-1E-4</v>
      </c>
      <c r="J919" s="114">
        <f t="shared" si="273"/>
        <v>9.2107499999999991</v>
      </c>
      <c r="K919" s="69">
        <v>9.5332000000000008</v>
      </c>
      <c r="L919" s="69">
        <v>2.0000000000000001E-4</v>
      </c>
      <c r="M919" s="114">
        <f t="shared" si="274"/>
        <v>9.533100000000001</v>
      </c>
      <c r="N919" s="556"/>
      <c r="O919" s="114">
        <f t="shared" si="275"/>
        <v>3.0716499999999991</v>
      </c>
      <c r="P919" s="114">
        <f t="shared" si="276"/>
        <v>3.394000000000001</v>
      </c>
      <c r="R919" s="60"/>
    </row>
    <row r="920" spans="1:19" s="588" customFormat="1" ht="19.95" customHeight="1">
      <c r="A920" s="575" t="s">
        <v>187</v>
      </c>
      <c r="B920" s="575" t="str">
        <f t="shared" si="277"/>
        <v>MOOS207a_ii</v>
      </c>
      <c r="C920" s="575"/>
      <c r="D920" s="575" t="s">
        <v>1845</v>
      </c>
      <c r="E920" s="69">
        <v>6.1470000000000002</v>
      </c>
      <c r="F920" s="69">
        <v>0</v>
      </c>
      <c r="G920" s="114">
        <f t="shared" si="272"/>
        <v>6.1470000000000002</v>
      </c>
      <c r="H920" s="69">
        <v>9.2148000000000003</v>
      </c>
      <c r="I920" s="69">
        <v>0</v>
      </c>
      <c r="J920" s="114">
        <f t="shared" si="273"/>
        <v>9.2148000000000003</v>
      </c>
      <c r="K920" s="69">
        <v>9.5360999999999994</v>
      </c>
      <c r="L920" s="69">
        <v>0</v>
      </c>
      <c r="M920" s="114">
        <f t="shared" si="274"/>
        <v>9.5360999999999994</v>
      </c>
      <c r="N920" s="556"/>
      <c r="O920" s="114">
        <f t="shared" si="275"/>
        <v>3.0678000000000001</v>
      </c>
      <c r="P920" s="114">
        <f t="shared" si="276"/>
        <v>3.3890999999999991</v>
      </c>
      <c r="R920" s="60"/>
      <c r="S920" s="60"/>
    </row>
    <row r="921" spans="1:19" s="588" customFormat="1" ht="19.95" customHeight="1">
      <c r="A921" s="80" t="s">
        <v>187</v>
      </c>
      <c r="B921" s="80" t="str">
        <f t="shared" si="277"/>
        <v>MOOS284a_ii</v>
      </c>
      <c r="C921" s="80"/>
      <c r="D921" s="575" t="s">
        <v>1857</v>
      </c>
      <c r="E921" s="69">
        <v>6.1261000000000001</v>
      </c>
      <c r="F921" s="69">
        <v>0</v>
      </c>
      <c r="G921" s="114">
        <f t="shared" si="272"/>
        <v>6.1261000000000001</v>
      </c>
      <c r="H921" s="69">
        <v>9.1922999999999995</v>
      </c>
      <c r="I921" s="69">
        <v>0</v>
      </c>
      <c r="J921" s="114">
        <f t="shared" si="273"/>
        <v>9.1922999999999995</v>
      </c>
      <c r="K921" s="69">
        <v>9.5149000000000008</v>
      </c>
      <c r="L921" s="69">
        <v>0</v>
      </c>
      <c r="M921" s="114">
        <f t="shared" si="274"/>
        <v>9.5149000000000008</v>
      </c>
      <c r="N921" s="556"/>
      <c r="O921" s="114">
        <f t="shared" si="275"/>
        <v>3.0661999999999994</v>
      </c>
      <c r="P921" s="114">
        <f t="shared" si="276"/>
        <v>3.3888000000000007</v>
      </c>
      <c r="R921" s="60"/>
    </row>
    <row r="922" spans="1:19" s="588" customFormat="1" ht="19.95" customHeight="1">
      <c r="A922" s="81" t="s">
        <v>187</v>
      </c>
      <c r="B922" s="81" t="str">
        <f t="shared" si="277"/>
        <v>MOOS360a_ii</v>
      </c>
      <c r="C922" s="81"/>
      <c r="D922" s="576" t="s">
        <v>1846</v>
      </c>
      <c r="E922" s="76">
        <v>6.1402000000000001</v>
      </c>
      <c r="F922" s="76">
        <v>-1E-4</v>
      </c>
      <c r="G922" s="122">
        <f t="shared" si="272"/>
        <v>6.14025</v>
      </c>
      <c r="H922" s="76">
        <v>9.2141000000000002</v>
      </c>
      <c r="I922" s="76">
        <v>1E-4</v>
      </c>
      <c r="J922" s="122">
        <f t="shared" si="273"/>
        <v>9.2140500000000003</v>
      </c>
      <c r="K922" s="76">
        <v>9.5366</v>
      </c>
      <c r="L922" s="76">
        <v>0</v>
      </c>
      <c r="M922" s="122">
        <f t="shared" si="274"/>
        <v>9.5366</v>
      </c>
      <c r="N922" s="557"/>
      <c r="O922" s="122">
        <f t="shared" si="275"/>
        <v>3.0738000000000003</v>
      </c>
      <c r="P922" s="122">
        <f t="shared" si="276"/>
        <v>3.39635</v>
      </c>
      <c r="R922" s="60"/>
    </row>
    <row r="923" spans="1:19" s="588" customFormat="1" ht="19.95" customHeight="1">
      <c r="A923" s="80" t="s">
        <v>188</v>
      </c>
      <c r="B923" s="80" t="str">
        <f>J140</f>
        <v>SALT-1</v>
      </c>
      <c r="C923" s="80"/>
      <c r="D923" s="575" t="s">
        <v>1854</v>
      </c>
      <c r="E923" s="69">
        <v>6.1482999999999999</v>
      </c>
      <c r="F923" s="69">
        <v>0</v>
      </c>
      <c r="G923" s="114">
        <f t="shared" si="272"/>
        <v>6.1482999999999999</v>
      </c>
      <c r="H923" s="69">
        <v>9.2192000000000007</v>
      </c>
      <c r="I923" s="69">
        <v>-1E-4</v>
      </c>
      <c r="J923" s="114">
        <f t="shared" si="273"/>
        <v>9.2192500000000006</v>
      </c>
      <c r="K923" s="69">
        <v>9.5419999999999998</v>
      </c>
      <c r="L923" s="69">
        <v>2.0000000000000001E-4</v>
      </c>
      <c r="M923" s="114">
        <f t="shared" si="274"/>
        <v>9.5419</v>
      </c>
      <c r="N923" s="556"/>
      <c r="O923" s="114">
        <f t="shared" si="275"/>
        <v>3.0709500000000007</v>
      </c>
      <c r="P923" s="114">
        <f t="shared" si="276"/>
        <v>3.3936000000000002</v>
      </c>
      <c r="R923" s="60"/>
    </row>
    <row r="924" spans="1:19" s="588" customFormat="1" ht="19.95" customHeight="1">
      <c r="A924" s="81" t="s">
        <v>188</v>
      </c>
      <c r="B924" s="81" t="str">
        <f>J141</f>
        <v>MOOS-3</v>
      </c>
      <c r="C924" s="81"/>
      <c r="D924" s="576" t="s">
        <v>193</v>
      </c>
      <c r="E924" s="76">
        <v>6.1437999999999997</v>
      </c>
      <c r="F924" s="76">
        <v>0</v>
      </c>
      <c r="G924" s="122">
        <f t="shared" si="272"/>
        <v>6.1437999999999997</v>
      </c>
      <c r="H924" s="76">
        <v>9.2271999999999998</v>
      </c>
      <c r="I924" s="76">
        <v>0</v>
      </c>
      <c r="J924" s="122">
        <f t="shared" si="273"/>
        <v>9.2271999999999998</v>
      </c>
      <c r="K924" s="76">
        <v>9.5498999999999992</v>
      </c>
      <c r="L924" s="76">
        <v>-2.0000000000000001E-4</v>
      </c>
      <c r="M924" s="122">
        <f t="shared" si="274"/>
        <v>9.5499999999999989</v>
      </c>
      <c r="O924" s="122">
        <f t="shared" si="275"/>
        <v>3.0834000000000001</v>
      </c>
      <c r="P924" s="122">
        <f t="shared" si="276"/>
        <v>3.4061999999999992</v>
      </c>
      <c r="R924" s="60"/>
    </row>
    <row r="925" spans="1:19" s="588" customFormat="1" ht="19.95" customHeight="1">
      <c r="A925" s="576" t="s">
        <v>186</v>
      </c>
      <c r="B925" s="576" t="s">
        <v>1644</v>
      </c>
      <c r="C925" s="576"/>
      <c r="D925" s="576" t="s">
        <v>1644</v>
      </c>
      <c r="E925" s="76">
        <v>6.1471999999999998</v>
      </c>
      <c r="F925" s="76">
        <v>0</v>
      </c>
      <c r="G925" s="122">
        <f t="shared" si="272"/>
        <v>6.1471999999999998</v>
      </c>
      <c r="H925" s="76">
        <v>9.2104999999999997</v>
      </c>
      <c r="I925" s="76">
        <v>1E-4</v>
      </c>
      <c r="J925" s="122">
        <f t="shared" si="273"/>
        <v>9.2104499999999998</v>
      </c>
      <c r="K925" s="76">
        <v>9.5332000000000008</v>
      </c>
      <c r="L925" s="76">
        <v>1E-4</v>
      </c>
      <c r="M925" s="122">
        <f t="shared" si="274"/>
        <v>9.5331500000000009</v>
      </c>
      <c r="N925" s="600">
        <v>45357</v>
      </c>
      <c r="O925" s="122">
        <f t="shared" si="275"/>
        <v>3.06325</v>
      </c>
      <c r="P925" s="122">
        <f t="shared" si="276"/>
        <v>3.3859500000000011</v>
      </c>
      <c r="R925" s="60"/>
    </row>
    <row r="927" spans="1:19" s="149" customFormat="1" ht="19.95" customHeight="1">
      <c r="A927" s="537" t="s">
        <v>2232</v>
      </c>
      <c r="B927" s="536"/>
      <c r="C927" s="536"/>
      <c r="D927" s="536"/>
    </row>
    <row r="929" spans="1:68" s="588" customFormat="1" ht="19.95" customHeight="1">
      <c r="A929" s="623" t="s">
        <v>1910</v>
      </c>
      <c r="B929" s="167"/>
      <c r="C929" s="167"/>
      <c r="D929" s="168"/>
      <c r="E929" s="167"/>
      <c r="F929" s="167"/>
      <c r="G929" s="167"/>
      <c r="H929" s="167"/>
      <c r="I929" s="167"/>
      <c r="J929" s="167"/>
      <c r="K929" s="167"/>
      <c r="L929" s="167"/>
      <c r="M929" s="167"/>
      <c r="N929" s="167"/>
      <c r="O929" s="167"/>
      <c r="P929" s="167"/>
      <c r="Q929" s="167"/>
      <c r="R929" s="167"/>
      <c r="S929" s="167"/>
      <c r="T929" s="167"/>
      <c r="U929" s="167"/>
      <c r="V929" s="167"/>
      <c r="W929" s="167"/>
      <c r="X929" s="167"/>
      <c r="Y929" s="167"/>
      <c r="Z929" s="167"/>
      <c r="AA929" s="167"/>
      <c r="AB929" s="167"/>
      <c r="AC929" s="167"/>
      <c r="AD929" s="167"/>
      <c r="AE929" s="167"/>
      <c r="AF929" s="167"/>
      <c r="AG929" s="167"/>
      <c r="AH929" s="167"/>
      <c r="AI929" s="167"/>
      <c r="AJ929" s="167"/>
      <c r="AK929" s="167"/>
      <c r="AL929" s="167"/>
      <c r="AM929" s="167"/>
      <c r="AN929" s="167"/>
      <c r="AO929" s="167"/>
      <c r="AP929" s="167"/>
      <c r="AQ929" s="167"/>
      <c r="AR929" s="167"/>
      <c r="AS929" s="167"/>
      <c r="AT929" s="167"/>
      <c r="AU929" s="167"/>
      <c r="AV929" s="167"/>
      <c r="AW929" s="167"/>
      <c r="AX929" s="167"/>
      <c r="AY929" s="167"/>
      <c r="AZ929" s="167"/>
      <c r="BA929" s="167"/>
      <c r="BB929" s="167"/>
      <c r="BC929" s="167"/>
      <c r="BD929" s="167"/>
      <c r="BE929" s="167"/>
      <c r="BF929" s="167"/>
      <c r="BG929" s="167"/>
      <c r="BH929" s="167"/>
      <c r="BI929" s="167"/>
      <c r="BJ929" s="167"/>
      <c r="BK929" s="167"/>
      <c r="BL929" s="167"/>
      <c r="BM929" s="167"/>
      <c r="BN929" s="167"/>
      <c r="BO929" s="167"/>
      <c r="BP929" s="167"/>
    </row>
    <row r="930" spans="1:68" s="148" customFormat="1" ht="19.95" customHeight="1">
      <c r="A930" s="233"/>
      <c r="D930" s="723"/>
    </row>
    <row r="931" spans="1:68" s="148" customFormat="1" ht="19.95" customHeight="1">
      <c r="A931" s="587" t="s">
        <v>102</v>
      </c>
      <c r="B931" s="587" t="s">
        <v>1528</v>
      </c>
      <c r="C931" s="587" t="s">
        <v>2055</v>
      </c>
      <c r="D931" s="195" t="s">
        <v>2</v>
      </c>
      <c r="E931" s="587" t="s">
        <v>2052</v>
      </c>
      <c r="F931" s="587" t="s">
        <v>2080</v>
      </c>
      <c r="G931" s="587" t="s">
        <v>2053</v>
      </c>
      <c r="H931" s="587" t="s">
        <v>117</v>
      </c>
      <c r="I931" s="728" t="s">
        <v>2175</v>
      </c>
      <c r="J931" s="728" t="s">
        <v>2176</v>
      </c>
    </row>
    <row r="932" spans="1:68" s="148" customFormat="1" ht="19.95" customHeight="1">
      <c r="A932" s="148" t="str">
        <f>RAW_DATA!N596</f>
        <v>AB1</v>
      </c>
      <c r="B932" s="317">
        <f>RAW_DATA!O596</f>
        <v>0.52770303843655852</v>
      </c>
      <c r="C932" s="317">
        <f>RAW_DATA!P596</f>
        <v>1.1118022508342604E-2</v>
      </c>
      <c r="D932" s="724">
        <f>RAW_DATA!Q596</f>
        <v>45356.5403240741</v>
      </c>
      <c r="E932" s="317">
        <f>T812</f>
        <v>0.52980298215994126</v>
      </c>
      <c r="F932" s="317">
        <f>U812</f>
        <v>4.0242150600765681E-4</v>
      </c>
      <c r="G932" s="317">
        <f>O827</f>
        <v>7.9849999999999994</v>
      </c>
      <c r="H932" s="317">
        <f t="shared" ref="H932:H935" si="278">P827</f>
        <v>0.79544999999999888</v>
      </c>
      <c r="I932" s="320">
        <f>E932*G932/H932</f>
        <v>5.318344097739816</v>
      </c>
      <c r="J932" s="320">
        <f>I932*SQRT((F932/E932)^2+(u_m3/G932)^2+(u_m3/H932)^2)</f>
        <v>4.4643457448490685E-3</v>
      </c>
      <c r="L932" s="956"/>
    </row>
    <row r="933" spans="1:68" s="148" customFormat="1" ht="19.95" customHeight="1">
      <c r="A933" s="148" t="str">
        <f>RAW_DATA!N597</f>
        <v>AB2A</v>
      </c>
      <c r="B933" s="317">
        <f>RAW_DATA!O597</f>
        <v>0.9861397453428532</v>
      </c>
      <c r="C933" s="317">
        <f>RAW_DATA!P597</f>
        <v>2.0776692735323697E-2</v>
      </c>
      <c r="D933" s="724">
        <f>RAW_DATA!Q597</f>
        <v>45356.547291666699</v>
      </c>
      <c r="E933" s="317">
        <f>T813</f>
        <v>1.0611996707825486</v>
      </c>
      <c r="F933" s="317">
        <f>U813</f>
        <v>4.7948597403569832E-4</v>
      </c>
      <c r="G933" s="317">
        <f t="shared" ref="G933:G935" si="279">O828</f>
        <v>7.9883500000000005</v>
      </c>
      <c r="H933" s="317">
        <f t="shared" si="278"/>
        <v>0.79630000000000045</v>
      </c>
      <c r="I933" s="733">
        <f t="shared" ref="I933:I936" si="280">E933*G933/H933</f>
        <v>10.64577971881925</v>
      </c>
      <c r="J933" s="320">
        <f>I933*SQRT((F933/E933)^2+(u_m3/G933)^2+(u_m3/H933)^2)</f>
        <v>6.1300820932688243E-3</v>
      </c>
      <c r="L933" s="956"/>
    </row>
    <row r="934" spans="1:68" s="148" customFormat="1" ht="19.95" customHeight="1">
      <c r="A934" s="148" t="str">
        <f>RAW_DATA!N598</f>
        <v>AB2B</v>
      </c>
      <c r="B934" s="317">
        <f>RAW_DATA!O598</f>
        <v>0.99424162736015698</v>
      </c>
      <c r="C934" s="317">
        <f>RAW_DATA!P598</f>
        <v>2.0947388941461132E-2</v>
      </c>
      <c r="D934" s="724">
        <f>RAW_DATA!Q598</f>
        <v>45356.554270833301</v>
      </c>
      <c r="E934" s="317">
        <f>E933</f>
        <v>1.0611996707825486</v>
      </c>
      <c r="F934" s="317">
        <f>F933</f>
        <v>4.7948597403569832E-4</v>
      </c>
      <c r="G934" s="317">
        <f t="shared" si="279"/>
        <v>8.0289999999999999</v>
      </c>
      <c r="H934" s="317">
        <f t="shared" si="278"/>
        <v>0.79610000000000092</v>
      </c>
      <c r="I934" s="733">
        <f t="shared" si="280"/>
        <v>10.702640568663577</v>
      </c>
      <c r="J934" s="320">
        <f>I934*SQRT((F934/E934)^2+(u_m3/G934)^2+(u_m3/H934)^2)</f>
        <v>6.1632953633103931E-3</v>
      </c>
      <c r="L934" s="956"/>
    </row>
    <row r="935" spans="1:68" s="148" customFormat="1" ht="19.95" customHeight="1">
      <c r="A935" s="148" t="str">
        <f>RAW_DATA!N599</f>
        <v>AB3</v>
      </c>
      <c r="B935" s="317">
        <f>RAW_DATA!O599</f>
        <v>1.943166417299568</v>
      </c>
      <c r="C935" s="317">
        <f>RAW_DATA!P599</f>
        <v>4.0940010557830718E-2</v>
      </c>
      <c r="D935" s="724">
        <f>RAW_DATA!Q599</f>
        <v>45356.561226851903</v>
      </c>
      <c r="E935" s="317">
        <f>T814</f>
        <v>2.1149330821190779</v>
      </c>
      <c r="F935" s="317">
        <f>U814</f>
        <v>7.0308965502306709E-4</v>
      </c>
      <c r="G935" s="317">
        <f t="shared" si="279"/>
        <v>7.9785000000000004</v>
      </c>
      <c r="H935" s="317">
        <f t="shared" si="278"/>
        <v>0.79564999999999664</v>
      </c>
      <c r="I935" s="733">
        <f t="shared" si="280"/>
        <v>21.207809458539728</v>
      </c>
      <c r="J935" s="320">
        <f>I935*SQRT((F935/E935)^2+(u_m3/G935)^2+(u_m3/H935)^2)</f>
        <v>1.0349412144240363E-2</v>
      </c>
      <c r="L935" s="956"/>
    </row>
    <row r="936" spans="1:68" s="148" customFormat="1" ht="19.95" customHeight="1">
      <c r="A936" s="315" t="str">
        <f>RAW_DATA!N612</f>
        <v>AB2C</v>
      </c>
      <c r="B936" s="319">
        <f>RAW_DATA!O612</f>
        <v>1.027178880670047</v>
      </c>
      <c r="C936" s="319">
        <f>RAW_DATA!P612</f>
        <v>2.164133439371262E-2</v>
      </c>
      <c r="D936" s="726">
        <f>RAW_DATA!Q612</f>
        <v>45356.651898148099</v>
      </c>
      <c r="E936" s="319">
        <f>E933</f>
        <v>1.0611996707825486</v>
      </c>
      <c r="F936" s="319">
        <f>F933</f>
        <v>4.7948597403569832E-4</v>
      </c>
      <c r="G936" s="319">
        <f>O843</f>
        <v>8.0198999999999998</v>
      </c>
      <c r="H936" s="319">
        <f>P843</f>
        <v>0.79475000000000229</v>
      </c>
      <c r="I936" s="624">
        <f t="shared" si="280"/>
        <v>10.708669694506369</v>
      </c>
      <c r="J936" s="321">
        <f>I936*SQRT((F936/E936)^2+(u_m3/G936)^2+(u_m3/H936)^2)</f>
        <v>6.1707828472036532E-3</v>
      </c>
      <c r="L936" s="956"/>
    </row>
    <row r="937" spans="1:68" s="148" customFormat="1" ht="19.95" customHeight="1">
      <c r="A937" s="228"/>
      <c r="B937" s="543"/>
      <c r="C937" s="543"/>
      <c r="D937" s="727"/>
      <c r="E937" s="543"/>
      <c r="F937" s="543"/>
    </row>
    <row r="938" spans="1:68" s="148" customFormat="1" ht="19.95" customHeight="1">
      <c r="A938" s="228"/>
      <c r="B938" s="543"/>
      <c r="C938" s="543"/>
      <c r="D938" s="727"/>
      <c r="E938" s="543"/>
      <c r="F938" s="543"/>
      <c r="G938" s="588"/>
      <c r="H938" s="588"/>
      <c r="I938" s="737" t="s">
        <v>2063</v>
      </c>
      <c r="J938" s="737"/>
      <c r="K938" s="737"/>
      <c r="L938" s="737"/>
      <c r="M938" s="290" t="s">
        <v>2064</v>
      </c>
      <c r="N938" s="290"/>
      <c r="O938" s="290"/>
      <c r="P938" s="480" t="s">
        <v>2065</v>
      </c>
      <c r="Q938" s="480" t="s">
        <v>2066</v>
      </c>
      <c r="R938" s="314" t="s">
        <v>2400</v>
      </c>
      <c r="S938" s="314" t="s">
        <v>2685</v>
      </c>
    </row>
    <row r="939" spans="1:68" s="148" customFormat="1" ht="19.95" customHeight="1">
      <c r="A939" s="587" t="s">
        <v>102</v>
      </c>
      <c r="B939" s="587" t="s">
        <v>115</v>
      </c>
      <c r="C939" s="587" t="s">
        <v>2068</v>
      </c>
      <c r="D939" s="195" t="s">
        <v>2</v>
      </c>
      <c r="E939" s="587" t="s">
        <v>116</v>
      </c>
      <c r="F939" s="587" t="s">
        <v>117</v>
      </c>
      <c r="G939" s="587" t="s">
        <v>1530</v>
      </c>
      <c r="H939" s="587" t="s">
        <v>2067</v>
      </c>
      <c r="I939" s="738" t="s">
        <v>1531</v>
      </c>
      <c r="J939" s="738" t="s">
        <v>2069</v>
      </c>
      <c r="K939" s="738" t="s">
        <v>2070</v>
      </c>
      <c r="L939" s="738" t="s">
        <v>2071</v>
      </c>
      <c r="M939" s="668" t="s">
        <v>1531</v>
      </c>
      <c r="N939" s="668" t="s">
        <v>2069</v>
      </c>
      <c r="O939" s="668" t="s">
        <v>2070</v>
      </c>
      <c r="P939" s="589" t="s">
        <v>2230</v>
      </c>
      <c r="Q939" s="589" t="s">
        <v>2230</v>
      </c>
      <c r="R939" s="315" t="s">
        <v>241</v>
      </c>
      <c r="S939" s="315" t="s">
        <v>2686</v>
      </c>
    </row>
    <row r="940" spans="1:68" s="148" customFormat="1" ht="19.95" customHeight="1">
      <c r="A940" s="148" t="str">
        <f>RAW_DATA!N600</f>
        <v>052_A1</v>
      </c>
      <c r="B940" s="317">
        <f>RAW_DATA!O600</f>
        <v>1.0189323966847652</v>
      </c>
      <c r="C940" s="317">
        <f>RAW_DATA!P600</f>
        <v>9.044380283181561E-3</v>
      </c>
      <c r="D940" s="724">
        <f>RAW_DATA!Q600</f>
        <v>45356.5681944444</v>
      </c>
      <c r="E940" s="317">
        <f>O831</f>
        <v>8.1932000000000009</v>
      </c>
      <c r="F940" s="317">
        <f t="shared" ref="F940:F951" si="281">P831</f>
        <v>0.79545000000000066</v>
      </c>
      <c r="G940" s="725">
        <f>F940/E940</f>
        <v>9.7086608406971697E-2</v>
      </c>
      <c r="H940" s="725">
        <f t="shared" ref="H940:H951" si="282">G940*SQRT((u_m3/E940)^2+(u_m3/F940)^2)</f>
        <v>3.4683957035503648E-5</v>
      </c>
      <c r="I940" s="739">
        <f t="array" ref="I940:J940">ResultIDMS_GS($I$932:$I$936,$B$932:$B$936,G940,H940,B940,C940)</f>
        <v>1.0559801201697576</v>
      </c>
      <c r="J940" s="739">
        <v>1.6088772623470408E-2</v>
      </c>
      <c r="K940" s="740">
        <f>J940/I940</f>
        <v>1.523586696015073E-2</v>
      </c>
      <c r="L940" s="741">
        <f>INDEX(FitIDMS($I$932:$I$936,$B$932:$B$936),5,2)</f>
        <v>0.99928892432732253</v>
      </c>
      <c r="M940" s="676">
        <f t="array" ref="M940:N940">ResultIDMS_MT($I$932:$I$936,$J$932:$J$936,$B$932:$B$936,$C$932:$C$936,G940,H940,B940,C940,MC)</f>
        <v>1.0564443577031548</v>
      </c>
      <c r="N940" s="676">
        <v>1.6822539789960934E-2</v>
      </c>
      <c r="O940" s="751">
        <f>N940/M940</f>
        <v>1.5923734806568789E-2</v>
      </c>
      <c r="P940" s="732">
        <f>I940/M940</f>
        <v>0.99956056603453636</v>
      </c>
      <c r="Q940" s="949">
        <f>J940/N940</f>
        <v>0.95638190334800632</v>
      </c>
      <c r="R940" s="598">
        <f>(I940-AVERAGE($I$940:$I$949))/MEDIAN($J$940:$J$949)</f>
        <v>0.24615293785400613</v>
      </c>
      <c r="S940" s="945">
        <f>B940/AVERAGE($B$933:$B$934,$B$936)</f>
        <v>1.0163710557838426</v>
      </c>
    </row>
    <row r="941" spans="1:68" s="148" customFormat="1" ht="19.95" customHeight="1">
      <c r="A941" s="148" t="str">
        <f>RAW_DATA!N601</f>
        <v>130_A1</v>
      </c>
      <c r="B941" s="317">
        <f>RAW_DATA!O601</f>
        <v>1.0022611474233596</v>
      </c>
      <c r="C941" s="317">
        <f>RAW_DATA!P601</f>
        <v>8.8959147800597924E-3</v>
      </c>
      <c r="D941" s="724">
        <f>RAW_DATA!Q601</f>
        <v>45356.575173611098</v>
      </c>
      <c r="E941" s="317">
        <f t="shared" ref="E941:E951" si="283">O832</f>
        <v>8.1403999999999996</v>
      </c>
      <c r="F941" s="317">
        <f t="shared" si="281"/>
        <v>0.79469999999999885</v>
      </c>
      <c r="G941" s="725">
        <f t="shared" ref="G941:G951" si="284">F941/E941</f>
        <v>9.7624195371234693E-2</v>
      </c>
      <c r="H941" s="725">
        <f t="shared" si="282"/>
        <v>3.4910732920070374E-5</v>
      </c>
      <c r="I941" s="739">
        <f t="array" ref="I941:J941">ResultIDMS_GS($I$932:$I$936,$B$932:$B$936,G941,H941,B941,C941)</f>
        <v>1.0434669182574121</v>
      </c>
      <c r="J941" s="739">
        <v>1.5907652048939694E-2</v>
      </c>
      <c r="K941" s="740">
        <f t="shared" ref="K941:K951" si="285">J941/I941</f>
        <v>1.5244998926756053E-2</v>
      </c>
      <c r="L941" s="741">
        <f>INDEX(FitIDMS($I$932:$I$936,$B$932:$B$936),5,2)</f>
        <v>0.99928892432732253</v>
      </c>
      <c r="M941" s="676">
        <f t="array" ref="M941:N941">ResultIDMS_MT($I$932:$I$936,$J$932:$J$936,$B$932:$B$936,$C$932:$C$936,G941,H941,B941,C941,MC)</f>
        <v>1.0446166880990062</v>
      </c>
      <c r="N941" s="676">
        <v>1.6623190919863442E-2</v>
      </c>
      <c r="O941" s="751">
        <f t="shared" ref="O941:O951" si="286">N941/M941</f>
        <v>1.5913196782366489E-2</v>
      </c>
      <c r="P941" s="732">
        <f t="shared" ref="P941:P951" si="287">I941/M941</f>
        <v>0.99889933804936004</v>
      </c>
      <c r="Q941" s="949">
        <f t="shared" ref="Q941:Q951" si="288">J941/N941</f>
        <v>0.9569553839348176</v>
      </c>
      <c r="R941" s="598">
        <f t="shared" ref="R941:R949" si="289">(I941-AVERAGE($I$940:$I$949))/MEDIAN($J$940:$J$949)</f>
        <v>-0.53630906980212956</v>
      </c>
      <c r="S941" s="945">
        <f t="shared" ref="S941:S949" si="290">B941/AVERAGE($B$933:$B$934,$B$936)</f>
        <v>0.99974171386853927</v>
      </c>
    </row>
    <row r="942" spans="1:68" s="148" customFormat="1" ht="19.95" customHeight="1">
      <c r="A942" s="148" t="str">
        <f>RAW_DATA!N602</f>
        <v>207_A1</v>
      </c>
      <c r="B942" s="317">
        <f>RAW_DATA!O602</f>
        <v>0.99548881601584915</v>
      </c>
      <c r="C942" s="317">
        <f>RAW_DATA!P602</f>
        <v>8.837741547704692E-3</v>
      </c>
      <c r="D942" s="724">
        <f>RAW_DATA!Q602</f>
        <v>45356.582141203697</v>
      </c>
      <c r="E942" s="317">
        <f t="shared" si="283"/>
        <v>8.1216499999999989</v>
      </c>
      <c r="F942" s="317">
        <f t="shared" si="281"/>
        <v>0.79640000000000022</v>
      </c>
      <c r="G942" s="725">
        <f t="shared" si="284"/>
        <v>9.8058891973921591E-2</v>
      </c>
      <c r="H942" s="725">
        <f t="shared" si="282"/>
        <v>3.4992803529483856E-5</v>
      </c>
      <c r="I942" s="739">
        <f t="array" ref="I942:J942">ResultIDMS_GS($I$932:$I$936,$B$932:$B$936,G942,H942,B942,C942)</f>
        <v>1.0406196714293372</v>
      </c>
      <c r="J942" s="739">
        <v>1.587085006540517E-2</v>
      </c>
      <c r="K942" s="740">
        <f t="shared" si="285"/>
        <v>1.5251345425371264E-2</v>
      </c>
      <c r="L942" s="741">
        <f>INDEX(FitIDMS($I$932:$I$936,$B$932:$B$936),5,2)</f>
        <v>0.99928892432732253</v>
      </c>
      <c r="M942" s="676">
        <f t="array" ref="M942:N942">ResultIDMS_MT($I$932:$I$936,$J$932:$J$936,$B$932:$B$936,$C$932:$C$936,G942,H942,B942,C942,MC)</f>
        <v>1.0416503735892764</v>
      </c>
      <c r="N942" s="676">
        <v>1.5938181638640539E-2</v>
      </c>
      <c r="O942" s="751">
        <f t="shared" si="286"/>
        <v>1.5300893699794302E-2</v>
      </c>
      <c r="P942" s="732">
        <f t="shared" si="287"/>
        <v>0.99901051044950173</v>
      </c>
      <c r="Q942" s="949">
        <f t="shared" si="288"/>
        <v>0.99577545451783966</v>
      </c>
      <c r="R942" s="598">
        <f t="shared" si="289"/>
        <v>-0.71435002886234056</v>
      </c>
      <c r="S942" s="945">
        <f t="shared" si="290"/>
        <v>0.99298640640637115</v>
      </c>
    </row>
    <row r="943" spans="1:68" s="148" customFormat="1" ht="19.95" customHeight="1">
      <c r="A943" s="148" t="str">
        <f>RAW_DATA!N603</f>
        <v>284_A1</v>
      </c>
      <c r="B943" s="317">
        <f>RAW_DATA!O603</f>
        <v>1.0112980485636711</v>
      </c>
      <c r="C943" s="317">
        <f>RAW_DATA!P603</f>
        <v>8.9771829642378217E-3</v>
      </c>
      <c r="D943" s="724">
        <f>RAW_DATA!Q603</f>
        <v>45356.589120370401</v>
      </c>
      <c r="E943" s="317">
        <f t="shared" si="283"/>
        <v>8.1205999999999996</v>
      </c>
      <c r="F943" s="317">
        <f t="shared" si="281"/>
        <v>0.79594999999999949</v>
      </c>
      <c r="G943" s="725">
        <f t="shared" si="284"/>
        <v>9.8016156441642188E-2</v>
      </c>
      <c r="H943" s="725">
        <f t="shared" si="282"/>
        <v>3.4997182895014126E-5</v>
      </c>
      <c r="I943" s="739">
        <f t="array" ref="I943:J943">ResultIDMS_GS($I$932:$I$936,$B$932:$B$936,G943,H943,B943,C943)</f>
        <v>1.0576497071128457</v>
      </c>
      <c r="J943" s="739">
        <v>1.6118684846854591E-2</v>
      </c>
      <c r="K943" s="740">
        <f t="shared" si="285"/>
        <v>1.5240097679273324E-2</v>
      </c>
      <c r="L943" s="741">
        <f>INDEX(FitIDMS($I$932:$I$936,$B$932:$B$936),5,2)</f>
        <v>0.99928892432732253</v>
      </c>
      <c r="M943" s="676">
        <f t="array" ref="M943:N943">ResultIDMS_MT($I$932:$I$936,$J$932:$J$936,$B$932:$B$936,$C$932:$C$936,G943,H943,B943,C943,MC)</f>
        <v>1.0587324349354339</v>
      </c>
      <c r="N943" s="676">
        <v>1.6192769262263488E-2</v>
      </c>
      <c r="O943" s="751">
        <f t="shared" si="286"/>
        <v>1.5294486810778583E-2</v>
      </c>
      <c r="P943" s="732">
        <f t="shared" si="287"/>
        <v>0.9989773357395495</v>
      </c>
      <c r="Q943" s="949">
        <f t="shared" si="288"/>
        <v>0.99542484585502322</v>
      </c>
      <c r="R943" s="598">
        <f t="shared" si="289"/>
        <v>0.35055374274761752</v>
      </c>
      <c r="S943" s="945">
        <f t="shared" si="290"/>
        <v>1.0087558985022567</v>
      </c>
    </row>
    <row r="944" spans="1:68" s="148" customFormat="1" ht="19.95" customHeight="1">
      <c r="A944" s="148" t="str">
        <f>RAW_DATA!N604</f>
        <v>360_A1</v>
      </c>
      <c r="B944" s="317">
        <f>RAW_DATA!O604</f>
        <v>1.0014817556245947</v>
      </c>
      <c r="C944" s="317">
        <f>RAW_DATA!P604</f>
        <v>8.8915500953782572E-3</v>
      </c>
      <c r="D944" s="724">
        <f>RAW_DATA!Q604</f>
        <v>45356.596111111103</v>
      </c>
      <c r="E944" s="317">
        <f t="shared" si="283"/>
        <v>8.1152499999999996</v>
      </c>
      <c r="F944" s="317">
        <f t="shared" si="281"/>
        <v>0.79294999999999938</v>
      </c>
      <c r="G944" s="725">
        <f t="shared" si="284"/>
        <v>9.7711099473213936E-2</v>
      </c>
      <c r="H944" s="725">
        <f t="shared" si="282"/>
        <v>3.5019219319586727E-5</v>
      </c>
      <c r="I944" s="739">
        <f t="array" ref="I944:J944">ResultIDMS_GS($I$932:$I$936,$B$932:$B$936,G944,H944,B944,C944)</f>
        <v>1.0435365220333199</v>
      </c>
      <c r="J944" s="739">
        <v>1.5911032242473998E-2</v>
      </c>
      <c r="K944" s="740">
        <f t="shared" si="285"/>
        <v>1.5247221258218657E-2</v>
      </c>
      <c r="L944" s="741">
        <f>INDEX(FitIDMS($I$932:$I$936,$B$932:$B$936),5,2)</f>
        <v>0.99928892432732253</v>
      </c>
      <c r="M944" s="676">
        <f t="array" ref="M944:N944">ResultIDMS_MT($I$932:$I$936,$J$932:$J$936,$B$932:$B$936,$C$932:$C$936,G944,H944,B944,C944,MC)</f>
        <v>1.0442369909838138</v>
      </c>
      <c r="N944" s="676">
        <v>1.6737421293359547E-2</v>
      </c>
      <c r="O944" s="751">
        <f t="shared" si="286"/>
        <v>1.6028374246339051E-2</v>
      </c>
      <c r="P944" s="732">
        <f t="shared" si="287"/>
        <v>0.99932920500179367</v>
      </c>
      <c r="Q944" s="949">
        <f t="shared" si="288"/>
        <v>0.95062626217018187</v>
      </c>
      <c r="R944" s="598">
        <f t="shared" si="289"/>
        <v>-0.53195668177077038</v>
      </c>
      <c r="S944" s="945">
        <f t="shared" si="290"/>
        <v>0.998964281265594</v>
      </c>
    </row>
    <row r="945" spans="1:19" s="148" customFormat="1" ht="19.95" customHeight="1">
      <c r="A945" s="148" t="str">
        <f>RAW_DATA!N605</f>
        <v>052_A2</v>
      </c>
      <c r="B945" s="317">
        <f>RAW_DATA!O605</f>
        <v>1.0211821973563751</v>
      </c>
      <c r="C945" s="317">
        <f>RAW_DATA!P605</f>
        <v>9.0646758712687181E-3</v>
      </c>
      <c r="D945" s="724">
        <f>RAW_DATA!Q605</f>
        <v>45356.603113425903</v>
      </c>
      <c r="E945" s="317">
        <f t="shared" si="283"/>
        <v>8.1192999999999991</v>
      </c>
      <c r="F945" s="317">
        <f t="shared" si="281"/>
        <v>0.79429999999999978</v>
      </c>
      <c r="G945" s="725">
        <f t="shared" si="284"/>
        <v>9.7828630546968318E-2</v>
      </c>
      <c r="H945" s="725">
        <f t="shared" si="282"/>
        <v>3.5002149730222864E-5</v>
      </c>
      <c r="I945" s="739">
        <f t="array" ref="I945:J945">ResultIDMS_GS($I$932:$I$936,$B$932:$B$936,G945,H945,B945,C945)</f>
        <v>1.066533303372686</v>
      </c>
      <c r="J945" s="739">
        <v>1.6248697376722052E-2</v>
      </c>
      <c r="K945" s="740">
        <f t="shared" si="285"/>
        <v>1.5235058600925994E-2</v>
      </c>
      <c r="L945" s="741">
        <f>INDEX(FitIDMS($I$932:$I$936,$B$932:$B$936),5,2)</f>
        <v>0.99928892432732253</v>
      </c>
      <c r="M945" s="676">
        <f t="array" ref="M945:N945">ResultIDMS_MT($I$932:$I$936,$J$932:$J$936,$B$932:$B$936,$C$932:$C$936,G945,H945,B945,C945,MC)</f>
        <v>1.0677604962002252</v>
      </c>
      <c r="N945" s="676">
        <v>1.6975339106790787E-2</v>
      </c>
      <c r="O945" s="751">
        <f t="shared" si="286"/>
        <v>1.5898077487601293E-2</v>
      </c>
      <c r="P945" s="732">
        <f t="shared" si="287"/>
        <v>0.9988506853063901</v>
      </c>
      <c r="Q945" s="949">
        <f t="shared" si="288"/>
        <v>0.95719427308653582</v>
      </c>
      <c r="R945" s="598">
        <f t="shared" si="289"/>
        <v>0.90605317553654341</v>
      </c>
      <c r="S945" s="945">
        <f t="shared" si="290"/>
        <v>1.0186152010199223</v>
      </c>
    </row>
    <row r="946" spans="1:19" s="148" customFormat="1" ht="19.95" customHeight="1">
      <c r="A946" s="228" t="str">
        <f>RAW_DATA!N606</f>
        <v>130_A2</v>
      </c>
      <c r="B946" s="543">
        <f>RAW_DATA!O606</f>
        <v>1.0254104142924427</v>
      </c>
      <c r="C946" s="543">
        <f>RAW_DATA!P606</f>
        <v>9.1022090673947061E-3</v>
      </c>
      <c r="D946" s="727">
        <f>RAW_DATA!Q606</f>
        <v>45356.610069444403</v>
      </c>
      <c r="E946" s="543">
        <f t="shared" si="283"/>
        <v>8.1188499999999983</v>
      </c>
      <c r="F946" s="543">
        <f t="shared" si="281"/>
        <v>0.79725000000000001</v>
      </c>
      <c r="G946" s="596">
        <f t="shared" si="284"/>
        <v>9.8197404804867702E-2</v>
      </c>
      <c r="H946" s="596">
        <f t="shared" si="282"/>
        <v>3.5005342974560917E-5</v>
      </c>
      <c r="I946" s="742">
        <f t="array" ref="I946:J946">ResultIDMS_GS($I$932:$I$936,$B$932:$B$936,G946,H946,B946,C946)</f>
        <v>1.0752364123859341</v>
      </c>
      <c r="J946" s="742">
        <v>1.6379295588249014E-2</v>
      </c>
      <c r="K946" s="743">
        <f t="shared" si="285"/>
        <v>1.5233203972234899E-2</v>
      </c>
      <c r="L946" s="744">
        <f>INDEX(FitIDMS($I$932:$I$936,$B$932:$B$936),5,2)</f>
        <v>0.99928892432732253</v>
      </c>
      <c r="M946" s="752">
        <f t="array" ref="M946:N946">ResultIDMS_MT($I$932:$I$936,$J$932:$J$936,$B$932:$B$936,$C$932:$C$936,G946,H946,B946,C946,MC)</f>
        <v>1.0759710823441715</v>
      </c>
      <c r="N946" s="752">
        <v>1.7367281580724842E-2</v>
      </c>
      <c r="O946" s="751">
        <f t="shared" si="286"/>
        <v>1.6141030057134527E-2</v>
      </c>
      <c r="P946" s="732">
        <f t="shared" si="287"/>
        <v>0.99931720287813242</v>
      </c>
      <c r="Q946" s="949">
        <f t="shared" si="288"/>
        <v>0.94311222583202958</v>
      </c>
      <c r="R946" s="598">
        <f t="shared" si="289"/>
        <v>1.450266575037253</v>
      </c>
      <c r="S946" s="945">
        <f t="shared" si="290"/>
        <v>1.0228327892773734</v>
      </c>
    </row>
    <row r="947" spans="1:19" s="148" customFormat="1" ht="19.95" customHeight="1">
      <c r="A947" s="228" t="str">
        <f>RAW_DATA!N607</f>
        <v>207_A2</v>
      </c>
      <c r="B947" s="543">
        <f>RAW_DATA!O607</f>
        <v>1.0089676591245682</v>
      </c>
      <c r="C947" s="543">
        <f>RAW_DATA!P607</f>
        <v>8.9556294584493702E-3</v>
      </c>
      <c r="D947" s="727">
        <f>RAW_DATA!Q607</f>
        <v>45356.617037037002</v>
      </c>
      <c r="E947" s="543">
        <f t="shared" si="283"/>
        <v>8.1027500000000003</v>
      </c>
      <c r="F947" s="543">
        <f t="shared" si="281"/>
        <v>0.79384999999999906</v>
      </c>
      <c r="G947" s="596">
        <f t="shared" si="284"/>
        <v>9.7972910431643453E-2</v>
      </c>
      <c r="H947" s="596">
        <f t="shared" si="282"/>
        <v>3.5074132915372966E-5</v>
      </c>
      <c r="I947" s="742">
        <f t="array" ref="I947:J947">ResultIDMS_GS($I$932:$I$936,$B$932:$B$936,G947,H947,B947,C947)</f>
        <v>1.0546073633792434</v>
      </c>
      <c r="J947" s="742">
        <v>1.6073145365915684E-2</v>
      </c>
      <c r="K947" s="743">
        <f t="shared" si="285"/>
        <v>1.5240881036913147E-2</v>
      </c>
      <c r="L947" s="744">
        <f>INDEX(FitIDMS($I$932:$I$936,$B$932:$B$936),5,2)</f>
        <v>0.99928892432732253</v>
      </c>
      <c r="M947" s="752">
        <f t="array" ref="M947:N947">ResultIDMS_MT($I$932:$I$936,$J$932:$J$936,$B$932:$B$936,$C$932:$C$936,G947,H947,B947,C947,MC)</f>
        <v>1.055681988932593</v>
      </c>
      <c r="N947" s="752">
        <v>1.6146669675481201E-2</v>
      </c>
      <c r="O947" s="751">
        <f t="shared" si="286"/>
        <v>1.5295012934536474E-2</v>
      </c>
      <c r="P947" s="732">
        <f t="shared" si="287"/>
        <v>0.99898205561464948</v>
      </c>
      <c r="Q947" s="949">
        <f t="shared" si="288"/>
        <v>0.99544647218013227</v>
      </c>
      <c r="R947" s="598">
        <f t="shared" si="289"/>
        <v>0.16031319500852489</v>
      </c>
      <c r="S947" s="945">
        <f t="shared" si="290"/>
        <v>1.0064313670786658</v>
      </c>
    </row>
    <row r="948" spans="1:19" s="148" customFormat="1" ht="19.95" customHeight="1">
      <c r="A948" s="228" t="str">
        <f>RAW_DATA!N608</f>
        <v>284_A2</v>
      </c>
      <c r="B948" s="543">
        <f>RAW_DATA!O608</f>
        <v>0.99370133784399961</v>
      </c>
      <c r="C948" s="543">
        <f>RAW_DATA!P608</f>
        <v>8.820096591524931E-3</v>
      </c>
      <c r="D948" s="727">
        <f>RAW_DATA!Q608</f>
        <v>45356.624004629601</v>
      </c>
      <c r="E948" s="543">
        <f t="shared" si="283"/>
        <v>8.1039999999999992</v>
      </c>
      <c r="F948" s="543">
        <f t="shared" si="281"/>
        <v>0.79739999999999966</v>
      </c>
      <c r="G948" s="596">
        <f t="shared" si="284"/>
        <v>9.8395853899308952E-2</v>
      </c>
      <c r="H948" s="596">
        <f t="shared" si="282"/>
        <v>3.5070165316331548E-5</v>
      </c>
      <c r="I948" s="742">
        <f t="array" ref="I948:J948">ResultIDMS_GS($I$932:$I$936,$B$932:$B$936,G948,H948,B948,C948)</f>
        <v>1.0422107659308093</v>
      </c>
      <c r="J948" s="742">
        <v>1.5895455541223378E-2</v>
      </c>
      <c r="K948" s="743">
        <f t="shared" si="285"/>
        <v>1.5251670833612029E-2</v>
      </c>
      <c r="L948" s="744">
        <f>INDEX(FitIDMS($I$932:$I$936,$B$932:$B$936),5,2)</f>
        <v>0.99928892432732253</v>
      </c>
      <c r="M948" s="752">
        <f t="array" ref="M948:N948">ResultIDMS_MT($I$932:$I$936,$J$932:$J$936,$B$932:$B$936,$C$932:$C$936,G948,H948,B948,C948,MC)</f>
        <v>1.0435931874175426</v>
      </c>
      <c r="N948" s="752">
        <v>1.7442316578614205E-2</v>
      </c>
      <c r="O948" s="751">
        <f t="shared" si="286"/>
        <v>1.6713712573935689E-2</v>
      </c>
      <c r="P948" s="732">
        <f t="shared" si="287"/>
        <v>0.99867532530549163</v>
      </c>
      <c r="Q948" s="949">
        <f t="shared" si="288"/>
        <v>0.91131561966445374</v>
      </c>
      <c r="R948" s="598">
        <f t="shared" si="289"/>
        <v>-0.61485742843013524</v>
      </c>
      <c r="S948" s="945">
        <f t="shared" si="290"/>
        <v>0.99120342150705465</v>
      </c>
    </row>
    <row r="949" spans="1:19" s="148" customFormat="1" ht="19.95" customHeight="1">
      <c r="A949" s="315" t="str">
        <f>RAW_DATA!N609</f>
        <v>360_A2</v>
      </c>
      <c r="B949" s="319">
        <f>RAW_DATA!O609</f>
        <v>0.99698748908524204</v>
      </c>
      <c r="C949" s="319">
        <f>RAW_DATA!P609</f>
        <v>8.8513170907188934E-3</v>
      </c>
      <c r="D949" s="726">
        <f>RAW_DATA!Q609</f>
        <v>45356.630960648101</v>
      </c>
      <c r="E949" s="319">
        <f t="shared" si="283"/>
        <v>8.1117999999999988</v>
      </c>
      <c r="F949" s="319">
        <f t="shared" si="281"/>
        <v>0.79415000000000013</v>
      </c>
      <c r="G949" s="622">
        <f t="shared" si="284"/>
        <v>9.7900589265021362E-2</v>
      </c>
      <c r="H949" s="622">
        <f t="shared" si="282"/>
        <v>3.503475636387489E-5</v>
      </c>
      <c r="I949" s="745">
        <f t="array" ref="I949:J949">ResultIDMS_GS($I$932:$I$936,$B$932:$B$936,G949,H949,B949,C949)</f>
        <v>1.0405954212104829</v>
      </c>
      <c r="J949" s="745">
        <v>1.5869433914598094E-2</v>
      </c>
      <c r="K949" s="746">
        <f t="shared" si="285"/>
        <v>1.5250339941086632E-2</v>
      </c>
      <c r="L949" s="747">
        <f>INDEX(FitIDMS($I$932:$I$936,$B$932:$B$936),5,2)</f>
        <v>0.99928892432732253</v>
      </c>
      <c r="M949" s="678">
        <f t="array" ref="M949:N949">ResultIDMS_MT($I$932:$I$936,$J$932:$J$936,$B$932:$B$936,$C$932:$C$936,G949,H949,B949,C949,MC)</f>
        <v>1.0412496646306177</v>
      </c>
      <c r="N949" s="678">
        <v>1.6831937786638915E-2</v>
      </c>
      <c r="O949" s="679">
        <f t="shared" si="286"/>
        <v>1.6165131532224819E-2</v>
      </c>
      <c r="P949" s="961">
        <f t="shared" si="287"/>
        <v>0.99937167478429201</v>
      </c>
      <c r="Q949" s="950">
        <f t="shared" si="288"/>
        <v>0.94281681145442142</v>
      </c>
      <c r="R949" s="599">
        <f t="shared" si="289"/>
        <v>-0.71586641731861067</v>
      </c>
      <c r="S949" s="950">
        <f t="shared" si="290"/>
        <v>0.99448131218694069</v>
      </c>
    </row>
    <row r="950" spans="1:19" s="148" customFormat="1" ht="19.95" customHeight="1">
      <c r="A950" s="729" t="str">
        <f>RAW_DATA!N610</f>
        <v>SALT1_309</v>
      </c>
      <c r="B950" s="730">
        <f>RAW_DATA!O610</f>
        <v>1.1249389396847236</v>
      </c>
      <c r="C950" s="730">
        <f>RAW_DATA!P610</f>
        <v>9.9878422886797349E-3</v>
      </c>
      <c r="D950" s="731">
        <f>RAW_DATA!Q610</f>
        <v>45356.637951388897</v>
      </c>
      <c r="E950" s="730">
        <f t="shared" si="283"/>
        <v>8.1911500000000004</v>
      </c>
      <c r="F950" s="730">
        <f t="shared" si="281"/>
        <v>0.79295000000000115</v>
      </c>
      <c r="G950" s="734">
        <f t="shared" si="284"/>
        <v>9.6805698833497267E-2</v>
      </c>
      <c r="H950" s="734">
        <f t="shared" si="282"/>
        <v>3.4691701414652085E-5</v>
      </c>
      <c r="I950" s="748">
        <f t="array" ref="I950:J950">ResultIDMS_GS($I$932:$I$936,$B$932:$B$936,G950,H950,B950,C950)</f>
        <v>1.1685443031888774</v>
      </c>
      <c r="J950" s="748">
        <v>1.7729031744949993E-2</v>
      </c>
      <c r="K950" s="749">
        <f t="shared" si="285"/>
        <v>1.5171895234582617E-2</v>
      </c>
      <c r="L950" s="750">
        <f>INDEX(FitIDMS($I$932:$I$936,$B$932:$B$936),5,2)</f>
        <v>0.99928892432732253</v>
      </c>
      <c r="M950" s="670">
        <f t="array" ref="M950:N950">ResultIDMS_MT($I$932:$I$936,$J$932:$J$936,$B$932:$B$936,$C$932:$C$936,G950,H950,B950,C950,MC)</f>
        <v>1.170493739664572</v>
      </c>
      <c r="N950" s="670">
        <v>1.873697769796993E-2</v>
      </c>
      <c r="O950" s="751">
        <f t="shared" si="286"/>
        <v>1.6007755584698281E-2</v>
      </c>
      <c r="P950" s="732">
        <f t="shared" si="287"/>
        <v>0.99833451781104499</v>
      </c>
      <c r="Q950" s="949">
        <f t="shared" si="288"/>
        <v>0.94620552101478228</v>
      </c>
    </row>
    <row r="951" spans="1:19" s="148" customFormat="1" ht="19.95" customHeight="1">
      <c r="A951" s="315" t="str">
        <f>RAW_DATA!N611</f>
        <v>MOOS3</v>
      </c>
      <c r="B951" s="319">
        <f>RAW_DATA!O611</f>
        <v>1.3327383637558581</v>
      </c>
      <c r="C951" s="319">
        <f>RAW_DATA!P611</f>
        <v>1.1819885083281896E-2</v>
      </c>
      <c r="D951" s="726">
        <f>RAW_DATA!Q611</f>
        <v>45356.644918981503</v>
      </c>
      <c r="E951" s="319">
        <f t="shared" si="283"/>
        <v>8.2314000000000007</v>
      </c>
      <c r="F951" s="319">
        <f t="shared" si="281"/>
        <v>0.79629999999999868</v>
      </c>
      <c r="G951" s="622">
        <f t="shared" si="284"/>
        <v>9.673931530480824E-2</v>
      </c>
      <c r="H951" s="622">
        <f t="shared" si="282"/>
        <v>3.4521845795538726E-5</v>
      </c>
      <c r="I951" s="745">
        <f t="array" ref="I951:J951">ResultIDMS_GS($I$932:$I$936,$B$932:$B$936,G951,H951,B951,C951)</f>
        <v>1.3934885980029033</v>
      </c>
      <c r="J951" s="745">
        <v>2.0206599194756283E-2</v>
      </c>
      <c r="K951" s="746">
        <f t="shared" si="285"/>
        <v>1.4500728045938546E-2</v>
      </c>
      <c r="L951" s="747">
        <f>INDEX(FitIDMS($I$932:$I$936,$B$932:$B$936),5,2)</f>
        <v>0.99928892432732253</v>
      </c>
      <c r="M951" s="678">
        <f t="array" ref="M951:N951">ResultIDMS_MT($I$932:$I$936,$J$932:$J$936,$B$932:$B$936,$C$932:$C$936,G951,H951,B951,C951,MC)</f>
        <v>1.3945806283624513</v>
      </c>
      <c r="N951" s="678">
        <v>2.1747050078883931E-2</v>
      </c>
      <c r="O951" s="679">
        <f t="shared" si="286"/>
        <v>1.5593971145590784E-2</v>
      </c>
      <c r="P951" s="961">
        <f t="shared" si="287"/>
        <v>0.9992169471328235</v>
      </c>
      <c r="Q951" s="950">
        <f t="shared" si="288"/>
        <v>0.92916506475407423</v>
      </c>
      <c r="R951" s="315"/>
      <c r="S951" s="315"/>
    </row>
    <row r="952" spans="1:19" s="148" customFormat="1" ht="19.95" customHeight="1"/>
    <row r="953" spans="1:19" s="148" customFormat="1" ht="19.95" customHeight="1">
      <c r="A953" s="593"/>
      <c r="B953" s="380" t="s">
        <v>2178</v>
      </c>
      <c r="C953" s="230"/>
      <c r="D953" s="380" t="s">
        <v>2184</v>
      </c>
      <c r="E953" s="230"/>
      <c r="F953" s="230"/>
      <c r="G953" s="380" t="s">
        <v>2185</v>
      </c>
      <c r="H953" s="230"/>
      <c r="I953" s="230"/>
      <c r="J953" s="230"/>
      <c r="K953" s="230"/>
      <c r="L953" s="233" t="s">
        <v>217</v>
      </c>
    </row>
    <row r="954" spans="1:19" s="148" customFormat="1" ht="19.95" customHeight="1">
      <c r="A954" s="587" t="s">
        <v>100</v>
      </c>
      <c r="B954" s="663" t="s">
        <v>2179</v>
      </c>
      <c r="C954" s="663" t="s">
        <v>2180</v>
      </c>
      <c r="D954" s="663" t="s">
        <v>229</v>
      </c>
      <c r="E954" s="663" t="s">
        <v>1171</v>
      </c>
      <c r="F954" s="663" t="s">
        <v>1172</v>
      </c>
      <c r="G954" s="589" t="s">
        <v>2181</v>
      </c>
      <c r="H954" s="589" t="s">
        <v>2182</v>
      </c>
      <c r="I954" s="589" t="s">
        <v>2183</v>
      </c>
      <c r="J954" s="589" t="s">
        <v>2186</v>
      </c>
      <c r="K954" s="589" t="s">
        <v>2187</v>
      </c>
      <c r="L954" s="663" t="s">
        <v>2188</v>
      </c>
    </row>
    <row r="955" spans="1:19" s="148" customFormat="1" ht="19.95" customHeight="1">
      <c r="A955" s="590" t="str">
        <f>A950</f>
        <v>SALT1_309</v>
      </c>
      <c r="B955" s="272">
        <f>E237</f>
        <v>1.1447786035986376</v>
      </c>
      <c r="C955" s="272">
        <f>F237</f>
        <v>1.1301366312479124E-2</v>
      </c>
      <c r="D955" s="272">
        <f>I950</f>
        <v>1.1685443031888774</v>
      </c>
      <c r="E955" s="272">
        <f>J950</f>
        <v>1.7729031744949993E-2</v>
      </c>
      <c r="F955" s="590">
        <v>3</v>
      </c>
      <c r="G955" s="590" t="b">
        <f>IF(ABS(B955-D955)&lt;2*SQRT(C955^2+E955^2/F955),TRUE,FALSE)</f>
        <v>1</v>
      </c>
      <c r="H955" s="590" t="b">
        <f>IF(SQRT(F955)*(ABS(D955-B955)-2*C955)/E955&gt;ABS(_xlfn.T.INV(0.05/2,F955-1)),FALSE,TRUE)</f>
        <v>1</v>
      </c>
      <c r="I955" s="590" t="b">
        <f>IF(AND((D955-B955)^2/MAX(E955^2/(F955-1),C955^2)&lt;_xlfn.T.INV(0.05/2,F955-1)^2,F955&gt;2),TRUE,FALSE)</f>
        <v>1</v>
      </c>
      <c r="J955" s="590" t="b">
        <f>IF(SQRT(F955)*ABS(D955-B955)/(E955/(1-0.333/F955))&gt;ABS(_xlfn.T.INV(0.05/2,F955-1)),FALSE,TRUE)</f>
        <v>1</v>
      </c>
      <c r="K955" s="590" t="b">
        <f>IF(F955*(D955-B955)^2/(2*C955)^2&lt;_xlfn.CHISQ.INV(SQRT(0.95),1),IF((F955-1)*E955^2/(2*C955)^2&lt;_xlfn.CHISQ.INV(SQRT(0.95),F955-1),TRUE,FALSE),FALSE)</f>
        <v>1</v>
      </c>
      <c r="L955" s="794">
        <f>D955/B955</f>
        <v>1.0207600836664241</v>
      </c>
    </row>
    <row r="956" spans="1:19" s="148" customFormat="1" ht="19.95" customHeight="1">
      <c r="A956" s="589" t="str">
        <f>A951</f>
        <v>MOOS3</v>
      </c>
      <c r="B956" s="81">
        <v>1.3839999999999999</v>
      </c>
      <c r="C956" s="81">
        <v>7.4999999999999997E-3</v>
      </c>
      <c r="D956" s="143">
        <f>I951</f>
        <v>1.3934885980029033</v>
      </c>
      <c r="E956" s="143">
        <f>J951</f>
        <v>2.0206599194756283E-2</v>
      </c>
      <c r="F956" s="589">
        <v>3</v>
      </c>
      <c r="G956" s="589" t="b">
        <f>IF(ABS(B956-D956)&lt;2*SQRT(C956^2+E956^2/F956),TRUE,FALSE)</f>
        <v>1</v>
      </c>
      <c r="H956" s="589" t="b">
        <f>IF(SQRT(F956)*(ABS(D956-B956)-2*C956)/E956&gt;ABS(_xlfn.T.INV(0.05/2,F956-1)),FALSE,TRUE)</f>
        <v>1</v>
      </c>
      <c r="I956" s="589" t="b">
        <f>IF(AND((D956-B956)^2/MAX(E956^2/(F956-1),C956^2)&lt;_xlfn.T.INV(0.05/2,F956-1)^2,F956&gt;2),TRUE,FALSE)</f>
        <v>1</v>
      </c>
      <c r="J956" s="589" t="b">
        <f>IF(SQRT(F956)*ABS(D956-B956)/(E956/(1-0.333/F956))&gt;ABS(_xlfn.T.INV(0.05/2,F956-1)),FALSE,TRUE)</f>
        <v>1</v>
      </c>
      <c r="K956" s="589" t="b">
        <f>IF(F956*(D956-B956)^2/(2*C956)^2&lt;_xlfn.CHISQ.INV(SQRT(0.95),1),IF((F956-1)*E956^2/(2*C956)^2&lt;_xlfn.CHISQ.INV(SQRT(0.95),F956-1),TRUE,FALSE),FALSE)</f>
        <v>1</v>
      </c>
      <c r="L956" s="321">
        <f>D956/B956</f>
        <v>1.0068559234125025</v>
      </c>
    </row>
    <row r="957" spans="1:19" s="148" customFormat="1" ht="19.95" customHeight="1">
      <c r="A957" s="148" t="s">
        <v>2216</v>
      </c>
      <c r="B957" s="233"/>
      <c r="C957" s="233"/>
      <c r="D957" s="233"/>
    </row>
    <row r="958" spans="1:19" s="148" customFormat="1" ht="19.95" customHeight="1">
      <c r="A958" s="148" t="s">
        <v>2189</v>
      </c>
      <c r="D958" s="723"/>
    </row>
    <row r="959" spans="1:19" s="148" customFormat="1" ht="19.95" customHeight="1">
      <c r="A959" s="523" t="s">
        <v>2730</v>
      </c>
      <c r="D959" s="723"/>
    </row>
    <row r="960" spans="1:19" s="148" customFormat="1" ht="19.95" customHeight="1">
      <c r="A960" s="523" t="s">
        <v>2731</v>
      </c>
      <c r="D960" s="723"/>
    </row>
    <row r="961" spans="1:68" s="148" customFormat="1" ht="19.95" customHeight="1">
      <c r="A961" s="233"/>
      <c r="D961" s="723"/>
    </row>
    <row r="962" spans="1:68" s="588" customFormat="1" ht="19.95" customHeight="1">
      <c r="A962" s="623" t="s">
        <v>1909</v>
      </c>
      <c r="B962" s="167"/>
      <c r="C962" s="167"/>
      <c r="D962" s="168"/>
      <c r="E962" s="167"/>
      <c r="F962" s="167"/>
      <c r="G962" s="167"/>
      <c r="H962" s="167"/>
      <c r="I962" s="167"/>
      <c r="J962" s="167"/>
      <c r="K962" s="167"/>
      <c r="L962" s="167"/>
      <c r="M962" s="167"/>
      <c r="N962" s="167"/>
      <c r="O962" s="167"/>
      <c r="P962" s="167"/>
      <c r="Q962" s="167"/>
      <c r="R962" s="167"/>
      <c r="S962" s="167"/>
      <c r="T962" s="167"/>
      <c r="U962" s="167"/>
      <c r="V962" s="167"/>
      <c r="W962" s="167"/>
      <c r="X962" s="167"/>
      <c r="Y962" s="167"/>
      <c r="Z962" s="167"/>
      <c r="AA962" s="167"/>
      <c r="AB962" s="167"/>
      <c r="AC962" s="167"/>
      <c r="AD962" s="167"/>
      <c r="AE962" s="167"/>
      <c r="AF962" s="167"/>
      <c r="AG962" s="167"/>
      <c r="AH962" s="167"/>
      <c r="AI962" s="167"/>
      <c r="AJ962" s="167"/>
      <c r="AK962" s="167"/>
      <c r="AL962" s="167"/>
      <c r="AM962" s="167"/>
      <c r="AN962" s="167"/>
      <c r="AO962" s="167"/>
      <c r="AP962" s="167"/>
      <c r="AQ962" s="167"/>
      <c r="AR962" s="167"/>
      <c r="AS962" s="167"/>
      <c r="AT962" s="167"/>
      <c r="AU962" s="167"/>
      <c r="AV962" s="167"/>
      <c r="AW962" s="167"/>
      <c r="AX962" s="167"/>
      <c r="AY962" s="167"/>
      <c r="AZ962" s="167"/>
      <c r="BA962" s="167"/>
      <c r="BB962" s="167"/>
      <c r="BC962" s="167"/>
      <c r="BD962" s="167"/>
      <c r="BE962" s="167"/>
      <c r="BF962" s="167"/>
      <c r="BG962" s="167"/>
      <c r="BH962" s="167"/>
      <c r="BI962" s="167"/>
      <c r="BJ962" s="167"/>
      <c r="BK962" s="167"/>
      <c r="BL962" s="167"/>
      <c r="BM962" s="167"/>
      <c r="BN962" s="167"/>
      <c r="BO962" s="167"/>
      <c r="BP962" s="167"/>
    </row>
    <row r="963" spans="1:68" s="593" customFormat="1" ht="19.95" customHeight="1">
      <c r="A963" s="80"/>
      <c r="B963" s="80"/>
      <c r="C963" s="80"/>
      <c r="D963" s="80"/>
    </row>
    <row r="964" spans="1:68" s="593" customFormat="1" ht="19.95" customHeight="1">
      <c r="A964" s="80"/>
      <c r="B964" s="80"/>
      <c r="C964" s="80"/>
      <c r="D964" s="80"/>
      <c r="F964" s="593" t="s">
        <v>222</v>
      </c>
      <c r="G964" s="593" t="s">
        <v>223</v>
      </c>
      <c r="H964" s="593" t="s">
        <v>224</v>
      </c>
      <c r="I964" s="593" t="s">
        <v>134</v>
      </c>
      <c r="J964" s="593" t="s">
        <v>292</v>
      </c>
      <c r="K964" s="588" t="s">
        <v>1046</v>
      </c>
      <c r="L964" s="774" t="s">
        <v>2193</v>
      </c>
      <c r="M964" s="774"/>
      <c r="N964" s="774"/>
      <c r="O964" s="774"/>
      <c r="P964" s="290" t="s">
        <v>2064</v>
      </c>
      <c r="Q964" s="290"/>
      <c r="R964" s="290"/>
      <c r="S964" s="228" t="s">
        <v>2194</v>
      </c>
      <c r="T964" s="228"/>
      <c r="U964" s="593" t="s">
        <v>237</v>
      </c>
      <c r="V964" s="593" t="s">
        <v>237</v>
      </c>
      <c r="W964" s="593" t="s">
        <v>2203</v>
      </c>
    </row>
    <row r="965" spans="1:68" s="593" customFormat="1" ht="19.95" customHeight="1">
      <c r="A965" s="209" t="s">
        <v>1908</v>
      </c>
      <c r="C965" s="80"/>
      <c r="D965" s="80"/>
      <c r="F965" s="593" t="s">
        <v>242</v>
      </c>
      <c r="G965" s="593" t="s">
        <v>242</v>
      </c>
      <c r="H965" s="593" t="s">
        <v>242</v>
      </c>
      <c r="I965" s="593" t="s">
        <v>242</v>
      </c>
      <c r="J965" s="593" t="s">
        <v>242</v>
      </c>
      <c r="K965" s="588" t="s">
        <v>242</v>
      </c>
      <c r="L965" s="774" t="s">
        <v>228</v>
      </c>
      <c r="M965" s="774" t="s">
        <v>231</v>
      </c>
      <c r="N965" s="774" t="s">
        <v>2205</v>
      </c>
      <c r="O965" s="774" t="s">
        <v>2071</v>
      </c>
      <c r="P965" s="776" t="s">
        <v>228</v>
      </c>
      <c r="Q965" s="776" t="s">
        <v>231</v>
      </c>
      <c r="R965" s="776" t="s">
        <v>2205</v>
      </c>
      <c r="S965" s="228" t="s">
        <v>228</v>
      </c>
      <c r="T965" s="228" t="s">
        <v>231</v>
      </c>
      <c r="U965" s="593" t="s">
        <v>2206</v>
      </c>
      <c r="V965" s="593" t="s">
        <v>2207</v>
      </c>
      <c r="W965" s="593" t="s">
        <v>2202</v>
      </c>
      <c r="X965" s="314" t="s">
        <v>2400</v>
      </c>
      <c r="Y965" s="314" t="s">
        <v>2685</v>
      </c>
    </row>
    <row r="966" spans="1:68" s="593" customFormat="1" ht="19.95" customHeight="1">
      <c r="A966" s="587" t="str">
        <f>RAW_DATA!A709</f>
        <v>Sample ID</v>
      </c>
      <c r="B966" s="587" t="str">
        <f>RAW_DATA!B709</f>
        <v>Date</v>
      </c>
      <c r="C966" s="587" t="str">
        <f>RAW_DATA!C709</f>
        <v>890nm (Abs)</v>
      </c>
      <c r="D966" s="587" t="s">
        <v>113</v>
      </c>
      <c r="E966" s="587" t="s">
        <v>114</v>
      </c>
      <c r="F966" s="587" t="s">
        <v>2204</v>
      </c>
      <c r="G966" s="587" t="s">
        <v>2204</v>
      </c>
      <c r="H966" s="587" t="s">
        <v>2204</v>
      </c>
      <c r="I966" s="587" t="s">
        <v>2204</v>
      </c>
      <c r="J966" s="587" t="s">
        <v>2204</v>
      </c>
      <c r="K966" s="587" t="s">
        <v>2204</v>
      </c>
      <c r="L966" s="775" t="s">
        <v>156</v>
      </c>
      <c r="M966" s="775" t="s">
        <v>156</v>
      </c>
      <c r="N966" s="775" t="s">
        <v>74</v>
      </c>
      <c r="O966" s="775"/>
      <c r="P966" s="777" t="s">
        <v>156</v>
      </c>
      <c r="Q966" s="777" t="s">
        <v>156</v>
      </c>
      <c r="R966" s="777" t="s">
        <v>74</v>
      </c>
      <c r="S966" s="315" t="s">
        <v>74</v>
      </c>
      <c r="T966" s="315" t="s">
        <v>74</v>
      </c>
      <c r="U966" s="589" t="s">
        <v>156</v>
      </c>
      <c r="V966" s="589" t="s">
        <v>156</v>
      </c>
      <c r="W966" s="783" t="s">
        <v>74</v>
      </c>
      <c r="X966" s="315" t="s">
        <v>241</v>
      </c>
      <c r="Y966" s="315" t="s">
        <v>2686</v>
      </c>
    </row>
    <row r="967" spans="1:68" s="593" customFormat="1" ht="19.95" customHeight="1">
      <c r="A967" s="593" t="str">
        <f>RAW_DATA!A710</f>
        <v>BLS-DIW</v>
      </c>
      <c r="B967" s="770" t="str">
        <f>RAW_DATA!B710</f>
        <v>3/5/2024 2:15:27 PM</v>
      </c>
      <c r="C967" s="80">
        <f>RAW_DATA!C710</f>
        <v>-8.5899999999999995E-4</v>
      </c>
      <c r="D967" s="588"/>
      <c r="E967" s="196"/>
      <c r="F967" s="588"/>
      <c r="H967" s="588"/>
      <c r="U967" s="588"/>
    </row>
    <row r="968" spans="1:68" s="593" customFormat="1" ht="19.95" customHeight="1">
      <c r="A968" s="593" t="str">
        <f>RAW_DATA!A711</f>
        <v>BSL-LNWS</v>
      </c>
      <c r="B968" s="770" t="str">
        <f>RAW_DATA!B711</f>
        <v>3/5/2024 2:16:17 PM</v>
      </c>
      <c r="C968" s="80">
        <f>RAW_DATA!C711</f>
        <v>-1.9580000000000001E-3</v>
      </c>
      <c r="D968" s="588"/>
      <c r="E968" s="152"/>
      <c r="F968" s="588"/>
      <c r="H968" s="588"/>
      <c r="U968" s="588"/>
    </row>
    <row r="969" spans="1:68" s="593" customFormat="1" ht="19.95" customHeight="1">
      <c r="A969" s="593" t="str">
        <f>RAW_DATA!A712</f>
        <v>BSL-M4</v>
      </c>
      <c r="B969" s="770" t="str">
        <f>RAW_DATA!B712</f>
        <v>3/5/2024 2:16:59 PM</v>
      </c>
      <c r="C969" s="80">
        <f>RAW_DATA!C712</f>
        <v>-1.6410000000000001E-3</v>
      </c>
      <c r="D969" s="588"/>
      <c r="E969" s="152"/>
      <c r="F969" s="588"/>
      <c r="H969" s="588"/>
      <c r="U969" s="588"/>
    </row>
    <row r="970" spans="1:68" s="593" customFormat="1" ht="19.95" customHeight="1">
      <c r="A970" s="593" t="str">
        <f>RAW_DATA!A713</f>
        <v>BSL-SALT</v>
      </c>
      <c r="B970" s="770" t="str">
        <f>RAW_DATA!B713</f>
        <v>3/5/2024 2:17:47 PM</v>
      </c>
      <c r="C970" s="80">
        <f>RAW_DATA!C713</f>
        <v>1.4799999999999999E-4</v>
      </c>
      <c r="D970" s="588"/>
      <c r="E970" s="152"/>
      <c r="F970" s="588"/>
      <c r="H970" s="588"/>
      <c r="U970" s="588"/>
    </row>
    <row r="971" spans="1:68" s="593" customFormat="1" ht="19.95" customHeight="1">
      <c r="A971" s="593" t="str">
        <f>RAW_DATA!A714</f>
        <v>BSL-M3</v>
      </c>
      <c r="B971" s="770" t="str">
        <f>RAW_DATA!B714</f>
        <v>3/5/2024 2:18:34 PM</v>
      </c>
      <c r="C971" s="80">
        <f>RAW_DATA!C714</f>
        <v>-2.5010000000000002E-3</v>
      </c>
      <c r="D971" s="588"/>
      <c r="E971" s="152"/>
      <c r="H971" s="588"/>
      <c r="U971" s="588"/>
    </row>
    <row r="972" spans="1:68" s="593" customFormat="1" ht="19.95" customHeight="1">
      <c r="A972" s="593" t="str">
        <f>RAW_DATA!A715</f>
        <v>BLK-DIW</v>
      </c>
      <c r="B972" s="770" t="str">
        <f>RAW_DATA!B715</f>
        <v>3/5/2024 2:19:35 PM</v>
      </c>
      <c r="C972" s="80">
        <f>RAW_DATA!C715</f>
        <v>-3.3700000000000001E-4</v>
      </c>
      <c r="E972" s="152"/>
      <c r="F972" s="805">
        <f>C972-C967</f>
        <v>5.2199999999999989E-4</v>
      </c>
    </row>
    <row r="973" spans="1:68" s="593" customFormat="1" ht="19.95" customHeight="1">
      <c r="A973" s="589" t="str">
        <f>RAW_DATA!A716</f>
        <v>BLK-LNSW</v>
      </c>
      <c r="B973" s="771" t="str">
        <f>RAW_DATA!B716</f>
        <v>3/5/2024 2:20:26 PM</v>
      </c>
      <c r="C973" s="81">
        <f>RAW_DATA!C716</f>
        <v>-2.2269999999999998E-3</v>
      </c>
      <c r="D973" s="589"/>
      <c r="E973" s="589"/>
      <c r="F973" s="806">
        <f>C973-C968</f>
        <v>-2.6899999999999971E-4</v>
      </c>
      <c r="G973" s="589"/>
      <c r="H973" s="81"/>
      <c r="I973" s="589"/>
      <c r="J973" s="589"/>
      <c r="K973" s="589"/>
      <c r="L973" s="589"/>
      <c r="M973" s="589"/>
      <c r="N973" s="589"/>
      <c r="O973" s="589"/>
      <c r="P973" s="589"/>
      <c r="Q973" s="589"/>
      <c r="R973" s="589"/>
      <c r="S973" s="589"/>
      <c r="T973" s="589"/>
      <c r="U973" s="589"/>
      <c r="V973" s="589"/>
      <c r="W973" s="589"/>
      <c r="X973" s="589"/>
      <c r="Y973" s="589"/>
    </row>
    <row r="974" spans="1:68" s="593" customFormat="1" ht="19.95" customHeight="1">
      <c r="A974" s="593" t="str">
        <f>RAW_DATA!A717</f>
        <v>CAL1</v>
      </c>
      <c r="B974" s="770" t="str">
        <f>RAW_DATA!B717</f>
        <v>3/5/2024 2:21:31 PM</v>
      </c>
      <c r="C974" s="80">
        <f>RAW_DATA!C717</f>
        <v>0.13287399999999999</v>
      </c>
      <c r="D974" s="80">
        <f t="shared" ref="D974:D990" si="291">O866</f>
        <v>6.1716999999999995</v>
      </c>
      <c r="E974" s="593">
        <f t="shared" ref="E974:E990" si="292">P866</f>
        <v>7.0086499999999994</v>
      </c>
      <c r="F974" s="156">
        <f>C974-$C$968</f>
        <v>0.13483199999999998</v>
      </c>
      <c r="G974" s="157">
        <f>F974</f>
        <v>0.13483199999999998</v>
      </c>
      <c r="H974" s="80">
        <f t="shared" ref="H974:H990" si="293">G974*E974/D974</f>
        <v>0.15311669342320591</v>
      </c>
      <c r="I974" s="80">
        <f>H974/dLNSW</f>
        <v>0.14949746098475061</v>
      </c>
      <c r="J974" s="199">
        <f>I974</f>
        <v>0.14949746098475061</v>
      </c>
      <c r="K974" s="778">
        <f>J974*(STDEV($I$979:$I$988)/AVERAGE($I$979:$I$988))</f>
        <v>4.33955998895618E-4</v>
      </c>
      <c r="L974" s="543">
        <f t="shared" ref="L974:M978" si="294">R788</f>
        <v>0.12918528101783616</v>
      </c>
      <c r="M974" s="543">
        <f t="shared" si="294"/>
        <v>8.67351198373459E-5</v>
      </c>
    </row>
    <row r="975" spans="1:68" s="593" customFormat="1" ht="19.95" customHeight="1">
      <c r="A975" s="593" t="str">
        <f>RAW_DATA!A718</f>
        <v>CAL2</v>
      </c>
      <c r="B975" s="770" t="str">
        <f>RAW_DATA!B718</f>
        <v>3/5/2024 2:22:33 PM</v>
      </c>
      <c r="C975" s="80">
        <f>RAW_DATA!C718</f>
        <v>0.203345</v>
      </c>
      <c r="D975" s="80">
        <f t="shared" si="291"/>
        <v>6.1594999999999995</v>
      </c>
      <c r="E975" s="80">
        <f t="shared" si="292"/>
        <v>6.9957000000000011</v>
      </c>
      <c r="F975" s="157">
        <f t="shared" ref="F975:F978" si="295">C975-$C$968</f>
        <v>0.20530299999999999</v>
      </c>
      <c r="G975" s="157">
        <f t="shared" ref="G975:G978" si="296">F975</f>
        <v>0.20530299999999999</v>
      </c>
      <c r="H975" s="80">
        <f t="shared" si="293"/>
        <v>0.23317447797710858</v>
      </c>
      <c r="I975" s="80">
        <f>H975/dLNSW</f>
        <v>0.22766291280647033</v>
      </c>
      <c r="J975" s="199">
        <f t="shared" ref="J975:J978" si="297">I975</f>
        <v>0.22766291280647033</v>
      </c>
      <c r="K975" s="778">
        <f t="shared" ref="K975:K978" si="298">J975*(STDEV($I$979:$I$988)/AVERAGE($I$979:$I$988))</f>
        <v>6.6085193746865973E-4</v>
      </c>
      <c r="L975" s="543">
        <f t="shared" si="294"/>
        <v>0.19614999165005781</v>
      </c>
      <c r="M975" s="543">
        <f t="shared" si="294"/>
        <v>1.045318648655512E-4</v>
      </c>
      <c r="U975" s="96"/>
    </row>
    <row r="976" spans="1:68" s="593" customFormat="1" ht="19.95" customHeight="1">
      <c r="A976" s="593" t="str">
        <f>RAW_DATA!A719</f>
        <v>CAL3</v>
      </c>
      <c r="B976" s="770" t="str">
        <f>RAW_DATA!B719</f>
        <v>3/5/2024 2:23:35 PM</v>
      </c>
      <c r="C976" s="80">
        <f>RAW_DATA!C719</f>
        <v>0.26915299999999998</v>
      </c>
      <c r="D976" s="80">
        <f t="shared" si="291"/>
        <v>6.1307999999999998</v>
      </c>
      <c r="E976" s="80">
        <f t="shared" si="292"/>
        <v>6.9676499999999999</v>
      </c>
      <c r="F976" s="157">
        <f t="shared" si="295"/>
        <v>0.27111099999999999</v>
      </c>
      <c r="G976" s="157">
        <f t="shared" si="296"/>
        <v>0.27111099999999999</v>
      </c>
      <c r="H976" s="80">
        <f t="shared" si="293"/>
        <v>0.30811746577118809</v>
      </c>
      <c r="I976" s="80">
        <f>H976/dLNSW</f>
        <v>0.30083446675884973</v>
      </c>
      <c r="J976" s="199">
        <f t="shared" si="297"/>
        <v>0.30083446675884973</v>
      </c>
      <c r="K976" s="778">
        <f t="shared" si="298"/>
        <v>8.7325176404088743E-4</v>
      </c>
      <c r="L976" s="543">
        <f t="shared" si="294"/>
        <v>0.25905704025500537</v>
      </c>
      <c r="M976" s="543">
        <f t="shared" si="294"/>
        <v>1.2306918498232908E-4</v>
      </c>
      <c r="U976" s="96"/>
    </row>
    <row r="977" spans="1:25" s="593" customFormat="1" ht="19.95" customHeight="1">
      <c r="A977" s="593" t="str">
        <f>RAW_DATA!A720</f>
        <v>CAL4</v>
      </c>
      <c r="B977" s="770" t="str">
        <f>RAW_DATA!B720</f>
        <v>3/5/2024 2:24:35 PM</v>
      </c>
      <c r="C977" s="80">
        <f>RAW_DATA!C720</f>
        <v>0.40546500000000002</v>
      </c>
      <c r="D977" s="80">
        <f t="shared" si="291"/>
        <v>6.1456499999999998</v>
      </c>
      <c r="E977" s="80">
        <f t="shared" si="292"/>
        <v>6.9835999999999991</v>
      </c>
      <c r="F977" s="157">
        <f t="shared" si="295"/>
        <v>0.40742300000000004</v>
      </c>
      <c r="G977" s="157">
        <f t="shared" si="296"/>
        <v>0.40742300000000004</v>
      </c>
      <c r="H977" s="80">
        <f t="shared" si="293"/>
        <v>0.46297450437301185</v>
      </c>
      <c r="I977" s="80">
        <f>H977/dLNSW</f>
        <v>0.45203113623369817</v>
      </c>
      <c r="J977" s="199">
        <f t="shared" si="297"/>
        <v>0.45203113623369817</v>
      </c>
      <c r="K977" s="778">
        <f t="shared" si="298"/>
        <v>1.312140165886998E-3</v>
      </c>
      <c r="L977" s="543">
        <f t="shared" si="294"/>
        <v>0.38902391308212836</v>
      </c>
      <c r="M977" s="543">
        <f t="shared" si="294"/>
        <v>1.6668995940527314E-4</v>
      </c>
      <c r="U977" s="96"/>
    </row>
    <row r="978" spans="1:25" s="593" customFormat="1" ht="19.95" customHeight="1">
      <c r="A978" s="589" t="str">
        <f>RAW_DATA!A721</f>
        <v>CAL5</v>
      </c>
      <c r="B978" s="771" t="str">
        <f>RAW_DATA!B721</f>
        <v>3/5/2024 2:25:25 PM</v>
      </c>
      <c r="C978" s="81">
        <f>RAW_DATA!C721</f>
        <v>0.53436300000000003</v>
      </c>
      <c r="D978" s="81">
        <f t="shared" si="291"/>
        <v>6.1522999999999985</v>
      </c>
      <c r="E978" s="81">
        <f t="shared" si="292"/>
        <v>6.98935</v>
      </c>
      <c r="F978" s="155">
        <f t="shared" si="295"/>
        <v>0.53632100000000005</v>
      </c>
      <c r="G978" s="155">
        <f t="shared" si="296"/>
        <v>0.53632100000000005</v>
      </c>
      <c r="H978" s="81">
        <f t="shared" si="293"/>
        <v>0.60929005109471279</v>
      </c>
      <c r="I978" s="81">
        <f>H978/dLNSW</f>
        <v>0.59488820980589174</v>
      </c>
      <c r="J978" s="790">
        <f t="shared" si="297"/>
        <v>0.59488820980589174</v>
      </c>
      <c r="K978" s="779">
        <f t="shared" si="298"/>
        <v>1.7268206805457029E-3</v>
      </c>
      <c r="L978" s="319">
        <f t="shared" si="294"/>
        <v>0.51327962790756176</v>
      </c>
      <c r="M978" s="319">
        <f t="shared" si="294"/>
        <v>2.108855908500903E-4</v>
      </c>
      <c r="N978" s="589"/>
      <c r="O978" s="589"/>
      <c r="P978" s="589"/>
      <c r="Q978" s="589"/>
      <c r="R978" s="589"/>
      <c r="S978" s="589"/>
      <c r="T978" s="589"/>
      <c r="U978" s="100"/>
      <c r="V978" s="589"/>
      <c r="W978" s="589"/>
      <c r="X978" s="589"/>
      <c r="Y978" s="589"/>
    </row>
    <row r="979" spans="1:25" s="593" customFormat="1" ht="19.95" customHeight="1">
      <c r="A979" s="593" t="str">
        <f>RAW_DATA!A722</f>
        <v>052a_1</v>
      </c>
      <c r="B979" s="770" t="str">
        <f>RAW_DATA!B722</f>
        <v>3/5/2024 2:26:44 PM</v>
      </c>
      <c r="C979" s="80">
        <f>RAW_DATA!C722</f>
        <v>0.27287299999999998</v>
      </c>
      <c r="D979" s="80">
        <f t="shared" si="291"/>
        <v>6.1408499999999995</v>
      </c>
      <c r="E979" s="80">
        <f t="shared" si="292"/>
        <v>6.978699999999999</v>
      </c>
      <c r="F979" s="156">
        <f>C979-$C$969</f>
        <v>0.27451399999999998</v>
      </c>
      <c r="G979" s="157">
        <f>F979</f>
        <v>0.27451399999999998</v>
      </c>
      <c r="H979" s="80">
        <f t="shared" si="293"/>
        <v>0.31196835157999292</v>
      </c>
      <c r="I979" s="80">
        <f t="shared" ref="I979:I988" si="299">H979/dMOOS4</f>
        <v>0.30555450374356968</v>
      </c>
      <c r="J979" s="199">
        <f t="shared" ref="J979:J988" si="300">I979/m_efft_PO4_v</f>
        <v>0.30555450374356968</v>
      </c>
      <c r="K979" s="778">
        <f t="shared" ref="K979:K988" si="301">J979*SQRT((STDEV($I$979:$I$988)/AVERAGE($I$979:$I$988))^2+(m_efft_PO4_u/m_efft_PO4_v)^2)</f>
        <v>8.8695292224809841E-4</v>
      </c>
      <c r="L979" s="744" cm="1">
        <f t="array" ref="L979:M979">ResultEXLN_GS($L$974:$L$978,$J$974:$J$978,J979,K979,pPO4v,0)</f>
        <v>0.26334707782292727</v>
      </c>
      <c r="M979" s="744">
        <v>8.008175776665692E-4</v>
      </c>
      <c r="N979" s="743">
        <f>M979/L979</f>
        <v>3.0409206902422261E-3</v>
      </c>
      <c r="O979" s="762">
        <f>INDEX(LINEST($J$974:$J$978,$L$974:$L$978,TRUE,TRUE),3,1)</f>
        <v>0.99999157706240738</v>
      </c>
      <c r="P979" s="791" cm="1">
        <f t="array" ref="P979:Q979">ResultEXLN_MC($L$974:$L$978,$M$974:$M$978,$J$974:$J$978,$K$974:$K$978,J979,K979,MC)</f>
        <v>0.26335489448899596</v>
      </c>
      <c r="Q979" s="791">
        <v>8.4412310495513585E-4</v>
      </c>
      <c r="R979" s="677">
        <f>Q979/P979</f>
        <v>3.2052683379704826E-3</v>
      </c>
      <c r="S979" s="198">
        <f>L979/P979</f>
        <v>0.99997031888819132</v>
      </c>
      <c r="T979" s="784">
        <f>M979/Q979</f>
        <v>0.94869761645622974</v>
      </c>
      <c r="U979" s="138" cm="1">
        <f t="array" ref="U979:V979">ResultEXQD($L$974:$L$978,$J$974:$J$978,J979)</f>
        <v>0.26293702401497082</v>
      </c>
      <c r="V979" s="792">
        <v>39.432857759350341</v>
      </c>
      <c r="W979" s="198">
        <f>L979/U979</f>
        <v>1.0015595133834523</v>
      </c>
      <c r="X979" s="145">
        <f>(L979-AVERAGE($L$979:$L$988))/MEDIAN($M$979:$M$988)</f>
        <v>-0.76391989103515767</v>
      </c>
      <c r="Y979" s="951">
        <f>H979/$H$976</f>
        <v>1.0124981094439629</v>
      </c>
    </row>
    <row r="980" spans="1:25" s="593" customFormat="1" ht="19.95" customHeight="1">
      <c r="A980" s="593" t="str">
        <f>RAW_DATA!A723</f>
        <v>130a_1</v>
      </c>
      <c r="B980" s="770" t="str">
        <f>RAW_DATA!B723</f>
        <v>3/5/2024 2:27:38 PM</v>
      </c>
      <c r="C980" s="80">
        <f>RAW_DATA!C723</f>
        <v>0.27442100000000003</v>
      </c>
      <c r="D980" s="80">
        <f t="shared" si="291"/>
        <v>6.1597000000000008</v>
      </c>
      <c r="E980" s="80">
        <f t="shared" si="292"/>
        <v>6.9978999999999996</v>
      </c>
      <c r="F980" s="157">
        <f t="shared" ref="F980:F988" si="302">C980-$C$969</f>
        <v>0.27606200000000003</v>
      </c>
      <c r="G980" s="157">
        <f t="shared" ref="G980:G988" si="303">F980</f>
        <v>0.27606200000000003</v>
      </c>
      <c r="H980" s="80">
        <f t="shared" si="293"/>
        <v>0.31362798022630967</v>
      </c>
      <c r="I980" s="80">
        <f t="shared" si="299"/>
        <v>0.30718001160311903</v>
      </c>
      <c r="J980" s="199">
        <f t="shared" si="300"/>
        <v>0.30718001160311903</v>
      </c>
      <c r="K980" s="778">
        <f t="shared" si="301"/>
        <v>8.9167138958698758E-4</v>
      </c>
      <c r="L980" s="744" cm="1">
        <f t="array" ref="L980:M980">ResultEXLN_GS($L$974:$L$978,$J$974:$J$978,J980,K980,pPO4v,0)</f>
        <v>0.26474846634887489</v>
      </c>
      <c r="M980" s="744">
        <v>8.0453993609488753E-4</v>
      </c>
      <c r="N980" s="743">
        <f t="shared" ref="N980:N990" si="304">M980/L980</f>
        <v>3.0388842178775727E-3</v>
      </c>
      <c r="O980" s="762">
        <f t="shared" ref="O980:O990" si="305">INDEX(LINEST($J$974:$J$978,$L$974:$L$978,TRUE,TRUE),3,1)</f>
        <v>0.99999157706240738</v>
      </c>
      <c r="P980" s="791" cm="1">
        <f t="array" ref="P980:Q980">ResultEXLN_MC($L$974:$L$978,$M$974:$M$978,$J$974:$J$978,$K$974:$K$978,J980,K980,MC)</f>
        <v>0.26478118003757578</v>
      </c>
      <c r="Q980" s="791">
        <v>8.3618441483912097E-4</v>
      </c>
      <c r="R980" s="677">
        <f t="shared" ref="R980:R990" si="306">Q980/P980</f>
        <v>3.1580205765396768E-3</v>
      </c>
      <c r="S980" s="198">
        <f t="shared" ref="S980:S990" si="307">L980/P980</f>
        <v>0.99987645009854453</v>
      </c>
      <c r="T980" s="784">
        <f t="shared" ref="T980:T990" si="308">M980/Q980</f>
        <v>0.96215610075640823</v>
      </c>
      <c r="U980" s="138" cm="1">
        <f t="array" ref="U980:V980">ResultEXQD($L$974:$L$978,$J$974:$J$978,J980)</f>
        <v>0.2643341206377372</v>
      </c>
      <c r="V980" s="792">
        <v>39.431460662727574</v>
      </c>
      <c r="W980" s="198">
        <f t="shared" ref="W980:W990" si="309">L980/U980</f>
        <v>1.0015675074793144</v>
      </c>
      <c r="X980" s="145">
        <f t="shared" ref="X980:X988" si="310">(L980-AVERAGE($L$979:$L$988))/MEDIAN($M$979:$M$988)</f>
        <v>0.98308921787295067</v>
      </c>
      <c r="Y980" s="951">
        <f t="shared" ref="Y980:Y988" si="311">H980/$H$976</f>
        <v>1.01788445988068</v>
      </c>
    </row>
    <row r="981" spans="1:25" s="593" customFormat="1" ht="19.95" customHeight="1">
      <c r="A981" s="593" t="str">
        <f>RAW_DATA!A724</f>
        <v>207a_1</v>
      </c>
      <c r="B981" s="770" t="str">
        <f>RAW_DATA!B724</f>
        <v>3/5/2024 2:28:21 PM</v>
      </c>
      <c r="C981" s="80">
        <f>RAW_DATA!C724</f>
        <v>0.27326699999999998</v>
      </c>
      <c r="D981" s="80">
        <f t="shared" si="291"/>
        <v>6.1486499999999999</v>
      </c>
      <c r="E981" s="80">
        <f t="shared" si="292"/>
        <v>6.9869000000000003</v>
      </c>
      <c r="F981" s="157">
        <f t="shared" si="302"/>
        <v>0.27490799999999999</v>
      </c>
      <c r="G981" s="157">
        <f t="shared" si="303"/>
        <v>0.27490799999999999</v>
      </c>
      <c r="H981" s="80">
        <f t="shared" si="293"/>
        <v>0.31238641087067892</v>
      </c>
      <c r="I981" s="80">
        <f t="shared" si="299"/>
        <v>0.30596396803202719</v>
      </c>
      <c r="J981" s="199">
        <f t="shared" si="300"/>
        <v>0.30596396803202719</v>
      </c>
      <c r="K981" s="778">
        <f t="shared" si="301"/>
        <v>8.8814150085765608E-4</v>
      </c>
      <c r="L981" s="744" cm="1">
        <f t="array" ref="L981:M981">ResultEXLN_GS($L$974:$L$978,$J$974:$J$978,J981,K981,pPO4v,0)</f>
        <v>0.26370008660861766</v>
      </c>
      <c r="M981" s="744">
        <v>8.017542727842751E-4</v>
      </c>
      <c r="N981" s="743">
        <f t="shared" si="304"/>
        <v>3.0404020078091017E-3</v>
      </c>
      <c r="O981" s="762">
        <f t="shared" si="305"/>
        <v>0.99999157706240738</v>
      </c>
      <c r="P981" s="791" cm="1">
        <f t="array" ref="P981:Q981">ResultEXLN_MC($L$974:$L$978,$M$974:$M$978,$J$974:$J$978,$K$974:$K$978,J981,K981,MC)</f>
        <v>0.26371556840032984</v>
      </c>
      <c r="Q981" s="791">
        <v>8.2777001050846793E-4</v>
      </c>
      <c r="R981" s="677">
        <f t="shared" si="306"/>
        <v>3.1388742633953371E-3</v>
      </c>
      <c r="S981" s="198">
        <f t="shared" si="307"/>
        <v>0.99994129359974426</v>
      </c>
      <c r="T981" s="784">
        <f t="shared" si="308"/>
        <v>0.96857129710677448</v>
      </c>
      <c r="U981" s="138" cm="1">
        <f t="array" ref="U981:V981">ResultEXQD($L$974:$L$978,$J$974:$J$978,J981)</f>
        <v>0.26328894228262867</v>
      </c>
      <c r="V981" s="792">
        <v>39.43250584108268</v>
      </c>
      <c r="W981" s="198">
        <f t="shared" si="309"/>
        <v>1.0015615708066754</v>
      </c>
      <c r="X981" s="145">
        <f t="shared" si="310"/>
        <v>-0.32384952317719301</v>
      </c>
      <c r="Y981" s="951">
        <f t="shared" si="311"/>
        <v>1.013854927336904</v>
      </c>
    </row>
    <row r="982" spans="1:25" s="593" customFormat="1" ht="19.95" customHeight="1">
      <c r="A982" s="593" t="str">
        <f>RAW_DATA!A725</f>
        <v>284a_1</v>
      </c>
      <c r="B982" s="770" t="str">
        <f>RAW_DATA!B725</f>
        <v>3/5/2024 2:29:01 PM</v>
      </c>
      <c r="C982" s="80">
        <f>RAW_DATA!C725</f>
        <v>0.273507</v>
      </c>
      <c r="D982" s="80">
        <f t="shared" si="291"/>
        <v>6.1401500000000002</v>
      </c>
      <c r="E982" s="80">
        <f t="shared" si="292"/>
        <v>6.9759999999999991</v>
      </c>
      <c r="F982" s="157">
        <f t="shared" si="302"/>
        <v>0.275148</v>
      </c>
      <c r="G982" s="157">
        <f t="shared" si="303"/>
        <v>0.275148</v>
      </c>
      <c r="H982" s="80">
        <f t="shared" si="293"/>
        <v>0.31260351098914518</v>
      </c>
      <c r="I982" s="80">
        <f t="shared" si="299"/>
        <v>0.30617660472618113</v>
      </c>
      <c r="J982" s="199">
        <f t="shared" si="300"/>
        <v>0.30617660472618113</v>
      </c>
      <c r="K982" s="778">
        <f t="shared" si="301"/>
        <v>8.8875873521338108E-4</v>
      </c>
      <c r="L982" s="744" cm="1">
        <f t="array" ref="L982:M982">ResultEXLN_GS($L$974:$L$978,$J$974:$J$978,J982,K982,pPO4v,0)</f>
        <v>0.26388340569971414</v>
      </c>
      <c r="M982" s="744">
        <v>8.0224095980974879E-4</v>
      </c>
      <c r="N982" s="743">
        <f t="shared" si="304"/>
        <v>3.040134174722067E-3</v>
      </c>
      <c r="O982" s="762">
        <f t="shared" si="305"/>
        <v>0.99999157706240738</v>
      </c>
      <c r="P982" s="791" cm="1">
        <f t="array" ref="P982:Q982">ResultEXLN_MC($L$974:$L$978,$M$974:$M$978,$J$974:$J$978,$K$974:$K$978,J982,K982,MC)</f>
        <v>0.26391175918734239</v>
      </c>
      <c r="Q982" s="791">
        <v>8.5945717471818642E-4</v>
      </c>
      <c r="R982" s="677">
        <f t="shared" si="306"/>
        <v>3.2566081078186657E-3</v>
      </c>
      <c r="S982" s="198">
        <f t="shared" si="307"/>
        <v>0.9998925645158232</v>
      </c>
      <c r="T982" s="784">
        <f t="shared" si="308"/>
        <v>0.93342749750480747</v>
      </c>
      <c r="U982" s="138" cm="1">
        <f t="array" ref="U982:V982">ResultEXQD($L$974:$L$978,$J$974:$J$978,J982)</f>
        <v>0.26347169755732891</v>
      </c>
      <c r="V982" s="792">
        <v>39.43232308580798</v>
      </c>
      <c r="W982" s="198">
        <f t="shared" si="309"/>
        <v>1.0015626275846787</v>
      </c>
      <c r="X982" s="145">
        <f t="shared" si="310"/>
        <v>-9.5318950782401088E-2</v>
      </c>
      <c r="Y982" s="951">
        <f t="shared" si="311"/>
        <v>1.0145595291287008</v>
      </c>
    </row>
    <row r="983" spans="1:25" s="593" customFormat="1" ht="19.95" customHeight="1">
      <c r="A983" s="593" t="str">
        <f>RAW_DATA!A726</f>
        <v>360a_1</v>
      </c>
      <c r="B983" s="770" t="str">
        <f>RAW_DATA!B726</f>
        <v>3/5/2024 2:29:44 PM</v>
      </c>
      <c r="C983" s="80">
        <f>RAW_DATA!C726</f>
        <v>0.27404299999999998</v>
      </c>
      <c r="D983" s="80">
        <f t="shared" si="291"/>
        <v>6.156600000000001</v>
      </c>
      <c r="E983" s="80">
        <f t="shared" si="292"/>
        <v>6.9929500000000004</v>
      </c>
      <c r="F983" s="157">
        <f t="shared" si="302"/>
        <v>0.27568399999999998</v>
      </c>
      <c r="G983" s="157">
        <f t="shared" si="303"/>
        <v>0.27568399999999998</v>
      </c>
      <c r="H983" s="80">
        <f t="shared" si="293"/>
        <v>0.31313459178767494</v>
      </c>
      <c r="I983" s="80">
        <f t="shared" si="299"/>
        <v>0.30669676688051711</v>
      </c>
      <c r="J983" s="199">
        <f t="shared" si="300"/>
        <v>0.30669676688051711</v>
      </c>
      <c r="K983" s="778">
        <f t="shared" si="301"/>
        <v>8.9026864371474074E-4</v>
      </c>
      <c r="L983" s="744" cm="1">
        <f t="array" ref="L983:M983">ResultEXLN_GS($L$974:$L$978,$J$974:$J$978,J983,K983,pPO4v,0)</f>
        <v>0.26433184971703233</v>
      </c>
      <c r="M983" s="744">
        <v>8.0343225506680836E-4</v>
      </c>
      <c r="N983" s="743">
        <f t="shared" si="304"/>
        <v>3.0394833461305699E-3</v>
      </c>
      <c r="O983" s="762">
        <f t="shared" si="305"/>
        <v>0.99999157706240738</v>
      </c>
      <c r="P983" s="791" cm="1">
        <f t="array" ref="P983:Q983">ResultEXLN_MC($L$974:$L$978,$M$974:$M$978,$J$974:$J$978,$K$974:$K$978,J983,K983,MC)</f>
        <v>0.2643654048099468</v>
      </c>
      <c r="Q983" s="791">
        <v>8.4402342010315089E-4</v>
      </c>
      <c r="R983" s="677">
        <f t="shared" si="306"/>
        <v>3.1926394480772634E-3</v>
      </c>
      <c r="S983" s="198">
        <f t="shared" si="307"/>
        <v>0.99987307305606576</v>
      </c>
      <c r="T983" s="784">
        <f t="shared" si="308"/>
        <v>0.95190753707831743</v>
      </c>
      <c r="U983" s="138" cm="1">
        <f t="array" ref="U983:V983">ResultEXQD($L$974:$L$978,$J$974:$J$978,J983)</f>
        <v>0.26391876952853716</v>
      </c>
      <c r="V983" s="792">
        <v>39.431876013836771</v>
      </c>
      <c r="W983" s="198">
        <f t="shared" si="309"/>
        <v>1.0015651792755518</v>
      </c>
      <c r="X983" s="145">
        <f t="shared" si="310"/>
        <v>0.46372357638576633</v>
      </c>
      <c r="Y983" s="951">
        <f t="shared" si="311"/>
        <v>1.0162831600731541</v>
      </c>
    </row>
    <row r="984" spans="1:25" s="593" customFormat="1" ht="19.95" customHeight="1">
      <c r="A984" s="593" t="str">
        <f>RAW_DATA!A727</f>
        <v>052a_2</v>
      </c>
      <c r="B984" s="770" t="str">
        <f>RAW_DATA!B727</f>
        <v>3/5/2024 2:30:29 PM</v>
      </c>
      <c r="C984" s="80">
        <f>RAW_DATA!C727</f>
        <v>0.27305800000000002</v>
      </c>
      <c r="D984" s="80">
        <f t="shared" si="291"/>
        <v>6.1257999999999999</v>
      </c>
      <c r="E984" s="80">
        <f t="shared" si="292"/>
        <v>6.9610000000000003</v>
      </c>
      <c r="F984" s="157">
        <f t="shared" si="302"/>
        <v>0.27469900000000003</v>
      </c>
      <c r="G984" s="157">
        <f t="shared" si="303"/>
        <v>0.27469900000000003</v>
      </c>
      <c r="H984" s="80">
        <f t="shared" si="293"/>
        <v>0.31215183959646092</v>
      </c>
      <c r="I984" s="80">
        <f t="shared" si="299"/>
        <v>0.3057342193766806</v>
      </c>
      <c r="J984" s="199">
        <f t="shared" si="300"/>
        <v>0.3057342193766806</v>
      </c>
      <c r="K984" s="778">
        <f t="shared" si="301"/>
        <v>8.8747459449972123E-4</v>
      </c>
      <c r="L984" s="744" cm="1">
        <f t="array" ref="L984:M984">ResultEXLN_GS($L$974:$L$978,$J$974:$J$978,J984,K984,pPO4v,0)</f>
        <v>0.2635020148936375</v>
      </c>
      <c r="M984" s="744">
        <v>8.0122861687545238E-4</v>
      </c>
      <c r="N984" s="743">
        <f t="shared" si="304"/>
        <v>3.040692562441574E-3</v>
      </c>
      <c r="O984" s="762">
        <f t="shared" si="305"/>
        <v>0.99999157706240738</v>
      </c>
      <c r="P984" s="791" cm="1">
        <f t="array" ref="P984:Q984">ResultEXLN_MC($L$974:$L$978,$M$974:$M$978,$J$974:$J$978,$K$974:$K$978,J984,K984,MC)</f>
        <v>0.26351423146318392</v>
      </c>
      <c r="Q984" s="791">
        <v>8.2630338779215518E-4</v>
      </c>
      <c r="R984" s="677">
        <f t="shared" si="306"/>
        <v>3.1357068770215533E-3</v>
      </c>
      <c r="S984" s="198">
        <f t="shared" si="307"/>
        <v>0.99995363981110774</v>
      </c>
      <c r="T984" s="784">
        <f t="shared" si="308"/>
        <v>0.96965428039245793</v>
      </c>
      <c r="U984" s="138" cm="1">
        <f t="array" ref="U984:V984">ResultEXQD($L$974:$L$978,$J$974:$J$978,J984)</f>
        <v>0.26309148167399043</v>
      </c>
      <c r="V984" s="792">
        <v>39.432703301691319</v>
      </c>
      <c r="W984" s="198">
        <f t="shared" si="309"/>
        <v>1.0015604200373001</v>
      </c>
      <c r="X984" s="145">
        <f t="shared" si="310"/>
        <v>-0.57077111835251293</v>
      </c>
      <c r="Y984" s="951">
        <f t="shared" si="311"/>
        <v>1.0130936226389347</v>
      </c>
    </row>
    <row r="985" spans="1:25" s="593" customFormat="1" ht="19.95" customHeight="1">
      <c r="A985" s="593" t="str">
        <f>RAW_DATA!A728</f>
        <v>130a_2</v>
      </c>
      <c r="B985" s="770" t="str">
        <f>RAW_DATA!B728</f>
        <v>3/5/2024 2:31:12 PM</v>
      </c>
      <c r="C985" s="80">
        <f>RAW_DATA!C728</f>
        <v>0.27565299999999998</v>
      </c>
      <c r="D985" s="80">
        <f t="shared" si="291"/>
        <v>6.1440999999999999</v>
      </c>
      <c r="E985" s="80">
        <f t="shared" si="292"/>
        <v>6.9613999999999994</v>
      </c>
      <c r="F985" s="157">
        <f t="shared" si="302"/>
        <v>0.27729399999999998</v>
      </c>
      <c r="G985" s="157">
        <f t="shared" si="303"/>
        <v>0.27729399999999998</v>
      </c>
      <c r="H985" s="80">
        <f t="shared" si="293"/>
        <v>0.31418018124704999</v>
      </c>
      <c r="I985" s="80">
        <f t="shared" si="299"/>
        <v>0.3077208597628906</v>
      </c>
      <c r="J985" s="199">
        <f t="shared" si="300"/>
        <v>0.3077208597628906</v>
      </c>
      <c r="K985" s="778">
        <f t="shared" si="301"/>
        <v>8.9324134470113148E-4</v>
      </c>
      <c r="L985" s="744" cm="1">
        <f t="array" ref="L985:M985">ResultEXLN_GS($L$974:$L$978,$J$974:$J$978,J985,K985,pPO4v,0)</f>
        <v>0.26521474425761038</v>
      </c>
      <c r="M985" s="744">
        <v>8.0578071811508375E-4</v>
      </c>
      <c r="N985" s="743">
        <f t="shared" si="304"/>
        <v>3.0382199163573151E-3</v>
      </c>
      <c r="O985" s="762">
        <f t="shared" si="305"/>
        <v>0.99999157706240738</v>
      </c>
      <c r="P985" s="791" cm="1">
        <f t="array" ref="P985:Q985">ResultEXLN_MC($L$974:$L$978,$M$974:$M$978,$J$974:$J$978,$K$974:$K$978,J985,K985,MC)</f>
        <v>0.26520853978199499</v>
      </c>
      <c r="Q985" s="791">
        <v>8.425179262667548E-4</v>
      </c>
      <c r="R985" s="677">
        <f t="shared" si="306"/>
        <v>3.176812959942074E-3</v>
      </c>
      <c r="S985" s="198">
        <f t="shared" si="307"/>
        <v>1.0000233947052402</v>
      </c>
      <c r="T985" s="784">
        <f t="shared" si="308"/>
        <v>0.95639593294536096</v>
      </c>
      <c r="U985" s="138" cm="1">
        <f t="array" ref="U985:V985">ResultEXQD($L$974:$L$978,$J$974:$J$978,J985)</f>
        <v>0.26479899261898676</v>
      </c>
      <c r="V985" s="792">
        <v>39.430995790746323</v>
      </c>
      <c r="W985" s="198">
        <f t="shared" si="309"/>
        <v>1.0015700650312587</v>
      </c>
      <c r="X985" s="145">
        <f t="shared" si="310"/>
        <v>1.5643639598597934</v>
      </c>
      <c r="Y985" s="951">
        <f t="shared" si="311"/>
        <v>1.0196766368329284</v>
      </c>
    </row>
    <row r="986" spans="1:25" s="593" customFormat="1" ht="19.95" customHeight="1">
      <c r="A986" s="593" t="str">
        <f>RAW_DATA!A729</f>
        <v>207a_2</v>
      </c>
      <c r="B986" s="770" t="str">
        <f>RAW_DATA!B729</f>
        <v>3/5/2024 2:32:00 PM</v>
      </c>
      <c r="C986" s="80">
        <f>RAW_DATA!C729</f>
        <v>0.27206999999999998</v>
      </c>
      <c r="D986" s="80">
        <f t="shared" si="291"/>
        <v>6.1325000000000012</v>
      </c>
      <c r="E986" s="80">
        <f t="shared" si="292"/>
        <v>6.9684999999999997</v>
      </c>
      <c r="F986" s="157">
        <f t="shared" si="302"/>
        <v>0.27371099999999998</v>
      </c>
      <c r="G986" s="157">
        <f t="shared" si="303"/>
        <v>0.27371099999999998</v>
      </c>
      <c r="H986" s="80">
        <f t="shared" si="293"/>
        <v>0.31102406905829588</v>
      </c>
      <c r="I986" s="80">
        <f t="shared" si="299"/>
        <v>0.30462963500015527</v>
      </c>
      <c r="J986" s="199">
        <f t="shared" si="300"/>
        <v>0.30462963500015527</v>
      </c>
      <c r="K986" s="778">
        <f t="shared" si="301"/>
        <v>8.8426824562046875E-4</v>
      </c>
      <c r="L986" s="744" cm="1">
        <f t="array" ref="L986:M986">ResultEXLN_GS($L$974:$L$978,$J$974:$J$978,J986,K986,pPO4v,0)</f>
        <v>0.26254972674436167</v>
      </c>
      <c r="M986" s="744">
        <v>7.9870424507866951E-4</v>
      </c>
      <c r="N986" s="743">
        <f t="shared" si="304"/>
        <v>3.0421065562804741E-3</v>
      </c>
      <c r="O986" s="762">
        <f t="shared" si="305"/>
        <v>0.99999157706240738</v>
      </c>
      <c r="P986" s="791" cm="1">
        <f t="array" ref="P986:Q986">ResultEXLN_MC($L$974:$L$978,$M$974:$M$978,$J$974:$J$978,$K$974:$K$978,J986,K986,MC)</f>
        <v>0.26256159705644277</v>
      </c>
      <c r="Q986" s="791">
        <v>8.3127840250752055E-4</v>
      </c>
      <c r="R986" s="677">
        <f t="shared" si="306"/>
        <v>3.1660319400358496E-3</v>
      </c>
      <c r="S986" s="198">
        <f t="shared" si="307"/>
        <v>0.99995479037218626</v>
      </c>
      <c r="T986" s="784">
        <f t="shared" si="308"/>
        <v>0.96081438260564411</v>
      </c>
      <c r="U986" s="138" cm="1">
        <f t="array" ref="U986:V986">ResultEXQD($L$974:$L$978,$J$974:$J$978,J986)</f>
        <v>0.2621421593923578</v>
      </c>
      <c r="V986" s="792">
        <v>39.433652623972954</v>
      </c>
      <c r="W986" s="198">
        <f t="shared" si="309"/>
        <v>1.0015547569797572</v>
      </c>
      <c r="X986" s="145">
        <f t="shared" si="310"/>
        <v>-1.7579194646436773</v>
      </c>
      <c r="Y986" s="951">
        <f t="shared" si="311"/>
        <v>1.0094334259170699</v>
      </c>
    </row>
    <row r="987" spans="1:25" s="593" customFormat="1" ht="19.95" customHeight="1">
      <c r="A987" s="593" t="str">
        <f>RAW_DATA!A730</f>
        <v>284a_2</v>
      </c>
      <c r="B987" s="770" t="str">
        <f>RAW_DATA!B730</f>
        <v>3/5/2024 2:32:40 PM</v>
      </c>
      <c r="C987" s="80">
        <f>RAW_DATA!C730</f>
        <v>0.27345399999999997</v>
      </c>
      <c r="D987" s="80">
        <f t="shared" si="291"/>
        <v>6.1462500000000002</v>
      </c>
      <c r="E987" s="80">
        <f t="shared" si="292"/>
        <v>6.9827500000000011</v>
      </c>
      <c r="F987" s="157">
        <f t="shared" si="302"/>
        <v>0.27509499999999998</v>
      </c>
      <c r="G987" s="157">
        <f t="shared" si="303"/>
        <v>0.27509499999999998</v>
      </c>
      <c r="H987" s="80">
        <f t="shared" si="293"/>
        <v>0.31253522249339033</v>
      </c>
      <c r="I987" s="80">
        <f t="shared" si="299"/>
        <v>0.30610972019341975</v>
      </c>
      <c r="J987" s="199">
        <f t="shared" si="300"/>
        <v>0.30610972019341975</v>
      </c>
      <c r="K987" s="778">
        <f t="shared" si="301"/>
        <v>8.8856458513194192E-4</v>
      </c>
      <c r="L987" s="744" cm="1">
        <f t="array" ref="L987:M987">ResultEXLN_GS($L$974:$L$978,$J$974:$J$978,J987,K987,pPO4v,0)</f>
        <v>0.26382574297220129</v>
      </c>
      <c r="M987" s="744">
        <v>8.0208785427811672E-4</v>
      </c>
      <c r="N987" s="743">
        <f t="shared" si="304"/>
        <v>3.0402183094112648E-3</v>
      </c>
      <c r="O987" s="762">
        <f t="shared" si="305"/>
        <v>0.99999157706240738</v>
      </c>
      <c r="P987" s="791" cm="1">
        <f t="array" ref="P987:Q987">ResultEXLN_MC($L$974:$L$978,$M$974:$M$978,$J$974:$J$978,$K$974:$K$978,J987,K987,MC)</f>
        <v>0.26385972872744168</v>
      </c>
      <c r="Q987" s="791">
        <v>8.4731767025235242E-4</v>
      </c>
      <c r="R987" s="677">
        <f t="shared" si="306"/>
        <v>3.211242861268926E-3</v>
      </c>
      <c r="S987" s="198">
        <f t="shared" si="307"/>
        <v>0.99987119764200361</v>
      </c>
      <c r="T987" s="784">
        <f t="shared" si="308"/>
        <v>0.94662000149157144</v>
      </c>
      <c r="U987" s="138" cm="1">
        <f t="array" ref="U987:V987">ResultEXQD($L$974:$L$978,$J$974:$J$978,J987)</f>
        <v>0.26341421199351245</v>
      </c>
      <c r="V987" s="792">
        <v>39.432380571371795</v>
      </c>
      <c r="W987" s="198">
        <f t="shared" si="309"/>
        <v>1.0015622960339703</v>
      </c>
      <c r="X987" s="145">
        <f t="shared" si="310"/>
        <v>-0.16720287757657953</v>
      </c>
      <c r="Y987" s="951">
        <f t="shared" si="311"/>
        <v>1.0143378977596904</v>
      </c>
    </row>
    <row r="988" spans="1:25" s="593" customFormat="1" ht="19.95" customHeight="1">
      <c r="A988" s="589" t="str">
        <f>RAW_DATA!A731</f>
        <v>360a_2</v>
      </c>
      <c r="B988" s="771" t="str">
        <f>RAW_DATA!B731</f>
        <v>3/5/2024 2:33:28 PM</v>
      </c>
      <c r="C988" s="81">
        <f>RAW_DATA!C731</f>
        <v>0.27408500000000002</v>
      </c>
      <c r="D988" s="81">
        <f t="shared" si="291"/>
        <v>6.1477000000000004</v>
      </c>
      <c r="E988" s="81">
        <f t="shared" si="292"/>
        <v>6.9861000000000004</v>
      </c>
      <c r="F988" s="155">
        <f t="shared" si="302"/>
        <v>0.27572600000000003</v>
      </c>
      <c r="G988" s="155">
        <f t="shared" si="303"/>
        <v>0.27572600000000003</v>
      </c>
      <c r="H988" s="81">
        <f t="shared" si="293"/>
        <v>0.31332846570262052</v>
      </c>
      <c r="I988" s="81">
        <f t="shared" si="299"/>
        <v>0.30688665488540606</v>
      </c>
      <c r="J988" s="790">
        <f t="shared" si="300"/>
        <v>0.30688665488540606</v>
      </c>
      <c r="K988" s="779">
        <f t="shared" si="301"/>
        <v>8.9081984397123399E-4</v>
      </c>
      <c r="L988" s="747" cm="1">
        <f t="array" ref="L988:M988">ResultEXLN_GS($L$974:$L$978,$J$974:$J$978,J988,K988,pPO4v,0)</f>
        <v>0.26449555662850815</v>
      </c>
      <c r="M988" s="747">
        <v>8.0386740417775061E-4</v>
      </c>
      <c r="N988" s="746">
        <f t="shared" si="304"/>
        <v>3.0392472918053825E-3</v>
      </c>
      <c r="O988" s="763">
        <f t="shared" si="305"/>
        <v>0.99999157706240738</v>
      </c>
      <c r="P988" s="680" cm="1">
        <f t="array" ref="P988:Q988">ResultEXLN_MC($L$974:$L$978,$M$974:$M$978,$J$974:$J$978,$K$974:$K$978,J988,K988,MC)</f>
        <v>0.26447802206296578</v>
      </c>
      <c r="Q988" s="680">
        <v>8.5039080708947036E-4</v>
      </c>
      <c r="R988" s="679">
        <f t="shared" si="306"/>
        <v>3.2153552890947326E-3</v>
      </c>
      <c r="S988" s="201">
        <f t="shared" si="307"/>
        <v>1.0000662987623909</v>
      </c>
      <c r="T988" s="785">
        <f t="shared" si="308"/>
        <v>0.94529173819393719</v>
      </c>
      <c r="U988" s="140" cm="1">
        <f t="array" ref="U988:V988">ResultEXQD($L$974:$L$978,$J$974:$J$978,J988)</f>
        <v>0.26408197811010797</v>
      </c>
      <c r="V988" s="793">
        <v>39.431712805255202</v>
      </c>
      <c r="W988" s="201">
        <f t="shared" si="309"/>
        <v>1.0015660989869886</v>
      </c>
      <c r="X988" s="146">
        <f t="shared" si="310"/>
        <v>0.66780507144873424</v>
      </c>
      <c r="Y988" s="684">
        <f t="shared" si="311"/>
        <v>1.0169123808622462</v>
      </c>
    </row>
    <row r="989" spans="1:25" s="593" customFormat="1" ht="19.95" customHeight="1">
      <c r="A989" s="593" t="str">
        <f>RAW_DATA!A732</f>
        <v>SALT1_309</v>
      </c>
      <c r="B989" s="770" t="str">
        <f>RAW_DATA!B732</f>
        <v>3/5/2024 2:34:57 PM</v>
      </c>
      <c r="C989" s="80">
        <f>RAW_DATA!C732</f>
        <v>0.15690399999999999</v>
      </c>
      <c r="D989" s="80">
        <f t="shared" si="291"/>
        <v>6.1447500000000002</v>
      </c>
      <c r="E989" s="80">
        <f t="shared" si="292"/>
        <v>6.9819999999999993</v>
      </c>
      <c r="F989" s="157">
        <f>C989-C970</f>
        <v>0.15675599999999998</v>
      </c>
      <c r="G989" s="157">
        <f>F989</f>
        <v>0.15675599999999998</v>
      </c>
      <c r="H989" s="80">
        <f t="shared" si="293"/>
        <v>0.17811471451238858</v>
      </c>
      <c r="I989" s="80">
        <f>H989/dSALT1</f>
        <v>0.17407401603381054</v>
      </c>
      <c r="J989" s="199">
        <f>I989</f>
        <v>0.17407401603381054</v>
      </c>
      <c r="K989" s="778">
        <f t="shared" ref="K989:K990" si="312">J989*(STDEV($I$979:$I$988)/AVERAGE($I$979:$I$988))</f>
        <v>5.0529596296909369E-4</v>
      </c>
      <c r="L989" s="744" cm="1">
        <f t="array" ref="L989:M989">ResultEXLN_GS($L$974:$L$978,$J$974:$J$978,J989,K989,pPO4v,0)</f>
        <v>0.14999465951254423</v>
      </c>
      <c r="M989" s="744">
        <v>5.5143646863316633E-4</v>
      </c>
      <c r="N989" s="743">
        <f t="shared" si="304"/>
        <v>3.6763740150831774E-3</v>
      </c>
      <c r="O989" s="762">
        <f t="shared" si="305"/>
        <v>0.99999157706240738</v>
      </c>
      <c r="P989" s="766" cm="1">
        <f t="array" ref="P989:Q989">ResultEXLN_MC($L$974:$L$978,$M$974:$M$978,$J$974:$J$978,$K$974:$K$978,J989,K989,MC)</f>
        <v>0.14998947016720157</v>
      </c>
      <c r="Q989" s="766">
        <v>5.9312111976415481E-4</v>
      </c>
      <c r="R989" s="677">
        <f t="shared" si="306"/>
        <v>3.9544183941910708E-3</v>
      </c>
      <c r="S989" s="198">
        <f t="shared" si="307"/>
        <v>1.0000345980643632</v>
      </c>
      <c r="T989" s="784">
        <f t="shared" si="308"/>
        <v>0.92971983336630515</v>
      </c>
      <c r="U989" s="138" cm="1">
        <f t="array" ref="U989:V989">ResultEXQD($L$974:$L$978,$J$974:$J$978,J989)</f>
        <v>0.15025991988592782</v>
      </c>
      <c r="V989" s="792">
        <v>39.545534863479382</v>
      </c>
      <c r="W989" s="198">
        <f t="shared" si="309"/>
        <v>0.9982346564966561</v>
      </c>
    </row>
    <row r="990" spans="1:25" s="593" customFormat="1" ht="19.95" customHeight="1">
      <c r="A990" s="589" t="str">
        <f>RAW_DATA!A733</f>
        <v>MOOS3</v>
      </c>
      <c r="B990" s="771" t="str">
        <f>RAW_DATA!B733</f>
        <v>3/5/2024 2:35:55 PM</v>
      </c>
      <c r="C990" s="81">
        <f>RAW_DATA!C733</f>
        <v>0.16153400000000001</v>
      </c>
      <c r="D990" s="81">
        <f t="shared" si="291"/>
        <v>6.1633000000000004</v>
      </c>
      <c r="E990" s="81">
        <f t="shared" si="292"/>
        <v>6.9921999999999995</v>
      </c>
      <c r="F990" s="155">
        <f>C990-C971</f>
        <v>0.16403500000000001</v>
      </c>
      <c r="G990" s="155">
        <f t="shared" ref="G990" si="313">F990</f>
        <v>0.16403500000000001</v>
      </c>
      <c r="H990" s="81">
        <f t="shared" si="293"/>
        <v>0.18609600814498725</v>
      </c>
      <c r="I990" s="81">
        <f>H990/dMOOS3</f>
        <v>0.18055303012029422</v>
      </c>
      <c r="J990" s="790">
        <f>I990</f>
        <v>0.18055303012029422</v>
      </c>
      <c r="K990" s="779">
        <f t="shared" si="312"/>
        <v>5.2410301836146322E-4</v>
      </c>
      <c r="L990" s="747" cm="1">
        <f t="array" ref="L990:M990">ResultEXLN_GS($L$974:$L$978,$J$974:$J$978,J990,K990,pPO4v,0)</f>
        <v>0.15558036981650331</v>
      </c>
      <c r="M990" s="747">
        <v>5.6030139070355862E-4</v>
      </c>
      <c r="N990" s="746">
        <f t="shared" si="304"/>
        <v>3.6013630213400111E-3</v>
      </c>
      <c r="O990" s="763">
        <f t="shared" si="305"/>
        <v>0.99999157706240738</v>
      </c>
      <c r="P990" s="767" cm="1">
        <f t="array" ref="P990:Q990">ResultEXLN_MC($L$974:$L$978,$M$974:$M$978,$J$974:$J$978,$K$974:$K$978,J990,K990,MC)</f>
        <v>0.15558171606799656</v>
      </c>
      <c r="Q990" s="767">
        <v>5.8432332359046452E-4</v>
      </c>
      <c r="R990" s="679">
        <f t="shared" si="306"/>
        <v>3.7557326037918723E-3</v>
      </c>
      <c r="S990" s="201">
        <f t="shared" si="307"/>
        <v>0.99999134698133385</v>
      </c>
      <c r="T990" s="785">
        <f t="shared" si="308"/>
        <v>0.95888931364351604</v>
      </c>
      <c r="U990" s="140" cm="1">
        <f t="array" ref="U990:V990">ResultEXQD($L$974:$L$978,$J$974:$J$978,J990)</f>
        <v>0.155797249903044</v>
      </c>
      <c r="V990" s="793">
        <v>39.53999753346227</v>
      </c>
      <c r="W990" s="201">
        <f t="shared" si="309"/>
        <v>0.99860793379423796</v>
      </c>
      <c r="X990" s="589"/>
      <c r="Y990" s="589"/>
    </row>
    <row r="991" spans="1:25" s="593" customFormat="1" ht="19.95" customHeight="1">
      <c r="A991" s="80"/>
      <c r="B991" s="80"/>
      <c r="C991" s="80"/>
      <c r="D991" s="80"/>
    </row>
    <row r="992" spans="1:25" s="148" customFormat="1" ht="19.95" customHeight="1">
      <c r="A992" s="593"/>
      <c r="B992" s="380" t="s">
        <v>2178</v>
      </c>
      <c r="C992" s="230"/>
      <c r="D992" s="380" t="s">
        <v>2184</v>
      </c>
      <c r="E992" s="230"/>
      <c r="F992" s="230"/>
      <c r="G992" s="380" t="s">
        <v>2185</v>
      </c>
      <c r="H992" s="230"/>
      <c r="I992" s="230"/>
      <c r="J992" s="230"/>
      <c r="K992" s="230"/>
      <c r="L992" s="233" t="s">
        <v>217</v>
      </c>
    </row>
    <row r="993" spans="1:68" s="148" customFormat="1" ht="19.95" customHeight="1">
      <c r="A993" s="587" t="s">
        <v>100</v>
      </c>
      <c r="B993" s="663" t="s">
        <v>2179</v>
      </c>
      <c r="C993" s="663" t="s">
        <v>2180</v>
      </c>
      <c r="D993" s="663" t="s">
        <v>229</v>
      </c>
      <c r="E993" s="663" t="s">
        <v>1171</v>
      </c>
      <c r="F993" s="663" t="s">
        <v>1172</v>
      </c>
      <c r="G993" s="589" t="s">
        <v>2181</v>
      </c>
      <c r="H993" s="589" t="s">
        <v>2182</v>
      </c>
      <c r="I993" s="589" t="s">
        <v>2183</v>
      </c>
      <c r="J993" s="589" t="s">
        <v>2186</v>
      </c>
      <c r="K993" s="589" t="s">
        <v>2187</v>
      </c>
      <c r="L993" s="663" t="s">
        <v>2188</v>
      </c>
    </row>
    <row r="994" spans="1:68" s="148" customFormat="1" ht="19.95" customHeight="1">
      <c r="A994" s="590" t="str">
        <f>A989</f>
        <v>SALT1_309</v>
      </c>
      <c r="B994" s="730">
        <f>G237</f>
        <v>0.14918301164953388</v>
      </c>
      <c r="C994" s="730">
        <f>H237</f>
        <v>9.7276365759753911E-4</v>
      </c>
      <c r="D994" s="272">
        <f>L989</f>
        <v>0.14999465951254423</v>
      </c>
      <c r="E994" s="272">
        <f>M989</f>
        <v>5.5143646863316633E-4</v>
      </c>
      <c r="F994" s="590">
        <v>3</v>
      </c>
      <c r="G994" s="590" t="b">
        <f>IF(ABS(B994-D994)&lt;2*SQRT(C994^2+E994^2/F994),TRUE,FALSE)</f>
        <v>1</v>
      </c>
      <c r="H994" s="590" t="b">
        <f>IF(SQRT(F994)*(ABS(D994-B994)-2*C994)/E994&gt;ABS(_xlfn.T.INV(0.05/2,F994-1)),FALSE,TRUE)</f>
        <v>1</v>
      </c>
      <c r="I994" s="590" t="b">
        <f>IF(AND((D994-B994)^2/MAX(E994^2/(F994-1),C994^2)&lt;_xlfn.T.INV(0.05/2,F994-1)^2,F994&gt;2),TRUE,FALSE)</f>
        <v>1</v>
      </c>
      <c r="J994" s="590" t="b">
        <f>IF(SQRT(F994)*ABS(D994-B994)/(E994/(1-0.333/F994))&gt;ABS(_xlfn.T.INV(0.05/2,F994-1)),FALSE,TRUE)</f>
        <v>1</v>
      </c>
      <c r="K994" s="590" t="b">
        <f>IF(F994*(D994-B994)^2/(2*C994)^2&lt;_xlfn.CHISQ.INV(SQRT(0.95),1),IF((F994-1)*E994^2/(2*C994)^2&lt;_xlfn.CHISQ.INV(SQRT(0.95),F994-1),TRUE,FALSE),FALSE)</f>
        <v>1</v>
      </c>
      <c r="L994" s="794">
        <f>D994/B994</f>
        <v>1.0054406185666576</v>
      </c>
    </row>
    <row r="995" spans="1:68" s="148" customFormat="1" ht="19.95" customHeight="1">
      <c r="A995" s="589" t="str">
        <f>A990</f>
        <v>MOOS3</v>
      </c>
      <c r="B995" s="319">
        <v>0.14699999999999999</v>
      </c>
      <c r="C995" s="319">
        <f>0.013/2</f>
        <v>6.4999999999999997E-3</v>
      </c>
      <c r="D995" s="143">
        <f>L990</f>
        <v>0.15558036981650331</v>
      </c>
      <c r="E995" s="143">
        <f>M990</f>
        <v>5.6030139070355862E-4</v>
      </c>
      <c r="F995" s="589">
        <v>3</v>
      </c>
      <c r="G995" s="589" t="b">
        <f>IF(ABS(B995-D995)&lt;2*SQRT(C995^2+E995^2/F995),TRUE,FALSE)</f>
        <v>1</v>
      </c>
      <c r="H995" s="589" t="b">
        <f>IF(SQRT(F995)*(ABS(D995-B995)-2*C995)/E995&gt;ABS(_xlfn.T.INV(0.05/2,F995-1)),FALSE,TRUE)</f>
        <v>1</v>
      </c>
      <c r="I995" s="589" t="b">
        <f>IF(AND((D995-B995)^2/MAX(E995^2/(F995-1),C995^2)&lt;_xlfn.T.INV(0.05/2,F995-1)^2,F995&gt;2),TRUE,FALSE)</f>
        <v>1</v>
      </c>
      <c r="J995" s="589" t="b">
        <f>IF(SQRT(F995)*ABS(D995-B995)/(E995/(1-0.333/F995))&gt;ABS(_xlfn.T.INV(0.05/2,F995-1)),FALSE,TRUE)</f>
        <v>0</v>
      </c>
      <c r="K995" s="589" t="b">
        <f>IF(F995*(D995-B995)^2/(2*C995)^2&lt;_xlfn.CHISQ.INV(SQRT(0.95),1),IF((F995-1)*E995^2/(2*C995)^2&lt;_xlfn.CHISQ.INV(SQRT(0.95),F995-1),TRUE,FALSE),FALSE)</f>
        <v>1</v>
      </c>
      <c r="L995" s="321">
        <f>D995/B995</f>
        <v>1.0583698626973015</v>
      </c>
    </row>
    <row r="996" spans="1:68" s="148" customFormat="1" ht="19.95" customHeight="1">
      <c r="A996" s="148" t="s">
        <v>2214</v>
      </c>
      <c r="B996" s="233"/>
      <c r="C996" s="233"/>
      <c r="D996" s="233"/>
    </row>
    <row r="997" spans="1:68" s="148" customFormat="1" ht="19.95" customHeight="1">
      <c r="A997" s="148" t="s">
        <v>2189</v>
      </c>
      <c r="D997" s="723"/>
    </row>
    <row r="998" spans="1:68" s="148" customFormat="1" ht="19.95" customHeight="1">
      <c r="A998" s="523" t="s">
        <v>2730</v>
      </c>
      <c r="D998" s="723"/>
    </row>
    <row r="999" spans="1:68" s="148" customFormat="1" ht="19.95" customHeight="1">
      <c r="A999" s="523" t="s">
        <v>2731</v>
      </c>
      <c r="D999" s="723"/>
    </row>
    <row r="1000" spans="1:68" s="588" customFormat="1" ht="19.95" customHeight="1">
      <c r="D1000" s="479"/>
      <c r="O1000" s="148"/>
      <c r="P1000" s="148"/>
    </row>
    <row r="1001" spans="1:68" s="588" customFormat="1" ht="19.95" customHeight="1">
      <c r="A1001" s="623" t="s">
        <v>2229</v>
      </c>
      <c r="B1001" s="167"/>
      <c r="C1001" s="167"/>
      <c r="D1001" s="168"/>
      <c r="E1001" s="167"/>
      <c r="F1001" s="167"/>
      <c r="G1001" s="167"/>
      <c r="H1001" s="167"/>
      <c r="I1001" s="167"/>
      <c r="J1001" s="167"/>
      <c r="K1001" s="167"/>
      <c r="L1001" s="167"/>
      <c r="M1001" s="167"/>
      <c r="N1001" s="167"/>
      <c r="O1001" s="167"/>
      <c r="P1001" s="167"/>
      <c r="Q1001" s="167"/>
      <c r="R1001" s="167"/>
      <c r="S1001" s="167"/>
      <c r="T1001" s="167"/>
      <c r="U1001" s="167"/>
      <c r="V1001" s="167"/>
      <c r="W1001" s="167"/>
      <c r="X1001" s="167"/>
      <c r="Y1001" s="167"/>
      <c r="Z1001" s="167"/>
      <c r="AA1001" s="167"/>
      <c r="AB1001" s="167"/>
      <c r="AC1001" s="167"/>
      <c r="AD1001" s="167"/>
      <c r="AE1001" s="167"/>
      <c r="AF1001" s="167"/>
      <c r="AG1001" s="167"/>
      <c r="AH1001" s="167"/>
      <c r="AI1001" s="167"/>
      <c r="AJ1001" s="167"/>
      <c r="AK1001" s="167"/>
      <c r="AL1001" s="167"/>
      <c r="AM1001" s="167"/>
      <c r="AN1001" s="167"/>
      <c r="AO1001" s="167"/>
      <c r="AP1001" s="167"/>
      <c r="AQ1001" s="167"/>
      <c r="AR1001" s="167"/>
      <c r="AS1001" s="167"/>
      <c r="AT1001" s="167"/>
      <c r="AU1001" s="167"/>
      <c r="AV1001" s="167"/>
      <c r="AW1001" s="167"/>
      <c r="AX1001" s="167"/>
      <c r="AY1001" s="167"/>
      <c r="AZ1001" s="167"/>
      <c r="BA1001" s="167"/>
      <c r="BB1001" s="167"/>
      <c r="BC1001" s="167"/>
      <c r="BD1001" s="167"/>
      <c r="BE1001" s="167"/>
      <c r="BF1001" s="167"/>
      <c r="BG1001" s="167"/>
      <c r="BH1001" s="167"/>
      <c r="BI1001" s="167"/>
      <c r="BJ1001" s="167"/>
      <c r="BK1001" s="167"/>
      <c r="BL1001" s="167"/>
      <c r="BM1001" s="167"/>
      <c r="BN1001" s="167"/>
      <c r="BO1001" s="167"/>
      <c r="BP1001" s="167"/>
    </row>
    <row r="1002" spans="1:68" s="148" customFormat="1" ht="19.95" customHeight="1">
      <c r="A1002" s="233"/>
      <c r="D1002" s="723"/>
    </row>
    <row r="1003" spans="1:68" s="148" customFormat="1" ht="19.95" customHeight="1">
      <c r="A1003" s="587" t="s">
        <v>102</v>
      </c>
      <c r="B1003" s="587" t="s">
        <v>1528</v>
      </c>
      <c r="C1003" s="587" t="s">
        <v>2055</v>
      </c>
      <c r="D1003" s="195" t="s">
        <v>2</v>
      </c>
      <c r="E1003" s="587" t="s">
        <v>2052</v>
      </c>
      <c r="F1003" s="587" t="s">
        <v>2080</v>
      </c>
      <c r="G1003" s="587" t="s">
        <v>2053</v>
      </c>
      <c r="H1003" s="587" t="s">
        <v>117</v>
      </c>
      <c r="I1003" s="728" t="s">
        <v>2175</v>
      </c>
      <c r="J1003" s="728" t="s">
        <v>2176</v>
      </c>
    </row>
    <row r="1004" spans="1:68" s="148" customFormat="1" ht="19.95" customHeight="1">
      <c r="A1004" s="148" t="str">
        <f>RAW_DATA!J745</f>
        <v>AB1</v>
      </c>
      <c r="B1004" s="317">
        <f>RAW_DATA!K745</f>
        <v>0.48329486166307661</v>
      </c>
      <c r="C1004" s="317">
        <f>RAW_DATA!L745</f>
        <v>1.4432543280539039E-3</v>
      </c>
      <c r="D1004" s="724">
        <f>RAW_DATA!M745</f>
        <v>45357.498101851903</v>
      </c>
      <c r="E1004" s="725">
        <f>R812</f>
        <v>3.8953203021118731E-2</v>
      </c>
      <c r="F1004" s="725">
        <f>S812</f>
        <v>3.1361942874945648E-5</v>
      </c>
      <c r="G1004" s="730">
        <f t="shared" ref="G1004:H1007" si="314">O827</f>
        <v>7.9849999999999994</v>
      </c>
      <c r="H1004" s="730">
        <f t="shared" si="314"/>
        <v>0.79544999999999888</v>
      </c>
      <c r="I1004" s="317">
        <f>E1004*G1004/H1004</f>
        <v>0.39102561584465834</v>
      </c>
      <c r="J1004" s="317">
        <f t="shared" ref="J1004:J1009" si="315">I1004*SQRT((F1004/E1004)^2+(u_m3/G1004)^2+(u_m3/H1004)^2)</f>
        <v>3.444366478335335E-4</v>
      </c>
      <c r="L1004" s="732"/>
    </row>
    <row r="1005" spans="1:68" s="148" customFormat="1" ht="19.95" customHeight="1">
      <c r="A1005" s="148" t="str">
        <f>RAW_DATA!J746</f>
        <v>AB2A</v>
      </c>
      <c r="B1005" s="317">
        <f>RAW_DATA!K746</f>
        <v>0.94403220347205818</v>
      </c>
      <c r="C1005" s="317">
        <f>RAW_DATA!L746</f>
        <v>2.819145560113874E-3</v>
      </c>
      <c r="D1005" s="724">
        <f>RAW_DATA!M746</f>
        <v>45357.508055555598</v>
      </c>
      <c r="E1005" s="725">
        <f>R813</f>
        <v>7.8023581621625857E-2</v>
      </c>
      <c r="F1005" s="725">
        <f>S813</f>
        <v>4.094756989872857E-5</v>
      </c>
      <c r="G1005" s="543">
        <f t="shared" si="314"/>
        <v>7.9883500000000005</v>
      </c>
      <c r="H1005" s="543">
        <f t="shared" si="314"/>
        <v>0.79630000000000045</v>
      </c>
      <c r="I1005" s="317">
        <f t="shared" ref="I1005:I1009" si="316">E1005*G1005/H1005</f>
        <v>0.78271967631183548</v>
      </c>
      <c r="J1005" s="317">
        <f t="shared" si="315"/>
        <v>4.9679193477509588E-4</v>
      </c>
    </row>
    <row r="1006" spans="1:68" s="148" customFormat="1" ht="19.95" customHeight="1">
      <c r="A1006" s="148" t="str">
        <f>RAW_DATA!J747</f>
        <v>AB2B</v>
      </c>
      <c r="B1006" s="317">
        <f>RAW_DATA!K747</f>
        <v>0.94991825580834577</v>
      </c>
      <c r="C1006" s="317">
        <f>RAW_DATA!L747</f>
        <v>2.8367229671656807E-3</v>
      </c>
      <c r="D1006" s="724">
        <f>RAW_DATA!M747</f>
        <v>45357.5179166667</v>
      </c>
      <c r="E1006" s="725">
        <f>E1005</f>
        <v>7.8023581621625857E-2</v>
      </c>
      <c r="F1006" s="725">
        <f>F1005</f>
        <v>4.094756989872857E-5</v>
      </c>
      <c r="G1006" s="543">
        <f t="shared" si="314"/>
        <v>8.0289999999999999</v>
      </c>
      <c r="H1006" s="543">
        <f t="shared" si="314"/>
        <v>0.79610000000000092</v>
      </c>
      <c r="I1006" s="317">
        <f t="shared" si="316"/>
        <v>0.78690031006159178</v>
      </c>
      <c r="J1006" s="317">
        <f t="shared" si="315"/>
        <v>4.9947683263915185E-4</v>
      </c>
    </row>
    <row r="1007" spans="1:68" s="148" customFormat="1" ht="19.95" customHeight="1">
      <c r="A1007" s="148" t="str">
        <f>RAW_DATA!J748</f>
        <v>AB3</v>
      </c>
      <c r="B1007" s="317">
        <f>RAW_DATA!K748</f>
        <v>1.8522915648289231</v>
      </c>
      <c r="C1007" s="317">
        <f>RAW_DATA!L748</f>
        <v>5.5314633566718131E-3</v>
      </c>
      <c r="D1007" s="724">
        <f>RAW_DATA!M748</f>
        <v>45357.527754629598</v>
      </c>
      <c r="E1007" s="317">
        <f>R814</f>
        <v>0.15549821442680034</v>
      </c>
      <c r="F1007" s="317">
        <f>S814</f>
        <v>6.6299271764051201E-5</v>
      </c>
      <c r="G1007" s="543">
        <f t="shared" si="314"/>
        <v>7.9785000000000004</v>
      </c>
      <c r="H1007" s="543">
        <f t="shared" si="314"/>
        <v>0.79564999999999664</v>
      </c>
      <c r="I1007" s="317">
        <f t="shared" si="316"/>
        <v>1.5592817241302479</v>
      </c>
      <c r="J1007" s="317">
        <f t="shared" si="315"/>
        <v>8.6735305366423881E-4</v>
      </c>
    </row>
    <row r="1008" spans="1:68" s="148" customFormat="1" ht="19.95" customHeight="1">
      <c r="A1008" s="228" t="str">
        <f>RAW_DATA!J759</f>
        <v>AB2C</v>
      </c>
      <c r="B1008" s="543">
        <f>RAW_DATA!K759</f>
        <v>0.94856001508868137</v>
      </c>
      <c r="C1008" s="543">
        <f>RAW_DATA!L759</f>
        <v>2.8326668785276826E-3</v>
      </c>
      <c r="D1008" s="724">
        <f>RAW_DATA!M759</f>
        <v>45357.636412036998</v>
      </c>
      <c r="E1008" s="596">
        <f>E1006</f>
        <v>7.8023581621625857E-2</v>
      </c>
      <c r="F1008" s="596">
        <f>F1006</f>
        <v>4.094756989872857E-5</v>
      </c>
      <c r="G1008" s="543">
        <f>O843</f>
        <v>8.0198999999999998</v>
      </c>
      <c r="H1008" s="543">
        <f>P843</f>
        <v>0.79475000000000229</v>
      </c>
      <c r="I1008" s="543">
        <f t="shared" si="316"/>
        <v>0.78734359515228103</v>
      </c>
      <c r="J1008" s="543">
        <f t="shared" si="315"/>
        <v>5.0002607133484026E-4</v>
      </c>
    </row>
    <row r="1009" spans="1:19" s="148" customFormat="1" ht="19.95" customHeight="1">
      <c r="A1009" s="315" t="str">
        <f>RAW_DATA!J761</f>
        <v>AB4</v>
      </c>
      <c r="B1009" s="319">
        <f>RAW_DATA!K761</f>
        <v>2.762551338589089</v>
      </c>
      <c r="C1009" s="319">
        <f>RAW_DATA!L761</f>
        <v>8.2497549470520615E-3</v>
      </c>
      <c r="D1009" s="726">
        <f>RAW_DATA!M761</f>
        <v>45357.656099537002</v>
      </c>
      <c r="E1009" s="319">
        <f>R815</f>
        <v>0.23414074821627562</v>
      </c>
      <c r="F1009" s="319">
        <f>S815</f>
        <v>9.4968681936543451E-5</v>
      </c>
      <c r="G1009" s="319">
        <f>O844</f>
        <v>7.9967500000000005</v>
      </c>
      <c r="H1009" s="319">
        <f>P844</f>
        <v>0.79639999999999667</v>
      </c>
      <c r="I1009" s="319">
        <f t="shared" si="316"/>
        <v>2.3510359471352462</v>
      </c>
      <c r="J1009" s="319">
        <f t="shared" si="315"/>
        <v>1.270210468728928E-3</v>
      </c>
    </row>
    <row r="1010" spans="1:19" s="148" customFormat="1" ht="19.95" customHeight="1">
      <c r="A1010" s="233"/>
      <c r="D1010" s="723"/>
    </row>
    <row r="1011" spans="1:19" s="148" customFormat="1" ht="19.95" customHeight="1">
      <c r="A1011" s="228"/>
      <c r="B1011" s="543"/>
      <c r="C1011" s="543"/>
      <c r="D1011" s="727"/>
      <c r="E1011" s="543"/>
      <c r="F1011" s="543"/>
      <c r="G1011" s="588"/>
      <c r="H1011" s="588"/>
      <c r="I1011" s="737" t="s">
        <v>2063</v>
      </c>
      <c r="J1011" s="737"/>
      <c r="K1011" s="737"/>
      <c r="L1011" s="737"/>
      <c r="M1011" s="290" t="s">
        <v>2064</v>
      </c>
      <c r="N1011" s="290"/>
      <c r="O1011" s="290"/>
      <c r="P1011" s="480" t="s">
        <v>2065</v>
      </c>
      <c r="Q1011" s="480" t="s">
        <v>2066</v>
      </c>
      <c r="R1011" s="314" t="s">
        <v>2400</v>
      </c>
      <c r="S1011" s="314" t="s">
        <v>2685</v>
      </c>
    </row>
    <row r="1012" spans="1:19" s="148" customFormat="1" ht="19.95" customHeight="1">
      <c r="A1012" s="587" t="s">
        <v>102</v>
      </c>
      <c r="B1012" s="587" t="s">
        <v>115</v>
      </c>
      <c r="C1012" s="587" t="s">
        <v>2068</v>
      </c>
      <c r="D1012" s="195" t="s">
        <v>2</v>
      </c>
      <c r="E1012" s="587" t="s">
        <v>116</v>
      </c>
      <c r="F1012" s="587" t="s">
        <v>117</v>
      </c>
      <c r="G1012" s="587" t="s">
        <v>1530</v>
      </c>
      <c r="H1012" s="587" t="s">
        <v>2067</v>
      </c>
      <c r="I1012" s="738" t="s">
        <v>1531</v>
      </c>
      <c r="J1012" s="738" t="s">
        <v>2069</v>
      </c>
      <c r="K1012" s="738" t="s">
        <v>2070</v>
      </c>
      <c r="L1012" s="738" t="s">
        <v>2071</v>
      </c>
      <c r="M1012" s="668" t="s">
        <v>1531</v>
      </c>
      <c r="N1012" s="668" t="s">
        <v>2069</v>
      </c>
      <c r="O1012" s="668" t="s">
        <v>2070</v>
      </c>
      <c r="P1012" s="589" t="s">
        <v>2230</v>
      </c>
      <c r="Q1012" s="589" t="s">
        <v>2230</v>
      </c>
      <c r="R1012" s="315" t="s">
        <v>241</v>
      </c>
      <c r="S1012" s="315" t="s">
        <v>2686</v>
      </c>
    </row>
    <row r="1013" spans="1:19" s="148" customFormat="1" ht="19.95" customHeight="1">
      <c r="A1013" s="148" t="str">
        <f>RAW_DATA!J749</f>
        <v>052_A1</v>
      </c>
      <c r="B1013" s="317">
        <f>RAW_DATA!K749</f>
        <v>0.93791040605560416</v>
      </c>
      <c r="C1013" s="317">
        <f>RAW_DATA!L749</f>
        <v>2.8008641519764832E-3</v>
      </c>
      <c r="D1013" s="724">
        <f>RAW_DATA!M749</f>
        <v>45357.537650462997</v>
      </c>
      <c r="E1013" s="317">
        <f t="shared" ref="E1013:E1022" si="317">O831</f>
        <v>8.1932000000000009</v>
      </c>
      <c r="F1013" s="317">
        <f t="shared" ref="F1013:F1022" si="318">P831</f>
        <v>0.79545000000000066</v>
      </c>
      <c r="G1013" s="725">
        <f>F1013/E1013</f>
        <v>9.7086608406971697E-2</v>
      </c>
      <c r="H1013" s="725">
        <f t="shared" ref="H1013:H1023" si="319">G1013*SQRT((u_m3/E1013)^2+(u_m3/F1013)^2)</f>
        <v>3.4683957035503648E-5</v>
      </c>
      <c r="I1013" s="761">
        <f t="array" ref="I1013:J1013">ResultIDMS_GS($I$1004:$I$1009,$B$1004:$B$1009,G1013,H1013,B1013,C1013)</f>
        <v>7.5441163597349301E-2</v>
      </c>
      <c r="J1013" s="761">
        <v>2.3784697567350312E-4</v>
      </c>
      <c r="K1013" s="740">
        <f>J1013/I1013</f>
        <v>3.1527479738112114E-3</v>
      </c>
      <c r="L1013" s="741">
        <f>INDEX(FitIDMS($I$1004:$I$1009,$B$1004:$B$1009),5,2)</f>
        <v>0.99999869242938055</v>
      </c>
      <c r="M1013" s="765">
        <f t="array" ref="M1013:N1013">ResultIDMS_MT($I$1004:$I$1009,$J$1004:$J$1009,$B$1004:$B$1009,$C$1004:$C$1009,G1013,H1013,B1013,C1013,MC)</f>
        <v>7.5445135085837819E-2</v>
      </c>
      <c r="N1013" s="765">
        <v>2.7177938821000867E-4</v>
      </c>
      <c r="O1013" s="751">
        <f>N1013/M1013</f>
        <v>3.6023447754555842E-3</v>
      </c>
      <c r="P1013" s="732">
        <f>I1013/M1013</f>
        <v>0.99994735925008282</v>
      </c>
      <c r="Q1013" s="732">
        <f>J1013/N1013</f>
        <v>0.87514721863202749</v>
      </c>
      <c r="R1013" s="735">
        <f>(I1013-AVERAGE($I$1013:$I$1022))/MEDIAN($J$1013:$J$1022)</f>
        <v>0.1015858001342546</v>
      </c>
      <c r="S1013" s="945">
        <f>B1013/AVERAGE($B$1005,$B$1008,$B$1006)</f>
        <v>0.98987540891695025</v>
      </c>
    </row>
    <row r="1014" spans="1:19" s="148" customFormat="1" ht="19.95" customHeight="1">
      <c r="A1014" s="148" t="str">
        <f>RAW_DATA!J750</f>
        <v>130_A1</v>
      </c>
      <c r="B1014" s="317">
        <f>RAW_DATA!K750</f>
        <v>0.93257447533495696</v>
      </c>
      <c r="C1014" s="317">
        <f>RAW_DATA!L750</f>
        <v>2.7849295627274495E-3</v>
      </c>
      <c r="D1014" s="724">
        <f>RAW_DATA!M750</f>
        <v>45357.547523148103</v>
      </c>
      <c r="E1014" s="317">
        <f t="shared" si="317"/>
        <v>8.1403999999999996</v>
      </c>
      <c r="F1014" s="317">
        <f t="shared" si="318"/>
        <v>0.79469999999999885</v>
      </c>
      <c r="G1014" s="725">
        <f t="shared" ref="G1014:G1023" si="320">F1014/E1014</f>
        <v>9.7624195371234693E-2</v>
      </c>
      <c r="H1014" s="725">
        <f t="shared" si="319"/>
        <v>3.4910732920070374E-5</v>
      </c>
      <c r="I1014" s="761">
        <f t="array" ref="I1014:J1014">ResultIDMS_GS($I$1004:$I$1009,$B$1004:$B$1009,G1014,H1014,B1014,C1014)</f>
        <v>7.5415866801682122E-2</v>
      </c>
      <c r="J1014" s="761">
        <v>2.3782726743797863E-4</v>
      </c>
      <c r="K1014" s="740">
        <f t="shared" ref="K1014:K1023" si="321">J1014/I1014</f>
        <v>3.1535441747740276E-3</v>
      </c>
      <c r="L1014" s="741">
        <f>INDEX(FitIDMS($I$1004:$I$1009,$B$1004:$B$1009),5,2)</f>
        <v>0.99999869242938055</v>
      </c>
      <c r="M1014" s="765">
        <f t="array" ref="M1014:N1014">ResultIDMS_MT($I$1004:$I$1009,$J$1004:$J$1009,$B$1004:$B$1009,$C$1004:$C$1009,G1014,H1014,B1014,C1014,MC)</f>
        <v>7.5425604461130585E-2</v>
      </c>
      <c r="N1014" s="765">
        <v>2.7221296077625031E-4</v>
      </c>
      <c r="O1014" s="751">
        <f t="shared" ref="O1014:O1023" si="322">N1014/M1014</f>
        <v>3.609025909981683E-3</v>
      </c>
      <c r="P1014" s="732">
        <f t="shared" ref="P1014:P1023" si="323">I1014/M1014</f>
        <v>0.99987089716392685</v>
      </c>
      <c r="Q1014" s="732">
        <f t="shared" ref="Q1014:Q1023" si="324">J1014/N1014</f>
        <v>0.87368091056275776</v>
      </c>
      <c r="R1014" s="735">
        <f t="shared" ref="R1014:R1022" si="325">(I1014-AVERAGE($I$1013:$I$1022))/MEDIAN($J$1013:$J$1022)</f>
        <v>-4.776047426410219E-3</v>
      </c>
      <c r="S1014" s="945">
        <f t="shared" ref="S1014:S1022" si="326">B1014/AVERAGE($B$1005,$B$1008,$B$1006)</f>
        <v>0.98424384051771874</v>
      </c>
    </row>
    <row r="1015" spans="1:19" s="148" customFormat="1" ht="19.95" customHeight="1">
      <c r="A1015" s="148" t="str">
        <f>RAW_DATA!J751</f>
        <v>207_A1</v>
      </c>
      <c r="B1015" s="317">
        <f>RAW_DATA!K751</f>
        <v>0.92738280112434135</v>
      </c>
      <c r="C1015" s="317">
        <f>RAW_DATA!L751</f>
        <v>2.7694257639729312E-3</v>
      </c>
      <c r="D1015" s="724">
        <f>RAW_DATA!M751</f>
        <v>45357.557372685202</v>
      </c>
      <c r="E1015" s="317">
        <f t="shared" si="317"/>
        <v>8.1216499999999989</v>
      </c>
      <c r="F1015" s="317">
        <f t="shared" si="318"/>
        <v>0.79640000000000022</v>
      </c>
      <c r="G1015" s="725">
        <f t="shared" si="320"/>
        <v>9.8058891973921591E-2</v>
      </c>
      <c r="H1015" s="725">
        <f t="shared" si="319"/>
        <v>3.4992803529483856E-5</v>
      </c>
      <c r="I1015" s="761">
        <f t="array" ref="I1015:J1015">ResultIDMS_GS($I$1004:$I$1009,$B$1004:$B$1009,G1015,H1015,B1015,C1015)</f>
        <v>7.5318738871659338E-2</v>
      </c>
      <c r="J1015" s="761">
        <v>2.3757289012048225E-4</v>
      </c>
      <c r="K1015" s="740">
        <f t="shared" si="321"/>
        <v>3.154233510538442E-3</v>
      </c>
      <c r="L1015" s="741">
        <f>INDEX(FitIDMS($I$1004:$I$1009,$B$1004:$B$1009),5,2)</f>
        <v>0.99999869242938055</v>
      </c>
      <c r="M1015" s="765">
        <f t="array" ref="M1015:N1015">ResultIDMS_MT($I$1004:$I$1009,$J$1004:$J$1009,$B$1004:$B$1009,$C$1004:$C$1009,G1015,H1015,B1015,C1015,MC)</f>
        <v>7.5314740437722835E-2</v>
      </c>
      <c r="N1015" s="765">
        <v>2.6754132662186637E-4</v>
      </c>
      <c r="O1015" s="751">
        <f t="shared" si="322"/>
        <v>3.5523102790627576E-3</v>
      </c>
      <c r="P1015" s="732">
        <f t="shared" si="323"/>
        <v>1.0000530896596505</v>
      </c>
      <c r="Q1015" s="732">
        <f t="shared" si="324"/>
        <v>0.88798576698492471</v>
      </c>
      <c r="R1015" s="735">
        <f t="shared" si="325"/>
        <v>-0.41315607400699578</v>
      </c>
      <c r="S1015" s="945">
        <f t="shared" si="326"/>
        <v>0.97876452117227153</v>
      </c>
    </row>
    <row r="1016" spans="1:19" s="148" customFormat="1" ht="19.95" customHeight="1">
      <c r="A1016" s="148" t="str">
        <f>RAW_DATA!J752</f>
        <v>284_A1</v>
      </c>
      <c r="B1016" s="317">
        <f>RAW_DATA!K752</f>
        <v>0.93207656561002594</v>
      </c>
      <c r="C1016" s="317">
        <f>RAW_DATA!L752</f>
        <v>2.7834426643089266E-3</v>
      </c>
      <c r="D1016" s="724">
        <f>RAW_DATA!M752</f>
        <v>45357.567233796297</v>
      </c>
      <c r="E1016" s="317">
        <f t="shared" si="317"/>
        <v>8.1205999999999996</v>
      </c>
      <c r="F1016" s="317">
        <f t="shared" si="318"/>
        <v>0.79594999999999949</v>
      </c>
      <c r="G1016" s="725">
        <f t="shared" si="320"/>
        <v>9.8016156441642188E-2</v>
      </c>
      <c r="H1016" s="725">
        <f t="shared" si="319"/>
        <v>3.4997182895014126E-5</v>
      </c>
      <c r="I1016" s="761">
        <f t="array" ref="I1016:J1016">ResultIDMS_GS($I$1004:$I$1009,$B$1004:$B$1009,G1016,H1016,B1016,C1016)</f>
        <v>7.5677157124979383E-2</v>
      </c>
      <c r="J1016" s="761">
        <v>2.3865204975590906E-4</v>
      </c>
      <c r="K1016" s="740">
        <f t="shared" si="321"/>
        <v>3.1535546368606283E-3</v>
      </c>
      <c r="L1016" s="741">
        <f>INDEX(FitIDMS($I$1004:$I$1009,$B$1004:$B$1009),5,2)</f>
        <v>0.99999869242938055</v>
      </c>
      <c r="M1016" s="765">
        <f t="array" ref="M1016:N1016">ResultIDMS_MT($I$1004:$I$1009,$J$1004:$J$1009,$B$1004:$B$1009,$C$1004:$C$1009,G1016,H1016,B1016,C1016,MC)</f>
        <v>7.5674911631485375E-2</v>
      </c>
      <c r="N1016" s="765">
        <v>2.7004343055696918E-4</v>
      </c>
      <c r="O1016" s="751">
        <f t="shared" si="322"/>
        <v>3.5684670749534732E-3</v>
      </c>
      <c r="P1016" s="732">
        <f t="shared" si="323"/>
        <v>1.0000296728921858</v>
      </c>
      <c r="Q1016" s="732">
        <f t="shared" si="324"/>
        <v>0.8837543252345933</v>
      </c>
      <c r="R1016" s="735">
        <f t="shared" si="325"/>
        <v>1.0938343023293735</v>
      </c>
      <c r="S1016" s="945">
        <f t="shared" si="326"/>
        <v>0.98371834406369962</v>
      </c>
    </row>
    <row r="1017" spans="1:19" s="148" customFormat="1" ht="19.95" customHeight="1">
      <c r="A1017" s="148" t="str">
        <f>RAW_DATA!J753</f>
        <v>360_A1</v>
      </c>
      <c r="B1017" s="317">
        <f>RAW_DATA!K753</f>
        <v>0.93056937315217469</v>
      </c>
      <c r="C1017" s="317">
        <f>RAW_DATA!L753</f>
        <v>2.7789417639051471E-3</v>
      </c>
      <c r="D1017" s="724">
        <f>RAW_DATA!M753</f>
        <v>45357.577129629601</v>
      </c>
      <c r="E1017" s="317">
        <f t="shared" si="317"/>
        <v>8.1152499999999996</v>
      </c>
      <c r="F1017" s="317">
        <f t="shared" si="318"/>
        <v>0.79294999999999938</v>
      </c>
      <c r="G1017" s="725">
        <f t="shared" si="320"/>
        <v>9.7711099473213936E-2</v>
      </c>
      <c r="H1017" s="725">
        <f t="shared" si="319"/>
        <v>3.5019219319586727E-5</v>
      </c>
      <c r="I1017" s="761">
        <f t="array" ref="I1017:J1017">ResultIDMS_GS($I$1004:$I$1009,$B$1004:$B$1009,G1017,H1017,B1017,C1017)</f>
        <v>7.5316383807303169E-2</v>
      </c>
      <c r="J1017" s="761">
        <v>2.3754248591046384E-4</v>
      </c>
      <c r="K1017" s="740">
        <f t="shared" si="321"/>
        <v>3.1539284535781198E-3</v>
      </c>
      <c r="L1017" s="741">
        <f>INDEX(FitIDMS($I$1004:$I$1009,$B$1004:$B$1009),5,2)</f>
        <v>0.99999869242938055</v>
      </c>
      <c r="M1017" s="765">
        <f t="array" ref="M1017:N1017">ResultIDMS_MT($I$1004:$I$1009,$J$1004:$J$1009,$B$1004:$B$1009,$C$1004:$C$1009,G1017,H1017,B1017,C1017,MC)</f>
        <v>7.5312405926632173E-2</v>
      </c>
      <c r="N1017" s="765">
        <v>2.6776559587656114E-4</v>
      </c>
      <c r="O1017" s="751">
        <f t="shared" si="322"/>
        <v>3.5553982452427957E-3</v>
      </c>
      <c r="P1017" s="732">
        <f t="shared" si="323"/>
        <v>1.0000528183985369</v>
      </c>
      <c r="Q1017" s="732">
        <f t="shared" si="324"/>
        <v>0.88712847941813244</v>
      </c>
      <c r="R1017" s="735">
        <f t="shared" si="325"/>
        <v>-0.42305807896216752</v>
      </c>
      <c r="S1017" s="945">
        <f t="shared" si="326"/>
        <v>0.98212764548428377</v>
      </c>
    </row>
    <row r="1018" spans="1:19" s="148" customFormat="1" ht="19.95" customHeight="1">
      <c r="A1018" s="148" t="str">
        <f>RAW_DATA!J754</f>
        <v>052_A2</v>
      </c>
      <c r="B1018" s="317">
        <f>RAW_DATA!K754</f>
        <v>0.93151437682135274</v>
      </c>
      <c r="C1018" s="317">
        <f>RAW_DATA!L754</f>
        <v>2.7817638105349721E-3</v>
      </c>
      <c r="D1018" s="724">
        <f>RAW_DATA!M754</f>
        <v>45357.586967592601</v>
      </c>
      <c r="E1018" s="317">
        <f t="shared" si="317"/>
        <v>8.1192999999999991</v>
      </c>
      <c r="F1018" s="317">
        <f t="shared" si="318"/>
        <v>0.79429999999999978</v>
      </c>
      <c r="G1018" s="725">
        <f t="shared" si="320"/>
        <v>9.7828630546968318E-2</v>
      </c>
      <c r="H1018" s="725">
        <f t="shared" si="319"/>
        <v>3.5002149730222864E-5</v>
      </c>
      <c r="I1018" s="761">
        <f t="array" ref="I1018:J1018">ResultIDMS_GS($I$1004:$I$1009,$B$1004:$B$1009,G1018,H1018,B1018,C1018)</f>
        <v>7.5485598111188976E-2</v>
      </c>
      <c r="J1018" s="761">
        <v>2.3806046411599239E-4</v>
      </c>
      <c r="K1018" s="740">
        <f t="shared" si="321"/>
        <v>3.1537203131825685E-3</v>
      </c>
      <c r="L1018" s="741">
        <f>INDEX(FitIDMS($I$1004:$I$1009,$B$1004:$B$1009),5,2)</f>
        <v>0.99999869242938055</v>
      </c>
      <c r="M1018" s="765">
        <f t="array" ref="M1018:N1018">ResultIDMS_MT($I$1004:$I$1009,$J$1004:$J$1009,$B$1004:$B$1009,$C$1004:$C$1009,G1018,H1018,B1018,C1018,MC)</f>
        <v>7.5494014303808518E-2</v>
      </c>
      <c r="N1018" s="765">
        <v>2.8213033014650395E-4</v>
      </c>
      <c r="O1018" s="751">
        <f t="shared" si="322"/>
        <v>3.7371218466557428E-3</v>
      </c>
      <c r="P1018" s="732">
        <f t="shared" si="323"/>
        <v>0.99988851841172899</v>
      </c>
      <c r="Q1018" s="732">
        <f t="shared" si="324"/>
        <v>0.84379607110080268</v>
      </c>
      <c r="R1018" s="735">
        <f t="shared" si="325"/>
        <v>0.2884132959810759</v>
      </c>
      <c r="S1018" s="945">
        <f t="shared" si="326"/>
        <v>0.98312500715914741</v>
      </c>
    </row>
    <row r="1019" spans="1:19" s="148" customFormat="1" ht="19.95" customHeight="1">
      <c r="A1019" s="228" t="str">
        <f>RAW_DATA!J755</f>
        <v>130_A2</v>
      </c>
      <c r="B1019" s="543">
        <f>RAW_DATA!K755</f>
        <v>0.92811522545329461</v>
      </c>
      <c r="C1019" s="543">
        <f>RAW_DATA!L755</f>
        <v>2.7716129889293409E-3</v>
      </c>
      <c r="D1019" s="727">
        <f>RAW_DATA!M755</f>
        <v>45357.596817129597</v>
      </c>
      <c r="E1019" s="543">
        <f t="shared" si="317"/>
        <v>8.1188499999999983</v>
      </c>
      <c r="F1019" s="543">
        <f t="shared" si="318"/>
        <v>0.79725000000000001</v>
      </c>
      <c r="G1019" s="596">
        <f t="shared" si="320"/>
        <v>9.8197404804867702E-2</v>
      </c>
      <c r="H1019" s="596">
        <f t="shared" si="319"/>
        <v>3.5005342974560917E-5</v>
      </c>
      <c r="I1019" s="762">
        <f t="array" ref="I1019:J1019">ResultIDMS_GS($I$1004:$I$1009,$B$1004:$B$1009,G1019,H1019,B1019,C1019)</f>
        <v>7.5486291588742163E-2</v>
      </c>
      <c r="J1019" s="762">
        <v>2.3808976100253107E-4</v>
      </c>
      <c r="K1019" s="743">
        <f t="shared" si="321"/>
        <v>3.1540794492816121E-3</v>
      </c>
      <c r="L1019" s="744">
        <f>INDEX(FitIDMS($I$1004:$I$1009,$B$1004:$B$1009),5,2)</f>
        <v>0.99999869242938055</v>
      </c>
      <c r="M1019" s="766">
        <f t="array" ref="M1019:N1019">ResultIDMS_MT($I$1004:$I$1009,$J$1004:$J$1009,$B$1004:$B$1009,$C$1004:$C$1009,G1019,H1019,B1019,C1019,MC)</f>
        <v>7.5494297312440437E-2</v>
      </c>
      <c r="N1019" s="766">
        <v>2.6874869912889158E-4</v>
      </c>
      <c r="O1019" s="751">
        <f t="shared" si="322"/>
        <v>3.5598543028574616E-3</v>
      </c>
      <c r="P1019" s="732">
        <f t="shared" si="323"/>
        <v>0.99989395591477404</v>
      </c>
      <c r="Q1019" s="732">
        <f t="shared" si="324"/>
        <v>0.88591967802732874</v>
      </c>
      <c r="R1019" s="735">
        <f t="shared" si="325"/>
        <v>0.29132906265640113</v>
      </c>
      <c r="S1019" s="945">
        <f t="shared" si="326"/>
        <v>0.97953752553115525</v>
      </c>
    </row>
    <row r="1020" spans="1:19" s="148" customFormat="1" ht="19.95" customHeight="1">
      <c r="A1020" s="228" t="str">
        <f>RAW_DATA!J756</f>
        <v>207_A2</v>
      </c>
      <c r="B1020" s="543">
        <f>RAW_DATA!K756</f>
        <v>0.92816201549343447</v>
      </c>
      <c r="C1020" s="543">
        <f>RAW_DATA!L756</f>
        <v>2.7717527171435188E-3</v>
      </c>
      <c r="D1020" s="727">
        <f>RAW_DATA!M756</f>
        <v>45357.606643518498</v>
      </c>
      <c r="E1020" s="543">
        <f t="shared" si="317"/>
        <v>8.1027500000000003</v>
      </c>
      <c r="F1020" s="543">
        <f t="shared" si="318"/>
        <v>0.79384999999999906</v>
      </c>
      <c r="G1020" s="596">
        <f t="shared" si="320"/>
        <v>9.7972910431643453E-2</v>
      </c>
      <c r="H1020" s="596">
        <f t="shared" si="319"/>
        <v>3.5074132915372966E-5</v>
      </c>
      <c r="I1020" s="762">
        <f t="array" ref="I1020:J1020">ResultIDMS_GS($I$1004:$I$1009,$B$1004:$B$1009,G1020,H1020,B1020,C1020)</f>
        <v>7.5317616628369291E-2</v>
      </c>
      <c r="J1020" s="762">
        <v>2.3757016936747422E-4</v>
      </c>
      <c r="K1020" s="743">
        <f t="shared" si="321"/>
        <v>3.1542443853433159E-3</v>
      </c>
      <c r="L1020" s="744">
        <f>INDEX(FitIDMS($I$1004:$I$1009,$B$1004:$B$1009),5,2)</f>
        <v>0.99999869242938055</v>
      </c>
      <c r="M1020" s="766">
        <f t="array" ref="M1020:N1020">ResultIDMS_MT($I$1004:$I$1009,$J$1004:$J$1009,$B$1004:$B$1009,$C$1004:$C$1009,G1020,H1020,B1020,C1020,MC)</f>
        <v>7.5322610031208131E-2</v>
      </c>
      <c r="N1020" s="766">
        <v>2.7614746063697412E-4</v>
      </c>
      <c r="O1020" s="751">
        <f t="shared" si="322"/>
        <v>3.6661961198975845E-3</v>
      </c>
      <c r="P1020" s="732">
        <f t="shared" si="323"/>
        <v>0.99993370645498381</v>
      </c>
      <c r="Q1020" s="732">
        <f t="shared" si="324"/>
        <v>0.86030184315106217</v>
      </c>
      <c r="R1020" s="735">
        <f t="shared" si="325"/>
        <v>-0.41787461114159546</v>
      </c>
      <c r="S1020" s="945">
        <f t="shared" si="326"/>
        <v>0.97958690797730108</v>
      </c>
    </row>
    <row r="1021" spans="1:19" s="148" customFormat="1" ht="19.95" customHeight="1">
      <c r="A1021" s="228" t="str">
        <f>RAW_DATA!J757</f>
        <v>284_A2</v>
      </c>
      <c r="B1021" s="543">
        <f>RAW_DATA!K757</f>
        <v>0.92370596247234271</v>
      </c>
      <c r="C1021" s="543">
        <f>RAW_DATA!L757</f>
        <v>2.7584456900698238E-3</v>
      </c>
      <c r="D1021" s="727">
        <f>RAW_DATA!M757</f>
        <v>45357.616550925901</v>
      </c>
      <c r="E1021" s="543">
        <f t="shared" si="317"/>
        <v>8.1039999999999992</v>
      </c>
      <c r="F1021" s="543">
        <f t="shared" si="318"/>
        <v>0.79739999999999966</v>
      </c>
      <c r="G1021" s="596">
        <f t="shared" si="320"/>
        <v>9.8395853899308952E-2</v>
      </c>
      <c r="H1021" s="596">
        <f t="shared" si="319"/>
        <v>3.5070165316331548E-5</v>
      </c>
      <c r="I1021" s="762">
        <f t="array" ref="I1021:J1021">ResultIDMS_GS($I$1004:$I$1009,$B$1004:$B$1009,G1021,H1021,B1021,C1021)</f>
        <v>7.5269912025839963E-2</v>
      </c>
      <c r="J1021" s="762">
        <v>2.3745824081075896E-4</v>
      </c>
      <c r="K1021" s="743">
        <f t="shared" si="321"/>
        <v>3.1547564547337345E-3</v>
      </c>
      <c r="L1021" s="744">
        <f>INDEX(FitIDMS($I$1004:$I$1009,$B$1004:$B$1009),5,2)</f>
        <v>0.99999869242938055</v>
      </c>
      <c r="M1021" s="766">
        <f t="array" ref="M1021:N1021">ResultIDMS_MT($I$1004:$I$1009,$J$1004:$J$1009,$B$1004:$B$1009,$C$1004:$C$1009,G1021,H1021,B1021,C1021,MC)</f>
        <v>7.5273981195874362E-2</v>
      </c>
      <c r="N1021" s="766">
        <v>2.689552874172002E-4</v>
      </c>
      <c r="O1021" s="751">
        <f t="shared" si="322"/>
        <v>3.5730179690820073E-3</v>
      </c>
      <c r="P1021" s="732">
        <f t="shared" si="323"/>
        <v>0.99994594187832564</v>
      </c>
      <c r="Q1021" s="732">
        <f t="shared" si="324"/>
        <v>0.88289114183658568</v>
      </c>
      <c r="R1021" s="735">
        <f t="shared" si="325"/>
        <v>-0.61845138493233998</v>
      </c>
      <c r="S1021" s="945">
        <f t="shared" si="326"/>
        <v>0.97488396697362989</v>
      </c>
    </row>
    <row r="1022" spans="1:19" s="148" customFormat="1" ht="19.95" customHeight="1">
      <c r="A1022" s="315" t="str">
        <f>RAW_DATA!J758</f>
        <v>360_A2</v>
      </c>
      <c r="B1022" s="319">
        <f>RAW_DATA!K758</f>
        <v>0.93031539692986287</v>
      </c>
      <c r="C1022" s="319">
        <f>RAW_DATA!L758</f>
        <v>2.7781833195037048E-3</v>
      </c>
      <c r="D1022" s="726">
        <f>RAW_DATA!M758</f>
        <v>45357.626493055599</v>
      </c>
      <c r="E1022" s="319">
        <f t="shared" si="317"/>
        <v>8.1117999999999988</v>
      </c>
      <c r="F1022" s="319">
        <f t="shared" si="318"/>
        <v>0.79415000000000013</v>
      </c>
      <c r="G1022" s="622">
        <f t="shared" si="320"/>
        <v>9.7900589265021362E-2</v>
      </c>
      <c r="H1022" s="622">
        <f t="shared" si="319"/>
        <v>3.503475636387489E-5</v>
      </c>
      <c r="I1022" s="763">
        <f t="array" ref="I1022:J1022">ResultIDMS_GS($I$1004:$I$1009,$B$1004:$B$1009,G1022,H1022,B1022,C1022)</f>
        <v>7.5441298673430385E-2</v>
      </c>
      <c r="J1022" s="763">
        <v>2.3793471927556075E-4</v>
      </c>
      <c r="K1022" s="746">
        <f t="shared" si="321"/>
        <v>3.1539054000850439E-3</v>
      </c>
      <c r="L1022" s="747">
        <f>INDEX(FitIDMS($I$1004:$I$1009,$B$1004:$B$1009),5,2)</f>
        <v>0.99999869242938055</v>
      </c>
      <c r="M1022" s="767">
        <f t="array" ref="M1022:N1022">ResultIDMS_MT($I$1004:$I$1009,$J$1004:$J$1009,$B$1004:$B$1009,$C$1004:$C$1009,G1022,H1022,B1022,C1022,MC)</f>
        <v>7.5449695130711272E-2</v>
      </c>
      <c r="N1022" s="767">
        <v>2.8184460681671283E-4</v>
      </c>
      <c r="O1022" s="679">
        <f t="shared" si="322"/>
        <v>3.7355300949650882E-3</v>
      </c>
      <c r="P1022" s="961">
        <f t="shared" si="323"/>
        <v>0.99988871449690631</v>
      </c>
      <c r="Q1022" s="961">
        <f t="shared" si="324"/>
        <v>0.84420532989049801</v>
      </c>
      <c r="R1022" s="599">
        <f t="shared" si="325"/>
        <v>0.10215373536741183</v>
      </c>
      <c r="S1022" s="950">
        <f t="shared" si="326"/>
        <v>0.98185959768857434</v>
      </c>
    </row>
    <row r="1023" spans="1:19" s="148" customFormat="1" ht="19.95" customHeight="1">
      <c r="A1023" s="754" t="str">
        <f>RAW_DATA!J760</f>
        <v>MOOS3</v>
      </c>
      <c r="B1023" s="755">
        <f>RAW_DATA!K760</f>
        <v>1.8899182302420092</v>
      </c>
      <c r="C1023" s="755">
        <f>RAW_DATA!L760</f>
        <v>5.6438271577699721E-3</v>
      </c>
      <c r="D1023" s="756">
        <f>RAW_DATA!M760</f>
        <v>45357.646249999998</v>
      </c>
      <c r="E1023" s="755">
        <f>O842</f>
        <v>8.2314000000000007</v>
      </c>
      <c r="F1023" s="755">
        <f>P842</f>
        <v>0.79629999999999868</v>
      </c>
      <c r="G1023" s="757">
        <f t="shared" si="320"/>
        <v>9.673931530480824E-2</v>
      </c>
      <c r="H1023" s="757">
        <f t="shared" si="319"/>
        <v>3.4521845795538726E-5</v>
      </c>
      <c r="I1023" s="764">
        <f t="array" ref="I1023:J1023">ResultIDMS_GS($I$1004:$I$1009,$B$1004:$B$1009,G1023,H1023,B1023,C1023)</f>
        <v>0.15407185311289057</v>
      </c>
      <c r="J1023" s="764">
        <v>4.8067055949725695E-4</v>
      </c>
      <c r="K1023" s="758">
        <f t="shared" si="321"/>
        <v>3.1197817757475988E-3</v>
      </c>
      <c r="L1023" s="759">
        <f>INDEX(FitIDMS($I$1004:$I$1009,$B$1004:$B$1009),5,2)</f>
        <v>0.99999869242938055</v>
      </c>
      <c r="M1023" s="768">
        <f t="array" ref="M1023:N1023">ResultIDMS_MT($I$1004:$I$1009,$J$1004:$J$1009,$B$1004:$B$1009,$C$1004:$C$1009,G1023,H1023,B1023,C1023,MC)</f>
        <v>0.1540953196251505</v>
      </c>
      <c r="N1023" s="768">
        <v>5.6225278519909906E-4</v>
      </c>
      <c r="O1023" s="760">
        <f t="shared" si="322"/>
        <v>3.6487336965640815E-3</v>
      </c>
      <c r="P1023" s="964">
        <f t="shared" si="323"/>
        <v>0.99984771430879915</v>
      </c>
      <c r="Q1023" s="964">
        <f t="shared" si="324"/>
        <v>0.85490116216506951</v>
      </c>
      <c r="R1023" s="315"/>
      <c r="S1023" s="315"/>
    </row>
    <row r="1024" spans="1:19" s="148" customFormat="1" ht="19.95" customHeight="1">
      <c r="A1024" s="233"/>
      <c r="D1024" s="723"/>
    </row>
    <row r="1025" spans="1:68" s="148" customFormat="1" ht="19.95" customHeight="1">
      <c r="A1025" s="593"/>
      <c r="B1025" s="380" t="s">
        <v>2178</v>
      </c>
      <c r="C1025" s="230"/>
      <c r="D1025" s="380" t="s">
        <v>2184</v>
      </c>
      <c r="E1025" s="230"/>
      <c r="F1025" s="230"/>
      <c r="G1025" s="380" t="s">
        <v>2185</v>
      </c>
      <c r="H1025" s="230"/>
      <c r="I1025" s="230"/>
      <c r="J1025" s="230"/>
      <c r="K1025" s="230"/>
      <c r="L1025" s="233" t="s">
        <v>217</v>
      </c>
    </row>
    <row r="1026" spans="1:68" s="148" customFormat="1" ht="19.95" customHeight="1">
      <c r="A1026" s="587" t="s">
        <v>100</v>
      </c>
      <c r="B1026" s="663" t="s">
        <v>2179</v>
      </c>
      <c r="C1026" s="663" t="s">
        <v>2180</v>
      </c>
      <c r="D1026" s="663" t="s">
        <v>229</v>
      </c>
      <c r="E1026" s="663" t="s">
        <v>1171</v>
      </c>
      <c r="F1026" s="663" t="s">
        <v>1172</v>
      </c>
      <c r="G1026" s="589" t="s">
        <v>2181</v>
      </c>
      <c r="H1026" s="589" t="s">
        <v>2182</v>
      </c>
      <c r="I1026" s="589" t="s">
        <v>2183</v>
      </c>
      <c r="J1026" s="589" t="s">
        <v>2186</v>
      </c>
      <c r="K1026" s="589" t="s">
        <v>2187</v>
      </c>
      <c r="L1026" s="663" t="s">
        <v>2188</v>
      </c>
    </row>
    <row r="1027" spans="1:68" s="148" customFormat="1" ht="19.95" customHeight="1">
      <c r="A1027" s="589" t="str">
        <f>A1023</f>
        <v>MOOS3</v>
      </c>
      <c r="B1027" s="81">
        <v>0.15809999999999999</v>
      </c>
      <c r="C1027" s="81">
        <f>0.0023/2</f>
        <v>1.15E-3</v>
      </c>
      <c r="D1027" s="143">
        <f>I1023</f>
        <v>0.15407185311289057</v>
      </c>
      <c r="E1027" s="143">
        <f>J1023</f>
        <v>4.8067055949725695E-4</v>
      </c>
      <c r="F1027" s="589">
        <v>3</v>
      </c>
      <c r="G1027" s="589" t="b">
        <f>IF(ABS(B1027-D1027)&lt;2*SQRT(C1027^2+E1027^2/F1027),TRUE,FALSE)</f>
        <v>0</v>
      </c>
      <c r="H1027" s="589" t="b">
        <f>IF(SQRT(F1027)*(ABS(D1027-B1027)-2*C1027)/E1027&gt;ABS(_xlfn.T.INV(0.05/2,F1027-1)),FALSE,TRUE)</f>
        <v>0</v>
      </c>
      <c r="I1027" s="589" t="b">
        <f>IF(AND((D1027-B1027)^2/MAX(E1027^2/(F1027-1),C1027^2)&lt;_xlfn.T.INV(0.05/2,F1027-1)^2,F1027&gt;2),TRUE,FALSE)</f>
        <v>1</v>
      </c>
      <c r="J1027" s="589" t="b">
        <f>IF(SQRT(F1027)*ABS(D1027-B1027)/(E1027/(1-0.333/F1027))&gt;ABS(_xlfn.T.INV(0.05/2,F1027-1)),FALSE,TRUE)</f>
        <v>0</v>
      </c>
      <c r="K1027" s="589" t="b">
        <f>IF(F1027*(D1027-B1027)^2/(2*C1027)^2&lt;_xlfn.CHISQ.INV(SQRT(0.95),1),IF((F1027-1)*E1027^2/(2*C1027)^2&lt;_xlfn.CHISQ.INV(SQRT(0.95),F1027-1),TRUE,FALSE),FALSE)</f>
        <v>0</v>
      </c>
      <c r="L1027" s="624">
        <f>D1027/B1027</f>
        <v>0.97452152506572154</v>
      </c>
    </row>
    <row r="1028" spans="1:68" s="148" customFormat="1" ht="19.95" customHeight="1">
      <c r="A1028" s="148" t="s">
        <v>2215</v>
      </c>
      <c r="B1028" s="233"/>
      <c r="C1028" s="233"/>
      <c r="D1028" s="233"/>
    </row>
    <row r="1029" spans="1:68" s="148" customFormat="1" ht="19.95" customHeight="1">
      <c r="A1029" s="148" t="s">
        <v>2190</v>
      </c>
      <c r="D1029" s="723"/>
    </row>
    <row r="1030" spans="1:68" s="148" customFormat="1" ht="19.95" customHeight="1">
      <c r="A1030" s="148" t="s">
        <v>2189</v>
      </c>
      <c r="D1030" s="723"/>
    </row>
    <row r="1031" spans="1:68" s="148" customFormat="1" ht="19.95" customHeight="1">
      <c r="A1031" s="523" t="s">
        <v>2730</v>
      </c>
      <c r="D1031" s="723"/>
    </row>
    <row r="1032" spans="1:68" s="148" customFormat="1" ht="19.95" customHeight="1">
      <c r="A1032" s="523" t="s">
        <v>2731</v>
      </c>
      <c r="D1032" s="723"/>
    </row>
    <row r="1033" spans="1:68" s="148" customFormat="1" ht="19.95" customHeight="1">
      <c r="D1033" s="723"/>
    </row>
    <row r="1034" spans="1:68" s="588" customFormat="1" ht="19.95" customHeight="1">
      <c r="A1034" s="623" t="s">
        <v>2231</v>
      </c>
      <c r="B1034" s="167"/>
      <c r="C1034" s="167"/>
      <c r="D1034" s="168"/>
      <c r="E1034" s="167"/>
      <c r="F1034" s="167"/>
      <c r="G1034" s="167"/>
      <c r="H1034" s="167"/>
      <c r="I1034" s="167"/>
      <c r="J1034" s="167"/>
      <c r="K1034" s="167"/>
      <c r="L1034" s="167"/>
      <c r="M1034" s="167"/>
      <c r="N1034" s="167"/>
      <c r="O1034" s="167"/>
      <c r="P1034" s="167"/>
      <c r="Q1034" s="167"/>
      <c r="R1034" s="167"/>
      <c r="S1034" s="167"/>
      <c r="T1034" s="167"/>
      <c r="U1034" s="167"/>
      <c r="V1034" s="167"/>
      <c r="W1034" s="167"/>
      <c r="X1034" s="167"/>
      <c r="Y1034" s="167"/>
      <c r="Z1034" s="167"/>
      <c r="AA1034" s="167"/>
      <c r="AB1034" s="167"/>
      <c r="AC1034" s="167"/>
      <c r="AD1034" s="167"/>
      <c r="AE1034" s="167"/>
      <c r="AF1034" s="167"/>
      <c r="AG1034" s="167"/>
      <c r="AH1034" s="167"/>
      <c r="AI1034" s="167"/>
      <c r="AJ1034" s="167"/>
      <c r="AK1034" s="167"/>
      <c r="AL1034" s="167"/>
      <c r="AM1034" s="167"/>
      <c r="AN1034" s="167"/>
      <c r="AO1034" s="167"/>
      <c r="AP1034" s="167"/>
      <c r="AQ1034" s="167"/>
      <c r="AR1034" s="167"/>
      <c r="AS1034" s="167"/>
      <c r="AT1034" s="167"/>
      <c r="AU1034" s="167"/>
      <c r="AV1034" s="167"/>
      <c r="AW1034" s="167"/>
      <c r="AX1034" s="167"/>
      <c r="AY1034" s="167"/>
      <c r="AZ1034" s="167"/>
      <c r="BA1034" s="167"/>
      <c r="BB1034" s="167"/>
      <c r="BC1034" s="167"/>
      <c r="BD1034" s="167"/>
      <c r="BE1034" s="167"/>
      <c r="BF1034" s="167"/>
      <c r="BG1034" s="167"/>
      <c r="BH1034" s="167"/>
      <c r="BI1034" s="167"/>
      <c r="BJ1034" s="167"/>
      <c r="BK1034" s="167"/>
      <c r="BL1034" s="167"/>
      <c r="BM1034" s="167"/>
      <c r="BN1034" s="167"/>
      <c r="BO1034" s="167"/>
      <c r="BP1034" s="167"/>
    </row>
    <row r="1035" spans="1:68" s="148" customFormat="1" ht="19.95" customHeight="1">
      <c r="A1035" s="233"/>
      <c r="D1035" s="723"/>
    </row>
    <row r="1036" spans="1:68" s="148" customFormat="1" ht="19.95" customHeight="1">
      <c r="D1036" s="723"/>
      <c r="F1036" s="593" t="s">
        <v>222</v>
      </c>
      <c r="G1036" s="593" t="s">
        <v>223</v>
      </c>
      <c r="H1036" s="593" t="s">
        <v>224</v>
      </c>
      <c r="I1036" s="593" t="s">
        <v>134</v>
      </c>
      <c r="J1036" s="593" t="s">
        <v>292</v>
      </c>
      <c r="K1036" s="588" t="s">
        <v>1046</v>
      </c>
      <c r="L1036" s="774" t="s">
        <v>2193</v>
      </c>
      <c r="M1036" s="774"/>
      <c r="N1036" s="774"/>
      <c r="O1036" s="774"/>
      <c r="P1036" s="290" t="s">
        <v>2064</v>
      </c>
      <c r="Q1036" s="290"/>
      <c r="R1036" s="290"/>
      <c r="S1036" s="228" t="s">
        <v>2194</v>
      </c>
      <c r="T1036" s="228"/>
      <c r="U1036" s="593" t="s">
        <v>237</v>
      </c>
      <c r="V1036" s="593" t="s">
        <v>237</v>
      </c>
      <c r="W1036" s="593" t="s">
        <v>2203</v>
      </c>
    </row>
    <row r="1037" spans="1:68" s="148" customFormat="1" ht="19.95" customHeight="1">
      <c r="A1037" s="209" t="s">
        <v>1764</v>
      </c>
      <c r="B1037" s="593"/>
      <c r="D1037" s="723"/>
      <c r="F1037" s="593" t="s">
        <v>242</v>
      </c>
      <c r="G1037" s="593" t="s">
        <v>242</v>
      </c>
      <c r="H1037" s="593" t="s">
        <v>242</v>
      </c>
      <c r="I1037" s="593" t="s">
        <v>242</v>
      </c>
      <c r="J1037" s="593" t="s">
        <v>242</v>
      </c>
      <c r="K1037" s="588" t="s">
        <v>242</v>
      </c>
      <c r="L1037" s="774" t="s">
        <v>1791</v>
      </c>
      <c r="M1037" s="774" t="s">
        <v>1792</v>
      </c>
      <c r="N1037" s="774" t="s">
        <v>2210</v>
      </c>
      <c r="O1037" s="774" t="s">
        <v>2071</v>
      </c>
      <c r="P1037" s="776" t="s">
        <v>1791</v>
      </c>
      <c r="Q1037" s="776" t="s">
        <v>1792</v>
      </c>
      <c r="R1037" s="776" t="s">
        <v>2210</v>
      </c>
      <c r="S1037" s="228" t="s">
        <v>1791</v>
      </c>
      <c r="T1037" s="228" t="s">
        <v>1792</v>
      </c>
      <c r="U1037" s="593" t="s">
        <v>2211</v>
      </c>
      <c r="V1037" s="593" t="s">
        <v>2212</v>
      </c>
      <c r="W1037" s="593" t="s">
        <v>2202</v>
      </c>
      <c r="X1037" s="314" t="s">
        <v>2400</v>
      </c>
      <c r="Y1037" s="314" t="s">
        <v>2685</v>
      </c>
    </row>
    <row r="1038" spans="1:68" s="148" customFormat="1" ht="19.95" customHeight="1">
      <c r="A1038" s="587" t="str">
        <f>RAW_DATA!A843</f>
        <v>Sample ID</v>
      </c>
      <c r="B1038" s="587" t="str">
        <f>RAW_DATA!B843</f>
        <v>Date</v>
      </c>
      <c r="C1038" s="316" t="str">
        <f>RAW_DATA!C843</f>
        <v>810nm (Abs)</v>
      </c>
      <c r="D1038" s="587" t="s">
        <v>113</v>
      </c>
      <c r="E1038" s="587" t="s">
        <v>114</v>
      </c>
      <c r="F1038" s="587" t="s">
        <v>2209</v>
      </c>
      <c r="G1038" s="587" t="s">
        <v>2209</v>
      </c>
      <c r="H1038" s="587" t="s">
        <v>2209</v>
      </c>
      <c r="I1038" s="587" t="s">
        <v>2209</v>
      </c>
      <c r="J1038" s="587" t="s">
        <v>2209</v>
      </c>
      <c r="K1038" s="587" t="s">
        <v>2209</v>
      </c>
      <c r="L1038" s="775" t="s">
        <v>156</v>
      </c>
      <c r="M1038" s="775" t="s">
        <v>156</v>
      </c>
      <c r="N1038" s="775" t="s">
        <v>74</v>
      </c>
      <c r="O1038" s="775"/>
      <c r="P1038" s="777" t="s">
        <v>156</v>
      </c>
      <c r="Q1038" s="777" t="s">
        <v>156</v>
      </c>
      <c r="R1038" s="777" t="s">
        <v>74</v>
      </c>
      <c r="S1038" s="315" t="s">
        <v>74</v>
      </c>
      <c r="T1038" s="315" t="s">
        <v>74</v>
      </c>
      <c r="U1038" s="589" t="s">
        <v>156</v>
      </c>
      <c r="V1038" s="589" t="s">
        <v>156</v>
      </c>
      <c r="W1038" s="783" t="s">
        <v>74</v>
      </c>
      <c r="X1038" s="315" t="s">
        <v>241</v>
      </c>
      <c r="Y1038" s="315" t="s">
        <v>2686</v>
      </c>
    </row>
    <row r="1039" spans="1:68" s="148" customFormat="1" ht="19.95" customHeight="1">
      <c r="A1039" s="593" t="str">
        <f>RAW_DATA!A844</f>
        <v>BLS-DIW</v>
      </c>
      <c r="B1039" s="770" t="str">
        <f>RAW_DATA!B844</f>
        <v>3/6/2024 1:16:24 PM</v>
      </c>
      <c r="C1039" s="148">
        <f>RAW_DATA!C844</f>
        <v>1.2999999999999999E-5</v>
      </c>
      <c r="D1039" s="723"/>
      <c r="L1039" s="593"/>
      <c r="M1039" s="593"/>
      <c r="N1039" s="593"/>
      <c r="O1039" s="593"/>
      <c r="P1039" s="593"/>
      <c r="Q1039" s="593"/>
      <c r="R1039" s="593"/>
      <c r="S1039" s="593"/>
      <c r="T1039" s="593"/>
      <c r="U1039" s="588"/>
      <c r="V1039" s="593"/>
      <c r="W1039" s="593"/>
    </row>
    <row r="1040" spans="1:68" s="148" customFormat="1" ht="19.95" customHeight="1">
      <c r="A1040" s="593" t="str">
        <f>RAW_DATA!A845</f>
        <v>BSL-LNWS</v>
      </c>
      <c r="B1040" s="770" t="str">
        <f>RAW_DATA!B845</f>
        <v>3/6/2024 1:17:07 PM</v>
      </c>
      <c r="C1040" s="148">
        <f>RAW_DATA!C845</f>
        <v>-1.85E-4</v>
      </c>
      <c r="D1040" s="723"/>
      <c r="L1040" s="593"/>
      <c r="M1040" s="593"/>
      <c r="N1040" s="593"/>
      <c r="O1040" s="593"/>
      <c r="P1040" s="593"/>
      <c r="Q1040" s="593"/>
      <c r="R1040" s="593"/>
      <c r="S1040" s="593"/>
      <c r="T1040" s="593"/>
      <c r="U1040" s="588"/>
      <c r="V1040" s="593"/>
      <c r="W1040" s="593"/>
    </row>
    <row r="1041" spans="1:25" s="148" customFormat="1" ht="19.95" customHeight="1">
      <c r="A1041" s="593" t="str">
        <f>RAW_DATA!A846</f>
        <v>BSL-M4</v>
      </c>
      <c r="B1041" s="770" t="str">
        <f>RAW_DATA!B846</f>
        <v>3/6/2024 1:17:47 PM</v>
      </c>
      <c r="C1041" s="148">
        <f>RAW_DATA!C846</f>
        <v>-1.35E-4</v>
      </c>
      <c r="D1041" s="723"/>
      <c r="L1041" s="593"/>
      <c r="M1041" s="593"/>
      <c r="N1041" s="593"/>
      <c r="O1041" s="593"/>
      <c r="P1041" s="593"/>
      <c r="Q1041" s="593"/>
      <c r="R1041" s="593"/>
      <c r="S1041" s="593"/>
      <c r="T1041" s="593"/>
      <c r="U1041" s="588"/>
      <c r="V1041" s="593"/>
      <c r="W1041" s="593"/>
    </row>
    <row r="1042" spans="1:25" s="148" customFormat="1" ht="19.95" customHeight="1">
      <c r="A1042" s="593" t="str">
        <f>RAW_DATA!A847</f>
        <v>BSL-SALT</v>
      </c>
      <c r="B1042" s="770" t="str">
        <f>RAW_DATA!B847</f>
        <v>3/6/2024 1:18:28 PM</v>
      </c>
      <c r="C1042" s="148">
        <f>RAW_DATA!C847</f>
        <v>4.0999999999999999E-4</v>
      </c>
      <c r="D1042" s="723"/>
      <c r="L1042" s="593"/>
      <c r="M1042" s="593"/>
      <c r="N1042" s="593"/>
      <c r="O1042" s="593"/>
      <c r="P1042" s="593"/>
      <c r="Q1042" s="593"/>
      <c r="R1042" s="593"/>
      <c r="S1042" s="593"/>
      <c r="T1042" s="593"/>
      <c r="U1042" s="588"/>
      <c r="V1042" s="593"/>
      <c r="W1042" s="593"/>
    </row>
    <row r="1043" spans="1:25" s="148" customFormat="1" ht="19.95" customHeight="1">
      <c r="A1043" s="593" t="str">
        <f>RAW_DATA!A848</f>
        <v>BSL-M3</v>
      </c>
      <c r="B1043" s="770" t="str">
        <f>RAW_DATA!B848</f>
        <v>3/6/2024 1:19:12 PM</v>
      </c>
      <c r="C1043" s="148">
        <f>RAW_DATA!C848</f>
        <v>-1.92E-4</v>
      </c>
      <c r="D1043" s="723"/>
      <c r="L1043" s="593"/>
      <c r="M1043" s="593"/>
      <c r="N1043" s="593"/>
      <c r="O1043" s="593"/>
      <c r="P1043" s="593"/>
      <c r="Q1043" s="593"/>
      <c r="R1043" s="593"/>
      <c r="S1043" s="593"/>
      <c r="T1043" s="593"/>
      <c r="U1043" s="588"/>
      <c r="V1043" s="593"/>
      <c r="W1043" s="593"/>
    </row>
    <row r="1044" spans="1:25" s="148" customFormat="1" ht="19.95" customHeight="1">
      <c r="A1044" s="593" t="str">
        <f>RAW_DATA!A849</f>
        <v>BLK-DIW</v>
      </c>
      <c r="B1044" s="770" t="str">
        <f>RAW_DATA!B849</f>
        <v>3/6/2024 1:20:00 PM</v>
      </c>
      <c r="C1044" s="148">
        <f>RAW_DATA!C849</f>
        <v>5.2899999999999996E-4</v>
      </c>
      <c r="D1044" s="723"/>
      <c r="F1044" s="148">
        <f>C1044-C1039</f>
        <v>5.1599999999999997E-4</v>
      </c>
      <c r="L1044" s="593"/>
      <c r="M1044" s="593"/>
      <c r="N1044" s="593"/>
      <c r="O1044" s="593"/>
      <c r="P1044" s="593"/>
      <c r="Q1044" s="593"/>
      <c r="R1044" s="593"/>
      <c r="S1044" s="593"/>
      <c r="T1044" s="593"/>
      <c r="U1044" s="593"/>
      <c r="V1044" s="593"/>
      <c r="W1044" s="593"/>
    </row>
    <row r="1045" spans="1:25" s="148" customFormat="1" ht="19.95" customHeight="1">
      <c r="A1045" s="589" t="str">
        <f>RAW_DATA!A850</f>
        <v>BLK-LNSW</v>
      </c>
      <c r="B1045" s="771" t="str">
        <f>RAW_DATA!B850</f>
        <v>3/6/2024 1:20:56 PM</v>
      </c>
      <c r="C1045" s="315">
        <f>RAW_DATA!C850</f>
        <v>1.2266000000000001E-2</v>
      </c>
      <c r="D1045" s="795"/>
      <c r="E1045" s="315"/>
      <c r="F1045" s="315">
        <f>C1045-C1040</f>
        <v>1.2451E-2</v>
      </c>
      <c r="G1045" s="315"/>
      <c r="H1045" s="315"/>
      <c r="I1045" s="315"/>
      <c r="J1045" s="315"/>
      <c r="K1045" s="315"/>
      <c r="L1045" s="589"/>
      <c r="M1045" s="589"/>
      <c r="N1045" s="589"/>
      <c r="O1045" s="589"/>
      <c r="P1045" s="589"/>
      <c r="Q1045" s="589"/>
      <c r="R1045" s="589"/>
      <c r="S1045" s="589"/>
      <c r="T1045" s="589"/>
      <c r="U1045" s="589"/>
      <c r="V1045" s="589"/>
      <c r="W1045" s="589"/>
      <c r="X1045" s="315"/>
      <c r="Y1045" s="315"/>
    </row>
    <row r="1046" spans="1:25" s="148" customFormat="1" ht="19.95" customHeight="1">
      <c r="A1046" s="593" t="str">
        <f>RAW_DATA!A851</f>
        <v>CAL1</v>
      </c>
      <c r="B1046" s="770" t="str">
        <f>RAW_DATA!B851</f>
        <v>3/6/2024 1:21:48 PM</v>
      </c>
      <c r="C1046" s="148">
        <f>RAW_DATA!C851</f>
        <v>7.6466000000000006E-2</v>
      </c>
      <c r="D1046" s="317">
        <f t="shared" ref="D1046:E1050" si="327">O908</f>
        <v>3.0716999999999999</v>
      </c>
      <c r="E1046" s="317">
        <f t="shared" si="327"/>
        <v>3.3936500000000009</v>
      </c>
      <c r="F1046" s="317">
        <f>C1046-$C$1040</f>
        <v>7.6651000000000011E-2</v>
      </c>
      <c r="G1046" s="317">
        <f>F1046-$F$1045+$F$1044</f>
        <v>6.471600000000001E-2</v>
      </c>
      <c r="H1046" s="80">
        <f t="shared" ref="H1046:H1063" si="328">G1046*E1046/D1046</f>
        <v>7.149899189373965E-2</v>
      </c>
      <c r="I1046" s="317">
        <f t="shared" ref="I1046:I1051" si="329">H1046/dLNSW</f>
        <v>6.9808964079049018E-2</v>
      </c>
      <c r="J1046" s="199">
        <f>I1046</f>
        <v>6.9808964079049018E-2</v>
      </c>
      <c r="K1046" s="778">
        <f>J1046*(STDEV($I$1052:$I$1061)/AVERAGE($I$1052:$I$1061))</f>
        <v>3.9967845337063242E-4</v>
      </c>
      <c r="L1046" s="543">
        <f t="shared" ref="L1046:M1051" si="330">T788</f>
        <v>0.21592515455760472</v>
      </c>
      <c r="M1046" s="543">
        <f t="shared" si="330"/>
        <v>1.3933173521125442E-4</v>
      </c>
      <c r="N1046" s="593"/>
      <c r="O1046" s="593"/>
      <c r="P1046" s="593"/>
      <c r="Q1046" s="593"/>
      <c r="R1046" s="593"/>
      <c r="S1046" s="593"/>
      <c r="T1046" s="593"/>
      <c r="U1046" s="593"/>
      <c r="V1046" s="593"/>
      <c r="W1046" s="593"/>
    </row>
    <row r="1047" spans="1:25" s="148" customFormat="1" ht="19.95" customHeight="1">
      <c r="A1047" s="593" t="str">
        <f>RAW_DATA!A852</f>
        <v>CAL2</v>
      </c>
      <c r="B1047" s="770" t="str">
        <f>RAW_DATA!B852</f>
        <v>3/6/2024 1:22:41 PM</v>
      </c>
      <c r="C1047" s="148">
        <f>RAW_DATA!C852</f>
        <v>0.109762</v>
      </c>
      <c r="D1047" s="317">
        <f t="shared" si="327"/>
        <v>3.0649500000000005</v>
      </c>
      <c r="E1047" s="317">
        <f t="shared" si="327"/>
        <v>3.3879499999999991</v>
      </c>
      <c r="F1047" s="317">
        <f t="shared" ref="F1047:F1051" si="331">C1047-$C$1040</f>
        <v>0.109947</v>
      </c>
      <c r="G1047" s="317">
        <f t="shared" ref="G1047:G1051" si="332">F1047-$F$1045+$F$1044</f>
        <v>9.8012000000000002E-2</v>
      </c>
      <c r="H1047" s="80">
        <f t="shared" si="328"/>
        <v>0.10834100243070846</v>
      </c>
      <c r="I1047" s="317">
        <f t="shared" si="329"/>
        <v>0.1057801368474359</v>
      </c>
      <c r="J1047" s="199">
        <f t="shared" ref="J1047:J1051" si="333">I1047</f>
        <v>0.1057801368474359</v>
      </c>
      <c r="K1047" s="778">
        <f t="shared" ref="K1047:K1051" si="334">J1047*(STDEV($I$1052:$I$1061)/AVERAGE($I$1052:$I$1061))</f>
        <v>6.0562482268957578E-4</v>
      </c>
      <c r="L1047" s="543">
        <f t="shared" si="330"/>
        <v>0.32785249936998606</v>
      </c>
      <c r="M1047" s="543">
        <f t="shared" si="330"/>
        <v>1.6379701902936779E-4</v>
      </c>
      <c r="N1047" s="593"/>
      <c r="O1047" s="593"/>
      <c r="P1047" s="593"/>
      <c r="Q1047" s="593"/>
      <c r="R1047" s="593"/>
      <c r="S1047" s="593"/>
      <c r="T1047" s="593"/>
      <c r="U1047" s="96"/>
      <c r="V1047" s="593"/>
      <c r="W1047" s="593"/>
    </row>
    <row r="1048" spans="1:25" s="148" customFormat="1" ht="19.95" customHeight="1">
      <c r="A1048" s="593" t="str">
        <f>RAW_DATA!A853</f>
        <v>CAL3</v>
      </c>
      <c r="B1048" s="770" t="str">
        <f>RAW_DATA!B853</f>
        <v>3/6/2024 1:23:31 PM</v>
      </c>
      <c r="C1048" s="148">
        <f>RAW_DATA!C853</f>
        <v>0.140933</v>
      </c>
      <c r="D1048" s="317">
        <f t="shared" si="327"/>
        <v>3.0721499999999997</v>
      </c>
      <c r="E1048" s="317">
        <f t="shared" si="327"/>
        <v>3.3952</v>
      </c>
      <c r="F1048" s="317">
        <f t="shared" si="331"/>
        <v>0.14111799999999999</v>
      </c>
      <c r="G1048" s="317">
        <f t="shared" si="332"/>
        <v>0.12918299999999999</v>
      </c>
      <c r="H1048" s="80">
        <f t="shared" si="328"/>
        <v>0.14276715707240856</v>
      </c>
      <c r="I1048" s="317">
        <f t="shared" si="329"/>
        <v>0.1393925575139244</v>
      </c>
      <c r="J1048" s="199">
        <f t="shared" si="333"/>
        <v>0.1393925575139244</v>
      </c>
      <c r="K1048" s="778">
        <f t="shared" si="334"/>
        <v>7.9806658834610203E-4</v>
      </c>
      <c r="L1048" s="543">
        <f t="shared" si="330"/>
        <v>0.43299771472087945</v>
      </c>
      <c r="M1048" s="543">
        <f t="shared" si="330"/>
        <v>1.8937997782665351E-4</v>
      </c>
      <c r="N1048" s="593"/>
      <c r="O1048" s="593"/>
      <c r="P1048" s="593"/>
      <c r="Q1048" s="593"/>
      <c r="R1048" s="593"/>
      <c r="S1048" s="593"/>
      <c r="T1048" s="593"/>
      <c r="U1048" s="96"/>
      <c r="V1048" s="593"/>
      <c r="W1048" s="593"/>
    </row>
    <row r="1049" spans="1:25" s="148" customFormat="1" ht="19.95" customHeight="1">
      <c r="A1049" s="593" t="str">
        <f>RAW_DATA!A854</f>
        <v>CAL4</v>
      </c>
      <c r="B1049" s="770" t="str">
        <f>RAW_DATA!B854</f>
        <v>3/6/2024 1:24:25 PM</v>
      </c>
      <c r="C1049" s="148">
        <f>RAW_DATA!C854</f>
        <v>0.20633499999999999</v>
      </c>
      <c r="D1049" s="317">
        <f t="shared" si="327"/>
        <v>3.0695000000000006</v>
      </c>
      <c r="E1049" s="317">
        <f t="shared" si="327"/>
        <v>3.3920000000000003</v>
      </c>
      <c r="F1049" s="317">
        <f t="shared" si="331"/>
        <v>0.20651999999999998</v>
      </c>
      <c r="G1049" s="317">
        <f t="shared" si="332"/>
        <v>0.19458499999999998</v>
      </c>
      <c r="H1049" s="80">
        <f t="shared" si="328"/>
        <v>0.21502926209480366</v>
      </c>
      <c r="I1049" s="317">
        <f t="shared" si="329"/>
        <v>0.20994659695103904</v>
      </c>
      <c r="J1049" s="199">
        <f t="shared" si="333"/>
        <v>0.20994659695103904</v>
      </c>
      <c r="K1049" s="778">
        <f t="shared" si="334"/>
        <v>1.2020108343793936E-3</v>
      </c>
      <c r="L1049" s="543">
        <f t="shared" si="330"/>
        <v>0.65022925132829301</v>
      </c>
      <c r="M1049" s="543">
        <f t="shared" si="330"/>
        <v>2.5116165669339526E-4</v>
      </c>
      <c r="N1049" s="593"/>
      <c r="O1049" s="593"/>
      <c r="P1049" s="593"/>
      <c r="Q1049" s="593"/>
      <c r="R1049" s="593"/>
      <c r="S1049" s="593"/>
      <c r="T1049" s="593"/>
      <c r="U1049" s="96"/>
      <c r="V1049" s="593"/>
      <c r="W1049" s="593"/>
    </row>
    <row r="1050" spans="1:25" s="148" customFormat="1" ht="19.95" customHeight="1">
      <c r="A1050" s="593" t="str">
        <f>RAW_DATA!A855</f>
        <v>CAL5</v>
      </c>
      <c r="B1050" s="770" t="str">
        <f>RAW_DATA!B855</f>
        <v>3/6/2024 1:25:14 PM</v>
      </c>
      <c r="C1050" s="148">
        <f>RAW_DATA!C855</f>
        <v>0.267814</v>
      </c>
      <c r="D1050" s="319">
        <f t="shared" si="327"/>
        <v>3.0736499999999998</v>
      </c>
      <c r="E1050" s="319">
        <f t="shared" si="327"/>
        <v>3.3961499999999996</v>
      </c>
      <c r="F1050" s="319">
        <f t="shared" si="331"/>
        <v>0.26799899999999999</v>
      </c>
      <c r="G1050" s="319">
        <f t="shared" si="332"/>
        <v>0.25606400000000001</v>
      </c>
      <c r="H1050" s="81">
        <f t="shared" si="328"/>
        <v>0.28293128807769263</v>
      </c>
      <c r="I1050" s="319">
        <f t="shared" si="329"/>
        <v>0.27624361691152877</v>
      </c>
      <c r="J1050" s="790">
        <f t="shared" si="333"/>
        <v>0.27624361691152877</v>
      </c>
      <c r="K1050" s="779">
        <f t="shared" si="334"/>
        <v>1.5815822941547561E-3</v>
      </c>
      <c r="L1050" s="319">
        <f t="shared" si="330"/>
        <v>0.85791494289437054</v>
      </c>
      <c r="M1050" s="319">
        <f t="shared" si="330"/>
        <v>3.1452797990964382E-4</v>
      </c>
      <c r="N1050" s="589"/>
      <c r="O1050" s="589"/>
      <c r="P1050" s="589"/>
      <c r="Q1050" s="589"/>
      <c r="R1050" s="589"/>
      <c r="S1050" s="589"/>
      <c r="T1050" s="589"/>
      <c r="U1050" s="100"/>
      <c r="V1050" s="589"/>
      <c r="W1050" s="589"/>
      <c r="X1050" s="315"/>
      <c r="Y1050" s="315"/>
    </row>
    <row r="1051" spans="1:25" s="148" customFormat="1" ht="19.95" customHeight="1">
      <c r="A1051" s="184" t="str">
        <f>RAW_DATA!A868</f>
        <v>CAL6</v>
      </c>
      <c r="B1051" s="772" t="str">
        <f>RAW_DATA!B868</f>
        <v>3/6/2024 1:38:06 PM</v>
      </c>
      <c r="C1051" s="754">
        <f>RAW_DATA!C868</f>
        <v>0.55433200000000005</v>
      </c>
      <c r="D1051" s="319">
        <f>O925</f>
        <v>3.06325</v>
      </c>
      <c r="E1051" s="319">
        <f>P925</f>
        <v>3.3859500000000011</v>
      </c>
      <c r="F1051" s="319">
        <f t="shared" si="331"/>
        <v>0.55451700000000004</v>
      </c>
      <c r="G1051" s="319">
        <f t="shared" si="332"/>
        <v>0.54258200000000001</v>
      </c>
      <c r="H1051" s="81">
        <f t="shared" si="328"/>
        <v>0.59974064242226421</v>
      </c>
      <c r="I1051" s="319">
        <f t="shared" si="329"/>
        <v>0.58556452132673309</v>
      </c>
      <c r="J1051" s="790">
        <f t="shared" si="333"/>
        <v>0.58556452132673309</v>
      </c>
      <c r="K1051" s="779">
        <f t="shared" si="334"/>
        <v>3.3525425469366397E-3</v>
      </c>
      <c r="L1051" s="755">
        <f t="shared" si="330"/>
        <v>1.8276005201462815</v>
      </c>
      <c r="M1051" s="755">
        <f t="shared" si="330"/>
        <v>6.2994549219422627E-4</v>
      </c>
      <c r="N1051" s="754"/>
      <c r="O1051" s="754"/>
      <c r="P1051" s="754"/>
      <c r="Q1051" s="754"/>
      <c r="R1051" s="754"/>
      <c r="S1051" s="786"/>
      <c r="T1051" s="787"/>
      <c r="U1051" s="798"/>
      <c r="V1051" s="799"/>
      <c r="W1051" s="786"/>
      <c r="X1051" s="315"/>
      <c r="Y1051" s="315"/>
    </row>
    <row r="1052" spans="1:25" s="148" customFormat="1" ht="19.95" customHeight="1">
      <c r="A1052" s="593" t="str">
        <f>RAW_DATA!A856</f>
        <v>052a_1</v>
      </c>
      <c r="B1052" s="770" t="str">
        <f>RAW_DATA!B856</f>
        <v>3/6/2024 1:26:28 PM</v>
      </c>
      <c r="C1052" s="148">
        <f>RAW_DATA!C856</f>
        <v>0.12388299999999999</v>
      </c>
      <c r="D1052" s="317">
        <f t="shared" ref="D1052:D1063" si="335">O913</f>
        <v>3.0576999999999996</v>
      </c>
      <c r="E1052" s="317">
        <f t="shared" ref="E1052:E1063" si="336">P913</f>
        <v>3.3806000000000003</v>
      </c>
      <c r="F1052" s="317">
        <f>C1052-$C$1041</f>
        <v>0.12401799999999999</v>
      </c>
      <c r="G1052" s="317">
        <f>F1052</f>
        <v>0.12401799999999999</v>
      </c>
      <c r="H1052" s="80">
        <f t="shared" si="328"/>
        <v>0.13711457984759787</v>
      </c>
      <c r="I1052" s="317">
        <f t="shared" ref="I1052:I1061" si="337">H1052/dMOOS4</f>
        <v>0.13429560142608932</v>
      </c>
      <c r="J1052" s="199">
        <f t="shared" ref="J1052:J1061" si="338">I1052/m_efft_SiO2_v</f>
        <v>0.13429560142608932</v>
      </c>
      <c r="K1052" s="778">
        <f t="shared" ref="K1052:K1061" si="339">J1052*SQRT((STDEV($I$1052:$I$1061)/AVERAGE($I$1052:$I$1061))^2+(m_efft_SiO2_u/m_efft_SiO2_v)^2)</f>
        <v>7.6888489867402534E-4</v>
      </c>
      <c r="L1052" s="744">
        <f t="array" ref="L1052:M1052">ResultEXLN_GS($L$1046:$L$1050,$J$1046:$J$1050,J1052,K1052,pSiO2v,0)</f>
        <v>0.4164035233645999</v>
      </c>
      <c r="M1052" s="744">
        <v>2.4244439728516652E-3</v>
      </c>
      <c r="N1052" s="743">
        <f>M1052/L1052</f>
        <v>5.8223425999420269E-3</v>
      </c>
      <c r="O1052" s="762">
        <f>INDEX(LINEST($L$1046:$L$1050,$J$1046:$J$1050,TRUE,TRUE),3,1)</f>
        <v>0.99999131091153792</v>
      </c>
      <c r="P1052" s="791">
        <f t="array" ref="P1052:Q1052">ResultEXLN_MC($L$1046:$L$1050,$M$1046:$M$1050,$J$1046:$J$1050,$K$1046:$K$1050,J1052,K1052,MC)</f>
        <v>0.41635610958208574</v>
      </c>
      <c r="Q1052" s="791">
        <v>2.6317723759043238E-3</v>
      </c>
      <c r="R1052" s="677">
        <f>Q1052/P1052</f>
        <v>6.3209649512431685E-3</v>
      </c>
      <c r="S1052" s="198">
        <f t="shared" ref="S1052:S1063" si="340">L1052/P1052</f>
        <v>1.0001138779554881</v>
      </c>
      <c r="T1052" s="784">
        <f t="shared" ref="T1052:T1063" si="341">M1052/Q1052</f>
        <v>0.92122099732070606</v>
      </c>
      <c r="U1052" s="138" cm="1">
        <f t="array" ref="U1052:V1052">ResultEXQD($L$1046:$L$1050,$J$1046:$J$1050,J1052)</f>
        <v>0.41623973129875225</v>
      </c>
      <c r="V1052" s="792">
        <v>241.69074094356071</v>
      </c>
      <c r="W1052" s="198">
        <f>L1052/U1052</f>
        <v>1.0003935041600585</v>
      </c>
      <c r="X1052" s="735">
        <f>(L1052-AVERAGE($L$1052:$L$1061))/MEDIAN($M$1052:$M$1061)</f>
        <v>-0.58423578683558841</v>
      </c>
      <c r="Y1052" s="949">
        <f>H1052/$H$1048</f>
        <v>0.96040701978856513</v>
      </c>
    </row>
    <row r="1053" spans="1:25" s="148" customFormat="1" ht="19.95" customHeight="1">
      <c r="A1053" s="593" t="str">
        <f>RAW_DATA!A857</f>
        <v>130a_1</v>
      </c>
      <c r="B1053" s="770" t="str">
        <f>RAW_DATA!B857</f>
        <v>3/6/2024 1:27:11 PM</v>
      </c>
      <c r="C1053" s="148">
        <f>RAW_DATA!C857</f>
        <v>0.123983</v>
      </c>
      <c r="D1053" s="317">
        <f t="shared" si="335"/>
        <v>3.06365</v>
      </c>
      <c r="E1053" s="317">
        <f t="shared" si="336"/>
        <v>3.3851500000000003</v>
      </c>
      <c r="F1053" s="317">
        <f t="shared" ref="F1053:F1061" si="342">C1053-$C$1041</f>
        <v>0.12411799999999999</v>
      </c>
      <c r="G1053" s="317">
        <f t="shared" ref="G1053:G1063" si="343">F1053</f>
        <v>0.12411799999999999</v>
      </c>
      <c r="H1053" s="80">
        <f t="shared" si="328"/>
        <v>0.13714296597196157</v>
      </c>
      <c r="I1053" s="317">
        <f t="shared" si="337"/>
        <v>0.13432340395188794</v>
      </c>
      <c r="J1053" s="199">
        <f t="shared" si="338"/>
        <v>0.13432340395188794</v>
      </c>
      <c r="K1053" s="778">
        <f t="shared" si="339"/>
        <v>7.6904407694944571E-4</v>
      </c>
      <c r="L1053" s="744">
        <f t="array" ref="L1053:M1053">ResultEXLN_GS($L$1046:$L$1050,$J$1046:$J$1050,J1053,K1053,pSiO2v,0)</f>
        <v>0.41648989361607186</v>
      </c>
      <c r="M1053" s="744">
        <v>2.4249228497037327E-3</v>
      </c>
      <c r="N1053" s="743">
        <f t="shared" ref="N1053:N1062" si="344">M1053/L1053</f>
        <v>5.8222849746723303E-3</v>
      </c>
      <c r="O1053" s="762">
        <f t="shared" ref="O1053:O1062" si="345">INDEX(LINEST($L$1046:$L$1050,$J$1046:$J$1050,TRUE,TRUE),3,1)</f>
        <v>0.99999131091153792</v>
      </c>
      <c r="P1053" s="791">
        <f t="array" ref="P1053:Q1053">ResultEXLN_MC($L$1046:$L$1050,$M$1046:$M$1050,$J$1046:$J$1050,$K$1046:$K$1050,J1053,K1053,MC)</f>
        <v>0.41646800491962177</v>
      </c>
      <c r="Q1053" s="791">
        <v>2.6149382522394661E-3</v>
      </c>
      <c r="R1053" s="677">
        <f t="shared" ref="R1053:R1063" si="346">Q1053/P1053</f>
        <v>6.2788454847669479E-3</v>
      </c>
      <c r="S1053" s="198">
        <f t="shared" si="340"/>
        <v>1.0000525579304809</v>
      </c>
      <c r="T1053" s="784">
        <f t="shared" si="341"/>
        <v>0.92733465030273587</v>
      </c>
      <c r="U1053" s="138" cm="1">
        <f t="array" ref="U1053:V1053">ResultEXQD($L$1046:$L$1050,$J$1046:$J$1050,J1053)</f>
        <v>0.41632601232950689</v>
      </c>
      <c r="V1053" s="792">
        <v>241.69065466252994</v>
      </c>
      <c r="W1053" s="198">
        <f t="shared" ref="W1053:W1063" si="347">L1053/U1053</f>
        <v>1.0003936369136486</v>
      </c>
      <c r="X1053" s="735">
        <f t="shared" ref="X1053:X1061" si="348">(L1053-AVERAGE($L$1052:$L$1061))/MEDIAN($M$1052:$M$1061)</f>
        <v>-0.54867996001435582</v>
      </c>
      <c r="Y1053" s="949">
        <f t="shared" ref="Y1053:Y1061" si="349">H1053/$H$1048</f>
        <v>0.96060584790103709</v>
      </c>
    </row>
    <row r="1054" spans="1:25" s="148" customFormat="1" ht="19.95" customHeight="1">
      <c r="A1054" s="593" t="str">
        <f>RAW_DATA!A858</f>
        <v>207a_1</v>
      </c>
      <c r="B1054" s="770" t="str">
        <f>RAW_DATA!B858</f>
        <v>3/6/2024 1:28:49 PM</v>
      </c>
      <c r="C1054" s="148">
        <f>RAW_DATA!C858</f>
        <v>0.124539</v>
      </c>
      <c r="D1054" s="317">
        <f t="shared" si="335"/>
        <v>3.0617500000000009</v>
      </c>
      <c r="E1054" s="317">
        <f t="shared" si="336"/>
        <v>3.3846499999999997</v>
      </c>
      <c r="F1054" s="317">
        <f t="shared" si="342"/>
        <v>0.12467399999999999</v>
      </c>
      <c r="G1054" s="317">
        <f t="shared" si="343"/>
        <v>0.12467399999999999</v>
      </c>
      <c r="H1054" s="80">
        <f t="shared" si="328"/>
        <v>0.13782243948722131</v>
      </c>
      <c r="I1054" s="317">
        <f t="shared" si="337"/>
        <v>0.13498890797404464</v>
      </c>
      <c r="J1054" s="199">
        <f t="shared" si="338"/>
        <v>0.13498890797404464</v>
      </c>
      <c r="K1054" s="778">
        <f t="shared" si="339"/>
        <v>7.7285429848469639E-4</v>
      </c>
      <c r="L1054" s="744">
        <f t="array" ref="L1054:M1054">ResultEXLN_GS($L$1046:$L$1050,$J$1046:$J$1050,J1054,K1054,pSiO2v,0)</f>
        <v>0.41855732267505702</v>
      </c>
      <c r="M1054" s="744">
        <v>2.4363901474150555E-3</v>
      </c>
      <c r="N1054" s="743">
        <f t="shared" si="344"/>
        <v>5.8209234803103032E-3</v>
      </c>
      <c r="O1054" s="762">
        <f t="shared" si="345"/>
        <v>0.99999131091153792</v>
      </c>
      <c r="P1054" s="791">
        <f t="array" ref="P1054:Q1054">ResultEXLN_MC($L$1046:$L$1050,$M$1046:$M$1050,$J$1046:$J$1050,$K$1046:$K$1050,J1054,K1054,MC)</f>
        <v>0.41859457540426448</v>
      </c>
      <c r="Q1054" s="791">
        <v>2.6072684139439362E-3</v>
      </c>
      <c r="R1054" s="677">
        <f t="shared" si="346"/>
        <v>6.2286244665878069E-3</v>
      </c>
      <c r="S1054" s="198">
        <f t="shared" si="340"/>
        <v>0.99991100522702314</v>
      </c>
      <c r="T1054" s="784">
        <f t="shared" si="341"/>
        <v>0.93446080748149807</v>
      </c>
      <c r="U1054" s="138" cm="1">
        <f t="array" ref="U1054:V1054">ResultEXQD($L$1046:$L$1050,$J$1046:$J$1050,J1054)</f>
        <v>0.41839132414590186</v>
      </c>
      <c r="V1054" s="792">
        <v>241.68858935071356</v>
      </c>
      <c r="W1054" s="198">
        <f t="shared" si="347"/>
        <v>1.000396754233597</v>
      </c>
      <c r="X1054" s="735">
        <f t="shared" si="348"/>
        <v>0.30241342380342623</v>
      </c>
      <c r="Y1054" s="949">
        <f t="shared" si="349"/>
        <v>0.96536516040114617</v>
      </c>
    </row>
    <row r="1055" spans="1:25" s="148" customFormat="1" ht="19.95" customHeight="1">
      <c r="A1055" s="593" t="str">
        <f>RAW_DATA!A859</f>
        <v>284a_1</v>
      </c>
      <c r="B1055" s="770" t="str">
        <f>RAW_DATA!B859</f>
        <v>3/6/2024 1:29:29 PM</v>
      </c>
      <c r="C1055" s="148">
        <f>RAW_DATA!C859</f>
        <v>0.124058</v>
      </c>
      <c r="D1055" s="317">
        <f t="shared" si="335"/>
        <v>3.0669500000000003</v>
      </c>
      <c r="E1055" s="317">
        <f t="shared" si="336"/>
        <v>3.3903999999999996</v>
      </c>
      <c r="F1055" s="317">
        <f t="shared" si="342"/>
        <v>0.124193</v>
      </c>
      <c r="G1055" s="317">
        <f t="shared" si="343"/>
        <v>0.124193</v>
      </c>
      <c r="H1055" s="80">
        <f t="shared" si="328"/>
        <v>0.13729077656955604</v>
      </c>
      <c r="I1055" s="317">
        <f t="shared" si="337"/>
        <v>0.13446817566852931</v>
      </c>
      <c r="J1055" s="199">
        <f t="shared" si="338"/>
        <v>0.13446817566852931</v>
      </c>
      <c r="K1055" s="778">
        <f t="shared" si="339"/>
        <v>7.6987294092934258E-4</v>
      </c>
      <c r="L1055" s="744">
        <f t="array" ref="L1055:M1055">ResultEXLN_GS($L$1046:$L$1050,$J$1046:$J$1050,J1055,K1055,pSiO2v,0)</f>
        <v>0.41693963583240523</v>
      </c>
      <c r="M1055" s="744">
        <v>2.4274166748346464E-3</v>
      </c>
      <c r="N1055" s="743">
        <f t="shared" si="344"/>
        <v>5.8219858852910323E-3</v>
      </c>
      <c r="O1055" s="762">
        <f t="shared" si="345"/>
        <v>0.99999131091153792</v>
      </c>
      <c r="P1055" s="791">
        <f t="array" ref="P1055:Q1055">ResultEXLN_MC($L$1046:$L$1050,$M$1046:$M$1050,$J$1046:$J$1050,$K$1046:$K$1050,J1055,K1055,MC)</f>
        <v>0.41703447950186073</v>
      </c>
      <c r="Q1055" s="791">
        <v>2.6467256303451914E-3</v>
      </c>
      <c r="R1055" s="677">
        <f t="shared" si="346"/>
        <v>6.3465391003320673E-3</v>
      </c>
      <c r="S1055" s="198">
        <f t="shared" si="340"/>
        <v>0.99977257595206803</v>
      </c>
      <c r="T1055" s="784">
        <f t="shared" si="341"/>
        <v>0.91713952024489132</v>
      </c>
      <c r="U1055" s="138" cm="1">
        <f t="array" ref="U1055:V1055">ResultEXQD($L$1046:$L$1050,$J$1046:$J$1050,J1055)</f>
        <v>0.41677529095808402</v>
      </c>
      <c r="V1055" s="792">
        <v>241.69020538390137</v>
      </c>
      <c r="W1055" s="198">
        <f t="shared" si="347"/>
        <v>1.0003943248985405</v>
      </c>
      <c r="X1055" s="735">
        <f t="shared" si="348"/>
        <v>-0.36353569928080032</v>
      </c>
      <c r="Y1055" s="949">
        <f t="shared" si="349"/>
        <v>0.96164117423676787</v>
      </c>
    </row>
    <row r="1056" spans="1:25" s="148" customFormat="1" ht="19.95" customHeight="1">
      <c r="A1056" s="593" t="str">
        <f>RAW_DATA!A860</f>
        <v>360a_1</v>
      </c>
      <c r="B1056" s="770" t="str">
        <f>RAW_DATA!B860</f>
        <v>3/6/2024 1:30:11 PM</v>
      </c>
      <c r="C1056" s="148">
        <f>RAW_DATA!C860</f>
        <v>0.12601000000000001</v>
      </c>
      <c r="D1056" s="317">
        <f t="shared" si="335"/>
        <v>3.0680499999999995</v>
      </c>
      <c r="E1056" s="317">
        <f t="shared" si="336"/>
        <v>3.3907500000000006</v>
      </c>
      <c r="F1056" s="317">
        <f t="shared" si="342"/>
        <v>0.12614500000000001</v>
      </c>
      <c r="G1056" s="317">
        <f t="shared" si="343"/>
        <v>0.12614500000000001</v>
      </c>
      <c r="H1056" s="80">
        <f t="shared" si="328"/>
        <v>0.13941303393034668</v>
      </c>
      <c r="I1056" s="317">
        <f t="shared" si="337"/>
        <v>0.13654680092461158</v>
      </c>
      <c r="J1056" s="199">
        <f t="shared" si="338"/>
        <v>0.13654680092461158</v>
      </c>
      <c r="K1056" s="778">
        <f t="shared" si="339"/>
        <v>7.8177372958088815E-4</v>
      </c>
      <c r="L1056" s="744">
        <f t="array" ref="L1056:M1056">ResultEXLN_GS($L$1046:$L$1050,$J$1046:$J$1050,J1056,K1056,pSiO2v,0)</f>
        <v>0.42339701266874408</v>
      </c>
      <c r="M1056" s="744">
        <v>2.4632675147198161E-3</v>
      </c>
      <c r="N1056" s="743">
        <f t="shared" si="344"/>
        <v>5.8178670160977707E-3</v>
      </c>
      <c r="O1056" s="762">
        <f t="shared" si="345"/>
        <v>0.99999131091153792</v>
      </c>
      <c r="P1056" s="791">
        <f t="array" ref="P1056:Q1056">ResultEXLN_MC($L$1046:$L$1050,$M$1046:$M$1050,$J$1046:$J$1050,$K$1046:$K$1050,J1056,K1056,MC)</f>
        <v>0.4234839331693665</v>
      </c>
      <c r="Q1056" s="791">
        <v>2.6653081262006553E-3</v>
      </c>
      <c r="R1056" s="677">
        <f t="shared" si="346"/>
        <v>6.2937644558399399E-3</v>
      </c>
      <c r="S1056" s="198">
        <f t="shared" si="340"/>
        <v>0.99979474900034127</v>
      </c>
      <c r="T1056" s="784">
        <f t="shared" si="341"/>
        <v>0.92419615222167795</v>
      </c>
      <c r="U1056" s="138" cm="1">
        <f t="array" ref="U1056:V1056">ResultEXQD($L$1046:$L$1050,$J$1046:$J$1050,J1056)</f>
        <v>0.42322619611326817</v>
      </c>
      <c r="V1056" s="792">
        <v>241.68375447874618</v>
      </c>
      <c r="W1056" s="198">
        <f t="shared" si="347"/>
        <v>1.0004036058189323</v>
      </c>
      <c r="X1056" s="735">
        <f t="shared" si="348"/>
        <v>2.2947565784353379</v>
      </c>
      <c r="Y1056" s="949">
        <f t="shared" si="349"/>
        <v>0.9765063393371296</v>
      </c>
    </row>
    <row r="1057" spans="1:25" s="148" customFormat="1" ht="19.95" customHeight="1">
      <c r="A1057" s="593" t="str">
        <f>RAW_DATA!A861</f>
        <v>052a_2</v>
      </c>
      <c r="B1057" s="770" t="str">
        <f>RAW_DATA!B861</f>
        <v>3/6/2024 1:30:55 PM</v>
      </c>
      <c r="C1057" s="148">
        <f>RAW_DATA!C861</f>
        <v>0.124468</v>
      </c>
      <c r="D1057" s="317">
        <f t="shared" si="335"/>
        <v>3.0577500000000004</v>
      </c>
      <c r="E1057" s="317">
        <f t="shared" si="336"/>
        <v>3.3809000000000005</v>
      </c>
      <c r="F1057" s="317">
        <f t="shared" si="342"/>
        <v>0.12460299999999999</v>
      </c>
      <c r="G1057" s="317">
        <f t="shared" si="343"/>
        <v>0.12460299999999999</v>
      </c>
      <c r="H1057" s="80">
        <f t="shared" si="328"/>
        <v>0.13777132947428664</v>
      </c>
      <c r="I1057" s="317">
        <f t="shared" si="337"/>
        <v>0.13493884874669199</v>
      </c>
      <c r="J1057" s="199">
        <f t="shared" si="338"/>
        <v>0.13493884874669199</v>
      </c>
      <c r="K1057" s="778">
        <f t="shared" si="339"/>
        <v>7.7256769353604559E-4</v>
      </c>
      <c r="L1057" s="744">
        <f t="array" ref="L1057:M1057">ResultEXLN_GS($L$1046:$L$1050,$J$1046:$J$1050,J1057,K1057,pSiO2v,0)</f>
        <v>0.41840181061524434</v>
      </c>
      <c r="M1057" s="744">
        <v>2.4355272773008683E-3</v>
      </c>
      <c r="N1057" s="743">
        <f t="shared" si="344"/>
        <v>5.8210247076118425E-3</v>
      </c>
      <c r="O1057" s="762">
        <f t="shared" si="345"/>
        <v>0.99999131091153792</v>
      </c>
      <c r="P1057" s="791">
        <f t="array" ref="P1057:Q1057">ResultEXLN_MC($L$1046:$L$1050,$M$1046:$M$1050,$J$1046:$J$1050,$K$1046:$K$1050,J1057,K1057,MC)</f>
        <v>0.41846934185310797</v>
      </c>
      <c r="Q1057" s="791">
        <v>2.6888434642533313E-3</v>
      </c>
      <c r="R1057" s="677">
        <f t="shared" si="346"/>
        <v>6.4254252231389867E-3</v>
      </c>
      <c r="S1057" s="198">
        <f t="shared" si="340"/>
        <v>0.99983862321295847</v>
      </c>
      <c r="T1057" s="784">
        <f t="shared" si="341"/>
        <v>0.90578990918580427</v>
      </c>
      <c r="U1057" s="138" cm="1">
        <f t="array" ref="U1057:V1057">ResultEXQD($L$1046:$L$1050,$J$1046:$J$1050,J1057)</f>
        <v>0.41823597011530761</v>
      </c>
      <c r="V1057" s="792">
        <v>241.68874470474415</v>
      </c>
      <c r="W1057" s="198">
        <f t="shared" si="347"/>
        <v>1.000396523761194</v>
      </c>
      <c r="X1057" s="735">
        <f t="shared" si="348"/>
        <v>0.23839416053766962</v>
      </c>
      <c r="Y1057" s="949">
        <f t="shared" si="349"/>
        <v>0.96500716480900339</v>
      </c>
    </row>
    <row r="1058" spans="1:25" s="148" customFormat="1" ht="19.95" customHeight="1">
      <c r="A1058" s="593" t="str">
        <f>RAW_DATA!A862</f>
        <v>130a_2</v>
      </c>
      <c r="B1058" s="770" t="str">
        <f>RAW_DATA!B862</f>
        <v>3/6/2024 1:31:41 PM</v>
      </c>
      <c r="C1058" s="148">
        <f>RAW_DATA!C862</f>
        <v>0.124274</v>
      </c>
      <c r="D1058" s="317">
        <f t="shared" si="335"/>
        <v>3.0716499999999991</v>
      </c>
      <c r="E1058" s="317">
        <f t="shared" si="336"/>
        <v>3.394000000000001</v>
      </c>
      <c r="F1058" s="317">
        <f t="shared" si="342"/>
        <v>0.12440899999999999</v>
      </c>
      <c r="G1058" s="317">
        <f t="shared" si="343"/>
        <v>0.12440899999999999</v>
      </c>
      <c r="H1058" s="80">
        <f t="shared" si="328"/>
        <v>0.13746492797030918</v>
      </c>
      <c r="I1058" s="317">
        <f t="shared" si="337"/>
        <v>0.13463874664011624</v>
      </c>
      <c r="J1058" s="199">
        <f t="shared" si="338"/>
        <v>0.13463874664011624</v>
      </c>
      <c r="K1058" s="778">
        <f t="shared" si="339"/>
        <v>7.7084951382385791E-4</v>
      </c>
      <c r="L1058" s="744">
        <f t="array" ref="L1058:M1058">ResultEXLN_GS($L$1046:$L$1050,$J$1046:$J$1050,J1058,K1058,pSiO2v,0)</f>
        <v>0.41746952501644857</v>
      </c>
      <c r="M1058" s="744">
        <v>2.4303554420471336E-3</v>
      </c>
      <c r="N1058" s="743">
        <f t="shared" si="344"/>
        <v>5.8216355839420279E-3</v>
      </c>
      <c r="O1058" s="762">
        <f t="shared" si="345"/>
        <v>0.99999131091153792</v>
      </c>
      <c r="P1058" s="791">
        <f t="array" ref="P1058:Q1058">ResultEXLN_MC($L$1046:$L$1050,$M$1046:$M$1050,$J$1046:$J$1050,$K$1046:$K$1050,J1058,K1058,MC)</f>
        <v>0.41747698062802818</v>
      </c>
      <c r="Q1058" s="791">
        <v>2.6587672275945173E-3</v>
      </c>
      <c r="R1058" s="677">
        <f t="shared" si="346"/>
        <v>6.3686558803669174E-3</v>
      </c>
      <c r="S1058" s="198">
        <f t="shared" si="340"/>
        <v>0.99998214126305029</v>
      </c>
      <c r="T1058" s="784">
        <f t="shared" si="341"/>
        <v>0.91409109335455585</v>
      </c>
      <c r="U1058" s="138" cm="1">
        <f t="array" ref="U1058:V1058">ResultEXQD($L$1046:$L$1050,$J$1046:$J$1050,J1058)</f>
        <v>0.4173046360871126</v>
      </c>
      <c r="V1058" s="792">
        <v>241.68967603877235</v>
      </c>
      <c r="W1058" s="198">
        <f t="shared" si="347"/>
        <v>1.0003951284387398</v>
      </c>
      <c r="X1058" s="735">
        <f t="shared" si="348"/>
        <v>-0.14539753548945525</v>
      </c>
      <c r="Y1058" s="949">
        <f t="shared" si="349"/>
        <v>0.96286100241240924</v>
      </c>
    </row>
    <row r="1059" spans="1:25" s="148" customFormat="1" ht="19.95" customHeight="1">
      <c r="A1059" s="593" t="str">
        <f>RAW_DATA!A863</f>
        <v>207a_2</v>
      </c>
      <c r="B1059" s="770" t="str">
        <f>RAW_DATA!B863</f>
        <v>3/6/2024 1:32:33 PM</v>
      </c>
      <c r="C1059" s="148">
        <f>RAW_DATA!C863</f>
        <v>0.12335400000000001</v>
      </c>
      <c r="D1059" s="317">
        <f t="shared" si="335"/>
        <v>3.0678000000000001</v>
      </c>
      <c r="E1059" s="317">
        <f t="shared" si="336"/>
        <v>3.3890999999999991</v>
      </c>
      <c r="F1059" s="317">
        <f t="shared" si="342"/>
        <v>0.123489</v>
      </c>
      <c r="G1059" s="317">
        <f t="shared" si="343"/>
        <v>0.123489</v>
      </c>
      <c r="H1059" s="80">
        <f t="shared" si="328"/>
        <v>0.13642237756698608</v>
      </c>
      <c r="I1059" s="317">
        <f t="shared" si="337"/>
        <v>0.13361763033295979</v>
      </c>
      <c r="J1059" s="199">
        <f t="shared" si="338"/>
        <v>0.13361763033295979</v>
      </c>
      <c r="K1059" s="778">
        <f t="shared" si="339"/>
        <v>7.6500329920457647E-4</v>
      </c>
      <c r="L1059" s="744">
        <f t="array" ref="L1059:M1059">ResultEXLN_GS($L$1046:$L$1050,$J$1046:$J$1050,J1059,K1059,pSiO2v,0)</f>
        <v>0.41429736458505478</v>
      </c>
      <c r="M1059" s="744">
        <v>2.4127711709635911E-3</v>
      </c>
      <c r="N1059" s="743">
        <f t="shared" si="344"/>
        <v>5.8237666401284869E-3</v>
      </c>
      <c r="O1059" s="762">
        <f t="shared" si="345"/>
        <v>0.99999131091153792</v>
      </c>
      <c r="P1059" s="791">
        <f t="array" ref="P1059:Q1059">ResultEXLN_MC($L$1046:$L$1050,$M$1046:$M$1050,$J$1046:$J$1050,$K$1046:$K$1050,J1059,K1059,MC)</f>
        <v>0.41429148302329988</v>
      </c>
      <c r="Q1059" s="791">
        <v>2.5770340722853602E-3</v>
      </c>
      <c r="R1059" s="677">
        <f t="shared" si="346"/>
        <v>6.2203404556603614E-3</v>
      </c>
      <c r="S1059" s="198">
        <f t="shared" si="340"/>
        <v>1.0000141966755194</v>
      </c>
      <c r="T1059" s="784">
        <f t="shared" si="341"/>
        <v>0.9362589330547354</v>
      </c>
      <c r="U1059" s="138" cm="1">
        <f t="array" ref="U1059:V1059">ResultEXQD($L$1046:$L$1050,$J$1046:$J$1050,J1059)</f>
        <v>0.41413576728678725</v>
      </c>
      <c r="V1059" s="792">
        <v>241.69284490757266</v>
      </c>
      <c r="W1059" s="198">
        <f t="shared" si="347"/>
        <v>1.0003902036748147</v>
      </c>
      <c r="X1059" s="735">
        <f t="shared" si="348"/>
        <v>-1.4512729384854208</v>
      </c>
      <c r="Y1059" s="949">
        <f t="shared" si="349"/>
        <v>0.95555854977062737</v>
      </c>
    </row>
    <row r="1060" spans="1:25" s="148" customFormat="1" ht="19.95" customHeight="1">
      <c r="A1060" s="593" t="str">
        <f>RAW_DATA!A864</f>
        <v>284a_2</v>
      </c>
      <c r="B1060" s="770" t="str">
        <f>RAW_DATA!B864</f>
        <v>3/6/2024 1:33:24 PM</v>
      </c>
      <c r="C1060" s="148">
        <f>RAW_DATA!C864</f>
        <v>0.124114</v>
      </c>
      <c r="D1060" s="317">
        <f t="shared" si="335"/>
        <v>3.0661999999999994</v>
      </c>
      <c r="E1060" s="317">
        <f t="shared" si="336"/>
        <v>3.3888000000000007</v>
      </c>
      <c r="F1060" s="317">
        <f t="shared" si="342"/>
        <v>0.124249</v>
      </c>
      <c r="G1060" s="317">
        <f t="shared" si="343"/>
        <v>0.124249</v>
      </c>
      <c r="H1060" s="80">
        <f t="shared" si="328"/>
        <v>0.1373214438718936</v>
      </c>
      <c r="I1060" s="317">
        <f t="shared" si="337"/>
        <v>0.13449821247290208</v>
      </c>
      <c r="J1060" s="199">
        <f t="shared" si="338"/>
        <v>0.13449821247290208</v>
      </c>
      <c r="K1060" s="778">
        <f t="shared" si="339"/>
        <v>7.7004491115801287E-4</v>
      </c>
      <c r="L1060" s="744">
        <f t="array" ref="L1060:M1060">ResultEXLN_GS($L$1046:$L$1050,$J$1046:$J$1050,J1060,K1060,pSiO2v,0)</f>
        <v>0.41703294700729204</v>
      </c>
      <c r="M1060" s="744">
        <v>2.4279341376725783E-3</v>
      </c>
      <c r="N1060" s="743">
        <f t="shared" si="344"/>
        <v>5.8219240352492454E-3</v>
      </c>
      <c r="O1060" s="762">
        <f t="shared" si="345"/>
        <v>0.99999131091153792</v>
      </c>
      <c r="P1060" s="791">
        <f t="array" ref="P1060:Q1060">ResultEXLN_MC($L$1046:$L$1050,$M$1046:$M$1050,$J$1046:$J$1050,$K$1046:$K$1050,J1060,K1060,MC)</f>
        <v>0.41710031419745386</v>
      </c>
      <c r="Q1060" s="791">
        <v>2.6801723219033544E-3</v>
      </c>
      <c r="R1060" s="677">
        <f t="shared" si="346"/>
        <v>6.4257259720849075E-3</v>
      </c>
      <c r="S1060" s="198">
        <f t="shared" si="340"/>
        <v>0.99983848683909182</v>
      </c>
      <c r="T1060" s="784">
        <f t="shared" si="341"/>
        <v>0.90588732591207177</v>
      </c>
      <c r="U1060" s="138" cm="1">
        <f t="array" ref="U1060:V1060">ResultEXQD($L$1046:$L$1050,$J$1046:$J$1050,J1060)</f>
        <v>0.41686850615875587</v>
      </c>
      <c r="V1060" s="792">
        <v>241.69011216870069</v>
      </c>
      <c r="W1060" s="198">
        <f t="shared" si="347"/>
        <v>1.0003944669508651</v>
      </c>
      <c r="X1060" s="735">
        <f t="shared" si="348"/>
        <v>-0.32512251976333095</v>
      </c>
      <c r="Y1060" s="949">
        <f t="shared" si="349"/>
        <v>0.9618559806598026</v>
      </c>
    </row>
    <row r="1061" spans="1:25" s="148" customFormat="1" ht="19.95" customHeight="1">
      <c r="A1061" s="589" t="str">
        <f>RAW_DATA!A865</f>
        <v>360a_2</v>
      </c>
      <c r="B1061" s="771" t="str">
        <f>RAW_DATA!B865</f>
        <v>3/6/2024 1:34:16 PM</v>
      </c>
      <c r="C1061" s="315">
        <f>RAW_DATA!C865</f>
        <v>0.124801</v>
      </c>
      <c r="D1061" s="319">
        <f t="shared" si="335"/>
        <v>3.0738000000000003</v>
      </c>
      <c r="E1061" s="319">
        <f t="shared" si="336"/>
        <v>3.39635</v>
      </c>
      <c r="F1061" s="319">
        <f t="shared" si="342"/>
        <v>0.12493599999999999</v>
      </c>
      <c r="G1061" s="319">
        <f t="shared" si="343"/>
        <v>0.12493599999999999</v>
      </c>
      <c r="H1061" s="81">
        <f t="shared" si="328"/>
        <v>0.13804619155442771</v>
      </c>
      <c r="I1061" s="319">
        <f t="shared" si="337"/>
        <v>0.13520805985759499</v>
      </c>
      <c r="J1061" s="790">
        <f t="shared" si="338"/>
        <v>0.13520805985759499</v>
      </c>
      <c r="K1061" s="779">
        <f t="shared" si="339"/>
        <v>7.7410901250353611E-4</v>
      </c>
      <c r="L1061" s="747">
        <f t="array" ref="L1061:M1061">ResultEXLN_GS($L$1046:$L$1050,$J$1046:$J$1050,J1061,K1061,pSiO2v,0)</f>
        <v>0.41923813144149397</v>
      </c>
      <c r="M1061" s="747">
        <v>2.4401682353657711E-3</v>
      </c>
      <c r="N1061" s="746">
        <f t="shared" si="344"/>
        <v>5.8204825667349976E-3</v>
      </c>
      <c r="O1061" s="763">
        <f t="shared" si="345"/>
        <v>0.99999131091153792</v>
      </c>
      <c r="P1061" s="680">
        <f t="array" ref="P1061:Q1061">ResultEXLN_MC($L$1046:$L$1050,$M$1046:$M$1050,$J$1046:$J$1050,$K$1046:$K$1050,J1061,K1061,MC)</f>
        <v>0.41932374401441125</v>
      </c>
      <c r="Q1061" s="680">
        <v>2.6387592862998493E-3</v>
      </c>
      <c r="R1061" s="679">
        <f t="shared" si="346"/>
        <v>6.2928926014005088E-3</v>
      </c>
      <c r="S1061" s="201">
        <f t="shared" si="340"/>
        <v>0.99979583180265996</v>
      </c>
      <c r="T1061" s="785">
        <f t="shared" si="341"/>
        <v>0.92474074768201053</v>
      </c>
      <c r="U1061" s="140" cm="1">
        <f t="array" ref="U1061:V1061">ResultEXQD($L$1046:$L$1050,$J$1046:$J$1050,J1061)</f>
        <v>0.41907144343892577</v>
      </c>
      <c r="V1061" s="793">
        <v>241.68790923142052</v>
      </c>
      <c r="W1061" s="201">
        <f t="shared" si="347"/>
        <v>1.0003977555740862</v>
      </c>
      <c r="X1061" s="599">
        <f t="shared" si="348"/>
        <v>0.58268027709224335</v>
      </c>
      <c r="Y1061" s="950">
        <f t="shared" si="349"/>
        <v>0.966932412084199</v>
      </c>
    </row>
    <row r="1062" spans="1:25" s="148" customFormat="1" ht="19.95" customHeight="1">
      <c r="A1062" s="593" t="str">
        <f>RAW_DATA!A866</f>
        <v>SALT1_309</v>
      </c>
      <c r="B1062" s="770" t="str">
        <f>RAW_DATA!B866</f>
        <v>3/6/2024 1:35:30 PM</v>
      </c>
      <c r="C1062" s="148">
        <f>RAW_DATA!C866</f>
        <v>0.15579499999999999</v>
      </c>
      <c r="D1062" s="317">
        <f t="shared" si="335"/>
        <v>3.0709500000000007</v>
      </c>
      <c r="E1062" s="317">
        <f t="shared" si="336"/>
        <v>3.3936000000000002</v>
      </c>
      <c r="F1062" s="317">
        <f>C1062-C1042</f>
        <v>0.155385</v>
      </c>
      <c r="G1062" s="317">
        <f t="shared" si="343"/>
        <v>0.155385</v>
      </c>
      <c r="H1062" s="80">
        <f t="shared" si="328"/>
        <v>0.17171055731939625</v>
      </c>
      <c r="I1062" s="317">
        <f>H1062/dSALT1</f>
        <v>0.16781514312177803</v>
      </c>
      <c r="J1062" s="796">
        <f>I1062</f>
        <v>0.16781514312177803</v>
      </c>
      <c r="K1062" s="778">
        <f t="shared" ref="K1062:K1063" si="350">J1062*(STDEV($I$1052:$I$1061)/AVERAGE($I$1052:$I$1061))</f>
        <v>9.6079490277400014E-4</v>
      </c>
      <c r="L1062" s="744">
        <f t="array" ref="L1062:M1062">ResultEXLN_GS($L$1046:$L$1050,$J$1046:$J$1050,J1062,K1062,pSiO2v,0)</f>
        <v>0.52053403533499165</v>
      </c>
      <c r="M1062" s="744">
        <v>3.0106837730848992E-3</v>
      </c>
      <c r="N1062" s="743">
        <f t="shared" si="344"/>
        <v>5.7838365384645062E-3</v>
      </c>
      <c r="O1062" s="762">
        <f t="shared" si="345"/>
        <v>0.99999131091153792</v>
      </c>
      <c r="P1062" s="791">
        <f t="array" ref="P1062:Q1062">ResultEXLN_MC($L$1046:$L$1050,$M$1046:$M$1050,$J$1046:$J$1050,$K$1046:$K$1050,J1062,K1062,MC)</f>
        <v>0.52056972851580374</v>
      </c>
      <c r="Q1062" s="791">
        <v>3.3710524594901831E-3</v>
      </c>
      <c r="R1062" s="677">
        <f t="shared" si="346"/>
        <v>6.4756982106919476E-3</v>
      </c>
      <c r="S1062" s="198">
        <f t="shared" si="340"/>
        <v>0.99993143439032872</v>
      </c>
      <c r="T1062" s="784">
        <f t="shared" si="341"/>
        <v>0.89309905712360704</v>
      </c>
      <c r="U1062" s="138" cm="1">
        <f t="array" ref="U1062:V1062">ResultEXQD($L$1046:$L$1050,$J$1046:$J$1050,J1062)</f>
        <v>0.5203075260192167</v>
      </c>
      <c r="V1062" s="792">
        <v>241.58667314884025</v>
      </c>
      <c r="W1062" s="198">
        <f t="shared" si="347"/>
        <v>1.0004353373811599</v>
      </c>
    </row>
    <row r="1063" spans="1:25" s="148" customFormat="1" ht="19.95" customHeight="1">
      <c r="A1063" s="589" t="str">
        <f>RAW_DATA!A867</f>
        <v>MOOS3</v>
      </c>
      <c r="B1063" s="771" t="str">
        <f>RAW_DATA!B867</f>
        <v>3/6/2024 1:36:25 PM</v>
      </c>
      <c r="C1063" s="315">
        <f>RAW_DATA!C867</f>
        <v>0.51499600000000001</v>
      </c>
      <c r="D1063" s="319">
        <f t="shared" si="335"/>
        <v>3.0834000000000001</v>
      </c>
      <c r="E1063" s="319">
        <f t="shared" si="336"/>
        <v>3.4061999999999992</v>
      </c>
      <c r="F1063" s="319">
        <f>C1063-C1043</f>
        <v>0.51518799999999998</v>
      </c>
      <c r="G1063" s="319">
        <f t="shared" si="343"/>
        <v>0.51518799999999998</v>
      </c>
      <c r="H1063" s="81">
        <f t="shared" si="328"/>
        <v>0.56912284024129189</v>
      </c>
      <c r="I1063" s="319">
        <f>H1063/dMOOS3</f>
        <v>0.55217118486590855</v>
      </c>
      <c r="J1063" s="797">
        <f>I1063</f>
        <v>0.55217118486590855</v>
      </c>
      <c r="K1063" s="779">
        <f t="shared" si="350"/>
        <v>3.1613551078215956E-3</v>
      </c>
      <c r="L1063" s="747">
        <f t="array" ref="L1063:M1063">ResultEXLN_GS($L$1046:$L$1051,$J$1046:$J$1051,J1063,K1063,pSiO2v,0)</f>
        <v>1.7220546923778375</v>
      </c>
      <c r="M1063" s="747">
        <v>1.0005541974357031E-2</v>
      </c>
      <c r="N1063" s="746">
        <f>M1063/L1063</f>
        <v>5.8102347263670447E-3</v>
      </c>
      <c r="O1063" s="763">
        <f t="array" ref="O1063">INDEX(LINEST($L$1046:$L$1051,$J$1046:$J$1051,TRUE,TRUE),3,1)</f>
        <v>0.99999226775991534</v>
      </c>
      <c r="P1063" s="680">
        <f t="array" ref="P1063:Q1063">ResultEXLN_MC($L$1046:$L$1051,$M$1046:$M$1051,$J$1046:$J$1051,$K$1046:$K$1051,J1063,K1063,MC)</f>
        <v>1.7221343058645848</v>
      </c>
      <c r="Q1063" s="680">
        <v>1.2842513463367235E-2</v>
      </c>
      <c r="R1063" s="679">
        <f t="shared" si="346"/>
        <v>7.457323984333351E-3</v>
      </c>
      <c r="S1063" s="201">
        <f t="shared" si="340"/>
        <v>0.9999537704542113</v>
      </c>
      <c r="T1063" s="785">
        <f t="shared" si="341"/>
        <v>0.77909530738647426</v>
      </c>
      <c r="U1063" s="140">
        <f t="array" ref="U1063:V1063">ResultEXQD($L$1046:$L$1051,$J$1046:$J$1051,J1063)</f>
        <v>1.7223501459920825</v>
      </c>
      <c r="V1063" s="793">
        <v>172.66784113864838</v>
      </c>
      <c r="W1063" s="201">
        <f t="shared" si="347"/>
        <v>0.99982845903027762</v>
      </c>
      <c r="X1063" s="315"/>
      <c r="Y1063" s="315"/>
    </row>
    <row r="1064" spans="1:25" s="588" customFormat="1" ht="19.95" customHeight="1">
      <c r="D1064" s="479"/>
    </row>
    <row r="1065" spans="1:25" s="148" customFormat="1" ht="19.95" customHeight="1">
      <c r="A1065" s="593"/>
      <c r="B1065" s="380" t="s">
        <v>2178</v>
      </c>
      <c r="C1065" s="230"/>
      <c r="D1065" s="380" t="s">
        <v>2184</v>
      </c>
      <c r="E1065" s="230"/>
      <c r="F1065" s="230"/>
      <c r="G1065" s="380" t="s">
        <v>2185</v>
      </c>
      <c r="H1065" s="230"/>
      <c r="I1065" s="230"/>
      <c r="J1065" s="230"/>
      <c r="K1065" s="230"/>
      <c r="L1065" s="233" t="s">
        <v>217</v>
      </c>
    </row>
    <row r="1066" spans="1:25" s="148" customFormat="1" ht="19.95" customHeight="1">
      <c r="A1066" s="587" t="s">
        <v>100</v>
      </c>
      <c r="B1066" s="663" t="s">
        <v>2179</v>
      </c>
      <c r="C1066" s="663" t="s">
        <v>2180</v>
      </c>
      <c r="D1066" s="663" t="s">
        <v>229</v>
      </c>
      <c r="E1066" s="663" t="s">
        <v>1171</v>
      </c>
      <c r="F1066" s="663" t="s">
        <v>1172</v>
      </c>
      <c r="G1066" s="589" t="s">
        <v>2181</v>
      </c>
      <c r="H1066" s="589" t="s">
        <v>2182</v>
      </c>
      <c r="I1066" s="589" t="s">
        <v>2183</v>
      </c>
      <c r="J1066" s="589" t="s">
        <v>2186</v>
      </c>
      <c r="K1066" s="589" t="s">
        <v>2187</v>
      </c>
      <c r="L1066" s="663" t="s">
        <v>2188</v>
      </c>
    </row>
    <row r="1067" spans="1:25" s="148" customFormat="1" ht="19.95" customHeight="1">
      <c r="A1067" s="590" t="str">
        <f>A1062</f>
        <v>SALT1_309</v>
      </c>
      <c r="B1067" s="730">
        <f>I237</f>
        <v>0.5195747947674243</v>
      </c>
      <c r="C1067" s="730">
        <f>J237</f>
        <v>8.3041646366587354E-3</v>
      </c>
      <c r="D1067" s="272">
        <f>L1062</f>
        <v>0.52053403533499165</v>
      </c>
      <c r="E1067" s="272">
        <f>M1062</f>
        <v>3.0106837730848992E-3</v>
      </c>
      <c r="F1067" s="590">
        <v>3</v>
      </c>
      <c r="G1067" s="590" t="b">
        <f>IF(ABS(B1067-D1067)&lt;2*SQRT(C1067^2+E1067^2/F1067),TRUE,FALSE)</f>
        <v>1</v>
      </c>
      <c r="H1067" s="590" t="b">
        <f>IF(SQRT(F1067)*(ABS(D1067-B1067)-2*C1067)/E1067&gt;ABS(_xlfn.T.INV(0.05/2,F1067-1)),FALSE,TRUE)</f>
        <v>1</v>
      </c>
      <c r="I1067" s="590" t="b">
        <f>IF(AND((D1067-B1067)^2/MAX(E1067^2/(F1067-1),C1067^2)&lt;_xlfn.T.INV(0.05/2,F1067-1)^2,F1067&gt;2),TRUE,FALSE)</f>
        <v>1</v>
      </c>
      <c r="J1067" s="590" t="b">
        <f>IF(SQRT(F1067)*ABS(D1067-B1067)/(E1067/(1-0.333/F1067))&gt;ABS(_xlfn.T.INV(0.05/2,F1067-1)),FALSE,TRUE)</f>
        <v>1</v>
      </c>
      <c r="K1067" s="590" t="b">
        <f>IF(F1067*(D1067-B1067)^2/(2*C1067)^2&lt;_xlfn.CHISQ.INV(SQRT(0.95),1),IF((F1067-1)*E1067^2/(2*C1067)^2&lt;_xlfn.CHISQ.INV(SQRT(0.95),F1067-1),TRUE,FALSE),FALSE)</f>
        <v>1</v>
      </c>
      <c r="L1067" s="794">
        <f>D1067/B1067</f>
        <v>1.0018462030437729</v>
      </c>
    </row>
    <row r="1068" spans="1:25" s="148" customFormat="1" ht="19.95" customHeight="1">
      <c r="A1068" s="589" t="str">
        <f>A1063</f>
        <v>MOOS3</v>
      </c>
      <c r="B1068" s="319">
        <v>1.77</v>
      </c>
      <c r="C1068" s="319">
        <f>0.04/2</f>
        <v>0.02</v>
      </c>
      <c r="D1068" s="143">
        <f>L1063</f>
        <v>1.7220546923778375</v>
      </c>
      <c r="E1068" s="143">
        <f>M1063</f>
        <v>1.0005541974357031E-2</v>
      </c>
      <c r="F1068" s="589">
        <v>3</v>
      </c>
      <c r="G1068" s="589" t="b">
        <f>IF(ABS(B1068-D1068)&lt;2*SQRT(C1068^2+E1068^2/F1068),TRUE,FALSE)</f>
        <v>0</v>
      </c>
      <c r="H1068" s="589" t="b">
        <f>IF(SQRT(F1068)*(ABS(D1068-B1068)-2*C1068)/E1068&gt;ABS(_xlfn.T.INV(0.05/2,F1068-1)),FALSE,TRUE)</f>
        <v>1</v>
      </c>
      <c r="I1068" s="589" t="b">
        <f>IF(AND((D1068-B1068)^2/MAX(E1068^2/(F1068-1),C1068^2)&lt;_xlfn.T.INV(0.05/2,F1068-1)^2,F1068&gt;2),TRUE,FALSE)</f>
        <v>1</v>
      </c>
      <c r="J1068" s="589" t="b">
        <f>IF(SQRT(F1068)*ABS(D1068-B1068)/(E1068/(1-0.333/F1068))&gt;ABS(_xlfn.T.INV(0.05/2,F1068-1)),FALSE,TRUE)</f>
        <v>0</v>
      </c>
      <c r="K1068" s="589" t="b">
        <f>IF(F1068*(D1068-B1068)^2/(2*C1068)^2&lt;_xlfn.CHISQ.INV(SQRT(0.95),1),IF((F1068-1)*E1068^2/(2*C1068)^2&lt;_xlfn.CHISQ.INV(SQRT(0.95),F1068-1),TRUE,FALSE),FALSE)</f>
        <v>1</v>
      </c>
      <c r="L1068" s="321">
        <f>D1068/B1068</f>
        <v>0.97291225558069916</v>
      </c>
    </row>
    <row r="1069" spans="1:25" s="148" customFormat="1" ht="19.95" customHeight="1">
      <c r="A1069" s="148" t="s">
        <v>2213</v>
      </c>
      <c r="B1069" s="233"/>
      <c r="C1069" s="233"/>
      <c r="D1069" s="233"/>
    </row>
    <row r="1070" spans="1:25" s="148" customFormat="1" ht="19.95" customHeight="1">
      <c r="A1070" s="148" t="s">
        <v>2189</v>
      </c>
      <c r="D1070" s="723"/>
    </row>
    <row r="1071" spans="1:25" s="148" customFormat="1" ht="19.95" customHeight="1">
      <c r="A1071" s="523" t="s">
        <v>2730</v>
      </c>
      <c r="D1071" s="723"/>
    </row>
    <row r="1072" spans="1:25" s="148" customFormat="1" ht="19.95" customHeight="1">
      <c r="A1072" s="523" t="s">
        <v>2731</v>
      </c>
      <c r="D1072" s="723"/>
    </row>
    <row r="1074" spans="1:10" s="149" customFormat="1" ht="19.95" customHeight="1">
      <c r="A1074" s="150" t="s">
        <v>2279</v>
      </c>
      <c r="D1074" s="163"/>
    </row>
    <row r="1076" spans="1:10" ht="19.95" customHeight="1">
      <c r="A1076" s="587" t="s">
        <v>2247</v>
      </c>
      <c r="B1076" s="587" t="s">
        <v>2</v>
      </c>
      <c r="C1076" s="587" t="s">
        <v>2276</v>
      </c>
      <c r="D1076" s="195" t="s">
        <v>2277</v>
      </c>
    </row>
    <row r="1077" spans="1:10" ht="19.95" customHeight="1">
      <c r="A1077" s="769" t="str">
        <f>RAW_DATA!A740</f>
        <v>MOOS4_NO_DERV.D</v>
      </c>
      <c r="B1077" s="844">
        <f>RAW_DATA!B740</f>
        <v>45357.449178240699</v>
      </c>
      <c r="C1077" s="306">
        <f>RAW_DATA!D740</f>
        <v>0</v>
      </c>
      <c r="D1077" s="196" t="s">
        <v>2155</v>
      </c>
    </row>
    <row r="1078" spans="1:10" ht="19.95" customHeight="1">
      <c r="A1078" s="771" t="str">
        <f>RAW_DATA!A591</f>
        <v>MOOS4_NO_DERV.D</v>
      </c>
      <c r="B1078" s="836">
        <f>RAW_DATA!B591</f>
        <v>45356.505497685197</v>
      </c>
      <c r="C1078" s="589" t="s">
        <v>2155</v>
      </c>
      <c r="D1078" s="172">
        <f>RAW_DATA!D591</f>
        <v>0</v>
      </c>
    </row>
    <row r="1080" spans="1:10" ht="19.95" customHeight="1">
      <c r="A1080" s="173" t="s">
        <v>2278</v>
      </c>
    </row>
    <row r="1082" spans="1:10" s="149" customFormat="1" ht="19.95" customHeight="1">
      <c r="A1082" s="150" t="s">
        <v>2280</v>
      </c>
      <c r="D1082" s="163"/>
    </row>
    <row r="1084" spans="1:10" ht="19.95" customHeight="1">
      <c r="A1084" s="480" t="s">
        <v>2289</v>
      </c>
    </row>
    <row r="1085" spans="1:10" s="588" customFormat="1" ht="19.95" customHeight="1">
      <c r="D1085" s="479"/>
    </row>
    <row r="1086" spans="1:10" s="588" customFormat="1" ht="19.95" customHeight="1">
      <c r="A1086" s="587" t="s">
        <v>2247</v>
      </c>
      <c r="B1086" s="587" t="s">
        <v>2</v>
      </c>
      <c r="C1086" s="587" t="s">
        <v>2288</v>
      </c>
      <c r="D1086" s="479"/>
      <c r="E1086" s="316" t="s">
        <v>100</v>
      </c>
      <c r="F1086" s="92" t="s">
        <v>1388</v>
      </c>
      <c r="H1086" s="520" t="s">
        <v>244</v>
      </c>
      <c r="I1086"/>
      <c r="J1086"/>
    </row>
    <row r="1087" spans="1:10" s="588" customFormat="1" ht="19.95" customHeight="1" thickBot="1">
      <c r="A1087" s="588" t="str">
        <f>RAW_DATA!A657</f>
        <v>ST_1.D</v>
      </c>
      <c r="B1087" s="835">
        <f>RAW_DATA!B657</f>
        <v>45356.965856481504</v>
      </c>
      <c r="C1087" s="166">
        <f>RAW_DATA!K657</f>
        <v>79.721285471405082</v>
      </c>
      <c r="D1087" s="479"/>
      <c r="E1087" s="228" t="s">
        <v>2281</v>
      </c>
      <c r="F1087" s="379">
        <f>C1088</f>
        <v>78.615189611962251</v>
      </c>
      <c r="H1087"/>
      <c r="I1087"/>
      <c r="J1087"/>
    </row>
    <row r="1088" spans="1:10" s="588" customFormat="1" ht="19.95" customHeight="1">
      <c r="A1088" s="588" t="str">
        <f>RAW_DATA!A658</f>
        <v>MOOS4_1.D</v>
      </c>
      <c r="B1088" s="835">
        <f>RAW_DATA!B658</f>
        <v>45356.972847222198</v>
      </c>
      <c r="C1088" s="166">
        <f>RAW_DATA!K658</f>
        <v>78.615189611962251</v>
      </c>
      <c r="D1088" s="479"/>
      <c r="E1088" s="228" t="s">
        <v>2282</v>
      </c>
      <c r="F1088" s="379">
        <f>C1090</f>
        <v>81.335521793747475</v>
      </c>
      <c r="H1088" s="409"/>
      <c r="I1088" s="409" t="s">
        <v>245</v>
      </c>
      <c r="J1088" s="409" t="s">
        <v>246</v>
      </c>
    </row>
    <row r="1089" spans="1:13" s="588" customFormat="1" ht="19.95" customHeight="1">
      <c r="A1089" s="588" t="str">
        <f>RAW_DATA!A659</f>
        <v>ST_2.D</v>
      </c>
      <c r="B1089" s="835">
        <f>RAW_DATA!B659</f>
        <v>45356.979837963001</v>
      </c>
      <c r="C1089" s="166">
        <f>RAW_DATA!K659</f>
        <v>82.099146328838358</v>
      </c>
      <c r="D1089" s="479"/>
      <c r="E1089" s="228" t="s">
        <v>2283</v>
      </c>
      <c r="F1089" s="379">
        <f>C1092</f>
        <v>82.606530050822968</v>
      </c>
      <c r="H1089" s="407" t="s">
        <v>71</v>
      </c>
      <c r="I1089" s="407">
        <v>81.553986045584708</v>
      </c>
      <c r="J1089" s="407">
        <v>81.795862517681471</v>
      </c>
    </row>
    <row r="1090" spans="1:13" s="588" customFormat="1" ht="19.95" customHeight="1">
      <c r="A1090" s="588" t="str">
        <f>RAW_DATA!A660</f>
        <v>MOOS4_2.D</v>
      </c>
      <c r="B1090" s="835">
        <f>RAW_DATA!B660</f>
        <v>45356.986793981501</v>
      </c>
      <c r="C1090" s="166">
        <f>RAW_DATA!K660</f>
        <v>81.335521793747475</v>
      </c>
      <c r="D1090" s="479"/>
      <c r="E1090" s="228" t="s">
        <v>2284</v>
      </c>
      <c r="F1090" s="379">
        <f>C1094</f>
        <v>81.905314145003615</v>
      </c>
      <c r="H1090" s="407" t="s">
        <v>233</v>
      </c>
      <c r="I1090" s="407">
        <v>2.0775336748425688</v>
      </c>
      <c r="J1090" s="407">
        <v>0.9456918325338094</v>
      </c>
    </row>
    <row r="1091" spans="1:13" s="588" customFormat="1" ht="19.95" customHeight="1">
      <c r="A1091" s="588" t="str">
        <f>RAW_DATA!A661</f>
        <v>ST_3.D</v>
      </c>
      <c r="B1091" s="835">
        <f>RAW_DATA!B661</f>
        <v>45356.9937615741</v>
      </c>
      <c r="C1091" s="166">
        <f>RAW_DATA!K661</f>
        <v>82.261417575721367</v>
      </c>
      <c r="D1091" s="479"/>
      <c r="E1091" s="228" t="s">
        <v>2285</v>
      </c>
      <c r="F1091" s="379">
        <f>C1096</f>
        <v>83.092870716819348</v>
      </c>
      <c r="H1091" s="407" t="s">
        <v>247</v>
      </c>
      <c r="I1091" s="407">
        <v>7</v>
      </c>
      <c r="J1091" s="407">
        <v>7</v>
      </c>
    </row>
    <row r="1092" spans="1:13" s="588" customFormat="1" ht="19.95" customHeight="1">
      <c r="A1092" s="588" t="str">
        <f>RAW_DATA!A662</f>
        <v>MOOS4_3.D</v>
      </c>
      <c r="B1092" s="835">
        <f>RAW_DATA!B662</f>
        <v>45357.000740740703</v>
      </c>
      <c r="C1092" s="166">
        <f>RAW_DATA!K662</f>
        <v>82.606530050822968</v>
      </c>
      <c r="D1092" s="479"/>
      <c r="E1092" s="228" t="s">
        <v>2286</v>
      </c>
      <c r="F1092" s="379">
        <f>C1098</f>
        <v>81.942750549003094</v>
      </c>
      <c r="H1092" s="407" t="s">
        <v>248</v>
      </c>
      <c r="I1092" s="407">
        <v>0.8451460901003065</v>
      </c>
      <c r="J1092" s="407"/>
    </row>
    <row r="1093" spans="1:13" s="588" customFormat="1" ht="19.95" customHeight="1">
      <c r="A1093" s="588" t="str">
        <f>RAW_DATA!A663</f>
        <v>ST_4.D</v>
      </c>
      <c r="B1093" s="835">
        <f>RAW_DATA!B663</f>
        <v>45357.0077199074</v>
      </c>
      <c r="C1093" s="166">
        <f>RAW_DATA!K663</f>
        <v>82.669950951149985</v>
      </c>
      <c r="D1093" s="479"/>
      <c r="E1093" s="315" t="s">
        <v>2287</v>
      </c>
      <c r="F1093" s="441">
        <f>C1100</f>
        <v>81.37972545173416</v>
      </c>
      <c r="H1093" s="407" t="s">
        <v>249</v>
      </c>
      <c r="I1093" s="407">
        <v>0</v>
      </c>
      <c r="J1093" s="407"/>
    </row>
    <row r="1094" spans="1:13" s="588" customFormat="1" ht="19.95" customHeight="1">
      <c r="A1094" s="588" t="str">
        <f>RAW_DATA!A664</f>
        <v>MOOS4_4.D</v>
      </c>
      <c r="B1094" s="835">
        <f>RAW_DATA!B664</f>
        <v>45357.014699074098</v>
      </c>
      <c r="C1094" s="166">
        <f>RAW_DATA!K664</f>
        <v>81.905314145003615</v>
      </c>
      <c r="D1094" s="479"/>
      <c r="E1094" s="228" t="s">
        <v>1456</v>
      </c>
      <c r="F1094" s="379">
        <f>C1087</f>
        <v>79.721285471405082</v>
      </c>
      <c r="H1094" s="407" t="s">
        <v>234</v>
      </c>
      <c r="I1094" s="407">
        <v>6</v>
      </c>
      <c r="J1094" s="407"/>
    </row>
    <row r="1095" spans="1:13" s="588" customFormat="1" ht="19.95" customHeight="1">
      <c r="A1095" s="588" t="str">
        <f>RAW_DATA!A665</f>
        <v>ST_5.D</v>
      </c>
      <c r="B1095" s="835">
        <f>RAW_DATA!B665</f>
        <v>45357.021678240701</v>
      </c>
      <c r="C1095" s="166">
        <f>RAW_DATA!K665</f>
        <v>81.829591804269398</v>
      </c>
      <c r="D1095" s="479"/>
      <c r="E1095" s="228" t="s">
        <v>1457</v>
      </c>
      <c r="F1095" s="379">
        <f>C1089</f>
        <v>82.099146328838358</v>
      </c>
      <c r="H1095" s="518" t="s">
        <v>250</v>
      </c>
      <c r="I1095" s="518">
        <v>-0.79133695514890767</v>
      </c>
      <c r="J1095" s="518"/>
    </row>
    <row r="1096" spans="1:13" s="588" customFormat="1" ht="19.95" customHeight="1">
      <c r="A1096" s="588" t="str">
        <f>RAW_DATA!A666</f>
        <v>MOOS4_5.D</v>
      </c>
      <c r="B1096" s="835">
        <f>RAW_DATA!B666</f>
        <v>45357.028657407398</v>
      </c>
      <c r="C1096" s="166">
        <f>RAW_DATA!K666</f>
        <v>83.092870716819348</v>
      </c>
      <c r="D1096" s="479"/>
      <c r="E1096" s="228" t="s">
        <v>1458</v>
      </c>
      <c r="F1096" s="379">
        <f>C1091</f>
        <v>82.261417575721367</v>
      </c>
      <c r="H1096" s="407" t="s">
        <v>251</v>
      </c>
      <c r="I1096" s="407">
        <v>0.22943912475661071</v>
      </c>
      <c r="J1096" s="407"/>
    </row>
    <row r="1097" spans="1:13" s="588" customFormat="1" ht="19.95" customHeight="1">
      <c r="A1097" s="588" t="str">
        <f>RAW_DATA!A667</f>
        <v>ST_6.D</v>
      </c>
      <c r="B1097" s="835">
        <f>RAW_DATA!B667</f>
        <v>45357.035648148201</v>
      </c>
      <c r="C1097" s="166">
        <f>RAW_DATA!K667</f>
        <v>82.324382977966906</v>
      </c>
      <c r="D1097" s="479"/>
      <c r="E1097" s="228" t="s">
        <v>1459</v>
      </c>
      <c r="F1097" s="379">
        <f>C1093</f>
        <v>82.669950951149985</v>
      </c>
      <c r="H1097" s="407" t="s">
        <v>252</v>
      </c>
      <c r="I1097" s="407">
        <v>1.9431802805153031</v>
      </c>
      <c r="J1097" s="407"/>
    </row>
    <row r="1098" spans="1:13" s="588" customFormat="1" ht="19.95" customHeight="1">
      <c r="A1098" s="588" t="str">
        <f>RAW_DATA!A668</f>
        <v>MOOS4_6.D</v>
      </c>
      <c r="B1098" s="835">
        <f>RAW_DATA!B668</f>
        <v>45357.042627314797</v>
      </c>
      <c r="C1098" s="166">
        <f>RAW_DATA!K668</f>
        <v>81.942750549003094</v>
      </c>
      <c r="D1098" s="479"/>
      <c r="E1098" s="228" t="s">
        <v>1460</v>
      </c>
      <c r="F1098" s="379">
        <f>C1095</f>
        <v>81.829591804269398</v>
      </c>
      <c r="H1098" s="407" t="s">
        <v>253</v>
      </c>
      <c r="I1098" s="407">
        <v>0.45887824951322143</v>
      </c>
      <c r="J1098" s="407"/>
    </row>
    <row r="1099" spans="1:13" s="588" customFormat="1" ht="19.95" customHeight="1" thickBot="1">
      <c r="A1099" s="588" t="str">
        <f>RAW_DATA!A669</f>
        <v>ST_7.D</v>
      </c>
      <c r="B1099" s="835">
        <f>RAW_DATA!B669</f>
        <v>45357.049606481502</v>
      </c>
      <c r="C1099" s="166">
        <f>RAW_DATA!K669</f>
        <v>81.665262514419169</v>
      </c>
      <c r="D1099" s="479"/>
      <c r="E1099" s="228" t="s">
        <v>1461</v>
      </c>
      <c r="F1099" s="379">
        <f>C1097</f>
        <v>82.324382977966906</v>
      </c>
      <c r="H1099" s="519" t="s">
        <v>254</v>
      </c>
      <c r="I1099" s="519">
        <v>2.4469118511449697</v>
      </c>
      <c r="J1099" s="519"/>
    </row>
    <row r="1100" spans="1:13" s="588" customFormat="1" ht="19.95" customHeight="1">
      <c r="A1100" s="589" t="str">
        <f>RAW_DATA!A670</f>
        <v>MOOS4_7.D</v>
      </c>
      <c r="B1100" s="836">
        <f>RAW_DATA!B670</f>
        <v>45357.0565740741</v>
      </c>
      <c r="C1100" s="169">
        <f>RAW_DATA!K670</f>
        <v>81.37972545173416</v>
      </c>
      <c r="D1100" s="479"/>
      <c r="E1100" s="315" t="s">
        <v>1462</v>
      </c>
      <c r="F1100" s="441">
        <f>C1099</f>
        <v>81.665262514419169</v>
      </c>
      <c r="H1100" s="173" t="s">
        <v>255</v>
      </c>
    </row>
    <row r="1101" spans="1:13" s="588" customFormat="1" ht="19.95" customHeight="1">
      <c r="C1101" s="166"/>
      <c r="D1101" s="479"/>
    </row>
    <row r="1102" spans="1:13" s="588" customFormat="1" ht="19.95" customHeight="1">
      <c r="A1102" s="480" t="s">
        <v>2290</v>
      </c>
      <c r="D1102" s="479"/>
    </row>
    <row r="1103" spans="1:13" s="588" customFormat="1" ht="19.95" customHeight="1">
      <c r="D1103" s="479"/>
    </row>
    <row r="1104" spans="1:13" s="588" customFormat="1" ht="19.95" customHeight="1">
      <c r="A1104" s="587" t="s">
        <v>2247</v>
      </c>
      <c r="B1104" s="587" t="s">
        <v>2</v>
      </c>
      <c r="C1104" s="587" t="s">
        <v>2288</v>
      </c>
      <c r="D1104" s="479"/>
      <c r="E1104" s="316" t="s">
        <v>100</v>
      </c>
      <c r="F1104" s="92" t="s">
        <v>1388</v>
      </c>
      <c r="H1104" s="316" t="s">
        <v>100</v>
      </c>
      <c r="I1104" s="92" t="s">
        <v>1388</v>
      </c>
      <c r="J1104" s="691"/>
      <c r="K1104" t="s">
        <v>244</v>
      </c>
      <c r="L1104"/>
      <c r="M1104"/>
    </row>
    <row r="1105" spans="1:13" s="588" customFormat="1" ht="19.95" customHeight="1" thickBot="1">
      <c r="A1105" s="590" t="str">
        <f>RAW_DATA!A806</f>
        <v>ST_1.D</v>
      </c>
      <c r="B1105" s="844">
        <f>RAW_DATA!B806</f>
        <v>45358.090150463002</v>
      </c>
      <c r="C1105" s="191">
        <f>RAW_DATA!G806</f>
        <v>159.06898208440839</v>
      </c>
      <c r="D1105" s="479"/>
      <c r="E1105" s="228" t="s">
        <v>2281</v>
      </c>
      <c r="F1105" s="853">
        <f>C1106</f>
        <v>168.4722724464809</v>
      </c>
      <c r="H1105" s="590" t="str">
        <f>E1105</f>
        <v>MOOS4_1</v>
      </c>
      <c r="I1105" s="191">
        <f>F1105</f>
        <v>168.4722724464809</v>
      </c>
      <c r="J1105" s="691"/>
      <c r="K1105"/>
      <c r="L1105"/>
      <c r="M1105"/>
    </row>
    <row r="1106" spans="1:13" s="588" customFormat="1" ht="19.95" customHeight="1">
      <c r="A1106" s="593" t="str">
        <f>RAW_DATA!A807</f>
        <v>MOOS4_1.D</v>
      </c>
      <c r="B1106" s="841">
        <f>RAW_DATA!B807</f>
        <v>45358.099710648101</v>
      </c>
      <c r="C1106" s="56">
        <f>RAW_DATA!G807</f>
        <v>168.4722724464809</v>
      </c>
      <c r="D1106" s="479"/>
      <c r="E1106" s="228" t="s">
        <v>2282</v>
      </c>
      <c r="F1106" s="853">
        <f>C1108</f>
        <v>155.01400538343424</v>
      </c>
      <c r="H1106" s="593" t="str">
        <f t="shared" ref="H1106:I1106" si="351">E1106</f>
        <v>MOOS4_2</v>
      </c>
      <c r="I1106" s="56">
        <f t="shared" si="351"/>
        <v>155.01400538343424</v>
      </c>
      <c r="J1106" s="692"/>
      <c r="K1106" s="409"/>
      <c r="L1106" s="409" t="s">
        <v>245</v>
      </c>
      <c r="M1106" s="409" t="s">
        <v>246</v>
      </c>
    </row>
    <row r="1107" spans="1:13" ht="19.95" customHeight="1">
      <c r="A1107" s="593" t="str">
        <f>RAW_DATA!A808</f>
        <v>ST_2.D</v>
      </c>
      <c r="B1107" s="841">
        <f>RAW_DATA!B808</f>
        <v>45358.109247685199</v>
      </c>
      <c r="C1107" s="56">
        <f>RAW_DATA!G808</f>
        <v>162.90597070147663</v>
      </c>
      <c r="D1107" s="479"/>
      <c r="E1107" s="851" t="s">
        <v>2283</v>
      </c>
      <c r="F1107" s="854">
        <f>C1110</f>
        <v>136.99642253038539</v>
      </c>
      <c r="H1107" s="593" t="str">
        <f t="shared" ref="H1107:H1116" si="352">E1108</f>
        <v>MOOS4_4</v>
      </c>
      <c r="I1107" s="56">
        <f t="shared" ref="I1107:I1116" si="353">F1108</f>
        <v>159.50645799218233</v>
      </c>
      <c r="J1107" s="407"/>
      <c r="K1107" s="407" t="s">
        <v>71</v>
      </c>
      <c r="L1107" s="407">
        <v>162.73958650685145</v>
      </c>
      <c r="M1107" s="407">
        <v>165.93804475027147</v>
      </c>
    </row>
    <row r="1108" spans="1:13" ht="19.95" customHeight="1">
      <c r="A1108" s="593" t="str">
        <f>RAW_DATA!A809</f>
        <v>MOOS4_2.D</v>
      </c>
      <c r="B1108" s="841">
        <f>RAW_DATA!B809</f>
        <v>45358.118819444397</v>
      </c>
      <c r="C1108" s="56">
        <f>RAW_DATA!G809</f>
        <v>155.01400538343424</v>
      </c>
      <c r="D1108" s="479"/>
      <c r="E1108" s="228" t="s">
        <v>2284</v>
      </c>
      <c r="F1108" s="853">
        <f>C1112</f>
        <v>159.50645799218233</v>
      </c>
      <c r="H1108" s="593" t="str">
        <f t="shared" si="352"/>
        <v>MOOS4_5</v>
      </c>
      <c r="I1108" s="56">
        <f t="shared" si="353"/>
        <v>159.22417833179423</v>
      </c>
      <c r="J1108" s="407"/>
      <c r="K1108" s="407" t="s">
        <v>233</v>
      </c>
      <c r="L1108" s="407">
        <v>33.005358018436098</v>
      </c>
      <c r="M1108" s="407">
        <v>42.644238534507529</v>
      </c>
    </row>
    <row r="1109" spans="1:13" ht="19.95" customHeight="1">
      <c r="A1109" s="593" t="str">
        <f>RAW_DATA!A810</f>
        <v>ST_3.D</v>
      </c>
      <c r="B1109" s="841">
        <f>RAW_DATA!B810</f>
        <v>45358.128414351799</v>
      </c>
      <c r="C1109" s="56">
        <f>RAW_DATA!G810</f>
        <v>170.11226456758277</v>
      </c>
      <c r="D1109" s="479"/>
      <c r="E1109" s="228" t="s">
        <v>2285</v>
      </c>
      <c r="F1109" s="853">
        <f>C1114</f>
        <v>159.22417833179423</v>
      </c>
      <c r="H1109" s="593" t="str">
        <f t="shared" si="352"/>
        <v>MOOS4_6</v>
      </c>
      <c r="I1109" s="56">
        <f t="shared" si="353"/>
        <v>164.71645949909615</v>
      </c>
      <c r="J1109" s="407"/>
      <c r="K1109" s="407" t="s">
        <v>247</v>
      </c>
      <c r="L1109" s="407">
        <v>6</v>
      </c>
      <c r="M1109" s="407">
        <v>6</v>
      </c>
    </row>
    <row r="1110" spans="1:13" ht="19.95" customHeight="1">
      <c r="A1110" s="593" t="str">
        <f>RAW_DATA!A811</f>
        <v>MOOS4_3.D</v>
      </c>
      <c r="B1110" s="841">
        <f>RAW_DATA!B811</f>
        <v>45358.138020833299</v>
      </c>
      <c r="C1110" s="56">
        <f>RAW_DATA!G811</f>
        <v>136.99642253038539</v>
      </c>
      <c r="D1110" s="479"/>
      <c r="E1110" s="228" t="s">
        <v>2286</v>
      </c>
      <c r="F1110" s="853">
        <f>C1116</f>
        <v>164.71645949909615</v>
      </c>
      <c r="H1110" s="589" t="str">
        <f t="shared" si="352"/>
        <v>MOOS4_7</v>
      </c>
      <c r="I1110" s="169">
        <f t="shared" si="353"/>
        <v>169.504145388121</v>
      </c>
      <c r="J1110" s="407"/>
      <c r="K1110" s="407" t="s">
        <v>248</v>
      </c>
      <c r="L1110" s="407">
        <v>-0.46728882804933441</v>
      </c>
      <c r="M1110" s="407"/>
    </row>
    <row r="1111" spans="1:13" ht="19.95" customHeight="1">
      <c r="A1111" s="593" t="str">
        <f>RAW_DATA!A812</f>
        <v>ST_4.D</v>
      </c>
      <c r="B1111" s="841">
        <f>RAW_DATA!B812</f>
        <v>45358.147662037001</v>
      </c>
      <c r="C1111" s="56">
        <f>RAW_DATA!G812</f>
        <v>177.04286764272797</v>
      </c>
      <c r="D1111" s="479"/>
      <c r="E1111" s="315" t="s">
        <v>2287</v>
      </c>
      <c r="F1111" s="855">
        <f>C1118</f>
        <v>169.504145388121</v>
      </c>
      <c r="H1111" s="593" t="str">
        <f t="shared" si="352"/>
        <v>NIST_1</v>
      </c>
      <c r="I1111" s="56">
        <f t="shared" si="353"/>
        <v>159.06898208440839</v>
      </c>
      <c r="J1111" s="407"/>
      <c r="K1111" s="407" t="s">
        <v>249</v>
      </c>
      <c r="L1111" s="407">
        <v>0</v>
      </c>
      <c r="M1111" s="407"/>
    </row>
    <row r="1112" spans="1:13" ht="19.95" customHeight="1">
      <c r="A1112" s="593" t="str">
        <f>RAW_DATA!A813</f>
        <v>MOOS4_4.D</v>
      </c>
      <c r="B1112" s="841">
        <f>RAW_DATA!B813</f>
        <v>45358.157199074099</v>
      </c>
      <c r="C1112" s="56">
        <f>RAW_DATA!G813</f>
        <v>159.50645799218233</v>
      </c>
      <c r="D1112" s="479"/>
      <c r="E1112" s="228" t="s">
        <v>1456</v>
      </c>
      <c r="F1112" s="853">
        <f>C1105</f>
        <v>159.06898208440839</v>
      </c>
      <c r="H1112" s="593" t="str">
        <f t="shared" si="352"/>
        <v>NIST_2</v>
      </c>
      <c r="I1112" s="56">
        <f t="shared" si="353"/>
        <v>162.90597070147663</v>
      </c>
      <c r="J1112" s="407"/>
      <c r="K1112" s="407" t="s">
        <v>234</v>
      </c>
      <c r="L1112" s="407">
        <v>5</v>
      </c>
      <c r="M1112" s="407"/>
    </row>
    <row r="1113" spans="1:13" ht="19.95" customHeight="1">
      <c r="A1113" s="593" t="str">
        <f>RAW_DATA!A814</f>
        <v>ST_5.D</v>
      </c>
      <c r="B1113" s="841">
        <f>RAW_DATA!B814</f>
        <v>45358.166724536997</v>
      </c>
      <c r="C1113" s="56">
        <f>RAW_DATA!G814</f>
        <v>162.34312301003595</v>
      </c>
      <c r="D1113" s="479"/>
      <c r="E1113" s="228" t="s">
        <v>1457</v>
      </c>
      <c r="F1113" s="853">
        <f>C1107</f>
        <v>162.90597070147663</v>
      </c>
      <c r="H1113" s="593" t="str">
        <f t="shared" si="352"/>
        <v>NIST_3</v>
      </c>
      <c r="I1113" s="56">
        <f t="shared" si="353"/>
        <v>170.11226456758277</v>
      </c>
      <c r="J1113" s="407"/>
      <c r="K1113" s="518" t="s">
        <v>250</v>
      </c>
      <c r="L1113" s="518">
        <v>-0.74459407691798485</v>
      </c>
      <c r="M1113" s="518"/>
    </row>
    <row r="1114" spans="1:13" ht="19.95" customHeight="1">
      <c r="A1114" s="593" t="str">
        <f>RAW_DATA!A815</f>
        <v>MOOS4_5.D</v>
      </c>
      <c r="B1114" s="841">
        <f>RAW_DATA!B815</f>
        <v>45358.176273148201</v>
      </c>
      <c r="C1114" s="56">
        <f>RAW_DATA!G815</f>
        <v>159.22417833179423</v>
      </c>
      <c r="D1114" s="479"/>
      <c r="E1114" s="228" t="s">
        <v>1458</v>
      </c>
      <c r="F1114" s="853">
        <f>C1109</f>
        <v>170.11226456758277</v>
      </c>
      <c r="H1114" s="593" t="str">
        <f t="shared" si="352"/>
        <v>NIST_4</v>
      </c>
      <c r="I1114" s="56">
        <f t="shared" si="353"/>
        <v>177.04286764272797</v>
      </c>
      <c r="J1114" s="407"/>
      <c r="K1114" s="407" t="s">
        <v>251</v>
      </c>
      <c r="L1114" s="407">
        <v>0.24500578433303533</v>
      </c>
      <c r="M1114" s="407"/>
    </row>
    <row r="1115" spans="1:13" ht="19.95" customHeight="1">
      <c r="A1115" s="593" t="str">
        <f>RAW_DATA!A816</f>
        <v>ST_6.D</v>
      </c>
      <c r="B1115" s="841">
        <f>RAW_DATA!B816</f>
        <v>45358.185868055603</v>
      </c>
      <c r="C1115" s="56">
        <f>RAW_DATA!G816</f>
        <v>164.15506049539701</v>
      </c>
      <c r="D1115" s="479"/>
      <c r="E1115" s="228" t="s">
        <v>1459</v>
      </c>
      <c r="F1115" s="853">
        <f>C1111</f>
        <v>177.04286764272797</v>
      </c>
      <c r="H1115" s="593" t="str">
        <f t="shared" si="352"/>
        <v>NIST_5</v>
      </c>
      <c r="I1115" s="56">
        <f t="shared" si="353"/>
        <v>162.34312301003595</v>
      </c>
      <c r="J1115" s="407"/>
      <c r="K1115" s="407" t="s">
        <v>252</v>
      </c>
      <c r="L1115" s="407">
        <v>2.0150483733330233</v>
      </c>
      <c r="M1115" s="407"/>
    </row>
    <row r="1116" spans="1:13" ht="19.95" customHeight="1">
      <c r="A1116" s="593" t="str">
        <f>RAW_DATA!A817</f>
        <v>MOOS4_6.D</v>
      </c>
      <c r="B1116" s="841">
        <f>RAW_DATA!B817</f>
        <v>45358.195474537002</v>
      </c>
      <c r="C1116" s="56">
        <f>RAW_DATA!G817</f>
        <v>164.71645949909615</v>
      </c>
      <c r="D1116" s="479"/>
      <c r="E1116" s="228" t="s">
        <v>1460</v>
      </c>
      <c r="F1116" s="853">
        <f>C1113</f>
        <v>162.34312301003595</v>
      </c>
      <c r="H1116" s="589" t="str">
        <f t="shared" si="352"/>
        <v>NIST_6</v>
      </c>
      <c r="I1116" s="169">
        <f t="shared" si="353"/>
        <v>164.15506049539701</v>
      </c>
      <c r="J1116" s="407"/>
      <c r="K1116" s="407" t="s">
        <v>253</v>
      </c>
      <c r="L1116" s="407">
        <v>0.49001156866607065</v>
      </c>
      <c r="M1116" s="407"/>
    </row>
    <row r="1117" spans="1:13" ht="19.95" customHeight="1" thickBot="1">
      <c r="A1117" s="593" t="str">
        <f>RAW_DATA!A818</f>
        <v>ST_7.D</v>
      </c>
      <c r="B1117" s="841">
        <f>RAW_DATA!B818</f>
        <v>45358.205046296302</v>
      </c>
      <c r="C1117" s="56">
        <f>RAW_DATA!G818</f>
        <v>124.37958812424299</v>
      </c>
      <c r="D1117" s="479"/>
      <c r="E1117" s="228" t="s">
        <v>1461</v>
      </c>
      <c r="F1117" s="853">
        <f>C1115</f>
        <v>164.15506049539701</v>
      </c>
      <c r="I1117" s="166"/>
      <c r="J1117" s="407"/>
      <c r="K1117" s="519" t="s">
        <v>254</v>
      </c>
      <c r="L1117" s="519">
        <v>2.570581835636315</v>
      </c>
      <c r="M1117" s="519"/>
    </row>
    <row r="1118" spans="1:13" ht="19.95" customHeight="1">
      <c r="A1118" s="589" t="str">
        <f>RAW_DATA!A819</f>
        <v>MOOS4_7.D</v>
      </c>
      <c r="B1118" s="836">
        <f>RAW_DATA!B819</f>
        <v>45358.214548611097</v>
      </c>
      <c r="C1118" s="169">
        <f>RAW_DATA!G819</f>
        <v>169.504145388121</v>
      </c>
      <c r="D1118" s="479"/>
      <c r="E1118" s="852" t="s">
        <v>1462</v>
      </c>
      <c r="F1118" s="856">
        <f>C1117</f>
        <v>124.37958812424299</v>
      </c>
      <c r="H1118" s="691"/>
      <c r="I1118" s="691"/>
      <c r="K1118" s="173" t="s">
        <v>255</v>
      </c>
    </row>
    <row r="1120" spans="1:13" s="149" customFormat="1" ht="19.95" customHeight="1">
      <c r="A1120" s="537" t="s">
        <v>2310</v>
      </c>
      <c r="D1120" s="163"/>
    </row>
    <row r="1122" spans="1:25" s="129" customFormat="1" ht="19.95" customHeight="1">
      <c r="A1122" s="128" t="s">
        <v>1564</v>
      </c>
    </row>
    <row r="1123" spans="1:25" s="129" customFormat="1" ht="19.95" customHeight="1">
      <c r="A1123" s="128"/>
    </row>
    <row r="1124" spans="1:25" s="129" customFormat="1" ht="19.95" customHeight="1">
      <c r="B1124" s="89" t="s">
        <v>158</v>
      </c>
      <c r="D1124" s="89" t="s">
        <v>2156</v>
      </c>
      <c r="F1124" s="89" t="s">
        <v>2167</v>
      </c>
      <c r="H1124" s="89" t="s">
        <v>2158</v>
      </c>
      <c r="P1124" s="89" t="s">
        <v>176</v>
      </c>
    </row>
    <row r="1125" spans="1:25" s="129" customFormat="1" ht="19.95" customHeight="1">
      <c r="A1125" s="89" t="s">
        <v>157</v>
      </c>
      <c r="B1125" s="89" t="s">
        <v>1557</v>
      </c>
      <c r="C1125" s="89" t="s">
        <v>1558</v>
      </c>
      <c r="D1125" s="129" t="s">
        <v>169</v>
      </c>
      <c r="E1125" s="129" t="s">
        <v>170</v>
      </c>
      <c r="F1125" s="129" t="s">
        <v>169</v>
      </c>
      <c r="G1125" s="129" t="s">
        <v>170</v>
      </c>
      <c r="H1125" s="129" t="s">
        <v>169</v>
      </c>
      <c r="I1125" s="129" t="s">
        <v>170</v>
      </c>
      <c r="J1125" s="89" t="s">
        <v>140</v>
      </c>
      <c r="K1125" s="89" t="s">
        <v>2008</v>
      </c>
      <c r="L1125" s="89" t="s">
        <v>2009</v>
      </c>
      <c r="M1125" s="89" t="s">
        <v>2171</v>
      </c>
      <c r="N1125" s="89" t="s">
        <v>2172</v>
      </c>
      <c r="O1125" s="89" t="s">
        <v>2173</v>
      </c>
      <c r="P1125" s="89" t="s">
        <v>1557</v>
      </c>
      <c r="Q1125" s="89" t="s">
        <v>1558</v>
      </c>
      <c r="R1125" s="89" t="s">
        <v>179</v>
      </c>
      <c r="S1125" s="89" t="s">
        <v>159</v>
      </c>
      <c r="T1125" s="89" t="s">
        <v>160</v>
      </c>
      <c r="U1125" s="89" t="s">
        <v>161</v>
      </c>
      <c r="V1125" s="89" t="s">
        <v>79</v>
      </c>
      <c r="W1125" s="89" t="s">
        <v>80</v>
      </c>
      <c r="X1125" s="89" t="s">
        <v>3</v>
      </c>
      <c r="Y1125" s="89" t="s">
        <v>75</v>
      </c>
    </row>
    <row r="1126" spans="1:25" s="129" customFormat="1" ht="19.95" customHeight="1">
      <c r="A1126" s="576" t="s">
        <v>162</v>
      </c>
      <c r="B1126" s="576" t="s">
        <v>156</v>
      </c>
      <c r="C1126" s="576" t="s">
        <v>156</v>
      </c>
      <c r="D1126" s="576" t="s">
        <v>64</v>
      </c>
      <c r="E1126" s="576" t="s">
        <v>64</v>
      </c>
      <c r="F1126" s="576" t="s">
        <v>64</v>
      </c>
      <c r="G1126" s="576" t="s">
        <v>64</v>
      </c>
      <c r="H1126" s="576" t="s">
        <v>64</v>
      </c>
      <c r="I1126" s="576" t="s">
        <v>64</v>
      </c>
      <c r="J1126" s="576" t="s">
        <v>64</v>
      </c>
      <c r="K1126" s="576" t="s">
        <v>64</v>
      </c>
      <c r="L1126" s="576" t="s">
        <v>64</v>
      </c>
      <c r="M1126" s="576" t="s">
        <v>64</v>
      </c>
      <c r="N1126" s="576" t="s">
        <v>64</v>
      </c>
      <c r="O1126" s="576" t="s">
        <v>64</v>
      </c>
      <c r="P1126" s="576" t="s">
        <v>156</v>
      </c>
      <c r="Q1126" s="576" t="s">
        <v>156</v>
      </c>
      <c r="R1126" s="576" t="s">
        <v>74</v>
      </c>
      <c r="S1126" s="576"/>
      <c r="T1126" s="576" t="s">
        <v>163</v>
      </c>
      <c r="U1126" s="576" t="s">
        <v>163</v>
      </c>
      <c r="V1126" s="576" t="s">
        <v>92</v>
      </c>
      <c r="W1126" s="576" t="s">
        <v>74</v>
      </c>
      <c r="X1126" s="576" t="s">
        <v>90</v>
      </c>
      <c r="Y1126" s="576" t="s">
        <v>91</v>
      </c>
    </row>
    <row r="1127" spans="1:25" s="129" customFormat="1" ht="19.95" customHeight="1">
      <c r="A1127" s="513" t="s">
        <v>2292</v>
      </c>
      <c r="B1127" s="544">
        <f>pSiO2v</f>
        <v>21432.06367811999</v>
      </c>
      <c r="C1127" s="544">
        <v>0</v>
      </c>
      <c r="D1127" s="539">
        <v>12.858599999999999</v>
      </c>
      <c r="E1127" s="539"/>
      <c r="F1127" s="539">
        <v>13.1694</v>
      </c>
      <c r="G1127" s="539"/>
      <c r="H1127" s="539">
        <v>53.136899999999997</v>
      </c>
      <c r="I1127" s="539"/>
      <c r="J1127" s="112">
        <f>D1127-E1127/2</f>
        <v>12.858599999999999</v>
      </c>
      <c r="K1127" s="112">
        <f>F1127-G1127/2</f>
        <v>13.1694</v>
      </c>
      <c r="L1127" s="112">
        <f>H1127-I1127/2</f>
        <v>53.136899999999997</v>
      </c>
      <c r="M1127" s="513">
        <f>u_m1</f>
        <v>2.0000000000000001E-4</v>
      </c>
      <c r="N1127" s="513">
        <f>u_m1</f>
        <v>2.0000000000000001E-4</v>
      </c>
      <c r="O1127" s="513">
        <f>u_m1</f>
        <v>2.0000000000000001E-4</v>
      </c>
      <c r="P1127" s="545" cm="1">
        <f t="array" ref="P1127:Q1127">WnA1S(B1127:C1127,J1127:L1127,M1127:O1127)</f>
        <v>165.37652758829697</v>
      </c>
      <c r="Q1127" s="545">
        <v>0.15050494905085143</v>
      </c>
      <c r="R1127" s="513" t="s">
        <v>2155</v>
      </c>
      <c r="S1127" s="513" t="s">
        <v>196</v>
      </c>
      <c r="T1127" s="541">
        <v>20240315</v>
      </c>
      <c r="U1127" s="513">
        <f>T1127+15</f>
        <v>20240330</v>
      </c>
      <c r="V1127" s="541">
        <v>21.7</v>
      </c>
      <c r="W1127" s="541">
        <v>28.3</v>
      </c>
      <c r="X1127" s="513" t="s">
        <v>2293</v>
      </c>
      <c r="Y1127" s="513" t="s">
        <v>2294</v>
      </c>
    </row>
    <row r="1128" spans="1:25" s="129" customFormat="1" ht="19.95" customHeight="1">
      <c r="D1128" s="147"/>
      <c r="E1128" s="147"/>
      <c r="F1128" s="132"/>
      <c r="G1128" s="132"/>
    </row>
    <row r="1129" spans="1:25" s="129" customFormat="1" ht="19.95" customHeight="1">
      <c r="B1129" s="89" t="s">
        <v>158</v>
      </c>
      <c r="D1129" s="89" t="s">
        <v>2156</v>
      </c>
      <c r="F1129" s="89" t="s">
        <v>2167</v>
      </c>
      <c r="H1129" s="89" t="s">
        <v>2158</v>
      </c>
      <c r="P1129" s="89" t="s">
        <v>176</v>
      </c>
    </row>
    <row r="1130" spans="1:25" s="129" customFormat="1" ht="19.95" customHeight="1">
      <c r="A1130" s="89" t="s">
        <v>157</v>
      </c>
      <c r="B1130" s="89" t="s">
        <v>1557</v>
      </c>
      <c r="C1130" s="89" t="s">
        <v>1558</v>
      </c>
      <c r="D1130" s="129" t="s">
        <v>169</v>
      </c>
      <c r="E1130" s="129" t="s">
        <v>170</v>
      </c>
      <c r="F1130" s="129" t="s">
        <v>169</v>
      </c>
      <c r="G1130" s="129" t="s">
        <v>170</v>
      </c>
      <c r="H1130" s="129" t="s">
        <v>169</v>
      </c>
      <c r="I1130" s="129" t="s">
        <v>170</v>
      </c>
      <c r="J1130" s="89" t="s">
        <v>140</v>
      </c>
      <c r="K1130" s="89" t="s">
        <v>2008</v>
      </c>
      <c r="L1130" s="89" t="s">
        <v>2009</v>
      </c>
      <c r="M1130" s="89" t="s">
        <v>2171</v>
      </c>
      <c r="N1130" s="89" t="s">
        <v>2172</v>
      </c>
      <c r="O1130" s="89" t="s">
        <v>2173</v>
      </c>
      <c r="P1130" s="89" t="s">
        <v>1557</v>
      </c>
      <c r="Q1130" s="89" t="s">
        <v>1558</v>
      </c>
      <c r="R1130" s="89" t="s">
        <v>179</v>
      </c>
      <c r="S1130" s="89" t="s">
        <v>159</v>
      </c>
      <c r="T1130" s="89" t="s">
        <v>160</v>
      </c>
      <c r="U1130" s="89" t="s">
        <v>161</v>
      </c>
      <c r="V1130" s="89" t="s">
        <v>79</v>
      </c>
      <c r="W1130" s="89" t="s">
        <v>80</v>
      </c>
      <c r="X1130" s="89" t="s">
        <v>3</v>
      </c>
      <c r="Y1130" s="89" t="s">
        <v>75</v>
      </c>
    </row>
    <row r="1131" spans="1:25" s="129" customFormat="1" ht="19.95" customHeight="1">
      <c r="A1131" s="576" t="s">
        <v>162</v>
      </c>
      <c r="B1131" s="576" t="s">
        <v>156</v>
      </c>
      <c r="C1131" s="576" t="s">
        <v>156</v>
      </c>
      <c r="D1131" s="576" t="s">
        <v>64</v>
      </c>
      <c r="E1131" s="576" t="s">
        <v>64</v>
      </c>
      <c r="F1131" s="576" t="s">
        <v>64</v>
      </c>
      <c r="G1131" s="576" t="s">
        <v>64</v>
      </c>
      <c r="H1131" s="576" t="s">
        <v>64</v>
      </c>
      <c r="I1131" s="576" t="s">
        <v>64</v>
      </c>
      <c r="J1131" s="576" t="s">
        <v>64</v>
      </c>
      <c r="K1131" s="576" t="s">
        <v>64</v>
      </c>
      <c r="L1131" s="576" t="s">
        <v>64</v>
      </c>
      <c r="M1131" s="576" t="s">
        <v>64</v>
      </c>
      <c r="N1131" s="576" t="s">
        <v>64</v>
      </c>
      <c r="O1131" s="576" t="s">
        <v>64</v>
      </c>
      <c r="P1131" s="576" t="s">
        <v>156</v>
      </c>
      <c r="Q1131" s="576" t="s">
        <v>156</v>
      </c>
      <c r="R1131" s="576" t="s">
        <v>74</v>
      </c>
      <c r="S1131" s="576"/>
      <c r="T1131" s="576" t="s">
        <v>163</v>
      </c>
      <c r="U1131" s="576" t="s">
        <v>163</v>
      </c>
      <c r="V1131" s="576" t="s">
        <v>92</v>
      </c>
      <c r="W1131" s="576" t="s">
        <v>74</v>
      </c>
      <c r="X1131" s="576" t="s">
        <v>90</v>
      </c>
      <c r="Y1131" s="576" t="s">
        <v>91</v>
      </c>
    </row>
    <row r="1132" spans="1:25" s="129" customFormat="1" ht="19.95" customHeight="1">
      <c r="A1132" s="513" t="s">
        <v>2295</v>
      </c>
      <c r="B1132" s="544">
        <f>P1127</f>
        <v>165.37652758829697</v>
      </c>
      <c r="C1132" s="544">
        <f>Q1127</f>
        <v>0.15050494905085143</v>
      </c>
      <c r="D1132" s="539">
        <v>12.82</v>
      </c>
      <c r="E1132" s="539"/>
      <c r="F1132" s="539">
        <v>13.0764</v>
      </c>
      <c r="G1132" s="539"/>
      <c r="H1132" s="539">
        <v>52.688000000000002</v>
      </c>
      <c r="I1132" s="539"/>
      <c r="J1132" s="112">
        <f>D1132-E1132/2</f>
        <v>12.82</v>
      </c>
      <c r="K1132" s="112">
        <f>F1132-G1132/2</f>
        <v>13.0764</v>
      </c>
      <c r="L1132" s="112">
        <f>H1132-I1132/2</f>
        <v>52.688000000000002</v>
      </c>
      <c r="M1132" s="513">
        <f>u_m1</f>
        <v>2.0000000000000001E-4</v>
      </c>
      <c r="N1132" s="513">
        <f>u_m1</f>
        <v>2.0000000000000001E-4</v>
      </c>
      <c r="O1132" s="513">
        <f>u_m1</f>
        <v>2.0000000000000001E-4</v>
      </c>
      <c r="P1132" s="540" cm="1">
        <f t="array" ref="P1132:Q1132">WnA1S(B1132:C1132,J1132:L1132,M1132:O1132)</f>
        <v>1.0635733338426614</v>
      </c>
      <c r="Q1132" s="540">
        <v>1.5210151609677915E-3</v>
      </c>
      <c r="R1132" s="513" t="s">
        <v>2155</v>
      </c>
      <c r="S1132" s="513" t="s">
        <v>196</v>
      </c>
      <c r="T1132" s="541">
        <v>20240315</v>
      </c>
      <c r="U1132" s="513">
        <f>T1132+15</f>
        <v>20240330</v>
      </c>
      <c r="V1132" s="541">
        <v>21.7</v>
      </c>
      <c r="W1132" s="541">
        <v>28.3</v>
      </c>
      <c r="X1132" s="513" t="s">
        <v>2293</v>
      </c>
      <c r="Y1132" s="513" t="s">
        <v>2294</v>
      </c>
    </row>
    <row r="1134" spans="1:25" s="129" customFormat="1" ht="19.95" customHeight="1">
      <c r="B1134" s="89" t="s">
        <v>158</v>
      </c>
      <c r="D1134" s="89" t="s">
        <v>2156</v>
      </c>
      <c r="F1134" s="89" t="s">
        <v>2167</v>
      </c>
      <c r="H1134" s="89" t="s">
        <v>2158</v>
      </c>
      <c r="P1134" s="89" t="s">
        <v>176</v>
      </c>
    </row>
    <row r="1135" spans="1:25" s="129" customFormat="1" ht="19.95" customHeight="1">
      <c r="A1135" s="89" t="s">
        <v>157</v>
      </c>
      <c r="B1135" s="89" t="s">
        <v>1557</v>
      </c>
      <c r="C1135" s="89" t="s">
        <v>1558</v>
      </c>
      <c r="D1135" s="129" t="s">
        <v>169</v>
      </c>
      <c r="E1135" s="129" t="s">
        <v>170</v>
      </c>
      <c r="F1135" s="129" t="s">
        <v>169</v>
      </c>
      <c r="G1135" s="129" t="s">
        <v>170</v>
      </c>
      <c r="H1135" s="129" t="s">
        <v>169</v>
      </c>
      <c r="I1135" s="129" t="s">
        <v>170</v>
      </c>
      <c r="J1135" s="89" t="s">
        <v>140</v>
      </c>
      <c r="K1135" s="89" t="s">
        <v>2008</v>
      </c>
      <c r="L1135" s="89" t="s">
        <v>2009</v>
      </c>
      <c r="M1135" s="89" t="s">
        <v>2171</v>
      </c>
      <c r="N1135" s="89" t="s">
        <v>2172</v>
      </c>
      <c r="O1135" s="89" t="s">
        <v>2173</v>
      </c>
      <c r="P1135" s="89" t="s">
        <v>1557</v>
      </c>
      <c r="Q1135" s="89" t="s">
        <v>1558</v>
      </c>
      <c r="R1135" s="89" t="s">
        <v>179</v>
      </c>
      <c r="S1135" s="89" t="s">
        <v>159</v>
      </c>
      <c r="T1135" s="89" t="s">
        <v>160</v>
      </c>
      <c r="U1135" s="89" t="s">
        <v>161</v>
      </c>
      <c r="V1135" s="89" t="s">
        <v>79</v>
      </c>
      <c r="W1135" s="89" t="s">
        <v>80</v>
      </c>
      <c r="X1135" s="89" t="s">
        <v>3</v>
      </c>
      <c r="Y1135" s="89" t="s">
        <v>75</v>
      </c>
    </row>
    <row r="1136" spans="1:25" s="129" customFormat="1" ht="19.95" customHeight="1">
      <c r="A1136" s="576" t="s">
        <v>162</v>
      </c>
      <c r="B1136" s="576" t="s">
        <v>156</v>
      </c>
      <c r="C1136" s="576" t="s">
        <v>156</v>
      </c>
      <c r="D1136" s="576" t="s">
        <v>64</v>
      </c>
      <c r="E1136" s="576" t="s">
        <v>64</v>
      </c>
      <c r="F1136" s="576" t="s">
        <v>64</v>
      </c>
      <c r="G1136" s="576" t="s">
        <v>64</v>
      </c>
      <c r="H1136" s="576" t="s">
        <v>64</v>
      </c>
      <c r="I1136" s="576" t="s">
        <v>64</v>
      </c>
      <c r="J1136" s="576" t="s">
        <v>64</v>
      </c>
      <c r="K1136" s="576" t="s">
        <v>64</v>
      </c>
      <c r="L1136" s="576" t="s">
        <v>64</v>
      </c>
      <c r="M1136" s="576" t="s">
        <v>64</v>
      </c>
      <c r="N1136" s="576" t="s">
        <v>64</v>
      </c>
      <c r="O1136" s="576" t="s">
        <v>64</v>
      </c>
      <c r="P1136" s="576" t="s">
        <v>156</v>
      </c>
      <c r="Q1136" s="576" t="s">
        <v>156</v>
      </c>
      <c r="R1136" s="576" t="s">
        <v>74</v>
      </c>
      <c r="S1136" s="576"/>
      <c r="T1136" s="576" t="s">
        <v>163</v>
      </c>
      <c r="U1136" s="576" t="s">
        <v>163</v>
      </c>
      <c r="V1136" s="576" t="s">
        <v>92</v>
      </c>
      <c r="W1136" s="576" t="s">
        <v>74</v>
      </c>
      <c r="X1136" s="576" t="s">
        <v>90</v>
      </c>
      <c r="Y1136" s="576" t="s">
        <v>91</v>
      </c>
    </row>
    <row r="1137" spans="1:25" s="129" customFormat="1" ht="19.95" customHeight="1">
      <c r="A1137" s="578" t="s">
        <v>1374</v>
      </c>
      <c r="B1137" s="550">
        <f>P1132</f>
        <v>1.0635733338426614</v>
      </c>
      <c r="C1137" s="550">
        <f>Q1132</f>
        <v>1.5210151609677915E-3</v>
      </c>
      <c r="D1137" s="67">
        <v>6.1597</v>
      </c>
      <c r="E1137" s="67"/>
      <c r="F1137" s="67">
        <v>8.0966000000000005</v>
      </c>
      <c r="G1137" s="67"/>
      <c r="H1137" s="67">
        <v>16.027000000000001</v>
      </c>
      <c r="I1137" s="67"/>
      <c r="J1137" s="512">
        <f>D1137-E1137/2</f>
        <v>6.1597</v>
      </c>
      <c r="K1137" s="512">
        <f>F1137-G1137/2</f>
        <v>8.0966000000000005</v>
      </c>
      <c r="L1137" s="512">
        <f>H1137-I1137/2</f>
        <v>16.027000000000001</v>
      </c>
      <c r="M1137" s="578">
        <f t="shared" ref="M1137:O1139" si="354">u_m1</f>
        <v>2.0000000000000001E-4</v>
      </c>
      <c r="N1137" s="578">
        <f t="shared" si="354"/>
        <v>2.0000000000000001E-4</v>
      </c>
      <c r="O1137" s="578">
        <f t="shared" si="354"/>
        <v>2.0000000000000001E-4</v>
      </c>
      <c r="P1137" s="857" cm="1">
        <f t="array" ref="P1137:Q1137">WnA1S(B1137:C1137,J1137:L1137,M1137:O1137)</f>
        <v>0.20877394933972326</v>
      </c>
      <c r="Q1137" s="857">
        <v>3.001795630237662E-4</v>
      </c>
      <c r="R1137" s="578" t="s">
        <v>2155</v>
      </c>
      <c r="S1137" s="578" t="s">
        <v>196</v>
      </c>
      <c r="T1137" s="108">
        <v>20240315</v>
      </c>
      <c r="U1137" s="578">
        <f>T1137+15</f>
        <v>20240330</v>
      </c>
      <c r="V1137" s="108">
        <v>21.7</v>
      </c>
      <c r="W1137" s="108">
        <v>28.3</v>
      </c>
      <c r="X1137" s="578" t="s">
        <v>2293</v>
      </c>
      <c r="Y1137" s="578" t="s">
        <v>2294</v>
      </c>
    </row>
    <row r="1138" spans="1:25" s="593" customFormat="1" ht="19.95" customHeight="1">
      <c r="A1138" s="575" t="s">
        <v>2296</v>
      </c>
      <c r="B1138" s="552">
        <f>B1137</f>
        <v>1.0635733338426614</v>
      </c>
      <c r="C1138" s="552">
        <f>C1137</f>
        <v>1.5210151609677915E-3</v>
      </c>
      <c r="D1138" s="69">
        <v>6.1555999999999997</v>
      </c>
      <c r="E1138" s="69"/>
      <c r="F1138" s="69">
        <v>10.030799999999999</v>
      </c>
      <c r="G1138" s="69"/>
      <c r="H1138" s="69">
        <v>15.911099999999999</v>
      </c>
      <c r="I1138" s="69"/>
      <c r="J1138" s="114">
        <f>D1138-E1138/2</f>
        <v>6.1555999999999997</v>
      </c>
      <c r="K1138" s="114">
        <f>F1138-G1138/2</f>
        <v>10.030799999999999</v>
      </c>
      <c r="L1138" s="114">
        <f>H1138-I1138/2</f>
        <v>15.911099999999999</v>
      </c>
      <c r="M1138" s="575">
        <f t="shared" si="354"/>
        <v>2.0000000000000001E-4</v>
      </c>
      <c r="N1138" s="575">
        <f t="shared" si="354"/>
        <v>2.0000000000000001E-4</v>
      </c>
      <c r="O1138" s="575">
        <f t="shared" si="354"/>
        <v>2.0000000000000001E-4</v>
      </c>
      <c r="P1138" s="118" cm="1">
        <f t="array" ref="P1138:Q1138">WnA1S(B1138:C1138,J1138:L1138,M1138:O1138)</f>
        <v>0.42248571403896068</v>
      </c>
      <c r="Q1138" s="118">
        <v>6.0510677502544216E-4</v>
      </c>
      <c r="R1138" s="575" t="s">
        <v>2155</v>
      </c>
      <c r="S1138" s="575" t="s">
        <v>196</v>
      </c>
      <c r="T1138" s="106">
        <v>20240315</v>
      </c>
      <c r="U1138" s="575">
        <f>T1138+15</f>
        <v>20240330</v>
      </c>
      <c r="V1138" s="106">
        <v>21.7</v>
      </c>
      <c r="W1138" s="106">
        <v>28.3</v>
      </c>
      <c r="X1138" s="575" t="s">
        <v>2293</v>
      </c>
      <c r="Y1138" s="575" t="s">
        <v>2294</v>
      </c>
    </row>
    <row r="1139" spans="1:25" ht="19.95" customHeight="1">
      <c r="A1139" s="576" t="s">
        <v>1378</v>
      </c>
      <c r="B1139" s="553">
        <f>B1137</f>
        <v>1.0635733338426614</v>
      </c>
      <c r="C1139" s="553">
        <f>C1137</f>
        <v>1.5210151609677915E-3</v>
      </c>
      <c r="D1139" s="76">
        <v>6.1840999999999999</v>
      </c>
      <c r="E1139" s="76"/>
      <c r="F1139" s="76">
        <v>13.9298</v>
      </c>
      <c r="G1139" s="76"/>
      <c r="H1139" s="76">
        <v>16.239699999999999</v>
      </c>
      <c r="I1139" s="76"/>
      <c r="J1139" s="122">
        <f>D1139-E1139/2</f>
        <v>6.1840999999999999</v>
      </c>
      <c r="K1139" s="122">
        <f>F1139-G1139/2</f>
        <v>13.9298</v>
      </c>
      <c r="L1139" s="122">
        <f>H1139-I1139/2</f>
        <v>16.239699999999999</v>
      </c>
      <c r="M1139" s="576">
        <f t="shared" si="354"/>
        <v>2.0000000000000001E-4</v>
      </c>
      <c r="N1139" s="576">
        <f t="shared" si="354"/>
        <v>2.0000000000000001E-4</v>
      </c>
      <c r="O1139" s="576">
        <f t="shared" si="354"/>
        <v>2.0000000000000001E-4</v>
      </c>
      <c r="P1139" s="455" cm="1">
        <f t="array" ref="P1139:Q1139">WnA1S(B1139:C1139,J1139:L1139,M1139:O1139)</f>
        <v>0.81925692867109912</v>
      </c>
      <c r="Q1139" s="455">
        <v>1.1722269140421807E-3</v>
      </c>
      <c r="R1139" s="576" t="s">
        <v>2155</v>
      </c>
      <c r="S1139" s="576" t="s">
        <v>196</v>
      </c>
      <c r="T1139" s="125">
        <v>20240315</v>
      </c>
      <c r="U1139" s="576">
        <f>T1139+15</f>
        <v>20240330</v>
      </c>
      <c r="V1139" s="125">
        <v>21.7</v>
      </c>
      <c r="W1139" s="125">
        <v>28.3</v>
      </c>
      <c r="X1139" s="576" t="s">
        <v>2293</v>
      </c>
      <c r="Y1139" s="576" t="s">
        <v>2294</v>
      </c>
    </row>
    <row r="1141" spans="1:25" s="588" customFormat="1" ht="19.95" customHeight="1">
      <c r="A1141" s="804" t="s">
        <v>2297</v>
      </c>
      <c r="B1141" s="543"/>
      <c r="C1141" s="543"/>
      <c r="D1141" s="543"/>
      <c r="E1141" s="148"/>
      <c r="U1141" s="60"/>
      <c r="V1141" s="60"/>
    </row>
    <row r="1142" spans="1:25" s="588" customFormat="1" ht="19.95" customHeight="1">
      <c r="A1142" s="543"/>
      <c r="B1142" s="543"/>
      <c r="C1142" s="543"/>
      <c r="D1142" s="543"/>
      <c r="E1142" s="148"/>
      <c r="U1142" s="60"/>
      <c r="V1142" s="60"/>
    </row>
    <row r="1143" spans="1:25" s="129" customFormat="1" ht="19.95" customHeight="1">
      <c r="A1143" s="128"/>
      <c r="C1143" s="105" t="s">
        <v>172</v>
      </c>
      <c r="F1143" s="105" t="s">
        <v>189</v>
      </c>
      <c r="I1143" s="105" t="s">
        <v>190</v>
      </c>
      <c r="U1143" s="60"/>
      <c r="V1143" s="60"/>
    </row>
    <row r="1144" spans="1:25" s="129" customFormat="1" ht="19.95" customHeight="1">
      <c r="C1144" s="575" t="s">
        <v>169</v>
      </c>
      <c r="D1144" s="575" t="s">
        <v>170</v>
      </c>
      <c r="E1144" s="575" t="s">
        <v>171</v>
      </c>
      <c r="F1144" s="575" t="s">
        <v>169</v>
      </c>
      <c r="G1144" s="575" t="s">
        <v>170</v>
      </c>
      <c r="H1144" s="575" t="s">
        <v>171</v>
      </c>
      <c r="I1144" s="575" t="s">
        <v>169</v>
      </c>
      <c r="J1144" s="575" t="s">
        <v>170</v>
      </c>
      <c r="K1144" s="575" t="s">
        <v>171</v>
      </c>
      <c r="M1144" s="593" t="s">
        <v>220</v>
      </c>
      <c r="N1144" s="593" t="s">
        <v>221</v>
      </c>
      <c r="U1144" s="60"/>
      <c r="V1144" s="60"/>
    </row>
    <row r="1145" spans="1:25" s="129" customFormat="1" ht="19.95" customHeight="1">
      <c r="A1145" s="577" t="s">
        <v>184</v>
      </c>
      <c r="B1145" s="577" t="s">
        <v>96</v>
      </c>
      <c r="C1145" s="576" t="s">
        <v>64</v>
      </c>
      <c r="D1145" s="576" t="s">
        <v>64</v>
      </c>
      <c r="E1145" s="576" t="s">
        <v>64</v>
      </c>
      <c r="F1145" s="576" t="s">
        <v>64</v>
      </c>
      <c r="G1145" s="576" t="s">
        <v>64</v>
      </c>
      <c r="H1145" s="576" t="s">
        <v>64</v>
      </c>
      <c r="I1145" s="576" t="s">
        <v>64</v>
      </c>
      <c r="J1145" s="576" t="s">
        <v>64</v>
      </c>
      <c r="K1145" s="576" t="s">
        <v>64</v>
      </c>
      <c r="L1145" s="576" t="s">
        <v>2</v>
      </c>
      <c r="M1145" s="576" t="s">
        <v>64</v>
      </c>
      <c r="N1145" s="576" t="s">
        <v>64</v>
      </c>
      <c r="U1145" s="60"/>
      <c r="V1145" s="60"/>
    </row>
    <row r="1146" spans="1:25" s="129" customFormat="1" ht="19.95" customHeight="1">
      <c r="A1146" s="575" t="s">
        <v>1582</v>
      </c>
      <c r="B1146" s="575" t="s">
        <v>1374</v>
      </c>
      <c r="C1146" s="69">
        <v>0.93059999999999998</v>
      </c>
      <c r="D1146" s="69"/>
      <c r="E1146" s="114">
        <f t="shared" ref="E1146:E1157" si="355">C1146-D1146/2</f>
        <v>0.93059999999999998</v>
      </c>
      <c r="F1146" s="69">
        <v>1.4261999999999999</v>
      </c>
      <c r="G1146" s="69"/>
      <c r="H1146" s="114">
        <f t="shared" ref="H1146:H1157" si="356">F1146-G1146/2</f>
        <v>1.4261999999999999</v>
      </c>
      <c r="I1146" s="69">
        <v>1.8822000000000001</v>
      </c>
      <c r="J1146" s="69"/>
      <c r="K1146" s="114">
        <f t="shared" ref="K1146:K1157" si="357">I1146-J1146/2</f>
        <v>1.8822000000000001</v>
      </c>
      <c r="L1146" s="863">
        <v>45372</v>
      </c>
      <c r="M1146" s="189">
        <f t="shared" ref="M1146:M1157" si="358">H1146-E1146</f>
        <v>0.49559999999999993</v>
      </c>
      <c r="N1146" s="189">
        <f t="shared" ref="N1146:N1157" si="359">K1146-H1146</f>
        <v>0.45600000000000018</v>
      </c>
    </row>
    <row r="1147" spans="1:25" s="129" customFormat="1" ht="19.95" customHeight="1">
      <c r="A1147" s="575" t="s">
        <v>1582</v>
      </c>
      <c r="B1147" s="575" t="s">
        <v>1375</v>
      </c>
      <c r="C1147" s="69">
        <v>0.93589999999999995</v>
      </c>
      <c r="D1147" s="69"/>
      <c r="E1147" s="114">
        <f t="shared" si="355"/>
        <v>0.93589999999999995</v>
      </c>
      <c r="F1147" s="69">
        <v>1.4314</v>
      </c>
      <c r="G1147" s="69"/>
      <c r="H1147" s="114">
        <f t="shared" si="356"/>
        <v>1.4314</v>
      </c>
      <c r="I1147" s="69">
        <v>1.8875</v>
      </c>
      <c r="J1147" s="69"/>
      <c r="K1147" s="114">
        <f t="shared" si="357"/>
        <v>1.8875</v>
      </c>
      <c r="L1147" s="558"/>
      <c r="M1147" s="189">
        <f t="shared" si="358"/>
        <v>0.49550000000000005</v>
      </c>
      <c r="N1147" s="189">
        <f t="shared" si="359"/>
        <v>0.45609999999999995</v>
      </c>
    </row>
    <row r="1148" spans="1:25" s="129" customFormat="1" ht="19.95" customHeight="1">
      <c r="A1148" s="575" t="s">
        <v>1582</v>
      </c>
      <c r="B1148" s="575" t="s">
        <v>1376</v>
      </c>
      <c r="C1148" s="69">
        <v>0.95020000000000004</v>
      </c>
      <c r="D1148" s="69"/>
      <c r="E1148" s="114">
        <f t="shared" si="355"/>
        <v>0.95020000000000004</v>
      </c>
      <c r="F1148" s="69">
        <v>1.4472</v>
      </c>
      <c r="G1148" s="69"/>
      <c r="H1148" s="114">
        <f t="shared" si="356"/>
        <v>1.4472</v>
      </c>
      <c r="I1148" s="69">
        <v>1.9044000000000001</v>
      </c>
      <c r="J1148" s="69"/>
      <c r="K1148" s="114">
        <f t="shared" si="357"/>
        <v>1.9044000000000001</v>
      </c>
      <c r="L1148" s="558"/>
      <c r="M1148" s="189">
        <f t="shared" si="358"/>
        <v>0.497</v>
      </c>
      <c r="N1148" s="189">
        <f t="shared" si="359"/>
        <v>0.45720000000000005</v>
      </c>
    </row>
    <row r="1149" spans="1:25" s="129" customFormat="1" ht="19.95" customHeight="1">
      <c r="A1149" s="575" t="s">
        <v>1582</v>
      </c>
      <c r="B1149" s="575" t="s">
        <v>1377</v>
      </c>
      <c r="C1149" s="69">
        <v>0.95050000000000001</v>
      </c>
      <c r="D1149" s="69"/>
      <c r="E1149" s="114">
        <f t="shared" si="355"/>
        <v>0.95050000000000001</v>
      </c>
      <c r="F1149" s="69">
        <v>1.4484999999999999</v>
      </c>
      <c r="G1149" s="69"/>
      <c r="H1149" s="114">
        <f t="shared" si="356"/>
        <v>1.4484999999999999</v>
      </c>
      <c r="I1149" s="69">
        <v>1.9060999999999999</v>
      </c>
      <c r="J1149" s="69"/>
      <c r="K1149" s="114">
        <f t="shared" si="357"/>
        <v>1.9060999999999999</v>
      </c>
      <c r="L1149" s="558"/>
      <c r="M1149" s="87">
        <f t="shared" si="358"/>
        <v>0.49799999999999989</v>
      </c>
      <c r="N1149" s="87">
        <f t="shared" si="359"/>
        <v>0.45760000000000001</v>
      </c>
    </row>
    <row r="1150" spans="1:25" s="129" customFormat="1" ht="19.95" customHeight="1">
      <c r="A1150" s="576" t="s">
        <v>1582</v>
      </c>
      <c r="B1150" s="576" t="s">
        <v>1378</v>
      </c>
      <c r="C1150" s="76">
        <v>0.93010000000000004</v>
      </c>
      <c r="D1150" s="76"/>
      <c r="E1150" s="122">
        <f t="shared" si="355"/>
        <v>0.93010000000000004</v>
      </c>
      <c r="F1150" s="76">
        <v>1.4255</v>
      </c>
      <c r="G1150" s="76"/>
      <c r="H1150" s="122">
        <f t="shared" si="356"/>
        <v>1.4255</v>
      </c>
      <c r="I1150" s="76">
        <v>1.8828</v>
      </c>
      <c r="J1150" s="76"/>
      <c r="K1150" s="122">
        <f t="shared" si="357"/>
        <v>1.8828</v>
      </c>
      <c r="L1150" s="559"/>
      <c r="M1150" s="122">
        <f t="shared" si="358"/>
        <v>0.49539999999999995</v>
      </c>
      <c r="N1150" s="122">
        <f t="shared" si="359"/>
        <v>0.45730000000000004</v>
      </c>
    </row>
    <row r="1151" spans="1:25" s="129" customFormat="1" ht="19.95" customHeight="1">
      <c r="A1151" s="575" t="s">
        <v>187</v>
      </c>
      <c r="B1151" s="575" t="s">
        <v>2298</v>
      </c>
      <c r="C1151" s="69">
        <v>0.93620000000000003</v>
      </c>
      <c r="D1151" s="69"/>
      <c r="E1151" s="114">
        <f t="shared" si="355"/>
        <v>0.93620000000000003</v>
      </c>
      <c r="F1151" s="69">
        <v>1.4508000000000001</v>
      </c>
      <c r="G1151" s="69"/>
      <c r="H1151" s="114">
        <f t="shared" si="356"/>
        <v>1.4508000000000001</v>
      </c>
      <c r="I1151" s="69">
        <v>1.9064000000000001</v>
      </c>
      <c r="J1151" s="69"/>
      <c r="K1151" s="114">
        <f t="shared" si="357"/>
        <v>1.9064000000000001</v>
      </c>
      <c r="L1151" s="558"/>
      <c r="M1151" s="77">
        <f t="shared" si="358"/>
        <v>0.51460000000000006</v>
      </c>
      <c r="N1151" s="77">
        <f t="shared" si="359"/>
        <v>0.4556</v>
      </c>
    </row>
    <row r="1152" spans="1:25" s="129" customFormat="1" ht="19.95" customHeight="1">
      <c r="A1152" s="575" t="s">
        <v>187</v>
      </c>
      <c r="B1152" s="575" t="s">
        <v>2299</v>
      </c>
      <c r="C1152" s="69">
        <v>0.93089999999999995</v>
      </c>
      <c r="D1152" s="69"/>
      <c r="E1152" s="114">
        <f t="shared" si="355"/>
        <v>0.93089999999999995</v>
      </c>
      <c r="F1152" s="69">
        <v>1.4220999999999999</v>
      </c>
      <c r="G1152" s="69"/>
      <c r="H1152" s="114">
        <f t="shared" si="356"/>
        <v>1.4220999999999999</v>
      </c>
      <c r="I1152" s="69">
        <v>1.8791</v>
      </c>
      <c r="J1152" s="69"/>
      <c r="K1152" s="114">
        <f t="shared" si="357"/>
        <v>1.8791</v>
      </c>
      <c r="L1152" s="558"/>
      <c r="M1152" s="77">
        <f t="shared" si="358"/>
        <v>0.49119999999999997</v>
      </c>
      <c r="N1152" s="77">
        <f t="shared" si="359"/>
        <v>0.45700000000000007</v>
      </c>
    </row>
    <row r="1153" spans="1:68" s="129" customFormat="1" ht="19.95" customHeight="1">
      <c r="A1153" s="575" t="s">
        <v>187</v>
      </c>
      <c r="B1153" s="575" t="s">
        <v>2300</v>
      </c>
      <c r="C1153" s="69">
        <v>0.93020000000000003</v>
      </c>
      <c r="D1153" s="69"/>
      <c r="E1153" s="114">
        <f t="shared" si="355"/>
        <v>0.93020000000000003</v>
      </c>
      <c r="F1153" s="69">
        <v>1.4419999999999999</v>
      </c>
      <c r="G1153" s="69"/>
      <c r="H1153" s="114">
        <f t="shared" si="356"/>
        <v>1.4419999999999999</v>
      </c>
      <c r="I1153" s="69">
        <v>1.899</v>
      </c>
      <c r="J1153" s="69"/>
      <c r="K1153" s="114">
        <f t="shared" si="357"/>
        <v>1.899</v>
      </c>
      <c r="L1153" s="558"/>
      <c r="M1153" s="77">
        <f t="shared" si="358"/>
        <v>0.51179999999999992</v>
      </c>
      <c r="N1153" s="77">
        <f t="shared" si="359"/>
        <v>0.45700000000000007</v>
      </c>
    </row>
    <row r="1154" spans="1:68" s="129" customFormat="1" ht="19.95" customHeight="1">
      <c r="A1154" s="575" t="s">
        <v>187</v>
      </c>
      <c r="B1154" s="575" t="s">
        <v>2301</v>
      </c>
      <c r="C1154" s="69">
        <v>0.94179999999999997</v>
      </c>
      <c r="D1154" s="69"/>
      <c r="E1154" s="114">
        <f t="shared" si="355"/>
        <v>0.94179999999999997</v>
      </c>
      <c r="F1154" s="69">
        <v>1.4329000000000001</v>
      </c>
      <c r="G1154" s="69"/>
      <c r="H1154" s="114">
        <f t="shared" si="356"/>
        <v>1.4329000000000001</v>
      </c>
      <c r="I1154" s="69">
        <v>1.891</v>
      </c>
      <c r="J1154" s="69"/>
      <c r="K1154" s="114">
        <f t="shared" si="357"/>
        <v>1.891</v>
      </c>
      <c r="L1154" s="558"/>
      <c r="M1154" s="114">
        <f t="shared" si="358"/>
        <v>0.49110000000000009</v>
      </c>
      <c r="N1154" s="114">
        <f t="shared" si="359"/>
        <v>0.45809999999999995</v>
      </c>
    </row>
    <row r="1155" spans="1:68" s="129" customFormat="1" ht="19.95" customHeight="1">
      <c r="A1155" s="576" t="s">
        <v>187</v>
      </c>
      <c r="B1155" s="576" t="s">
        <v>2302</v>
      </c>
      <c r="C1155" s="76">
        <v>0.93110000000000004</v>
      </c>
      <c r="D1155" s="76"/>
      <c r="E1155" s="122">
        <f t="shared" si="355"/>
        <v>0.93110000000000004</v>
      </c>
      <c r="F1155" s="76">
        <v>1.4226000000000001</v>
      </c>
      <c r="G1155" s="76"/>
      <c r="H1155" s="122">
        <f t="shared" si="356"/>
        <v>1.4226000000000001</v>
      </c>
      <c r="I1155" s="76">
        <v>1.8809</v>
      </c>
      <c r="J1155" s="76"/>
      <c r="K1155" s="122">
        <f t="shared" si="357"/>
        <v>1.8809</v>
      </c>
      <c r="L1155" s="559"/>
      <c r="M1155" s="122">
        <f t="shared" si="358"/>
        <v>0.49150000000000005</v>
      </c>
      <c r="N1155" s="122">
        <f t="shared" si="359"/>
        <v>0.45829999999999993</v>
      </c>
    </row>
    <row r="1156" spans="1:68" s="129" customFormat="1" ht="19.95" customHeight="1">
      <c r="A1156" s="578" t="s">
        <v>188</v>
      </c>
      <c r="B1156" s="858" t="s">
        <v>2303</v>
      </c>
      <c r="C1156" s="67">
        <v>0.93600000000000005</v>
      </c>
      <c r="D1156" s="67"/>
      <c r="E1156" s="512">
        <f t="shared" si="355"/>
        <v>0.93600000000000005</v>
      </c>
      <c r="F1156" s="67">
        <v>1.4434</v>
      </c>
      <c r="G1156" s="67"/>
      <c r="H1156" s="512">
        <f t="shared" si="356"/>
        <v>1.4434</v>
      </c>
      <c r="I1156" s="861">
        <v>2.0359798488400047</v>
      </c>
      <c r="J1156" s="67"/>
      <c r="K1156" s="512">
        <f t="shared" si="357"/>
        <v>2.0359798488400047</v>
      </c>
      <c r="L1156" s="859"/>
      <c r="M1156" s="512">
        <f t="shared" si="358"/>
        <v>0.50739999999999996</v>
      </c>
      <c r="N1156" s="512">
        <f t="shared" si="359"/>
        <v>0.5925798488400047</v>
      </c>
    </row>
    <row r="1157" spans="1:68" s="129" customFormat="1" ht="19.95" customHeight="1">
      <c r="A1157" s="576" t="s">
        <v>188</v>
      </c>
      <c r="B1157" s="860" t="s">
        <v>2304</v>
      </c>
      <c r="C1157" s="76">
        <v>0.93089999999999995</v>
      </c>
      <c r="D1157" s="76"/>
      <c r="E1157" s="122">
        <f t="shared" si="355"/>
        <v>0.93089999999999995</v>
      </c>
      <c r="F1157" s="76">
        <v>1.44</v>
      </c>
      <c r="G1157" s="76"/>
      <c r="H1157" s="122">
        <f t="shared" si="356"/>
        <v>1.44</v>
      </c>
      <c r="I1157" s="862">
        <v>2.0345325504508573</v>
      </c>
      <c r="J1157" s="76"/>
      <c r="K1157" s="122">
        <f t="shared" si="357"/>
        <v>2.0345325504508573</v>
      </c>
      <c r="L1157" s="548">
        <v>45372</v>
      </c>
      <c r="M1157" s="122">
        <f t="shared" si="358"/>
        <v>0.5091</v>
      </c>
      <c r="N1157" s="122">
        <f t="shared" si="359"/>
        <v>0.5945325504508574</v>
      </c>
    </row>
    <row r="1158" spans="1:68" ht="19.95" customHeight="1">
      <c r="A1158" s="57" t="s">
        <v>2305</v>
      </c>
    </row>
    <row r="1160" spans="1:68" s="149" customFormat="1" ht="19.95" customHeight="1">
      <c r="A1160" s="537" t="s">
        <v>2684</v>
      </c>
      <c r="D1160" s="163"/>
    </row>
    <row r="1162" spans="1:68" s="588" customFormat="1" ht="19.95" customHeight="1">
      <c r="A1162" s="623" t="s">
        <v>2309</v>
      </c>
      <c r="B1162" s="167"/>
      <c r="C1162" s="167"/>
      <c r="D1162" s="168"/>
      <c r="E1162" s="167"/>
      <c r="F1162" s="167"/>
      <c r="G1162" s="167"/>
      <c r="H1162" s="167"/>
      <c r="I1162" s="167"/>
      <c r="J1162" s="167"/>
      <c r="K1162" s="167"/>
      <c r="L1162" s="167"/>
      <c r="M1162" s="167"/>
      <c r="N1162" s="167"/>
      <c r="O1162" s="167"/>
      <c r="P1162" s="167"/>
      <c r="Q1162" s="167"/>
      <c r="R1162" s="167"/>
      <c r="S1162" s="167"/>
      <c r="T1162" s="167"/>
      <c r="U1162" s="167"/>
      <c r="V1162" s="167"/>
      <c r="W1162" s="167"/>
      <c r="X1162" s="167"/>
      <c r="Y1162" s="167"/>
      <c r="Z1162" s="167"/>
      <c r="AA1162" s="167"/>
      <c r="AB1162" s="167"/>
      <c r="AC1162" s="167"/>
      <c r="AD1162" s="167"/>
      <c r="AE1162" s="167"/>
      <c r="AF1162" s="167"/>
      <c r="AG1162" s="167"/>
      <c r="AH1162" s="167"/>
      <c r="AI1162" s="167"/>
      <c r="AJ1162" s="167"/>
      <c r="AK1162" s="167"/>
      <c r="AL1162" s="167"/>
      <c r="AM1162" s="167"/>
      <c r="AN1162" s="167"/>
      <c r="AO1162" s="167"/>
      <c r="AP1162" s="167"/>
      <c r="AQ1162" s="167"/>
      <c r="AR1162" s="167"/>
      <c r="AS1162" s="167"/>
      <c r="AT1162" s="167"/>
      <c r="AU1162" s="167"/>
      <c r="AV1162" s="167"/>
      <c r="AW1162" s="167"/>
      <c r="AX1162" s="167"/>
      <c r="AY1162" s="167"/>
      <c r="AZ1162" s="167"/>
      <c r="BA1162" s="167"/>
      <c r="BB1162" s="167"/>
      <c r="BC1162" s="167"/>
      <c r="BD1162" s="167"/>
      <c r="BE1162" s="167"/>
      <c r="BF1162" s="167"/>
      <c r="BG1162" s="167"/>
      <c r="BH1162" s="167"/>
      <c r="BI1162" s="167"/>
      <c r="BJ1162" s="167"/>
      <c r="BK1162" s="167"/>
      <c r="BL1162" s="167"/>
      <c r="BM1162" s="167"/>
      <c r="BN1162" s="167"/>
      <c r="BO1162" s="167"/>
      <c r="BP1162" s="167"/>
    </row>
    <row r="1163" spans="1:68" s="148" customFormat="1" ht="19.95" customHeight="1">
      <c r="A1163" s="233"/>
      <c r="D1163" s="723"/>
    </row>
    <row r="1164" spans="1:68" s="148" customFormat="1" ht="19.95" customHeight="1">
      <c r="A1164" s="587" t="s">
        <v>102</v>
      </c>
      <c r="B1164" s="587" t="s">
        <v>1528</v>
      </c>
      <c r="C1164" s="587" t="s">
        <v>2055</v>
      </c>
      <c r="D1164" s="195" t="s">
        <v>2</v>
      </c>
      <c r="E1164" s="587" t="s">
        <v>2052</v>
      </c>
      <c r="F1164" s="587" t="s">
        <v>2080</v>
      </c>
      <c r="G1164" s="587" t="s">
        <v>2053</v>
      </c>
      <c r="H1164" s="587" t="s">
        <v>117</v>
      </c>
      <c r="I1164" s="728" t="s">
        <v>2175</v>
      </c>
      <c r="J1164" s="728" t="s">
        <v>2176</v>
      </c>
    </row>
    <row r="1165" spans="1:68" s="148" customFormat="1" ht="19.95" customHeight="1">
      <c r="A1165" s="729" t="str">
        <f>RAW_DATA!A873</f>
        <v>AB1</v>
      </c>
      <c r="B1165" s="730">
        <f>RAW_DATA!B873</f>
        <v>0.49883226922937463</v>
      </c>
      <c r="C1165" s="730">
        <f>RAW_DATA!C873</f>
        <v>7.2165798344060112E-3</v>
      </c>
      <c r="D1165" s="865">
        <v>45372</v>
      </c>
      <c r="E1165" s="317">
        <f>P1137</f>
        <v>0.20877394933972326</v>
      </c>
      <c r="F1165" s="317">
        <f>Q1137</f>
        <v>3.001795630237662E-4</v>
      </c>
      <c r="G1165" s="317">
        <f>M1146</f>
        <v>0.49559999999999993</v>
      </c>
      <c r="H1165" s="317">
        <f t="shared" ref="H1165:H1169" si="360">N1146</f>
        <v>0.45600000000000018</v>
      </c>
      <c r="I1165" s="317">
        <f>E1165*G1165/H1165</f>
        <v>0.22690431862448857</v>
      </c>
      <c r="J1165" s="317">
        <f>I1165*SQRT((F1165/E1165)^2+(u_m3/G1165)^2+(u_m3/H1165)^2)</f>
        <v>3.7817334443747945E-4</v>
      </c>
      <c r="L1165" s="732"/>
    </row>
    <row r="1166" spans="1:68" s="148" customFormat="1" ht="19.95" customHeight="1">
      <c r="A1166" s="228" t="str">
        <f>RAW_DATA!A874</f>
        <v>AB2A</v>
      </c>
      <c r="B1166" s="543">
        <f>RAW_DATA!B874</f>
        <v>0.98137648472959593</v>
      </c>
      <c r="C1166" s="543">
        <f>RAW_DATA!C874</f>
        <v>1.4197521264213381E-2</v>
      </c>
      <c r="D1166" s="866">
        <v>45372</v>
      </c>
      <c r="E1166" s="317">
        <f>P1138</f>
        <v>0.42248571403896068</v>
      </c>
      <c r="F1166" s="317">
        <f>Q1138</f>
        <v>6.0510677502544216E-4</v>
      </c>
      <c r="G1166" s="317">
        <f t="shared" ref="G1166:G1169" si="361">M1147</f>
        <v>0.49550000000000005</v>
      </c>
      <c r="H1166" s="317">
        <f t="shared" si="360"/>
        <v>0.45609999999999995</v>
      </c>
      <c r="I1166" s="317">
        <f t="shared" ref="I1166:I1169" si="362">E1166*G1166/H1166</f>
        <v>0.4589819585755428</v>
      </c>
      <c r="J1166" s="317">
        <f>I1166*SQRT((F1166/E1166)^2+(u_m3/G1166)^2+(u_m3/H1166)^2)</f>
        <v>7.6276045820283659E-4</v>
      </c>
    </row>
    <row r="1167" spans="1:68" s="148" customFormat="1" ht="19.95" customHeight="1">
      <c r="A1167" s="228" t="str">
        <f>RAW_DATA!A875</f>
        <v>AB2B</v>
      </c>
      <c r="B1167" s="543">
        <f>RAW_DATA!B875</f>
        <v>0.98351500368575573</v>
      </c>
      <c r="C1167" s="543">
        <f>RAW_DATA!C875</f>
        <v>1.4228459103897168E-2</v>
      </c>
      <c r="D1167" s="866">
        <v>45372</v>
      </c>
      <c r="E1167" s="317">
        <f>E1166</f>
        <v>0.42248571403896068</v>
      </c>
      <c r="F1167" s="317">
        <f>F1166</f>
        <v>6.0510677502544216E-4</v>
      </c>
      <c r="G1167" s="317">
        <f t="shared" si="361"/>
        <v>0.497</v>
      </c>
      <c r="H1167" s="317">
        <f t="shared" si="360"/>
        <v>0.45720000000000005</v>
      </c>
      <c r="I1167" s="317">
        <f t="shared" si="362"/>
        <v>0.4592637792593251</v>
      </c>
      <c r="J1167" s="317">
        <f>I1167*SQRT((F1167/E1167)^2+(u_m3/G1167)^2+(u_m3/H1167)^2)</f>
        <v>7.6270186778953507E-4</v>
      </c>
    </row>
    <row r="1168" spans="1:68" s="148" customFormat="1" ht="19.95" customHeight="1">
      <c r="A1168" s="228" t="str">
        <f>RAW_DATA!A876</f>
        <v>AB2C</v>
      </c>
      <c r="B1168" s="543">
        <f>RAW_DATA!B876</f>
        <v>0.98175512782699259</v>
      </c>
      <c r="C1168" s="543">
        <f>RAW_DATA!C876</f>
        <v>1.4202999073709009E-2</v>
      </c>
      <c r="D1168" s="866">
        <v>45372</v>
      </c>
      <c r="E1168" s="317">
        <f>E1166</f>
        <v>0.42248571403896068</v>
      </c>
      <c r="F1168" s="317">
        <f>F1166</f>
        <v>6.0510677502544216E-4</v>
      </c>
      <c r="G1168" s="317">
        <f t="shared" si="361"/>
        <v>0.49799999999999989</v>
      </c>
      <c r="H1168" s="317">
        <f t="shared" si="360"/>
        <v>0.45760000000000001</v>
      </c>
      <c r="I1168" s="317">
        <f t="shared" si="362"/>
        <v>0.45978558914205064</v>
      </c>
      <c r="J1168" s="317">
        <f>I1168*SQRT((F1168/E1168)^2+(u_m3/G1168)^2+(u_m3/H1168)^2)</f>
        <v>7.6329593367817394E-4</v>
      </c>
    </row>
    <row r="1169" spans="1:19" s="148" customFormat="1" ht="19.95" customHeight="1">
      <c r="A1169" s="315" t="str">
        <f>RAW_DATA!A877</f>
        <v>AB3</v>
      </c>
      <c r="B1169" s="319">
        <f>RAW_DATA!B877</f>
        <v>1.8255066770478394</v>
      </c>
      <c r="C1169" s="319">
        <f>RAW_DATA!C877</f>
        <v>2.6409507735954615E-2</v>
      </c>
      <c r="D1169" s="867">
        <v>45372</v>
      </c>
      <c r="E1169" s="319">
        <f>P1139</f>
        <v>0.81925692867109912</v>
      </c>
      <c r="F1169" s="319">
        <f>Q1139</f>
        <v>1.1722269140421807E-3</v>
      </c>
      <c r="G1169" s="319">
        <f t="shared" si="361"/>
        <v>0.49539999999999995</v>
      </c>
      <c r="H1169" s="319">
        <f t="shared" si="360"/>
        <v>0.45730000000000004</v>
      </c>
      <c r="I1169" s="319">
        <f t="shared" si="362"/>
        <v>0.8875134101545209</v>
      </c>
      <c r="J1169" s="319">
        <f>I1169*SQRT((F1169/E1169)^2+(u_m3/G1169)^2+(u_m3/H1169)^2)</f>
        <v>1.4733330667953942E-3</v>
      </c>
    </row>
    <row r="1170" spans="1:19" s="148" customFormat="1" ht="19.95" customHeight="1">
      <c r="A1170" s="228"/>
      <c r="B1170" s="543"/>
      <c r="C1170" s="543"/>
      <c r="D1170" s="727"/>
      <c r="E1170" s="543"/>
      <c r="F1170" s="543"/>
    </row>
    <row r="1171" spans="1:19" s="148" customFormat="1" ht="19.95" customHeight="1">
      <c r="A1171" s="228"/>
      <c r="B1171" s="543"/>
      <c r="C1171" s="543"/>
      <c r="D1171" s="727"/>
      <c r="E1171" s="543"/>
      <c r="F1171" s="543"/>
      <c r="G1171" s="588"/>
      <c r="H1171" s="588"/>
      <c r="I1171" s="737" t="s">
        <v>2063</v>
      </c>
      <c r="J1171" s="737"/>
      <c r="K1171" s="737"/>
      <c r="L1171" s="737"/>
      <c r="M1171" s="290" t="s">
        <v>2064</v>
      </c>
      <c r="N1171" s="290"/>
      <c r="O1171" s="290"/>
      <c r="P1171" s="480" t="s">
        <v>2065</v>
      </c>
      <c r="Q1171" s="480" t="s">
        <v>2066</v>
      </c>
      <c r="R1171" s="314" t="s">
        <v>2400</v>
      </c>
      <c r="S1171" s="314" t="s">
        <v>2685</v>
      </c>
    </row>
    <row r="1172" spans="1:19" s="148" customFormat="1" ht="19.95" customHeight="1">
      <c r="A1172" s="587" t="s">
        <v>102</v>
      </c>
      <c r="B1172" s="587" t="s">
        <v>115</v>
      </c>
      <c r="C1172" s="587" t="s">
        <v>2068</v>
      </c>
      <c r="D1172" s="195" t="s">
        <v>2</v>
      </c>
      <c r="E1172" s="587" t="s">
        <v>116</v>
      </c>
      <c r="F1172" s="587" t="s">
        <v>117</v>
      </c>
      <c r="G1172" s="587" t="s">
        <v>1530</v>
      </c>
      <c r="H1172" s="587" t="s">
        <v>2067</v>
      </c>
      <c r="I1172" s="738" t="s">
        <v>1531</v>
      </c>
      <c r="J1172" s="738" t="s">
        <v>2069</v>
      </c>
      <c r="K1172" s="738" t="s">
        <v>2070</v>
      </c>
      <c r="L1172" s="738" t="s">
        <v>2071</v>
      </c>
      <c r="M1172" s="668" t="s">
        <v>1531</v>
      </c>
      <c r="N1172" s="668" t="s">
        <v>2069</v>
      </c>
      <c r="O1172" s="668" t="s">
        <v>2070</v>
      </c>
      <c r="P1172" s="589" t="s">
        <v>2230</v>
      </c>
      <c r="Q1172" s="589" t="s">
        <v>2230</v>
      </c>
      <c r="R1172" s="315" t="s">
        <v>241</v>
      </c>
      <c r="S1172" s="315" t="s">
        <v>2686</v>
      </c>
    </row>
    <row r="1173" spans="1:19" s="148" customFormat="1" ht="19.95" customHeight="1">
      <c r="A1173" s="148" t="str">
        <f>RAW_DATA!A878</f>
        <v>181_A1</v>
      </c>
      <c r="B1173" s="317">
        <f>RAW_DATA!B878</f>
        <v>1.0030285692367686</v>
      </c>
      <c r="C1173" s="317">
        <f>RAW_DATA!C878</f>
        <v>1.45107608159944E-2</v>
      </c>
      <c r="D1173" s="864">
        <v>45372</v>
      </c>
      <c r="E1173" s="317">
        <f>M1151</f>
        <v>0.51460000000000006</v>
      </c>
      <c r="F1173" s="317">
        <f t="shared" ref="F1173:F1179" si="363">N1151</f>
        <v>0.4556</v>
      </c>
      <c r="G1173" s="725">
        <f>F1173/E1173</f>
        <v>0.88534784298484248</v>
      </c>
      <c r="H1173" s="725">
        <f t="shared" ref="H1173:H1179" si="364">G1173*SQRT((u_m3/E1173)^2+(u_m3/F1173)^2)</f>
        <v>7.3409667744328533E-4</v>
      </c>
      <c r="I1173" s="741">
        <f t="array" ref="I1173:J1173">ResultIDMS_GS($I$1165:$I$1169,$B$1165:$B$1169,G1173,H1173,B1173,C1173)</f>
        <v>0.41572330974593114</v>
      </c>
      <c r="J1173" s="741">
        <v>6.3296424050087495E-3</v>
      </c>
      <c r="K1173" s="740">
        <f>J1173/I1173</f>
        <v>1.5225613422728459E-2</v>
      </c>
      <c r="L1173" s="741">
        <f>INDEX(FitIDMS($I$1165:$I$1169,$B$1165:$B$1169),5,2)</f>
        <v>0.99999529156058375</v>
      </c>
      <c r="M1173" s="676">
        <f t="array" ref="M1173:N1173">ResultIDMS_MT($I$1165:$I$1169,$J$1165:$J$1169,$B$1165:$B$1169,$C$1165:$C$1169,G1173,H1173,B1173,C1173,MC)</f>
        <v>0.41571773468372736</v>
      </c>
      <c r="N1173" s="676">
        <v>7.311219930644975E-3</v>
      </c>
      <c r="O1173" s="751">
        <f>N1173/M1173</f>
        <v>1.7586981070719189E-2</v>
      </c>
      <c r="P1173" s="949">
        <f>I1173/M1173</f>
        <v>1.0000134106912903</v>
      </c>
      <c r="Q1173" s="949">
        <f>J1173/N1173</f>
        <v>0.8657436741135438</v>
      </c>
      <c r="R1173" s="598">
        <f>(I1173-AVERAGE($I$1173:$I$1177))/MEDIAN($J$1173:$J$1177)</f>
        <v>-0.82184323464053521</v>
      </c>
      <c r="S1173" s="945">
        <f>B1173/AVERAGE($B$1166,$B$1167,$B$1168)</f>
        <v>1.0211898811088471</v>
      </c>
    </row>
    <row r="1174" spans="1:19" s="148" customFormat="1" ht="19.95" customHeight="1">
      <c r="A1174" s="148" t="str">
        <f>RAW_DATA!A879</f>
        <v>181_A2</v>
      </c>
      <c r="B1174" s="317">
        <f>RAW_DATA!B879</f>
        <v>0.96950344410174671</v>
      </c>
      <c r="C1174" s="317">
        <f>RAW_DATA!C879</f>
        <v>1.4025754618682634E-2</v>
      </c>
      <c r="D1174" s="864">
        <v>45372</v>
      </c>
      <c r="E1174" s="317">
        <f t="shared" ref="E1174:E1179" si="365">M1152</f>
        <v>0.49119999999999997</v>
      </c>
      <c r="F1174" s="317">
        <f t="shared" si="363"/>
        <v>0.45700000000000007</v>
      </c>
      <c r="G1174" s="725">
        <f t="shared" ref="G1174:G1179" si="366">F1174/E1174</f>
        <v>0.93037459283387647</v>
      </c>
      <c r="H1174" s="725">
        <f t="shared" si="364"/>
        <v>7.8649422685530635E-4</v>
      </c>
      <c r="I1174" s="741">
        <f t="array" ref="I1174:J1174">ResultIDMS_GS($I$1165:$I$1169,$B$1165:$B$1169,G1174,H1174,B1174,C1174)</f>
        <v>0.4215673716137075</v>
      </c>
      <c r="J1174" s="741">
        <v>6.412214933373718E-3</v>
      </c>
      <c r="K1174" s="740">
        <f t="shared" ref="K1174:K1179" si="367">J1174/I1174</f>
        <v>1.5210415618335348E-2</v>
      </c>
      <c r="L1174" s="741">
        <f>INDEX(FitIDMS($I$1165:$I$1169,$B$1165:$B$1169),5,2)</f>
        <v>0.99999529156058375</v>
      </c>
      <c r="M1174" s="676">
        <f t="array" ref="M1174:N1174">ResultIDMS_MT($I$1165:$I$1169,$J$1165:$J$1169,$B$1165:$B$1169,$C$1165:$C$1169,G1174,H1174,B1174,C1174,MC)</f>
        <v>0.4219549971860595</v>
      </c>
      <c r="N1174" s="676">
        <v>7.1418458208388803E-3</v>
      </c>
      <c r="O1174" s="751">
        <f t="shared" ref="O1174:O1179" si="368">N1174/M1174</f>
        <v>1.6925610239164224E-2</v>
      </c>
      <c r="P1174" s="949">
        <f t="shared" ref="P1174:P1179" si="369">I1174/M1174</f>
        <v>0.99908135802410925</v>
      </c>
      <c r="Q1174" s="949">
        <f t="shared" ref="Q1174:Q1179" si="370">J1174/N1174</f>
        <v>0.89783721102796643</v>
      </c>
      <c r="R1174" s="598">
        <f t="shared" ref="R1174:R1177" si="371">(I1174-AVERAGE($I$1173:$I$1177))/MEDIAN($J$1173:$J$1177)</f>
        <v>9.0914823238346487E-2</v>
      </c>
      <c r="S1174" s="945">
        <f t="shared" ref="S1174:S1177" si="372">B1174/AVERAGE($B$1166,$B$1167,$B$1168)</f>
        <v>0.98705773412838471</v>
      </c>
    </row>
    <row r="1175" spans="1:19" s="148" customFormat="1" ht="19.95" customHeight="1">
      <c r="A1175" s="148" t="str">
        <f>RAW_DATA!A880</f>
        <v>335_A1</v>
      </c>
      <c r="B1175" s="317">
        <f>RAW_DATA!B880</f>
        <v>1.0057600742211079</v>
      </c>
      <c r="C1175" s="317">
        <f>RAW_DATA!C880</f>
        <v>1.4550277352921762E-2</v>
      </c>
      <c r="D1175" s="864">
        <v>45372</v>
      </c>
      <c r="E1175" s="317">
        <f t="shared" si="365"/>
        <v>0.51179999999999992</v>
      </c>
      <c r="F1175" s="317">
        <f t="shared" si="363"/>
        <v>0.45700000000000007</v>
      </c>
      <c r="G1175" s="725">
        <f t="shared" si="366"/>
        <v>0.89292692457991429</v>
      </c>
      <c r="H1175" s="725">
        <f t="shared" si="364"/>
        <v>7.4089597142982459E-4</v>
      </c>
      <c r="I1175" s="741">
        <f t="array" ref="I1175:J1175">ResultIDMS_GS($I$1165:$I$1169,$B$1165:$B$1169,G1175,H1175,B1175,C1175)</f>
        <v>0.42048021200572588</v>
      </c>
      <c r="J1175" s="741">
        <v>6.4026406749638784E-3</v>
      </c>
      <c r="K1175" s="740">
        <f t="shared" si="367"/>
        <v>1.5226972618813011E-2</v>
      </c>
      <c r="L1175" s="741">
        <f>INDEX(FitIDMS($I$1165:$I$1169,$B$1165:$B$1169),5,2)</f>
        <v>0.99999529156058375</v>
      </c>
      <c r="M1175" s="676">
        <f t="array" ref="M1175:N1175">ResultIDMS_MT($I$1165:$I$1169,$J$1165:$J$1169,$B$1165:$B$1169,$C$1165:$C$1169,G1175,H1175,B1175,C1175,MC)</f>
        <v>0.42055722761548348</v>
      </c>
      <c r="N1175" s="676">
        <v>7.3455820724177834E-3</v>
      </c>
      <c r="O1175" s="751">
        <f t="shared" si="368"/>
        <v>1.7466308007750772E-2</v>
      </c>
      <c r="P1175" s="949">
        <f t="shared" si="369"/>
        <v>0.99981687246181872</v>
      </c>
      <c r="Q1175" s="949">
        <f t="shared" si="370"/>
        <v>0.87163149384790173</v>
      </c>
      <c r="R1175" s="598">
        <f t="shared" si="371"/>
        <v>-7.8883805666866452E-2</v>
      </c>
      <c r="S1175" s="945">
        <f t="shared" si="372"/>
        <v>1.0239708440203303</v>
      </c>
    </row>
    <row r="1176" spans="1:19" s="148" customFormat="1" ht="19.95" customHeight="1">
      <c r="A1176" s="148" t="str">
        <f>RAW_DATA!A881</f>
        <v>335_A2</v>
      </c>
      <c r="B1176" s="317">
        <f>RAW_DATA!B881</f>
        <v>0.99172820417256258</v>
      </c>
      <c r="C1176" s="317">
        <f>RAW_DATA!C881</f>
        <v>1.4347279037300011E-2</v>
      </c>
      <c r="D1176" s="864">
        <v>45372</v>
      </c>
      <c r="E1176" s="317">
        <f t="shared" si="365"/>
        <v>0.49110000000000009</v>
      </c>
      <c r="F1176" s="317">
        <f t="shared" si="363"/>
        <v>0.45809999999999995</v>
      </c>
      <c r="G1176" s="725">
        <f t="shared" si="366"/>
        <v>0.93280390959071446</v>
      </c>
      <c r="H1176" s="725">
        <f t="shared" si="364"/>
        <v>7.8760807594316503E-4</v>
      </c>
      <c r="I1176" s="741">
        <f t="array" ref="I1176:J1176">ResultIDMS_GS($I$1165:$I$1169,$B$1165:$B$1169,G1176,H1176,B1176,C1176)</f>
        <v>0.43283186297311832</v>
      </c>
      <c r="J1176" s="741">
        <v>6.5881252525113393E-3</v>
      </c>
      <c r="K1176" s="740">
        <f t="shared" si="367"/>
        <v>1.5220980283793258E-2</v>
      </c>
      <c r="L1176" s="741">
        <f>INDEX(FitIDMS($I$1165:$I$1169,$B$1165:$B$1169),5,2)</f>
        <v>0.99999529156058375</v>
      </c>
      <c r="M1176" s="676">
        <f t="array" ref="M1176:N1176">ResultIDMS_MT($I$1165:$I$1169,$J$1165:$J$1169,$B$1165:$B$1169,$C$1165:$C$1169,G1176,H1176,B1176,C1176,MC)</f>
        <v>0.43338908786218328</v>
      </c>
      <c r="N1176" s="676">
        <v>7.7241587066794772E-3</v>
      </c>
      <c r="O1176" s="751">
        <f t="shared" si="368"/>
        <v>1.7822688487107784E-2</v>
      </c>
      <c r="P1176" s="949">
        <f t="shared" si="369"/>
        <v>0.99871426183844725</v>
      </c>
      <c r="Q1176" s="949">
        <f t="shared" si="370"/>
        <v>0.85292463589779022</v>
      </c>
      <c r="R1176" s="598">
        <f t="shared" si="371"/>
        <v>1.8502656803711142</v>
      </c>
      <c r="S1176" s="945">
        <f t="shared" si="372"/>
        <v>1.0096849062653248</v>
      </c>
    </row>
    <row r="1177" spans="1:19" s="148" customFormat="1" ht="19.95" customHeight="1">
      <c r="A1177" s="315" t="str">
        <f>RAW_DATA!A882</f>
        <v>027_A2</v>
      </c>
      <c r="B1177" s="319">
        <f>RAW_DATA!B882</f>
        <v>0.95156971987324579</v>
      </c>
      <c r="C1177" s="319">
        <f>RAW_DATA!C882</f>
        <v>1.3766308386739512E-2</v>
      </c>
      <c r="D1177" s="867">
        <v>45372</v>
      </c>
      <c r="E1177" s="319">
        <f t="shared" si="365"/>
        <v>0.49150000000000005</v>
      </c>
      <c r="F1177" s="319">
        <f t="shared" si="363"/>
        <v>0.45829999999999993</v>
      </c>
      <c r="G1177" s="622">
        <f t="shared" si="366"/>
        <v>0.93245167853509636</v>
      </c>
      <c r="H1177" s="622">
        <f t="shared" si="364"/>
        <v>7.8682884424008317E-4</v>
      </c>
      <c r="I1177" s="747">
        <f t="array" ref="I1177:J1177">ResultIDMS_GS($I$1165:$I$1169,$B$1165:$B$1169,G1177,H1177,B1177,C1177)</f>
        <v>0.4143236270039401</v>
      </c>
      <c r="J1177" s="747">
        <v>6.2985107568817953E-3</v>
      </c>
      <c r="K1177" s="746">
        <f t="shared" si="367"/>
        <v>1.520191064754774E-2</v>
      </c>
      <c r="L1177" s="747">
        <f>INDEX(FitIDMS($I$1165:$I$1169,$B$1165:$B$1169),5,2)</f>
        <v>0.99999529156058375</v>
      </c>
      <c r="M1177" s="678">
        <f t="array" ref="M1177:N1177">ResultIDMS_MT($I$1165:$I$1169,$J$1165:$J$1169,$B$1165:$B$1169,$C$1165:$C$1169,G1177,H1177,B1177,C1177,MC)</f>
        <v>0.41491222841784953</v>
      </c>
      <c r="N1177" s="678">
        <v>7.1041470419793288E-3</v>
      </c>
      <c r="O1177" s="679">
        <f t="shared" si="368"/>
        <v>1.7122047882437656E-2</v>
      </c>
      <c r="P1177" s="950">
        <f t="shared" si="369"/>
        <v>0.99858138330568391</v>
      </c>
      <c r="Q1177" s="950">
        <f t="shared" si="370"/>
        <v>0.886596338682614</v>
      </c>
      <c r="R1177" s="599">
        <f t="shared" si="371"/>
        <v>-1.0404534633019984</v>
      </c>
      <c r="S1177" s="950">
        <f t="shared" si="372"/>
        <v>0.96879929336764237</v>
      </c>
    </row>
    <row r="1178" spans="1:19" s="148" customFormat="1" ht="19.95" customHeight="1">
      <c r="A1178" s="868" t="str">
        <f>RAW_DATA!A883</f>
        <v>SALT1_309_1</v>
      </c>
      <c r="B1178" s="543">
        <f>RAW_DATA!B883</f>
        <v>0.93493452521825815</v>
      </c>
      <c r="C1178" s="543">
        <f>RAW_DATA!C883</f>
        <v>1.3525647912881113E-2</v>
      </c>
      <c r="D1178" s="866">
        <v>45372</v>
      </c>
      <c r="E1178" s="543">
        <f t="shared" si="365"/>
        <v>0.50739999999999996</v>
      </c>
      <c r="F1178" s="543">
        <f t="shared" si="363"/>
        <v>0.5925798488400047</v>
      </c>
      <c r="G1178" s="596">
        <f t="shared" si="366"/>
        <v>1.1678751455262215</v>
      </c>
      <c r="H1178" s="596">
        <f t="shared" si="364"/>
        <v>8.5706163115142897E-4</v>
      </c>
      <c r="I1178" s="744">
        <f t="array" ref="I1178:J1178">ResultIDMS_GS($I$1165:$I$1169,$B$1165:$B$1169,G1178,H1178,B1178,C1178)</f>
        <v>0.50943540090750028</v>
      </c>
      <c r="J1178" s="744">
        <v>7.7375758318738719E-3</v>
      </c>
      <c r="K1178" s="743">
        <f t="shared" si="367"/>
        <v>1.518853188861684E-2</v>
      </c>
      <c r="L1178" s="744">
        <f>INDEX(FitIDMS($I$1165:$I$1169,$B$1165:$B$1169),5,2)</f>
        <v>0.99999529156058375</v>
      </c>
      <c r="M1178" s="676">
        <f t="array" ref="M1178:N1178">ResultIDMS_MT($I$1165:$I$1169,$J$1165:$J$1169,$B$1165:$B$1169,$C$1165:$C$1169,G1178,H1178,B1178,C1178,MC)</f>
        <v>0.50989495189625389</v>
      </c>
      <c r="N1178" s="676">
        <v>8.6246975091854843E-3</v>
      </c>
      <c r="O1178" s="677">
        <f t="shared" si="368"/>
        <v>1.6914655611143047E-2</v>
      </c>
      <c r="P1178" s="945">
        <f t="shared" si="369"/>
        <v>0.99909873399011973</v>
      </c>
      <c r="Q1178" s="945">
        <f t="shared" si="370"/>
        <v>0.89714170539119675</v>
      </c>
    </row>
    <row r="1179" spans="1:19" s="148" customFormat="1" ht="19.95" customHeight="1">
      <c r="A1179" s="870" t="str">
        <f>RAW_DATA!A884</f>
        <v>SALT1_309_2</v>
      </c>
      <c r="B1179" s="319">
        <f>RAW_DATA!B884</f>
        <v>0.94190468479891987</v>
      </c>
      <c r="C1179" s="319">
        <f>RAW_DATA!C884</f>
        <v>1.3626484839790638E-2</v>
      </c>
      <c r="D1179" s="867">
        <v>45372</v>
      </c>
      <c r="E1179" s="319">
        <f t="shared" si="365"/>
        <v>0.5091</v>
      </c>
      <c r="F1179" s="319">
        <f t="shared" si="363"/>
        <v>0.5945325504508574</v>
      </c>
      <c r="G1179" s="622">
        <f t="shared" si="366"/>
        <v>1.1678109417616527</v>
      </c>
      <c r="H1179" s="622">
        <f t="shared" si="364"/>
        <v>8.5417261440219182E-4</v>
      </c>
      <c r="I1179" s="747">
        <f t="array" ref="I1179:J1179">ResultIDMS_GS($I$1165:$I$1169,$B$1165:$B$1169,G1179,H1179,B1179,C1179)</f>
        <v>0.51338436127774423</v>
      </c>
      <c r="J1179" s="747">
        <v>7.7991354216166162E-3</v>
      </c>
      <c r="K1179" s="746">
        <f t="shared" si="367"/>
        <v>1.5191610827812563E-2</v>
      </c>
      <c r="L1179" s="747">
        <f>INDEX(FitIDMS($I$1165:$I$1169,$B$1165:$B$1169),5,2)</f>
        <v>0.99999529156058375</v>
      </c>
      <c r="M1179" s="678">
        <f t="array" ref="M1179:N1179">ResultIDMS_MT($I$1165:$I$1169,$J$1165:$J$1169,$B$1165:$B$1169,$C$1165:$C$1169,G1179,H1179,B1179,C1179,MC)</f>
        <v>0.51346099221280139</v>
      </c>
      <c r="N1179" s="678">
        <v>8.9684534145193194E-3</v>
      </c>
      <c r="O1179" s="679">
        <f t="shared" si="368"/>
        <v>1.7466669426764142E-2</v>
      </c>
      <c r="P1179" s="950">
        <f t="shared" si="369"/>
        <v>0.99985075607257545</v>
      </c>
      <c r="Q1179" s="950">
        <f t="shared" si="370"/>
        <v>0.8696187693845121</v>
      </c>
      <c r="R1179" s="315"/>
      <c r="S1179" s="315"/>
    </row>
    <row r="1180" spans="1:19" s="148" customFormat="1" ht="19.95" customHeight="1"/>
    <row r="1181" spans="1:19" s="148" customFormat="1" ht="19.95" customHeight="1">
      <c r="A1181" s="593"/>
      <c r="B1181" s="380" t="s">
        <v>2178</v>
      </c>
      <c r="C1181" s="230"/>
      <c r="D1181" s="380" t="s">
        <v>2184</v>
      </c>
      <c r="E1181" s="230"/>
      <c r="F1181" s="230"/>
      <c r="G1181" s="380" t="s">
        <v>2185</v>
      </c>
      <c r="H1181" s="230"/>
      <c r="I1181" s="230"/>
      <c r="J1181" s="230"/>
      <c r="K1181" s="230"/>
      <c r="L1181" s="233" t="s">
        <v>217</v>
      </c>
    </row>
    <row r="1182" spans="1:19" s="148" customFormat="1" ht="19.95" customHeight="1">
      <c r="A1182" s="587" t="s">
        <v>100</v>
      </c>
      <c r="B1182" s="663" t="s">
        <v>2179</v>
      </c>
      <c r="C1182" s="663" t="s">
        <v>2180</v>
      </c>
      <c r="D1182" s="663" t="s">
        <v>229</v>
      </c>
      <c r="E1182" s="663" t="s">
        <v>1171</v>
      </c>
      <c r="F1182" s="663" t="s">
        <v>1172</v>
      </c>
      <c r="G1182" s="589" t="s">
        <v>2181</v>
      </c>
      <c r="H1182" s="589" t="s">
        <v>2182</v>
      </c>
      <c r="I1182" s="589" t="s">
        <v>2183</v>
      </c>
      <c r="J1182" s="589" t="s">
        <v>2186</v>
      </c>
      <c r="K1182" s="589" t="s">
        <v>2187</v>
      </c>
      <c r="L1182" s="663" t="s">
        <v>2188</v>
      </c>
    </row>
    <row r="1183" spans="1:19" s="148" customFormat="1" ht="19.95" customHeight="1">
      <c r="A1183" s="869" t="str">
        <f>A1178</f>
        <v>SALT1_309_1</v>
      </c>
      <c r="B1183" s="272">
        <f>I237</f>
        <v>0.5195747947674243</v>
      </c>
      <c r="C1183" s="272">
        <f>J237</f>
        <v>8.3041646366587354E-3</v>
      </c>
      <c r="D1183" s="272">
        <f>I1178</f>
        <v>0.50943540090750028</v>
      </c>
      <c r="E1183" s="272">
        <f>J1178</f>
        <v>7.7375758318738719E-3</v>
      </c>
      <c r="F1183" s="590">
        <v>3</v>
      </c>
      <c r="G1183" s="590" t="b">
        <f>IF(ABS(B1183-D1183)&lt;2*SQRT(C1183^2+E1183^2/F1183),TRUE,FALSE)</f>
        <v>1</v>
      </c>
      <c r="H1183" s="590" t="b">
        <f>IF(SQRT(F1183)*(ABS(D1183-B1183)-2*C1183)/E1183&gt;ABS(_xlfn.T.INV(0.05/2,F1183-1)),FALSE,TRUE)</f>
        <v>1</v>
      </c>
      <c r="I1183" s="590" t="b">
        <f>IF(AND((D1183-B1183)^2/MAX(E1183^2/(F1183-1),C1183^2)&lt;_xlfn.T.INV(0.05/2,F1183-1)^2,F1183&gt;2),TRUE,FALSE)</f>
        <v>1</v>
      </c>
      <c r="J1183" s="590" t="b">
        <f>IF(SQRT(F1183)*ABS(D1183-B1183)/(E1183/(1-0.333/F1183))&gt;ABS(_xlfn.T.INV(0.05/2,F1183-1)),FALSE,TRUE)</f>
        <v>1</v>
      </c>
      <c r="K1183" s="590" t="b">
        <f>IF(F1183*(D1183-B1183)^2/(2*C1183)^2&lt;_xlfn.CHISQ.INV(SQRT(0.95),1),IF((F1183-1)*E1183^2/(2*C1183)^2&lt;_xlfn.CHISQ.INV(SQRT(0.95),F1183-1),TRUE,FALSE),FALSE)</f>
        <v>1</v>
      </c>
      <c r="L1183" s="794">
        <f>D1183/B1183</f>
        <v>0.98048520836261377</v>
      </c>
    </row>
    <row r="1184" spans="1:19" s="148" customFormat="1" ht="19.95" customHeight="1">
      <c r="A1184" s="839" t="str">
        <f>A1179</f>
        <v>SALT1_309_2</v>
      </c>
      <c r="B1184" s="143">
        <f>B1183</f>
        <v>0.5195747947674243</v>
      </c>
      <c r="C1184" s="143">
        <f>C1183</f>
        <v>8.3041646366587354E-3</v>
      </c>
      <c r="D1184" s="143">
        <f>I1179</f>
        <v>0.51338436127774423</v>
      </c>
      <c r="E1184" s="143">
        <f>J1179</f>
        <v>7.7991354216166162E-3</v>
      </c>
      <c r="F1184" s="589">
        <v>3</v>
      </c>
      <c r="G1184" s="589" t="b">
        <f>IF(ABS(B1184-D1184)&lt;2*SQRT(C1184^2+E1184^2/F1184),TRUE,FALSE)</f>
        <v>1</v>
      </c>
      <c r="H1184" s="589" t="b">
        <f>IF(SQRT(F1184)*(ABS(D1184-B1184)-2*C1184)/E1184&gt;ABS(_xlfn.T.INV(0.05/2,F1184-1)),FALSE,TRUE)</f>
        <v>1</v>
      </c>
      <c r="I1184" s="589" t="b">
        <f>IF(AND((D1184-B1184)^2/MAX(E1184^2/(F1184-1),C1184^2)&lt;_xlfn.T.INV(0.05/2,F1184-1)^2,F1184&gt;2),TRUE,FALSE)</f>
        <v>1</v>
      </c>
      <c r="J1184" s="589" t="b">
        <f>IF(SQRT(F1184)*ABS(D1184-B1184)/(E1184/(1-0.333/F1184))&gt;ABS(_xlfn.T.INV(0.05/2,F1184-1)),FALSE,TRUE)</f>
        <v>1</v>
      </c>
      <c r="K1184" s="589" t="b">
        <f>IF(F1184*(D1184-B1184)^2/(2*C1184)^2&lt;_xlfn.CHISQ.INV(SQRT(0.95),1),IF((F1184-1)*E1184^2/(2*C1184)^2&lt;_xlfn.CHISQ.INV(SQRT(0.95),F1184-1),TRUE,FALSE),FALSE)</f>
        <v>1</v>
      </c>
      <c r="L1184" s="321">
        <f>D1184/B1184</f>
        <v>0.9880855777608476</v>
      </c>
    </row>
    <row r="1185" spans="1:18" s="148" customFormat="1" ht="19.95" customHeight="1">
      <c r="A1185" s="842"/>
      <c r="B1185" s="197"/>
      <c r="C1185" s="197"/>
      <c r="D1185" s="197"/>
      <c r="E1185" s="197"/>
      <c r="F1185" s="593"/>
      <c r="G1185" s="593"/>
      <c r="H1185" s="593"/>
      <c r="I1185" s="593"/>
      <c r="J1185" s="593"/>
      <c r="K1185" s="593"/>
      <c r="L1185" s="597"/>
    </row>
    <row r="1186" spans="1:18" s="148" customFormat="1" ht="19.95" customHeight="1">
      <c r="A1186" s="523" t="s">
        <v>2730</v>
      </c>
      <c r="B1186" s="197"/>
      <c r="C1186" s="197"/>
      <c r="D1186" s="197"/>
      <c r="E1186" s="197"/>
      <c r="F1186" s="593"/>
      <c r="G1186" s="593"/>
      <c r="H1186" s="593"/>
      <c r="I1186" s="593"/>
      <c r="J1186" s="593"/>
      <c r="K1186" s="593"/>
      <c r="L1186" s="597"/>
    </row>
    <row r="1187" spans="1:18" s="148" customFormat="1" ht="19.95" customHeight="1">
      <c r="A1187" s="523" t="s">
        <v>2731</v>
      </c>
      <c r="B1187" s="197"/>
      <c r="C1187" s="197"/>
      <c r="D1187" s="197"/>
      <c r="E1187" s="197"/>
      <c r="F1187" s="593"/>
      <c r="G1187" s="593"/>
      <c r="H1187" s="593"/>
      <c r="I1187" s="593"/>
      <c r="J1187" s="593"/>
      <c r="K1187" s="593"/>
      <c r="L1187" s="597"/>
    </row>
    <row r="1188" spans="1:18" s="148" customFormat="1" ht="19.95" customHeight="1">
      <c r="D1188" s="723"/>
    </row>
    <row r="1189" spans="1:18" s="149" customFormat="1" ht="19.95" customHeight="1">
      <c r="A1189" s="150" t="s">
        <v>2497</v>
      </c>
      <c r="D1189" s="163"/>
      <c r="I1189" s="871"/>
      <c r="J1189" s="871"/>
    </row>
    <row r="1190" spans="1:18" ht="19.95" customHeight="1">
      <c r="I1190" s="60"/>
      <c r="J1190" s="60"/>
    </row>
    <row r="1191" spans="1:18" s="588" customFormat="1" ht="19.95" customHeight="1">
      <c r="D1191" s="479"/>
      <c r="I1191" s="60"/>
      <c r="J1191" s="60"/>
      <c r="K1191" s="588" t="s">
        <v>2696</v>
      </c>
    </row>
    <row r="1192" spans="1:18" ht="19.95" customHeight="1">
      <c r="A1192" s="592" t="s">
        <v>100</v>
      </c>
      <c r="B1192" s="592" t="s">
        <v>1526</v>
      </c>
      <c r="C1192" s="592" t="s">
        <v>2391</v>
      </c>
      <c r="D1192" s="875" t="s">
        <v>2390</v>
      </c>
      <c r="E1192" s="480" t="s">
        <v>270</v>
      </c>
      <c r="F1192" s="592" t="s">
        <v>2</v>
      </c>
      <c r="H1192" s="592" t="s">
        <v>1526</v>
      </c>
      <c r="I1192" s="592" t="s">
        <v>2391</v>
      </c>
      <c r="J1192" s="204"/>
      <c r="K1192" s="592" t="s">
        <v>1526</v>
      </c>
      <c r="L1192" s="592" t="s">
        <v>2391</v>
      </c>
      <c r="M1192" s="592" t="s">
        <v>2493</v>
      </c>
      <c r="N1192" s="480" t="s">
        <v>449</v>
      </c>
      <c r="O1192" s="480" t="s">
        <v>2243</v>
      </c>
      <c r="P1192" s="480" t="s">
        <v>262</v>
      </c>
      <c r="Q1192" s="875" t="s">
        <v>2390</v>
      </c>
      <c r="R1192" s="592" t="s">
        <v>2</v>
      </c>
    </row>
    <row r="1193" spans="1:18" ht="19.95" customHeight="1">
      <c r="A1193" s="589" t="s">
        <v>96</v>
      </c>
      <c r="B1193" s="589" t="s">
        <v>959</v>
      </c>
      <c r="C1193" s="589" t="s">
        <v>959</v>
      </c>
      <c r="D1193" s="153" t="s">
        <v>96</v>
      </c>
      <c r="E1193" s="589" t="s">
        <v>96</v>
      </c>
      <c r="F1193" s="589" t="s">
        <v>2393</v>
      </c>
      <c r="H1193" s="589" t="s">
        <v>959</v>
      </c>
      <c r="I1193" s="589" t="s">
        <v>959</v>
      </c>
      <c r="K1193" s="589" t="s">
        <v>959</v>
      </c>
      <c r="L1193" s="589" t="s">
        <v>959</v>
      </c>
      <c r="M1193" s="589" t="s">
        <v>74</v>
      </c>
      <c r="N1193" s="589" t="s">
        <v>959</v>
      </c>
      <c r="O1193" s="589" t="s">
        <v>959</v>
      </c>
      <c r="P1193" s="589" t="s">
        <v>74</v>
      </c>
      <c r="Q1193" s="153" t="s">
        <v>96</v>
      </c>
      <c r="R1193" s="589" t="s">
        <v>2393</v>
      </c>
    </row>
    <row r="1194" spans="1:18" ht="19.95" customHeight="1">
      <c r="A1194" s="50" t="str">
        <f t="shared" ref="A1194:A1203" si="373">A593</f>
        <v>001_A1</v>
      </c>
      <c r="B1194" s="154">
        <f t="shared" ref="B1194:B1203" si="374">I593</f>
        <v>7.5950239136550995E-2</v>
      </c>
      <c r="C1194" s="154">
        <f t="shared" ref="C1194:C1203" si="375">J593</f>
        <v>2.359629289882365E-4</v>
      </c>
      <c r="D1194" s="151" t="s">
        <v>2392</v>
      </c>
      <c r="E1194" s="590" t="s">
        <v>2394</v>
      </c>
      <c r="F1194" s="235">
        <f t="shared" ref="F1194:F1203" si="376">D593</f>
        <v>45343.551331018498</v>
      </c>
      <c r="H1194" s="154">
        <f>ROUND(B1194,9)</f>
        <v>7.5950239000000003E-2</v>
      </c>
      <c r="I1194" s="154">
        <f>ROUND(C1194,9)</f>
        <v>2.35963E-4</v>
      </c>
      <c r="J1194" s="154"/>
      <c r="K1194" s="908">
        <v>7.5605610000000004E-2</v>
      </c>
      <c r="L1194" s="908">
        <v>3.1851040000000001E-4</v>
      </c>
      <c r="M1194" s="309">
        <f>L1194/K1194</f>
        <v>4.212787913489488E-3</v>
      </c>
      <c r="N1194" s="154">
        <f>AVERAGE(B1194:B1203)</f>
        <v>7.5604085117941616E-2</v>
      </c>
      <c r="O1194" s="154">
        <f>STDEV(B1194:B1203)</f>
        <v>2.2618334462523314E-4</v>
      </c>
      <c r="P1194" s="204">
        <f>O1194/N1194</f>
        <v>2.9916815245153668E-3</v>
      </c>
      <c r="Q1194" s="919" t="s">
        <v>2507</v>
      </c>
      <c r="R1194" s="570">
        <v>45343</v>
      </c>
    </row>
    <row r="1195" spans="1:18" ht="19.95" customHeight="1">
      <c r="A1195" s="588" t="str">
        <f t="shared" si="373"/>
        <v>078_A1</v>
      </c>
      <c r="B1195" s="154">
        <f t="shared" si="374"/>
        <v>7.5766771493273655E-2</v>
      </c>
      <c r="C1195" s="154">
        <f t="shared" si="375"/>
        <v>2.3546631193763163E-4</v>
      </c>
      <c r="D1195" s="479" t="s">
        <v>2392</v>
      </c>
      <c r="E1195" s="593" t="s">
        <v>2394</v>
      </c>
      <c r="F1195" s="235">
        <f t="shared" si="376"/>
        <v>45343.5609722222</v>
      </c>
      <c r="H1195" s="154">
        <f t="shared" ref="H1195:H1211" si="377">ROUND(B1195,9)</f>
        <v>7.5766770999999997E-2</v>
      </c>
      <c r="I1195" s="154">
        <f t="shared" ref="I1195:I1211" si="378">ROUND(C1195,9)</f>
        <v>2.3546600000000001E-4</v>
      </c>
      <c r="J1195" s="154"/>
      <c r="K1195" s="800">
        <v>7.5646469999999993E-2</v>
      </c>
      <c r="L1195" s="800">
        <v>6.4255330000000002E-4</v>
      </c>
      <c r="M1195" s="198">
        <f t="shared" ref="M1195:M1197" si="379">L1195/K1195</f>
        <v>8.4941610626378221E-3</v>
      </c>
      <c r="N1195" s="157">
        <f>AVERAGE(B1204:B1213)</f>
        <v>7.564771063932238E-2</v>
      </c>
      <c r="O1195" s="157">
        <f>STDEV(B1204:B1213)</f>
        <v>3.4708613824113737E-4</v>
      </c>
      <c r="P1195" s="206">
        <f>O1195/N1195</f>
        <v>4.5881909089885769E-3</v>
      </c>
      <c r="Q1195" s="920" t="s">
        <v>2508</v>
      </c>
      <c r="R1195" s="255">
        <v>45342</v>
      </c>
    </row>
    <row r="1196" spans="1:18" ht="19.95" customHeight="1">
      <c r="A1196" s="588" t="str">
        <f t="shared" si="373"/>
        <v>155_A1</v>
      </c>
      <c r="B1196" s="154">
        <f t="shared" si="374"/>
        <v>7.5281831300685914E-2</v>
      </c>
      <c r="C1196" s="154">
        <f t="shared" si="375"/>
        <v>2.3420885223758377E-4</v>
      </c>
      <c r="D1196" s="479" t="s">
        <v>2392</v>
      </c>
      <c r="E1196" s="593" t="s">
        <v>2394</v>
      </c>
      <c r="F1196" s="235">
        <f t="shared" si="376"/>
        <v>45343.5706712963</v>
      </c>
      <c r="H1196" s="154">
        <f t="shared" si="377"/>
        <v>7.5281830999999994E-2</v>
      </c>
      <c r="I1196" s="154">
        <f t="shared" si="378"/>
        <v>2.3420900000000001E-4</v>
      </c>
      <c r="J1196" s="154"/>
      <c r="K1196" s="800">
        <v>7.5614580000000001E-2</v>
      </c>
      <c r="L1196" s="800">
        <v>4.670877E-4</v>
      </c>
      <c r="M1196" s="198">
        <f t="shared" si="379"/>
        <v>6.1772174096582965E-3</v>
      </c>
      <c r="N1196" s="157">
        <f>AVERAGE(B1214:B1218)</f>
        <v>7.5615419976674397E-2</v>
      </c>
      <c r="O1196" s="157">
        <f>STDEV(B1214:B1218)</f>
        <v>1.1659062119847457E-4</v>
      </c>
      <c r="P1196" s="206">
        <f t="shared" ref="P1196:P1197" si="380">O1196/N1196</f>
        <v>1.5418894880758459E-3</v>
      </c>
      <c r="Q1196" s="921" t="s">
        <v>2509</v>
      </c>
      <c r="R1196" s="255">
        <v>45343</v>
      </c>
    </row>
    <row r="1197" spans="1:18" ht="19.95" customHeight="1">
      <c r="A1197" s="588" t="str">
        <f t="shared" si="373"/>
        <v>232_A1</v>
      </c>
      <c r="B1197" s="154">
        <f t="shared" si="374"/>
        <v>7.5755040069541174E-2</v>
      </c>
      <c r="C1197" s="154">
        <f t="shared" si="375"/>
        <v>2.354449758730145E-4</v>
      </c>
      <c r="D1197" s="479" t="s">
        <v>2392</v>
      </c>
      <c r="E1197" s="593" t="s">
        <v>2394</v>
      </c>
      <c r="F1197" s="235">
        <f t="shared" si="376"/>
        <v>45343.580266203702</v>
      </c>
      <c r="H1197" s="154">
        <f t="shared" si="377"/>
        <v>7.5755039999999996E-2</v>
      </c>
      <c r="I1197" s="154">
        <f t="shared" si="378"/>
        <v>2.3544500000000001E-4</v>
      </c>
      <c r="J1197" s="154"/>
      <c r="K1197" s="801">
        <v>7.5416269999999994E-2</v>
      </c>
      <c r="L1197" s="801">
        <v>2.639405E-4</v>
      </c>
      <c r="M1197" s="201">
        <f t="shared" si="379"/>
        <v>3.4997819436044771E-3</v>
      </c>
      <c r="N1197" s="155">
        <f>AVERAGE(B1219:B1228)</f>
        <v>7.5417002723054433E-2</v>
      </c>
      <c r="O1197" s="155">
        <f>STDEV(B1219:B1228)</f>
        <v>1.2002552418966574E-4</v>
      </c>
      <c r="P1197" s="208">
        <f t="shared" si="380"/>
        <v>1.5914915716078279E-3</v>
      </c>
      <c r="Q1197" s="922" t="s">
        <v>2510</v>
      </c>
      <c r="R1197" s="236">
        <v>45357</v>
      </c>
    </row>
    <row r="1198" spans="1:18" ht="19.95" customHeight="1">
      <c r="A1198" s="588" t="str">
        <f t="shared" si="373"/>
        <v>310_A1</v>
      </c>
      <c r="B1198" s="154">
        <f t="shared" si="374"/>
        <v>7.5664730577434669E-2</v>
      </c>
      <c r="C1198" s="154">
        <f t="shared" si="375"/>
        <v>2.352704339264701E-4</v>
      </c>
      <c r="D1198" s="479" t="s">
        <v>2392</v>
      </c>
      <c r="E1198" s="593" t="s">
        <v>2394</v>
      </c>
      <c r="F1198" s="235">
        <f t="shared" si="376"/>
        <v>45343.589884259301</v>
      </c>
      <c r="H1198" s="154">
        <f t="shared" si="377"/>
        <v>7.5664730999999999E-2</v>
      </c>
      <c r="I1198" s="154">
        <f t="shared" si="378"/>
        <v>2.3526999999999999E-4</v>
      </c>
      <c r="J1198" s="154"/>
      <c r="K1198" s="57" t="s">
        <v>2502</v>
      </c>
      <c r="L1198" s="142"/>
      <c r="M1198" s="142"/>
      <c r="N1198" s="588"/>
      <c r="O1198" s="588"/>
      <c r="P1198" s="588"/>
      <c r="Q1198" s="588"/>
      <c r="R1198" s="588"/>
    </row>
    <row r="1199" spans="1:18" ht="19.95" customHeight="1">
      <c r="A1199" s="588" t="str">
        <f t="shared" si="373"/>
        <v>001_A2</v>
      </c>
      <c r="B1199" s="154">
        <f t="shared" si="374"/>
        <v>7.5393900027546437E-2</v>
      </c>
      <c r="C1199" s="154">
        <f t="shared" si="375"/>
        <v>2.3443323129615523E-4</v>
      </c>
      <c r="D1199" s="479" t="s">
        <v>2392</v>
      </c>
      <c r="E1199" s="593" t="s">
        <v>2394</v>
      </c>
      <c r="F1199" s="235">
        <f t="shared" si="376"/>
        <v>45343.599571759303</v>
      </c>
      <c r="H1199" s="154">
        <f t="shared" si="377"/>
        <v>7.53939E-2</v>
      </c>
      <c r="I1199" s="154">
        <f t="shared" si="378"/>
        <v>2.3443300000000001E-4</v>
      </c>
      <c r="J1199" s="154"/>
      <c r="K1199" s="154"/>
      <c r="M1199" s="876"/>
    </row>
    <row r="1200" spans="1:18" ht="19.95" customHeight="1">
      <c r="A1200" s="588" t="str">
        <f t="shared" si="373"/>
        <v>078_A2</v>
      </c>
      <c r="B1200" s="154">
        <f t="shared" si="374"/>
        <v>7.5491899140296664E-2</v>
      </c>
      <c r="C1200" s="154">
        <f t="shared" si="375"/>
        <v>2.3474920698866148E-4</v>
      </c>
      <c r="D1200" s="479" t="s">
        <v>2392</v>
      </c>
      <c r="E1200" s="593" t="s">
        <v>2394</v>
      </c>
      <c r="F1200" s="235">
        <f t="shared" si="376"/>
        <v>45343.609212962998</v>
      </c>
      <c r="H1200" s="154">
        <f t="shared" si="377"/>
        <v>7.5491899000000001E-2</v>
      </c>
      <c r="I1200" s="154">
        <f t="shared" si="378"/>
        <v>2.34749E-4</v>
      </c>
      <c r="J1200" s="154"/>
      <c r="K1200" s="588" t="s">
        <v>2488</v>
      </c>
      <c r="L1200" s="588"/>
      <c r="M1200" s="588"/>
      <c r="N1200" s="588"/>
      <c r="O1200" s="588"/>
      <c r="P1200" s="588"/>
      <c r="Q1200" s="588"/>
      <c r="R1200" s="588"/>
    </row>
    <row r="1201" spans="1:18" ht="19.95" customHeight="1">
      <c r="A1201" s="588" t="str">
        <f t="shared" si="373"/>
        <v>155_A2</v>
      </c>
      <c r="B1201" s="154">
        <f t="shared" si="374"/>
        <v>7.584974337410362E-2</v>
      </c>
      <c r="C1201" s="154">
        <f t="shared" si="375"/>
        <v>2.3581358859527731E-4</v>
      </c>
      <c r="D1201" s="479" t="s">
        <v>2392</v>
      </c>
      <c r="E1201" s="593" t="s">
        <v>2394</v>
      </c>
      <c r="F1201" s="235">
        <f t="shared" si="376"/>
        <v>45343.618888888901</v>
      </c>
      <c r="H1201" s="154">
        <f t="shared" si="377"/>
        <v>7.5849742999999997E-2</v>
      </c>
      <c r="I1201" s="154">
        <f t="shared" si="378"/>
        <v>2.3581399999999999E-4</v>
      </c>
      <c r="J1201" s="154"/>
      <c r="K1201" s="480" t="s">
        <v>299</v>
      </c>
      <c r="L1201" s="480" t="s">
        <v>300</v>
      </c>
      <c r="M1201" s="480" t="s">
        <v>301</v>
      </c>
      <c r="N1201" s="911" t="s">
        <v>2494</v>
      </c>
      <c r="O1201" s="911" t="s">
        <v>2495</v>
      </c>
      <c r="P1201" s="911" t="s">
        <v>2496</v>
      </c>
      <c r="Q1201" s="592" t="s">
        <v>2697</v>
      </c>
      <c r="R1201" s="592" t="s">
        <v>2698</v>
      </c>
    </row>
    <row r="1202" spans="1:18" ht="19.95" customHeight="1">
      <c r="A1202" s="593" t="str">
        <f t="shared" si="373"/>
        <v>232_A2</v>
      </c>
      <c r="B1202" s="157">
        <f t="shared" si="374"/>
        <v>7.5356619638623085E-2</v>
      </c>
      <c r="C1202" s="157">
        <f t="shared" si="375"/>
        <v>2.34460251478715E-4</v>
      </c>
      <c r="D1202" s="152" t="s">
        <v>2392</v>
      </c>
      <c r="E1202" s="593" t="s">
        <v>2394</v>
      </c>
      <c r="F1202" s="255">
        <f t="shared" si="376"/>
        <v>45343.628472222197</v>
      </c>
      <c r="H1202" s="154">
        <f t="shared" si="377"/>
        <v>7.5356619999999999E-2</v>
      </c>
      <c r="I1202" s="154">
        <f t="shared" si="378"/>
        <v>2.3446E-4</v>
      </c>
      <c r="J1202" s="154"/>
      <c r="K1202" s="589" t="s">
        <v>959</v>
      </c>
      <c r="L1202" s="589" t="s">
        <v>959</v>
      </c>
      <c r="M1202" s="589" t="s">
        <v>959</v>
      </c>
      <c r="N1202" s="589" t="s">
        <v>959</v>
      </c>
      <c r="O1202" s="589" t="s">
        <v>959</v>
      </c>
      <c r="P1202" s="589" t="s">
        <v>74</v>
      </c>
      <c r="Q1202" s="589" t="s">
        <v>74</v>
      </c>
      <c r="R1202" s="589" t="s">
        <v>74</v>
      </c>
    </row>
    <row r="1203" spans="1:18" ht="19.95" customHeight="1">
      <c r="A1203" s="589" t="str">
        <f t="shared" si="373"/>
        <v>310_A2</v>
      </c>
      <c r="B1203" s="155">
        <f t="shared" si="374"/>
        <v>7.5530076421360046E-2</v>
      </c>
      <c r="C1203" s="155">
        <f t="shared" si="375"/>
        <v>2.3491903546575473E-4</v>
      </c>
      <c r="D1203" s="153" t="s">
        <v>2392</v>
      </c>
      <c r="E1203" s="589" t="s">
        <v>2394</v>
      </c>
      <c r="F1203" s="236">
        <f t="shared" si="376"/>
        <v>45343.6381944444</v>
      </c>
      <c r="H1203" s="155">
        <f t="shared" si="377"/>
        <v>7.5530076000000002E-2</v>
      </c>
      <c r="I1203" s="155">
        <f t="shared" si="378"/>
        <v>2.3491899999999999E-4</v>
      </c>
      <c r="J1203" s="154"/>
      <c r="K1203" s="915">
        <v>7.5523030000000005E-2</v>
      </c>
      <c r="L1203" s="915">
        <v>1.789792E-4</v>
      </c>
      <c r="M1203" s="915">
        <v>0</v>
      </c>
      <c r="N1203" s="916">
        <f>K1203</f>
        <v>7.5523030000000005E-2</v>
      </c>
      <c r="O1203" s="916">
        <f>L1203</f>
        <v>1.789792E-4</v>
      </c>
      <c r="P1203" s="946">
        <f>O1203/N1203</f>
        <v>2.3698625439154122E-3</v>
      </c>
      <c r="Q1203" s="684">
        <f>O1203/STDEV(B1194:B1228)</f>
        <v>0.72994550576872774</v>
      </c>
      <c r="R1203" s="208">
        <f>K1203/AVERAGE(B1194:B1228)</f>
        <v>0.99944833108429787</v>
      </c>
    </row>
    <row r="1204" spans="1:18" ht="19.95" customHeight="1">
      <c r="A1204" s="593" t="str">
        <f t="shared" ref="A1204:A1213" si="381">A630</f>
        <v>001a_1</v>
      </c>
      <c r="B1204" s="157">
        <f t="shared" ref="B1204:B1213" si="382">L630</f>
        <v>7.6062554593851417E-2</v>
      </c>
      <c r="C1204" s="157">
        <f t="shared" ref="C1204:C1213" si="383">M630</f>
        <v>5.5288972238945943E-4</v>
      </c>
      <c r="D1204" s="152" t="s">
        <v>2395</v>
      </c>
      <c r="E1204" s="50" t="s">
        <v>2394</v>
      </c>
      <c r="F1204" s="235">
        <v>45342</v>
      </c>
      <c r="H1204" s="154">
        <f t="shared" si="377"/>
        <v>7.6062555000000004E-2</v>
      </c>
      <c r="I1204" s="154">
        <f t="shared" si="378"/>
        <v>5.5289E-4</v>
      </c>
      <c r="J1204" s="154"/>
      <c r="K1204" s="57" t="s">
        <v>2502</v>
      </c>
      <c r="L1204" s="588"/>
      <c r="M1204" s="588"/>
      <c r="N1204" s="588"/>
      <c r="O1204" s="588"/>
      <c r="P1204" s="588"/>
      <c r="Q1204" s="588"/>
      <c r="R1204" s="588"/>
    </row>
    <row r="1205" spans="1:18" ht="19.95" customHeight="1">
      <c r="A1205" s="593" t="str">
        <f t="shared" si="381"/>
        <v>078a_1</v>
      </c>
      <c r="B1205" s="157">
        <f t="shared" si="382"/>
        <v>7.5671891375230185E-2</v>
      </c>
      <c r="C1205" s="157">
        <f t="shared" si="383"/>
        <v>5.5257923610476929E-4</v>
      </c>
      <c r="D1205" s="152" t="s">
        <v>2395</v>
      </c>
      <c r="E1205" s="588" t="s">
        <v>2394</v>
      </c>
      <c r="F1205" s="235">
        <v>45342</v>
      </c>
      <c r="H1205" s="154">
        <f t="shared" si="377"/>
        <v>7.5671891000000005E-2</v>
      </c>
      <c r="I1205" s="154">
        <f t="shared" si="378"/>
        <v>5.5257899999999998E-4</v>
      </c>
      <c r="J1205" s="154"/>
      <c r="K1205" s="57" t="s">
        <v>2703</v>
      </c>
    </row>
    <row r="1206" spans="1:18" ht="19.95" customHeight="1">
      <c r="A1206" s="593" t="str">
        <f t="shared" si="381"/>
        <v>155a_1</v>
      </c>
      <c r="B1206" s="157">
        <f t="shared" si="382"/>
        <v>7.5505792227675783E-2</v>
      </c>
      <c r="C1206" s="157">
        <f t="shared" si="383"/>
        <v>5.5245638900196551E-4</v>
      </c>
      <c r="D1206" s="152" t="s">
        <v>2395</v>
      </c>
      <c r="E1206" s="588" t="s">
        <v>2394</v>
      </c>
      <c r="F1206" s="235">
        <v>45342</v>
      </c>
      <c r="H1206" s="154">
        <f t="shared" si="377"/>
        <v>7.5505792000000002E-2</v>
      </c>
      <c r="I1206" s="154">
        <f t="shared" si="378"/>
        <v>5.52456E-4</v>
      </c>
      <c r="J1206" s="154"/>
      <c r="K1206" s="154"/>
    </row>
    <row r="1207" spans="1:18" ht="19.95" customHeight="1">
      <c r="A1207" s="593" t="str">
        <f t="shared" si="381"/>
        <v>232a_1</v>
      </c>
      <c r="B1207" s="157">
        <f t="shared" si="382"/>
        <v>7.5443717805278754E-2</v>
      </c>
      <c r="C1207" s="157">
        <f t="shared" si="383"/>
        <v>5.5241188327904913E-4</v>
      </c>
      <c r="D1207" s="152" t="s">
        <v>2395</v>
      </c>
      <c r="E1207" s="588" t="s">
        <v>2394</v>
      </c>
      <c r="F1207" s="235">
        <v>45342</v>
      </c>
      <c r="H1207" s="154">
        <f t="shared" si="377"/>
        <v>7.5443718000000007E-2</v>
      </c>
      <c r="I1207" s="154">
        <f t="shared" si="378"/>
        <v>5.5241199999999996E-4</v>
      </c>
      <c r="J1207" s="154"/>
      <c r="M1207" s="154"/>
    </row>
    <row r="1208" spans="1:18" ht="19.95" customHeight="1">
      <c r="A1208" s="593" t="str">
        <f t="shared" si="381"/>
        <v>310a_1</v>
      </c>
      <c r="B1208" s="157">
        <f t="shared" si="382"/>
        <v>7.6249293564359E-2</v>
      </c>
      <c r="C1208" s="157">
        <f t="shared" si="383"/>
        <v>5.5304880850772561E-4</v>
      </c>
      <c r="D1208" s="152" t="s">
        <v>2395</v>
      </c>
      <c r="E1208" s="588" t="s">
        <v>2394</v>
      </c>
      <c r="F1208" s="235">
        <v>45342</v>
      </c>
      <c r="H1208" s="154">
        <f t="shared" si="377"/>
        <v>7.6249293999999995E-2</v>
      </c>
      <c r="I1208" s="154">
        <f t="shared" si="378"/>
        <v>5.5304900000000001E-4</v>
      </c>
      <c r="J1208" s="154"/>
      <c r="K1208" s="154"/>
    </row>
    <row r="1209" spans="1:18" ht="19.95" customHeight="1">
      <c r="A1209" s="593" t="str">
        <f t="shared" si="381"/>
        <v>001a_2</v>
      </c>
      <c r="B1209" s="157">
        <f t="shared" si="382"/>
        <v>7.5382498690341165E-2</v>
      </c>
      <c r="C1209" s="157">
        <f t="shared" si="383"/>
        <v>5.5236873958160171E-4</v>
      </c>
      <c r="D1209" s="152" t="s">
        <v>2395</v>
      </c>
      <c r="E1209" s="588" t="s">
        <v>2394</v>
      </c>
      <c r="F1209" s="235">
        <v>45342</v>
      </c>
      <c r="H1209" s="154">
        <f t="shared" si="377"/>
        <v>7.5382499000000006E-2</v>
      </c>
      <c r="I1209" s="154">
        <f t="shared" si="378"/>
        <v>5.5236900000000004E-4</v>
      </c>
      <c r="J1209" s="154"/>
      <c r="K1209" s="154"/>
    </row>
    <row r="1210" spans="1:18" ht="19.95" customHeight="1">
      <c r="A1210" s="593" t="str">
        <f t="shared" si="381"/>
        <v>078a_2</v>
      </c>
      <c r="B1210" s="157">
        <f t="shared" si="382"/>
        <v>7.603587558905868E-2</v>
      </c>
      <c r="C1210" s="157">
        <f t="shared" si="383"/>
        <v>5.5286755734189959E-4</v>
      </c>
      <c r="D1210" s="152" t="s">
        <v>2395</v>
      </c>
      <c r="E1210" s="588" t="s">
        <v>2394</v>
      </c>
      <c r="F1210" s="235">
        <v>45342</v>
      </c>
      <c r="H1210" s="154">
        <f t="shared" si="377"/>
        <v>7.6035876000000002E-2</v>
      </c>
      <c r="I1210" s="154">
        <f t="shared" si="378"/>
        <v>5.5286799999999998E-4</v>
      </c>
      <c r="J1210" s="154"/>
      <c r="K1210" s="154"/>
    </row>
    <row r="1211" spans="1:18" ht="19.95" customHeight="1">
      <c r="A1211" s="593" t="str">
        <f t="shared" si="381"/>
        <v>155a_2</v>
      </c>
      <c r="B1211" s="157">
        <f t="shared" si="382"/>
        <v>7.5541583025155554E-2</v>
      </c>
      <c r="C1211" s="157">
        <f t="shared" si="383"/>
        <v>5.5248239747103826E-4</v>
      </c>
      <c r="D1211" s="152" t="s">
        <v>2395</v>
      </c>
      <c r="E1211" s="588" t="s">
        <v>2394</v>
      </c>
      <c r="F1211" s="235">
        <v>45342</v>
      </c>
      <c r="H1211" s="154">
        <f t="shared" si="377"/>
        <v>7.5541582999999995E-2</v>
      </c>
      <c r="I1211" s="154">
        <f t="shared" si="378"/>
        <v>5.5248199999999997E-4</v>
      </c>
      <c r="J1211" s="154"/>
      <c r="K1211" s="154"/>
    </row>
    <row r="1212" spans="1:18" ht="19.95" customHeight="1">
      <c r="A1212" s="593" t="str">
        <f t="shared" si="381"/>
        <v>232a_2</v>
      </c>
      <c r="B1212" s="157">
        <f t="shared" si="382"/>
        <v>7.532715531867383E-2</v>
      </c>
      <c r="C1212" s="157">
        <f t="shared" si="383"/>
        <v>5.5233037688318305E-4</v>
      </c>
      <c r="D1212" s="152" t="s">
        <v>2395</v>
      </c>
      <c r="E1212" s="588" t="s">
        <v>2394</v>
      </c>
      <c r="F1212" s="235">
        <v>45342</v>
      </c>
      <c r="H1212" s="154">
        <f>ROUND(B1212,9)</f>
        <v>7.5327155000000007E-2</v>
      </c>
      <c r="I1212" s="154">
        <f>ROUND(C1212,9)</f>
        <v>5.5232999999999997E-4</v>
      </c>
      <c r="J1212" s="154"/>
      <c r="K1212" s="154"/>
    </row>
    <row r="1213" spans="1:18" ht="19.95" customHeight="1">
      <c r="A1213" s="589" t="str">
        <f t="shared" si="381"/>
        <v>310a_2</v>
      </c>
      <c r="B1213" s="155">
        <f t="shared" si="382"/>
        <v>7.5256744203599457E-2</v>
      </c>
      <c r="C1213" s="155">
        <f t="shared" si="383"/>
        <v>5.5228244840590981E-4</v>
      </c>
      <c r="D1213" s="153" t="s">
        <v>2395</v>
      </c>
      <c r="E1213" s="589" t="s">
        <v>2394</v>
      </c>
      <c r="F1213" s="236">
        <v>45342</v>
      </c>
      <c r="H1213" s="155">
        <f t="shared" ref="H1213:H1228" si="384">ROUND(B1213,9)</f>
        <v>7.5256744E-2</v>
      </c>
      <c r="I1213" s="155">
        <f t="shared" ref="I1213:I1228" si="385">ROUND(C1213,9)</f>
        <v>5.5228199999999997E-4</v>
      </c>
      <c r="J1213" s="154"/>
      <c r="K1213" s="154"/>
    </row>
    <row r="1214" spans="1:18" ht="19.95" customHeight="1">
      <c r="A1214" s="593" t="str">
        <f>A746</f>
        <v>001a_1</v>
      </c>
      <c r="B1214" s="157">
        <f t="shared" ref="B1214:C1218" si="386">L746</f>
        <v>7.5664653555261349E-2</v>
      </c>
      <c r="C1214" s="157">
        <f t="shared" si="386"/>
        <v>4.5503501980766555E-4</v>
      </c>
      <c r="D1214" s="152" t="s">
        <v>2395</v>
      </c>
      <c r="E1214" s="588" t="s">
        <v>2394</v>
      </c>
      <c r="F1214" s="235">
        <v>45343</v>
      </c>
      <c r="H1214" s="154">
        <f t="shared" si="384"/>
        <v>7.5664653999999998E-2</v>
      </c>
      <c r="I1214" s="154">
        <f t="shared" si="385"/>
        <v>4.5503500000000001E-4</v>
      </c>
      <c r="J1214" s="154"/>
      <c r="K1214" s="154"/>
    </row>
    <row r="1215" spans="1:18" ht="19.95" customHeight="1">
      <c r="A1215" s="593" t="str">
        <f>A747</f>
        <v>078a_1</v>
      </c>
      <c r="B1215" s="157">
        <f t="shared" si="386"/>
        <v>7.5666000581565973E-2</v>
      </c>
      <c r="C1215" s="157">
        <f t="shared" si="386"/>
        <v>4.5503791505456911E-4</v>
      </c>
      <c r="D1215" s="152" t="s">
        <v>2395</v>
      </c>
      <c r="E1215" s="588" t="s">
        <v>2394</v>
      </c>
      <c r="F1215" s="235">
        <v>45343</v>
      </c>
      <c r="H1215" s="154">
        <f t="shared" si="384"/>
        <v>7.5666000999999997E-2</v>
      </c>
      <c r="I1215" s="154">
        <f t="shared" si="385"/>
        <v>4.55038E-4</v>
      </c>
      <c r="J1215" s="154"/>
      <c r="K1215" s="154"/>
    </row>
    <row r="1216" spans="1:18" ht="19.95" customHeight="1">
      <c r="A1216" s="593" t="str">
        <f>A748</f>
        <v>155a_1</v>
      </c>
      <c r="B1216" s="157">
        <f t="shared" si="386"/>
        <v>7.5697512395968572E-2</v>
      </c>
      <c r="C1216" s="157">
        <f t="shared" si="386"/>
        <v>4.551056957384248E-4</v>
      </c>
      <c r="D1216" s="152" t="s">
        <v>2395</v>
      </c>
      <c r="E1216" s="588" t="s">
        <v>2394</v>
      </c>
      <c r="F1216" s="235">
        <v>45343</v>
      </c>
      <c r="H1216" s="154">
        <f t="shared" si="384"/>
        <v>7.5697511999999995E-2</v>
      </c>
      <c r="I1216" s="154">
        <f t="shared" si="385"/>
        <v>4.5510599999999999E-4</v>
      </c>
      <c r="J1216" s="154"/>
      <c r="K1216" s="154"/>
    </row>
    <row r="1217" spans="1:11" ht="19.95" customHeight="1">
      <c r="A1217" s="593" t="str">
        <f>A749</f>
        <v>232a_1</v>
      </c>
      <c r="B1217" s="157">
        <f t="shared" si="386"/>
        <v>7.5638718540879848E-2</v>
      </c>
      <c r="C1217" s="157">
        <f t="shared" si="386"/>
        <v>4.5497931052342397E-4</v>
      </c>
      <c r="D1217" s="152" t="s">
        <v>2395</v>
      </c>
      <c r="E1217" s="588" t="s">
        <v>2394</v>
      </c>
      <c r="F1217" s="235">
        <v>45343</v>
      </c>
      <c r="H1217" s="154">
        <f t="shared" si="384"/>
        <v>7.5638718999999993E-2</v>
      </c>
      <c r="I1217" s="154">
        <f t="shared" si="385"/>
        <v>4.54979E-4</v>
      </c>
      <c r="J1217" s="154"/>
      <c r="K1217" s="154"/>
    </row>
    <row r="1218" spans="1:11" ht="19.95" customHeight="1">
      <c r="A1218" s="589" t="str">
        <f>A750</f>
        <v>310a_1</v>
      </c>
      <c r="B1218" s="155">
        <f t="shared" si="386"/>
        <v>7.5410214809696313E-2</v>
      </c>
      <c r="C1218" s="155">
        <f t="shared" si="386"/>
        <v>4.544913106009388E-4</v>
      </c>
      <c r="D1218" s="153" t="s">
        <v>2395</v>
      </c>
      <c r="E1218" s="589" t="s">
        <v>2394</v>
      </c>
      <c r="F1218" s="236">
        <v>45343</v>
      </c>
      <c r="H1218" s="155">
        <f t="shared" si="384"/>
        <v>7.5410215000000003E-2</v>
      </c>
      <c r="I1218" s="155">
        <f t="shared" si="385"/>
        <v>4.5449100000000001E-4</v>
      </c>
      <c r="J1218" s="154"/>
      <c r="K1218" s="154"/>
    </row>
    <row r="1219" spans="1:11" ht="19.95" customHeight="1">
      <c r="A1219" s="50" t="str">
        <f t="shared" ref="A1219:A1228" si="387">A1013</f>
        <v>052_A1</v>
      </c>
      <c r="B1219" s="154">
        <f t="shared" ref="B1219:B1228" si="388">I1013</f>
        <v>7.5441163597349301E-2</v>
      </c>
      <c r="C1219" s="154">
        <f t="shared" ref="C1219:C1228" si="389">J1013</f>
        <v>2.3784697567350312E-4</v>
      </c>
      <c r="D1219" s="479" t="s">
        <v>2392</v>
      </c>
      <c r="E1219" s="590" t="s">
        <v>2394</v>
      </c>
      <c r="F1219" s="235">
        <f t="shared" ref="F1219:F1228" si="390">D1013</f>
        <v>45357.537650462997</v>
      </c>
      <c r="H1219" s="154">
        <f t="shared" si="384"/>
        <v>7.5441164000000005E-2</v>
      </c>
      <c r="I1219" s="154">
        <f t="shared" si="385"/>
        <v>2.3784699999999999E-4</v>
      </c>
      <c r="J1219" s="154"/>
      <c r="K1219" s="154"/>
    </row>
    <row r="1220" spans="1:11" ht="19.95" customHeight="1">
      <c r="A1220" s="588" t="str">
        <f t="shared" si="387"/>
        <v>130_A1</v>
      </c>
      <c r="B1220" s="154">
        <f t="shared" si="388"/>
        <v>7.5415866801682122E-2</v>
      </c>
      <c r="C1220" s="154">
        <f t="shared" si="389"/>
        <v>2.3782726743797863E-4</v>
      </c>
      <c r="D1220" s="479" t="s">
        <v>2392</v>
      </c>
      <c r="E1220" s="593" t="s">
        <v>2394</v>
      </c>
      <c r="F1220" s="235">
        <f t="shared" si="390"/>
        <v>45357.547523148103</v>
      </c>
      <c r="H1220" s="154">
        <f t="shared" si="384"/>
        <v>7.5415866999999998E-2</v>
      </c>
      <c r="I1220" s="154">
        <f t="shared" si="385"/>
        <v>2.37827E-4</v>
      </c>
      <c r="J1220" s="154"/>
      <c r="K1220" s="154"/>
    </row>
    <row r="1221" spans="1:11" ht="19.95" customHeight="1">
      <c r="A1221" s="588" t="str">
        <f t="shared" si="387"/>
        <v>207_A1</v>
      </c>
      <c r="B1221" s="154">
        <f t="shared" si="388"/>
        <v>7.5318738871659338E-2</v>
      </c>
      <c r="C1221" s="154">
        <f t="shared" si="389"/>
        <v>2.3757289012048225E-4</v>
      </c>
      <c r="D1221" s="479" t="s">
        <v>2392</v>
      </c>
      <c r="E1221" s="593" t="s">
        <v>2394</v>
      </c>
      <c r="F1221" s="235">
        <f t="shared" si="390"/>
        <v>45357.557372685202</v>
      </c>
      <c r="H1221" s="154">
        <f t="shared" si="384"/>
        <v>7.5318738999999996E-2</v>
      </c>
      <c r="I1221" s="154">
        <f t="shared" si="385"/>
        <v>2.3757300000000001E-4</v>
      </c>
      <c r="J1221" s="154"/>
      <c r="K1221" s="154"/>
    </row>
    <row r="1222" spans="1:11" ht="19.95" customHeight="1">
      <c r="A1222" s="588" t="str">
        <f t="shared" si="387"/>
        <v>284_A1</v>
      </c>
      <c r="B1222" s="154">
        <f t="shared" si="388"/>
        <v>7.5677157124979383E-2</v>
      </c>
      <c r="C1222" s="154">
        <f t="shared" si="389"/>
        <v>2.3865204975590906E-4</v>
      </c>
      <c r="D1222" s="479" t="s">
        <v>2392</v>
      </c>
      <c r="E1222" s="593" t="s">
        <v>2394</v>
      </c>
      <c r="F1222" s="235">
        <f t="shared" si="390"/>
        <v>45357.567233796297</v>
      </c>
      <c r="H1222" s="154">
        <f t="shared" si="384"/>
        <v>7.5677156999999995E-2</v>
      </c>
      <c r="I1222" s="154">
        <f t="shared" si="385"/>
        <v>2.38652E-4</v>
      </c>
      <c r="J1222" s="154"/>
      <c r="K1222" s="154"/>
    </row>
    <row r="1223" spans="1:11" ht="19.95" customHeight="1">
      <c r="A1223" s="588" t="str">
        <f t="shared" si="387"/>
        <v>360_A1</v>
      </c>
      <c r="B1223" s="154">
        <f t="shared" si="388"/>
        <v>7.5316383807303169E-2</v>
      </c>
      <c r="C1223" s="154">
        <f t="shared" si="389"/>
        <v>2.3754248591046384E-4</v>
      </c>
      <c r="D1223" s="479" t="s">
        <v>2392</v>
      </c>
      <c r="E1223" s="593" t="s">
        <v>2394</v>
      </c>
      <c r="F1223" s="235">
        <f t="shared" si="390"/>
        <v>45357.577129629601</v>
      </c>
      <c r="H1223" s="154">
        <f t="shared" si="384"/>
        <v>7.5316384E-2</v>
      </c>
      <c r="I1223" s="154">
        <f t="shared" si="385"/>
        <v>2.3754200000000001E-4</v>
      </c>
      <c r="J1223" s="154"/>
      <c r="K1223" s="154"/>
    </row>
    <row r="1224" spans="1:11" ht="19.95" customHeight="1">
      <c r="A1224" s="588" t="str">
        <f t="shared" si="387"/>
        <v>052_A2</v>
      </c>
      <c r="B1224" s="154">
        <f t="shared" si="388"/>
        <v>7.5485598111188976E-2</v>
      </c>
      <c r="C1224" s="154">
        <f t="shared" si="389"/>
        <v>2.3806046411599239E-4</v>
      </c>
      <c r="D1224" s="479" t="s">
        <v>2392</v>
      </c>
      <c r="E1224" s="593" t="s">
        <v>2394</v>
      </c>
      <c r="F1224" s="235">
        <f t="shared" si="390"/>
        <v>45357.586967592601</v>
      </c>
      <c r="H1224" s="154">
        <f t="shared" si="384"/>
        <v>7.5485598000000001E-2</v>
      </c>
      <c r="I1224" s="154">
        <f t="shared" si="385"/>
        <v>2.3806000000000001E-4</v>
      </c>
      <c r="J1224" s="154"/>
      <c r="K1224" s="154"/>
    </row>
    <row r="1225" spans="1:11" ht="19.95" customHeight="1">
      <c r="A1225" s="588" t="str">
        <f t="shared" si="387"/>
        <v>130_A2</v>
      </c>
      <c r="B1225" s="154">
        <f t="shared" si="388"/>
        <v>7.5486291588742163E-2</v>
      </c>
      <c r="C1225" s="154">
        <f t="shared" si="389"/>
        <v>2.3808976100253107E-4</v>
      </c>
      <c r="D1225" s="479" t="s">
        <v>2392</v>
      </c>
      <c r="E1225" s="593" t="s">
        <v>2394</v>
      </c>
      <c r="F1225" s="235">
        <f t="shared" si="390"/>
        <v>45357.596817129597</v>
      </c>
      <c r="H1225" s="154">
        <f t="shared" si="384"/>
        <v>7.5486291999999997E-2</v>
      </c>
      <c r="I1225" s="154">
        <f t="shared" si="385"/>
        <v>2.3808999999999999E-4</v>
      </c>
      <c r="J1225" s="154"/>
      <c r="K1225" s="154"/>
    </row>
    <row r="1226" spans="1:11" ht="19.95" customHeight="1">
      <c r="A1226" s="588" t="str">
        <f t="shared" si="387"/>
        <v>207_A2</v>
      </c>
      <c r="B1226" s="154">
        <f t="shared" si="388"/>
        <v>7.5317616628369291E-2</v>
      </c>
      <c r="C1226" s="154">
        <f t="shared" si="389"/>
        <v>2.3757016936747422E-4</v>
      </c>
      <c r="D1226" s="479" t="s">
        <v>2392</v>
      </c>
      <c r="E1226" s="593" t="s">
        <v>2394</v>
      </c>
      <c r="F1226" s="235">
        <f t="shared" si="390"/>
        <v>45357.606643518498</v>
      </c>
      <c r="H1226" s="154">
        <f t="shared" si="384"/>
        <v>7.5317617000000003E-2</v>
      </c>
      <c r="I1226" s="154">
        <f t="shared" si="385"/>
        <v>2.3756999999999999E-4</v>
      </c>
      <c r="J1226" s="154"/>
      <c r="K1226" s="154"/>
    </row>
    <row r="1227" spans="1:11" ht="19.95" customHeight="1">
      <c r="A1227" s="588" t="str">
        <f t="shared" si="387"/>
        <v>284_A2</v>
      </c>
      <c r="B1227" s="154">
        <f t="shared" si="388"/>
        <v>7.5269912025839963E-2</v>
      </c>
      <c r="C1227" s="154">
        <f t="shared" si="389"/>
        <v>2.3745824081075896E-4</v>
      </c>
      <c r="D1227" s="479" t="s">
        <v>2392</v>
      </c>
      <c r="E1227" s="593" t="s">
        <v>2394</v>
      </c>
      <c r="F1227" s="235">
        <f t="shared" si="390"/>
        <v>45357.616550925901</v>
      </c>
      <c r="H1227" s="154">
        <f t="shared" si="384"/>
        <v>7.5269911999999994E-2</v>
      </c>
      <c r="I1227" s="154">
        <f t="shared" si="385"/>
        <v>2.3745799999999999E-4</v>
      </c>
      <c r="J1227" s="154"/>
      <c r="K1227" s="154"/>
    </row>
    <row r="1228" spans="1:11" ht="19.95" customHeight="1">
      <c r="A1228" s="589" t="str">
        <f t="shared" si="387"/>
        <v>360_A2</v>
      </c>
      <c r="B1228" s="155">
        <f t="shared" si="388"/>
        <v>7.5441298673430385E-2</v>
      </c>
      <c r="C1228" s="155">
        <f t="shared" si="389"/>
        <v>2.3793471927556075E-4</v>
      </c>
      <c r="D1228" s="153" t="s">
        <v>2392</v>
      </c>
      <c r="E1228" s="589" t="s">
        <v>2394</v>
      </c>
      <c r="F1228" s="236">
        <f t="shared" si="390"/>
        <v>45357.626493055599</v>
      </c>
      <c r="H1228" s="155">
        <f t="shared" si="384"/>
        <v>7.5441299000000003E-2</v>
      </c>
      <c r="I1228" s="155">
        <f t="shared" si="385"/>
        <v>2.3793499999999999E-4</v>
      </c>
      <c r="J1228" s="154"/>
      <c r="K1228" s="154"/>
    </row>
    <row r="1229" spans="1:11" ht="19.95" customHeight="1">
      <c r="A1229" s="593"/>
      <c r="B1229" s="157"/>
      <c r="C1229" s="157"/>
      <c r="D1229" s="152"/>
      <c r="E1229" s="593"/>
      <c r="F1229" s="255"/>
    </row>
    <row r="1230" spans="1:11" s="149" customFormat="1" ht="19.95" customHeight="1">
      <c r="A1230" s="150" t="s">
        <v>2492</v>
      </c>
      <c r="D1230" s="163"/>
      <c r="I1230" s="871"/>
      <c r="J1230" s="871"/>
    </row>
    <row r="1231" spans="1:11" ht="19.95" customHeight="1">
      <c r="A1231" s="593"/>
      <c r="B1231" s="157"/>
      <c r="C1231" s="157"/>
      <c r="D1231" s="152"/>
      <c r="E1231" s="593"/>
      <c r="F1231" s="255"/>
    </row>
    <row r="1232" spans="1:11" s="588" customFormat="1" ht="19.95" customHeight="1">
      <c r="A1232" s="593"/>
      <c r="B1232" s="157"/>
      <c r="C1232" s="157"/>
      <c r="D1232" s="152"/>
      <c r="E1232" s="593"/>
      <c r="F1232" s="255"/>
      <c r="K1232" s="50" t="s">
        <v>2486</v>
      </c>
    </row>
    <row r="1233" spans="1:26" ht="19.95" customHeight="1">
      <c r="A1233" s="592" t="s">
        <v>100</v>
      </c>
      <c r="B1233" s="592" t="s">
        <v>296</v>
      </c>
      <c r="C1233" s="592" t="s">
        <v>2396</v>
      </c>
      <c r="D1233" s="875" t="s">
        <v>2390</v>
      </c>
      <c r="E1233" s="480" t="s">
        <v>270</v>
      </c>
      <c r="F1233" s="592" t="s">
        <v>2</v>
      </c>
      <c r="H1233" s="592" t="s">
        <v>296</v>
      </c>
      <c r="I1233" s="592" t="s">
        <v>2396</v>
      </c>
      <c r="K1233" s="592" t="s">
        <v>296</v>
      </c>
      <c r="L1233" s="592" t="s">
        <v>2396</v>
      </c>
      <c r="M1233" s="592" t="s">
        <v>2487</v>
      </c>
      <c r="N1233" s="480" t="s">
        <v>449</v>
      </c>
      <c r="O1233" s="480" t="s">
        <v>2243</v>
      </c>
      <c r="P1233" s="480" t="s">
        <v>262</v>
      </c>
      <c r="Q1233" s="875" t="s">
        <v>2390</v>
      </c>
      <c r="R1233" s="592" t="s">
        <v>2</v>
      </c>
    </row>
    <row r="1234" spans="1:26" ht="19.95" customHeight="1">
      <c r="A1234" s="589" t="s">
        <v>96</v>
      </c>
      <c r="B1234" s="589" t="s">
        <v>959</v>
      </c>
      <c r="C1234" s="589" t="s">
        <v>959</v>
      </c>
      <c r="D1234" s="153" t="s">
        <v>96</v>
      </c>
      <c r="E1234" s="589" t="s">
        <v>96</v>
      </c>
      <c r="F1234" s="589" t="s">
        <v>2393</v>
      </c>
      <c r="H1234" s="589" t="s">
        <v>959</v>
      </c>
      <c r="I1234" s="589" t="s">
        <v>959</v>
      </c>
      <c r="K1234" s="589" t="s">
        <v>959</v>
      </c>
      <c r="L1234" s="589" t="s">
        <v>959</v>
      </c>
      <c r="M1234" s="589" t="s">
        <v>74</v>
      </c>
      <c r="N1234" s="589" t="s">
        <v>959</v>
      </c>
      <c r="O1234" s="589" t="s">
        <v>959</v>
      </c>
      <c r="P1234" s="589" t="s">
        <v>74</v>
      </c>
      <c r="Q1234" s="153" t="s">
        <v>96</v>
      </c>
      <c r="R1234" s="589" t="s">
        <v>2393</v>
      </c>
    </row>
    <row r="1235" spans="1:26" ht="19.95" customHeight="1">
      <c r="A1235" s="593" t="str">
        <f t="shared" ref="A1235:A1242" si="391">A559</f>
        <v>078_A1</v>
      </c>
      <c r="B1235" s="197">
        <f t="shared" ref="B1235:C1242" si="392">I559</f>
        <v>1.0411622937721909</v>
      </c>
      <c r="C1235" s="197">
        <f t="shared" si="392"/>
        <v>1.7133926560851432E-2</v>
      </c>
      <c r="D1235" s="152" t="s">
        <v>2392</v>
      </c>
      <c r="E1235" s="593" t="s">
        <v>2394</v>
      </c>
      <c r="F1235" s="255">
        <f t="shared" ref="F1235:F1242" si="393">D559</f>
        <v>45342.609548611101</v>
      </c>
      <c r="H1235" s="142">
        <f>ROUND(B1235,8)</f>
        <v>1.0411622899999999</v>
      </c>
      <c r="I1235" s="142">
        <f>ROUND(C1235,8)</f>
        <v>1.7133929999999999E-2</v>
      </c>
      <c r="K1235" s="917">
        <v>1.032092</v>
      </c>
      <c r="L1235" s="917">
        <v>1.7639370000000001E-2</v>
      </c>
      <c r="M1235" s="309">
        <f>L1235/K1235</f>
        <v>1.7090889184297527E-2</v>
      </c>
      <c r="N1235" s="142">
        <f>AVERAGE(B1235:B1242)</f>
        <v>1.0320230730738218</v>
      </c>
      <c r="O1235" s="142">
        <f>STDEV(B1235:B1242)</f>
        <v>4.8088041846011016E-3</v>
      </c>
      <c r="P1235" s="204">
        <f>O1235/N1235</f>
        <v>4.6595897999434773E-3</v>
      </c>
      <c r="Q1235" s="919" t="s">
        <v>2511</v>
      </c>
      <c r="R1235" s="570">
        <v>45342</v>
      </c>
    </row>
    <row r="1236" spans="1:26" ht="19.95" customHeight="1">
      <c r="A1236" s="593" t="str">
        <f t="shared" si="391"/>
        <v>155_A1</v>
      </c>
      <c r="B1236" s="197">
        <f t="shared" si="392"/>
        <v>1.0305076465424214</v>
      </c>
      <c r="C1236" s="197">
        <f t="shared" si="392"/>
        <v>1.6953943678597011E-2</v>
      </c>
      <c r="D1236" s="152" t="s">
        <v>2392</v>
      </c>
      <c r="E1236" s="593" t="s">
        <v>2394</v>
      </c>
      <c r="F1236" s="255">
        <f t="shared" si="393"/>
        <v>45342.616527777798</v>
      </c>
      <c r="H1236" s="142">
        <f t="shared" ref="H1236:H1252" si="394">ROUND(B1236,8)</f>
        <v>1.0305076500000001</v>
      </c>
      <c r="I1236" s="142">
        <f t="shared" ref="I1236:I1252" si="395">ROUND(C1236,8)</f>
        <v>1.6953940000000001E-2</v>
      </c>
      <c r="K1236" s="918">
        <v>1.0519499999999999</v>
      </c>
      <c r="L1236" s="918">
        <v>1.9670859999999998E-2</v>
      </c>
      <c r="M1236" s="201">
        <f>L1236/K1236</f>
        <v>1.8699424877608249E-2</v>
      </c>
      <c r="N1236" s="143">
        <f>AVERAGE(B1243:B1252)</f>
        <v>1.0520436205281829</v>
      </c>
      <c r="O1236" s="143">
        <f>STDEV(B1243:B1252)</f>
        <v>1.2044071725344194E-2</v>
      </c>
      <c r="P1236" s="208">
        <f>O1236/N1236</f>
        <v>1.1448262686386919E-2</v>
      </c>
      <c r="Q1236" s="922" t="s">
        <v>2512</v>
      </c>
      <c r="R1236" s="236">
        <v>45356</v>
      </c>
      <c r="U1236" s="588"/>
    </row>
    <row r="1237" spans="1:26" ht="19.95" customHeight="1">
      <c r="A1237" s="593" t="str">
        <f t="shared" si="391"/>
        <v>232_A1</v>
      </c>
      <c r="B1237" s="197">
        <f t="shared" si="392"/>
        <v>1.0276017031365383</v>
      </c>
      <c r="C1237" s="197">
        <f t="shared" si="392"/>
        <v>1.690855529792051E-2</v>
      </c>
      <c r="D1237" s="152" t="s">
        <v>2392</v>
      </c>
      <c r="E1237" s="593" t="s">
        <v>2394</v>
      </c>
      <c r="F1237" s="255">
        <f t="shared" si="393"/>
        <v>45342.623506944401</v>
      </c>
      <c r="H1237" s="142">
        <f t="shared" si="394"/>
        <v>1.0276017</v>
      </c>
      <c r="I1237" s="142">
        <f t="shared" si="395"/>
        <v>1.690856E-2</v>
      </c>
      <c r="K1237" s="57" t="s">
        <v>2502</v>
      </c>
      <c r="L1237" s="142"/>
      <c r="M1237" s="142"/>
      <c r="U1237" s="588"/>
    </row>
    <row r="1238" spans="1:26" ht="19.95" customHeight="1">
      <c r="A1238" s="593" t="str">
        <f t="shared" si="391"/>
        <v>310_A1</v>
      </c>
      <c r="B1238" s="197">
        <f t="shared" si="392"/>
        <v>1.0295801515721141</v>
      </c>
      <c r="C1238" s="197">
        <f t="shared" si="392"/>
        <v>1.6948753427904313E-2</v>
      </c>
      <c r="D1238" s="152" t="s">
        <v>2392</v>
      </c>
      <c r="E1238" s="593" t="s">
        <v>2394</v>
      </c>
      <c r="F1238" s="255">
        <f t="shared" si="393"/>
        <v>45342.630474537</v>
      </c>
      <c r="H1238" s="142">
        <f t="shared" si="394"/>
        <v>1.0295801499999999</v>
      </c>
      <c r="I1238" s="142">
        <f t="shared" si="395"/>
        <v>1.6948749999999999E-2</v>
      </c>
      <c r="J1238" s="142"/>
      <c r="U1238" s="588"/>
      <c r="W1238" s="142"/>
      <c r="X1238" s="154"/>
    </row>
    <row r="1239" spans="1:26" ht="19.95" customHeight="1">
      <c r="A1239" s="593" t="str">
        <f t="shared" si="391"/>
        <v>001_A2</v>
      </c>
      <c r="B1239" s="197">
        <f t="shared" si="392"/>
        <v>1.0316454731072384</v>
      </c>
      <c r="C1239" s="197">
        <f t="shared" si="392"/>
        <v>1.698651982387139E-2</v>
      </c>
      <c r="D1239" s="152" t="s">
        <v>2392</v>
      </c>
      <c r="E1239" s="593" t="s">
        <v>2394</v>
      </c>
      <c r="F1239" s="255">
        <f t="shared" si="393"/>
        <v>45342.637430555602</v>
      </c>
      <c r="H1239" s="142">
        <f t="shared" si="394"/>
        <v>1.03164547</v>
      </c>
      <c r="I1239" s="142">
        <f t="shared" si="395"/>
        <v>1.6986520000000001E-2</v>
      </c>
      <c r="J1239" s="142"/>
      <c r="K1239" s="50" t="s">
        <v>2488</v>
      </c>
      <c r="U1239" s="588"/>
    </row>
    <row r="1240" spans="1:26" ht="19.95" customHeight="1">
      <c r="A1240" s="593" t="str">
        <f t="shared" si="391"/>
        <v>078_A2</v>
      </c>
      <c r="B1240" s="197">
        <f t="shared" si="392"/>
        <v>1.0271403951072169</v>
      </c>
      <c r="C1240" s="197">
        <f t="shared" si="392"/>
        <v>1.6897431480608453E-2</v>
      </c>
      <c r="D1240" s="152" t="s">
        <v>2392</v>
      </c>
      <c r="E1240" s="593" t="s">
        <v>2394</v>
      </c>
      <c r="F1240" s="255">
        <f t="shared" si="393"/>
        <v>45342.644409722197</v>
      </c>
      <c r="H1240" s="142">
        <f t="shared" si="394"/>
        <v>1.0271404</v>
      </c>
      <c r="I1240" s="142">
        <f t="shared" si="395"/>
        <v>1.6897430000000001E-2</v>
      </c>
      <c r="J1240" s="142"/>
      <c r="K1240" s="480" t="s">
        <v>299</v>
      </c>
      <c r="L1240" s="480" t="s">
        <v>300</v>
      </c>
      <c r="M1240" s="480" t="s">
        <v>301</v>
      </c>
      <c r="N1240" s="911" t="s">
        <v>2489</v>
      </c>
      <c r="O1240" s="911" t="s">
        <v>2490</v>
      </c>
      <c r="P1240" s="911" t="s">
        <v>2491</v>
      </c>
      <c r="Q1240" s="592" t="s">
        <v>2697</v>
      </c>
      <c r="R1240" s="592" t="s">
        <v>2698</v>
      </c>
      <c r="U1240" s="588"/>
    </row>
    <row r="1241" spans="1:26" ht="19.95" customHeight="1">
      <c r="A1241" s="593" t="str">
        <f t="shared" si="391"/>
        <v>155_A2</v>
      </c>
      <c r="B1241" s="197">
        <f t="shared" si="392"/>
        <v>1.0371389727672422</v>
      </c>
      <c r="C1241" s="197">
        <f t="shared" si="392"/>
        <v>1.706427131489914E-2</v>
      </c>
      <c r="D1241" s="152" t="s">
        <v>2392</v>
      </c>
      <c r="E1241" s="593" t="s">
        <v>2394</v>
      </c>
      <c r="F1241" s="255">
        <f t="shared" si="393"/>
        <v>45342.651377314804</v>
      </c>
      <c r="H1241" s="142">
        <f t="shared" si="394"/>
        <v>1.03713897</v>
      </c>
      <c r="I1241" s="142">
        <f t="shared" si="395"/>
        <v>1.7064269999999999E-2</v>
      </c>
      <c r="J1241" s="142"/>
      <c r="K1241" s="589" t="s">
        <v>959</v>
      </c>
      <c r="L1241" s="589" t="s">
        <v>959</v>
      </c>
      <c r="M1241" s="589" t="s">
        <v>959</v>
      </c>
      <c r="N1241" s="589" t="s">
        <v>959</v>
      </c>
      <c r="O1241" s="589" t="s">
        <v>959</v>
      </c>
      <c r="P1241" s="589" t="s">
        <v>74</v>
      </c>
      <c r="Q1241" s="589" t="s">
        <v>74</v>
      </c>
      <c r="R1241" s="589" t="s">
        <v>74</v>
      </c>
      <c r="U1241" s="588"/>
    </row>
    <row r="1242" spans="1:26" ht="19.95" customHeight="1">
      <c r="A1242" s="589" t="str">
        <f t="shared" si="391"/>
        <v>232_A2</v>
      </c>
      <c r="B1242" s="143">
        <f t="shared" si="392"/>
        <v>1.0314079485856109</v>
      </c>
      <c r="C1242" s="143">
        <f t="shared" si="392"/>
        <v>1.6968241616204326E-2</v>
      </c>
      <c r="D1242" s="153" t="s">
        <v>2392</v>
      </c>
      <c r="E1242" s="589" t="s">
        <v>2394</v>
      </c>
      <c r="F1242" s="236">
        <f t="shared" si="393"/>
        <v>45342.658356481501</v>
      </c>
      <c r="H1242" s="143">
        <f t="shared" si="394"/>
        <v>1.03140795</v>
      </c>
      <c r="I1242" s="143">
        <f t="shared" si="395"/>
        <v>1.6968239999999999E-2</v>
      </c>
      <c r="J1242" s="142"/>
      <c r="K1242" s="923">
        <v>1.040943</v>
      </c>
      <c r="L1242" s="923">
        <v>1.3132599999999999E-2</v>
      </c>
      <c r="M1242" s="923">
        <v>0</v>
      </c>
      <c r="N1242" s="914">
        <f>K1242</f>
        <v>1.040943</v>
      </c>
      <c r="O1242" s="914">
        <f>L1242</f>
        <v>1.3132599999999999E-2</v>
      </c>
      <c r="P1242" s="913">
        <f>O1242/N1242</f>
        <v>1.2616060629640624E-2</v>
      </c>
      <c r="Q1242" s="684">
        <f>O1242/STDEV(B1235:B1252)</f>
        <v>0.94997221310822455</v>
      </c>
      <c r="R1242" s="208">
        <f>K1242/AVERAGE(B1235:B1252)</f>
        <v>0.99788850239262494</v>
      </c>
      <c r="U1242" s="588"/>
    </row>
    <row r="1243" spans="1:26" ht="19.95" customHeight="1">
      <c r="A1243" s="593" t="str">
        <f t="shared" ref="A1243:A1252" si="396">A940</f>
        <v>052_A1</v>
      </c>
      <c r="B1243" s="197">
        <f t="shared" ref="B1243:B1252" si="397">I940</f>
        <v>1.0559801201697576</v>
      </c>
      <c r="C1243" s="197">
        <f t="shared" ref="C1243:C1252" si="398">J940</f>
        <v>1.6088772623470408E-2</v>
      </c>
      <c r="D1243" s="479" t="s">
        <v>2392</v>
      </c>
      <c r="E1243" s="593" t="s">
        <v>2394</v>
      </c>
      <c r="F1243" s="255">
        <f t="shared" ref="F1243:F1252" si="399">D940</f>
        <v>45356.5681944444</v>
      </c>
      <c r="H1243" s="142">
        <f t="shared" si="394"/>
        <v>1.0559801200000001</v>
      </c>
      <c r="I1243" s="142">
        <f t="shared" si="395"/>
        <v>1.6088769999999999E-2</v>
      </c>
      <c r="J1243" s="588"/>
      <c r="K1243" s="57" t="s">
        <v>2502</v>
      </c>
      <c r="Z1243" s="204"/>
    </row>
    <row r="1244" spans="1:26" ht="19.95" customHeight="1">
      <c r="A1244" s="593" t="str">
        <f t="shared" si="396"/>
        <v>130_A1</v>
      </c>
      <c r="B1244" s="197">
        <f t="shared" si="397"/>
        <v>1.0434669182574121</v>
      </c>
      <c r="C1244" s="197">
        <f t="shared" si="398"/>
        <v>1.5907652048939694E-2</v>
      </c>
      <c r="D1244" s="152" t="s">
        <v>2392</v>
      </c>
      <c r="E1244" s="593" t="s">
        <v>2394</v>
      </c>
      <c r="F1244" s="255">
        <f t="shared" si="399"/>
        <v>45356.575173611098</v>
      </c>
      <c r="H1244" s="142">
        <f t="shared" si="394"/>
        <v>1.04346692</v>
      </c>
      <c r="I1244" s="142">
        <f t="shared" si="395"/>
        <v>1.5907649999999999E-2</v>
      </c>
      <c r="J1244" s="142"/>
      <c r="K1244" s="57" t="s">
        <v>2703</v>
      </c>
      <c r="Z1244" s="522"/>
    </row>
    <row r="1245" spans="1:26" ht="19.95" customHeight="1">
      <c r="A1245" s="593" t="str">
        <f t="shared" si="396"/>
        <v>207_A1</v>
      </c>
      <c r="B1245" s="197">
        <f t="shared" si="397"/>
        <v>1.0406196714293372</v>
      </c>
      <c r="C1245" s="197">
        <f t="shared" si="398"/>
        <v>1.587085006540517E-2</v>
      </c>
      <c r="D1245" s="152" t="s">
        <v>2392</v>
      </c>
      <c r="E1245" s="593" t="s">
        <v>2394</v>
      </c>
      <c r="F1245" s="255">
        <f t="shared" si="399"/>
        <v>45356.582141203697</v>
      </c>
      <c r="H1245" s="142">
        <f t="shared" si="394"/>
        <v>1.0406196700000001</v>
      </c>
      <c r="I1245" s="142">
        <f t="shared" si="395"/>
        <v>1.5870849999999999E-2</v>
      </c>
      <c r="J1245" s="142"/>
    </row>
    <row r="1246" spans="1:26" ht="19.95" customHeight="1">
      <c r="A1246" s="593" t="str">
        <f t="shared" si="396"/>
        <v>284_A1</v>
      </c>
      <c r="B1246" s="197">
        <f t="shared" si="397"/>
        <v>1.0576497071128457</v>
      </c>
      <c r="C1246" s="197">
        <f t="shared" si="398"/>
        <v>1.6118684846854591E-2</v>
      </c>
      <c r="D1246" s="152" t="s">
        <v>2392</v>
      </c>
      <c r="E1246" s="593" t="s">
        <v>2394</v>
      </c>
      <c r="F1246" s="255">
        <f t="shared" si="399"/>
        <v>45356.589120370401</v>
      </c>
      <c r="H1246" s="142">
        <f t="shared" si="394"/>
        <v>1.05764971</v>
      </c>
      <c r="I1246" s="142">
        <f t="shared" si="395"/>
        <v>1.611868E-2</v>
      </c>
      <c r="J1246" s="142"/>
    </row>
    <row r="1247" spans="1:26" ht="19.95" customHeight="1">
      <c r="A1247" s="593" t="str">
        <f t="shared" si="396"/>
        <v>360_A1</v>
      </c>
      <c r="B1247" s="197">
        <f t="shared" si="397"/>
        <v>1.0435365220333199</v>
      </c>
      <c r="C1247" s="197">
        <f t="shared" si="398"/>
        <v>1.5911032242473998E-2</v>
      </c>
      <c r="D1247" s="152" t="s">
        <v>2392</v>
      </c>
      <c r="E1247" s="593" t="s">
        <v>2394</v>
      </c>
      <c r="F1247" s="255">
        <f t="shared" si="399"/>
        <v>45356.596111111103</v>
      </c>
      <c r="H1247" s="142">
        <f t="shared" si="394"/>
        <v>1.04353652</v>
      </c>
      <c r="I1247" s="142">
        <f t="shared" si="395"/>
        <v>1.591103E-2</v>
      </c>
      <c r="J1247" s="142"/>
    </row>
    <row r="1248" spans="1:26" ht="19.95" customHeight="1">
      <c r="A1248" s="593" t="str">
        <f t="shared" si="396"/>
        <v>052_A2</v>
      </c>
      <c r="B1248" s="197">
        <f t="shared" si="397"/>
        <v>1.066533303372686</v>
      </c>
      <c r="C1248" s="197">
        <f t="shared" si="398"/>
        <v>1.6248697376722052E-2</v>
      </c>
      <c r="D1248" s="152" t="s">
        <v>2392</v>
      </c>
      <c r="E1248" s="593" t="s">
        <v>2394</v>
      </c>
      <c r="F1248" s="255">
        <f t="shared" si="399"/>
        <v>45356.603113425903</v>
      </c>
      <c r="H1248" s="142">
        <f t="shared" si="394"/>
        <v>1.0665332999999999</v>
      </c>
      <c r="I1248" s="142">
        <f t="shared" si="395"/>
        <v>1.6248700000000001E-2</v>
      </c>
      <c r="J1248" s="142"/>
    </row>
    <row r="1249" spans="1:18" ht="19.95" customHeight="1">
      <c r="A1249" s="593" t="str">
        <f t="shared" si="396"/>
        <v>130_A2</v>
      </c>
      <c r="B1249" s="197">
        <f t="shared" si="397"/>
        <v>1.0752364123859341</v>
      </c>
      <c r="C1249" s="197">
        <f t="shared" si="398"/>
        <v>1.6379295588249014E-2</v>
      </c>
      <c r="D1249" s="152" t="s">
        <v>2392</v>
      </c>
      <c r="E1249" s="593" t="s">
        <v>2394</v>
      </c>
      <c r="F1249" s="255">
        <f t="shared" si="399"/>
        <v>45356.610069444403</v>
      </c>
      <c r="H1249" s="142">
        <f t="shared" si="394"/>
        <v>1.07523641</v>
      </c>
      <c r="I1249" s="142">
        <f t="shared" si="395"/>
        <v>1.6379299999999999E-2</v>
      </c>
      <c r="J1249" s="142"/>
    </row>
    <row r="1250" spans="1:18" ht="19.95" customHeight="1">
      <c r="A1250" s="593" t="str">
        <f t="shared" si="396"/>
        <v>207_A2</v>
      </c>
      <c r="B1250" s="197">
        <f t="shared" si="397"/>
        <v>1.0546073633792434</v>
      </c>
      <c r="C1250" s="197">
        <f t="shared" si="398"/>
        <v>1.6073145365915684E-2</v>
      </c>
      <c r="D1250" s="152" t="s">
        <v>2392</v>
      </c>
      <c r="E1250" s="593" t="s">
        <v>2394</v>
      </c>
      <c r="F1250" s="255">
        <f t="shared" si="399"/>
        <v>45356.617037037002</v>
      </c>
      <c r="H1250" s="142">
        <f t="shared" si="394"/>
        <v>1.0546073600000001</v>
      </c>
      <c r="I1250" s="142">
        <f t="shared" si="395"/>
        <v>1.6073150000000001E-2</v>
      </c>
      <c r="J1250" s="142"/>
    </row>
    <row r="1251" spans="1:18" ht="19.95" customHeight="1">
      <c r="A1251" s="593" t="str">
        <f t="shared" si="396"/>
        <v>284_A2</v>
      </c>
      <c r="B1251" s="197">
        <f t="shared" si="397"/>
        <v>1.0422107659308093</v>
      </c>
      <c r="C1251" s="197">
        <f t="shared" si="398"/>
        <v>1.5895455541223378E-2</v>
      </c>
      <c r="D1251" s="152" t="s">
        <v>2392</v>
      </c>
      <c r="E1251" s="593" t="s">
        <v>2394</v>
      </c>
      <c r="F1251" s="255">
        <f t="shared" si="399"/>
        <v>45356.624004629601</v>
      </c>
      <c r="H1251" s="142">
        <f t="shared" si="394"/>
        <v>1.0422107700000001</v>
      </c>
      <c r="I1251" s="142">
        <f t="shared" si="395"/>
        <v>1.589546E-2</v>
      </c>
      <c r="J1251" s="142"/>
    </row>
    <row r="1252" spans="1:18" ht="19.95" customHeight="1">
      <c r="A1252" s="589" t="str">
        <f t="shared" si="396"/>
        <v>360_A2</v>
      </c>
      <c r="B1252" s="143">
        <f t="shared" si="397"/>
        <v>1.0405954212104829</v>
      </c>
      <c r="C1252" s="143">
        <f t="shared" si="398"/>
        <v>1.5869433914598094E-2</v>
      </c>
      <c r="D1252" s="153" t="s">
        <v>2392</v>
      </c>
      <c r="E1252" s="589" t="s">
        <v>2394</v>
      </c>
      <c r="F1252" s="236">
        <f t="shared" si="399"/>
        <v>45356.630960648101</v>
      </c>
      <c r="H1252" s="143">
        <f t="shared" si="394"/>
        <v>1.04059542</v>
      </c>
      <c r="I1252" s="143">
        <f t="shared" si="395"/>
        <v>1.586943E-2</v>
      </c>
      <c r="J1252" s="142"/>
    </row>
    <row r="1253" spans="1:18" ht="19.95" customHeight="1">
      <c r="A1253" s="593"/>
      <c r="B1253" s="197"/>
      <c r="C1253" s="197"/>
      <c r="D1253" s="479"/>
      <c r="E1253" s="593"/>
      <c r="F1253" s="255"/>
    </row>
    <row r="1254" spans="1:18" s="588" customFormat="1" ht="19.95" customHeight="1">
      <c r="A1254" s="593"/>
      <c r="B1254" s="197"/>
      <c r="C1254" s="197"/>
      <c r="D1254" s="479"/>
      <c r="E1254" s="593"/>
      <c r="F1254" s="255"/>
    </row>
    <row r="1255" spans="1:18" s="149" customFormat="1" ht="19.95" customHeight="1">
      <c r="A1255" s="150" t="s">
        <v>2515</v>
      </c>
      <c r="D1255" s="163"/>
      <c r="I1255" s="871"/>
      <c r="J1255" s="871"/>
    </row>
    <row r="1256" spans="1:18" ht="19.95" customHeight="1">
      <c r="F1256" s="142"/>
    </row>
    <row r="1257" spans="1:18" s="588" customFormat="1" ht="19.95" customHeight="1">
      <c r="D1257" s="479"/>
      <c r="F1257" s="142"/>
      <c r="K1257" s="588" t="s">
        <v>2486</v>
      </c>
    </row>
    <row r="1258" spans="1:18" ht="19.95" customHeight="1">
      <c r="A1258" s="592" t="s">
        <v>100</v>
      </c>
      <c r="B1258" s="592" t="s">
        <v>2397</v>
      </c>
      <c r="C1258" s="592" t="s">
        <v>2398</v>
      </c>
      <c r="D1258" s="875" t="s">
        <v>2390</v>
      </c>
      <c r="E1258" s="480" t="s">
        <v>270</v>
      </c>
      <c r="F1258" s="592" t="s">
        <v>2</v>
      </c>
      <c r="H1258" s="592" t="s">
        <v>2397</v>
      </c>
      <c r="I1258" s="592" t="s">
        <v>2398</v>
      </c>
      <c r="K1258" s="592" t="s">
        <v>2397</v>
      </c>
      <c r="L1258" s="592" t="s">
        <v>2398</v>
      </c>
      <c r="M1258" s="592" t="s">
        <v>2498</v>
      </c>
      <c r="N1258" s="480" t="s">
        <v>449</v>
      </c>
      <c r="O1258" s="480" t="s">
        <v>2243</v>
      </c>
      <c r="P1258" s="480" t="s">
        <v>262</v>
      </c>
      <c r="Q1258" s="875" t="s">
        <v>2390</v>
      </c>
      <c r="R1258" s="592" t="s">
        <v>2</v>
      </c>
    </row>
    <row r="1259" spans="1:18" ht="19.95" customHeight="1">
      <c r="A1259" s="589" t="s">
        <v>96</v>
      </c>
      <c r="B1259" s="589" t="s">
        <v>959</v>
      </c>
      <c r="C1259" s="589" t="s">
        <v>959</v>
      </c>
      <c r="D1259" s="153" t="s">
        <v>96</v>
      </c>
      <c r="E1259" s="589" t="s">
        <v>96</v>
      </c>
      <c r="F1259" s="589" t="s">
        <v>2393</v>
      </c>
      <c r="H1259" s="589" t="s">
        <v>959</v>
      </c>
      <c r="I1259" s="589" t="s">
        <v>959</v>
      </c>
      <c r="K1259" s="589" t="s">
        <v>959</v>
      </c>
      <c r="L1259" s="589" t="s">
        <v>959</v>
      </c>
      <c r="M1259" s="589" t="s">
        <v>74</v>
      </c>
      <c r="N1259" s="589" t="s">
        <v>959</v>
      </c>
      <c r="O1259" s="589" t="s">
        <v>959</v>
      </c>
      <c r="P1259" s="589" t="s">
        <v>74</v>
      </c>
      <c r="Q1259" s="153" t="s">
        <v>96</v>
      </c>
      <c r="R1259" s="589" t="s">
        <v>2393</v>
      </c>
    </row>
    <row r="1260" spans="1:18" ht="19.95" customHeight="1">
      <c r="A1260" s="50" t="str">
        <f t="shared" ref="A1260:A1269" si="400">A668</f>
        <v>001a_1</v>
      </c>
      <c r="B1260" s="60">
        <f t="shared" ref="B1260:B1269" si="401">L668</f>
        <v>0.26245080366607798</v>
      </c>
      <c r="C1260" s="60">
        <f t="shared" ref="C1260:C1269" si="402">M668</f>
        <v>1.1007615008023102E-3</v>
      </c>
      <c r="D1260" s="152" t="s">
        <v>2395</v>
      </c>
      <c r="E1260" s="588" t="s">
        <v>2394</v>
      </c>
      <c r="F1260" s="235">
        <v>45342</v>
      </c>
      <c r="H1260" s="60">
        <f>ROUND(B1260,8)</f>
        <v>0.26245079999999998</v>
      </c>
      <c r="I1260" s="60">
        <f>ROUND(C1260,8)</f>
        <v>1.1007600000000001E-3</v>
      </c>
      <c r="K1260" s="909">
        <v>0.26318180000000002</v>
      </c>
      <c r="L1260" s="909">
        <v>1.4694790000000001E-3</v>
      </c>
      <c r="M1260" s="309">
        <f>L1260/K1260</f>
        <v>5.5835129936796539E-3</v>
      </c>
      <c r="N1260" s="60">
        <f>AVERAGE(B1260:B1269)</f>
        <v>0.26317091281859978</v>
      </c>
      <c r="O1260" s="60">
        <f>STDEV(B1260:B1269)</f>
        <v>1.0250964554994724E-3</v>
      </c>
      <c r="P1260" s="204">
        <f>O1260/N1260</f>
        <v>3.8951738416701767E-3</v>
      </c>
      <c r="Q1260" s="919" t="s">
        <v>2513</v>
      </c>
      <c r="R1260" s="570">
        <v>45342</v>
      </c>
    </row>
    <row r="1261" spans="1:18" ht="19.95" customHeight="1">
      <c r="A1261" s="588" t="str">
        <f t="shared" si="400"/>
        <v>078a_1</v>
      </c>
      <c r="B1261" s="60">
        <f t="shared" si="401"/>
        <v>0.26410011573302911</v>
      </c>
      <c r="C1261" s="60">
        <f t="shared" si="402"/>
        <v>1.1063559490000977E-3</v>
      </c>
      <c r="D1261" s="152" t="s">
        <v>2395</v>
      </c>
      <c r="E1261" s="588" t="s">
        <v>2394</v>
      </c>
      <c r="F1261" s="235">
        <v>45342</v>
      </c>
      <c r="H1261" s="60">
        <f t="shared" ref="H1261:H1279" si="403">ROUND(B1261,8)</f>
        <v>0.26410011999999999</v>
      </c>
      <c r="I1261" s="60">
        <f t="shared" ref="I1261:I1279" si="404">ROUND(C1261,8)</f>
        <v>1.10636E-3</v>
      </c>
      <c r="K1261" s="790">
        <v>0.26396209999999998</v>
      </c>
      <c r="L1261" s="790">
        <v>1.082682E-3</v>
      </c>
      <c r="M1261" s="201">
        <f>L1261/K1261</f>
        <v>4.1016570181855658E-3</v>
      </c>
      <c r="N1261" s="81">
        <f>AVERAGE(B1270:B1279)</f>
        <v>0.26395986716934855</v>
      </c>
      <c r="O1261" s="81">
        <f>STDEV(B1270:B1279)</f>
        <v>7.6644174157134391E-4</v>
      </c>
      <c r="P1261" s="208">
        <f>O1261/N1261</f>
        <v>2.9036298199059873E-3</v>
      </c>
      <c r="Q1261" s="922" t="s">
        <v>2514</v>
      </c>
      <c r="R1261" s="236">
        <v>45356</v>
      </c>
    </row>
    <row r="1262" spans="1:18" ht="19.95" customHeight="1">
      <c r="A1262" s="588" t="str">
        <f t="shared" si="400"/>
        <v>155a_1</v>
      </c>
      <c r="B1262" s="60">
        <f t="shared" si="401"/>
        <v>0.26339724330548869</v>
      </c>
      <c r="C1262" s="60">
        <f t="shared" si="402"/>
        <v>1.1039681025055686E-3</v>
      </c>
      <c r="D1262" s="152" t="s">
        <v>2395</v>
      </c>
      <c r="E1262" s="588" t="s">
        <v>2394</v>
      </c>
      <c r="F1262" s="235">
        <v>45342</v>
      </c>
      <c r="H1262" s="60">
        <f t="shared" si="403"/>
        <v>0.26339723999999998</v>
      </c>
      <c r="I1262" s="60">
        <f t="shared" si="404"/>
        <v>1.1039699999999999E-3</v>
      </c>
      <c r="K1262" s="57" t="s">
        <v>2502</v>
      </c>
      <c r="L1262" s="142"/>
      <c r="M1262" s="142"/>
      <c r="N1262" s="588"/>
      <c r="O1262" s="588"/>
      <c r="P1262" s="588"/>
      <c r="Q1262" s="588"/>
      <c r="R1262" s="588"/>
    </row>
    <row r="1263" spans="1:18" ht="19.95" customHeight="1">
      <c r="A1263" s="588" t="str">
        <f t="shared" si="400"/>
        <v>232a_1</v>
      </c>
      <c r="B1263" s="60">
        <f t="shared" si="401"/>
        <v>0.26305323999000774</v>
      </c>
      <c r="C1263" s="60">
        <f t="shared" si="402"/>
        <v>1.1028014361036537E-3</v>
      </c>
      <c r="D1263" s="152" t="s">
        <v>2395</v>
      </c>
      <c r="E1263" s="588" t="s">
        <v>2394</v>
      </c>
      <c r="F1263" s="235">
        <v>45342</v>
      </c>
      <c r="H1263" s="60">
        <f t="shared" si="403"/>
        <v>0.26305324000000002</v>
      </c>
      <c r="I1263" s="60">
        <f t="shared" si="404"/>
        <v>1.1027999999999999E-3</v>
      </c>
    </row>
    <row r="1264" spans="1:18" ht="19.95" customHeight="1">
      <c r="A1264" s="588" t="str">
        <f t="shared" si="400"/>
        <v>310a_1</v>
      </c>
      <c r="B1264" s="60">
        <f t="shared" si="401"/>
        <v>0.26435920554057857</v>
      </c>
      <c r="C1264" s="60">
        <f t="shared" si="402"/>
        <v>1.1072375289365663E-3</v>
      </c>
      <c r="D1264" s="152" t="s">
        <v>2395</v>
      </c>
      <c r="E1264" s="588" t="s">
        <v>2394</v>
      </c>
      <c r="F1264" s="235">
        <v>45342</v>
      </c>
      <c r="H1264" s="60">
        <f t="shared" si="403"/>
        <v>0.26435921000000001</v>
      </c>
      <c r="I1264" s="60">
        <f t="shared" si="404"/>
        <v>1.10724E-3</v>
      </c>
      <c r="K1264" s="588" t="s">
        <v>2488</v>
      </c>
      <c r="L1264" s="588"/>
      <c r="M1264" s="588"/>
      <c r="N1264" s="588"/>
      <c r="O1264" s="588"/>
      <c r="P1264" s="588"/>
      <c r="Q1264" s="588"/>
      <c r="R1264" s="588"/>
    </row>
    <row r="1265" spans="1:18" ht="19.95" customHeight="1">
      <c r="A1265" s="588" t="str">
        <f t="shared" si="400"/>
        <v>001a_2</v>
      </c>
      <c r="B1265" s="60">
        <f t="shared" si="401"/>
        <v>0.26321077282289296</v>
      </c>
      <c r="C1265" s="60">
        <f t="shared" si="402"/>
        <v>1.1033355351452263E-3</v>
      </c>
      <c r="D1265" s="152" t="s">
        <v>2395</v>
      </c>
      <c r="E1265" s="588" t="s">
        <v>2394</v>
      </c>
      <c r="F1265" s="235">
        <v>45342</v>
      </c>
      <c r="H1265" s="60">
        <f t="shared" si="403"/>
        <v>0.26321076999999998</v>
      </c>
      <c r="I1265" s="60">
        <f t="shared" si="404"/>
        <v>1.10334E-3</v>
      </c>
      <c r="K1265" s="480" t="s">
        <v>299</v>
      </c>
      <c r="L1265" s="480" t="s">
        <v>300</v>
      </c>
      <c r="M1265" s="480" t="s">
        <v>301</v>
      </c>
      <c r="N1265" s="911" t="s">
        <v>2499</v>
      </c>
      <c r="O1265" s="911" t="s">
        <v>2500</v>
      </c>
      <c r="P1265" s="911" t="s">
        <v>2501</v>
      </c>
      <c r="Q1265" s="592" t="s">
        <v>2697</v>
      </c>
      <c r="R1265" s="592" t="s">
        <v>2698</v>
      </c>
    </row>
    <row r="1266" spans="1:18" ht="19.95" customHeight="1">
      <c r="A1266" s="588" t="str">
        <f t="shared" si="400"/>
        <v>078a_2</v>
      </c>
      <c r="B1266" s="60">
        <f t="shared" si="401"/>
        <v>0.26397352429928655</v>
      </c>
      <c r="C1266" s="60">
        <f t="shared" si="402"/>
        <v>1.1059254788156573E-3</v>
      </c>
      <c r="D1266" s="152" t="s">
        <v>2395</v>
      </c>
      <c r="E1266" s="588" t="s">
        <v>2394</v>
      </c>
      <c r="F1266" s="235">
        <v>45342</v>
      </c>
      <c r="H1266" s="60">
        <f t="shared" si="403"/>
        <v>0.26397352000000002</v>
      </c>
      <c r="I1266" s="60">
        <f t="shared" si="404"/>
        <v>1.10593E-3</v>
      </c>
      <c r="K1266" s="589" t="s">
        <v>959</v>
      </c>
      <c r="L1266" s="589" t="s">
        <v>959</v>
      </c>
      <c r="M1266" s="589" t="s">
        <v>959</v>
      </c>
      <c r="N1266" s="589" t="s">
        <v>959</v>
      </c>
      <c r="O1266" s="589" t="s">
        <v>959</v>
      </c>
      <c r="P1266" s="589" t="s">
        <v>74</v>
      </c>
      <c r="Q1266" s="589" t="s">
        <v>74</v>
      </c>
      <c r="R1266" s="589" t="s">
        <v>74</v>
      </c>
    </row>
    <row r="1267" spans="1:18" ht="19.95" customHeight="1">
      <c r="A1267" s="588" t="str">
        <f t="shared" si="400"/>
        <v>155a_2</v>
      </c>
      <c r="B1267" s="60">
        <f t="shared" si="401"/>
        <v>0.26331863899079461</v>
      </c>
      <c r="C1267" s="60">
        <f t="shared" si="402"/>
        <v>1.1037014042931872E-3</v>
      </c>
      <c r="D1267" s="152" t="s">
        <v>2395</v>
      </c>
      <c r="E1267" s="588" t="s">
        <v>2394</v>
      </c>
      <c r="F1267" s="235">
        <v>45342</v>
      </c>
      <c r="H1267" s="60">
        <f t="shared" si="403"/>
        <v>0.26331863999999999</v>
      </c>
      <c r="I1267" s="60">
        <f t="shared" si="404"/>
        <v>1.1037E-3</v>
      </c>
      <c r="K1267" s="915">
        <v>0.26368760000000002</v>
      </c>
      <c r="L1267" s="915">
        <v>8.7164549999999995E-4</v>
      </c>
      <c r="M1267" s="915">
        <v>0</v>
      </c>
      <c r="N1267" s="916">
        <f>K1267</f>
        <v>0.26368760000000002</v>
      </c>
      <c r="O1267" s="916">
        <f>L1267</f>
        <v>8.7164549999999995E-4</v>
      </c>
      <c r="P1267" s="913">
        <f>O1267/N1267</f>
        <v>3.3055991256319972E-3</v>
      </c>
      <c r="Q1267" s="684">
        <f>O1267/STDEV(B1260:B1279)</f>
        <v>0.89912063358797589</v>
      </c>
      <c r="R1267" s="208">
        <f>K1267/AVERAGE(B1260:B1279)</f>
        <v>1.00046368002274</v>
      </c>
    </row>
    <row r="1268" spans="1:18" ht="19.95" customHeight="1">
      <c r="A1268" s="588" t="str">
        <f t="shared" si="400"/>
        <v>232a_2</v>
      </c>
      <c r="B1268" s="60">
        <f t="shared" si="401"/>
        <v>0.26310919591244963</v>
      </c>
      <c r="C1268" s="60">
        <f t="shared" si="402"/>
        <v>1.1029911172016438E-3</v>
      </c>
      <c r="D1268" s="152" t="s">
        <v>2395</v>
      </c>
      <c r="E1268" s="588" t="s">
        <v>2394</v>
      </c>
      <c r="F1268" s="235">
        <v>45342</v>
      </c>
      <c r="H1268" s="60">
        <f t="shared" si="403"/>
        <v>0.26310919999999999</v>
      </c>
      <c r="I1268" s="60">
        <f t="shared" si="404"/>
        <v>1.1029900000000001E-3</v>
      </c>
      <c r="K1268" s="57" t="s">
        <v>2502</v>
      </c>
      <c r="L1268" s="588"/>
      <c r="M1268" s="588"/>
      <c r="N1268" s="588"/>
      <c r="O1268" s="588"/>
      <c r="P1268" s="588"/>
      <c r="Q1268" s="588"/>
      <c r="R1268" s="588"/>
    </row>
    <row r="1269" spans="1:18" ht="19.95" customHeight="1">
      <c r="A1269" s="589" t="str">
        <f t="shared" si="400"/>
        <v>310a_2</v>
      </c>
      <c r="B1269" s="81">
        <f t="shared" si="401"/>
        <v>0.26073638792539205</v>
      </c>
      <c r="C1269" s="81">
        <f t="shared" si="402"/>
        <v>1.0949786571553043E-3</v>
      </c>
      <c r="D1269" s="153" t="s">
        <v>2395</v>
      </c>
      <c r="E1269" s="589" t="s">
        <v>2394</v>
      </c>
      <c r="F1269" s="236">
        <v>45342</v>
      </c>
      <c r="H1269" s="81">
        <f t="shared" si="403"/>
        <v>0.26073638999999998</v>
      </c>
      <c r="I1269" s="81">
        <f t="shared" si="404"/>
        <v>1.09498E-3</v>
      </c>
      <c r="K1269" s="57" t="s">
        <v>2703</v>
      </c>
    </row>
    <row r="1270" spans="1:18" ht="19.95" customHeight="1">
      <c r="A1270" s="588" t="str">
        <f t="shared" ref="A1270:A1279" si="405">A979</f>
        <v>052a_1</v>
      </c>
      <c r="B1270" s="60">
        <f t="shared" ref="B1270:B1279" si="406">L979</f>
        <v>0.26334707782292727</v>
      </c>
      <c r="C1270" s="60">
        <f t="shared" ref="C1270:C1279" si="407">M979</f>
        <v>8.008175776665692E-4</v>
      </c>
      <c r="D1270" s="152" t="s">
        <v>2395</v>
      </c>
      <c r="E1270" s="588" t="s">
        <v>2394</v>
      </c>
      <c r="F1270" s="235">
        <v>45356.5681944444</v>
      </c>
      <c r="H1270" s="60">
        <f t="shared" si="403"/>
        <v>0.26334708000000001</v>
      </c>
      <c r="I1270" s="60">
        <f t="shared" si="404"/>
        <v>8.0082000000000005E-4</v>
      </c>
    </row>
    <row r="1271" spans="1:18" ht="19.95" customHeight="1">
      <c r="A1271" s="588" t="str">
        <f t="shared" si="405"/>
        <v>130a_1</v>
      </c>
      <c r="B1271" s="60">
        <f t="shared" si="406"/>
        <v>0.26474846634887489</v>
      </c>
      <c r="C1271" s="60">
        <f t="shared" si="407"/>
        <v>8.0453993609488753E-4</v>
      </c>
      <c r="D1271" s="152" t="s">
        <v>2395</v>
      </c>
      <c r="E1271" s="588" t="s">
        <v>2394</v>
      </c>
      <c r="F1271" s="235">
        <v>45356.5681944444</v>
      </c>
      <c r="H1271" s="60">
        <f t="shared" si="403"/>
        <v>0.26474847000000001</v>
      </c>
      <c r="I1271" s="60">
        <f t="shared" si="404"/>
        <v>8.0453999999999996E-4</v>
      </c>
    </row>
    <row r="1272" spans="1:18" ht="19.95" customHeight="1">
      <c r="A1272" s="588" t="str">
        <f t="shared" si="405"/>
        <v>207a_1</v>
      </c>
      <c r="B1272" s="60">
        <f t="shared" si="406"/>
        <v>0.26370008660861766</v>
      </c>
      <c r="C1272" s="60">
        <f t="shared" si="407"/>
        <v>8.017542727842751E-4</v>
      </c>
      <c r="D1272" s="152" t="s">
        <v>2395</v>
      </c>
      <c r="E1272" s="588" t="s">
        <v>2394</v>
      </c>
      <c r="F1272" s="235">
        <v>45356.5681944444</v>
      </c>
      <c r="H1272" s="60">
        <f t="shared" si="403"/>
        <v>0.26370009</v>
      </c>
      <c r="I1272" s="60">
        <f t="shared" si="404"/>
        <v>8.0175000000000005E-4</v>
      </c>
    </row>
    <row r="1273" spans="1:18" ht="19.95" customHeight="1">
      <c r="A1273" s="588" t="str">
        <f t="shared" si="405"/>
        <v>284a_1</v>
      </c>
      <c r="B1273" s="60">
        <f t="shared" si="406"/>
        <v>0.26388340569971414</v>
      </c>
      <c r="C1273" s="60">
        <f t="shared" si="407"/>
        <v>8.0224095980974879E-4</v>
      </c>
      <c r="D1273" s="152" t="s">
        <v>2395</v>
      </c>
      <c r="E1273" s="588" t="s">
        <v>2394</v>
      </c>
      <c r="F1273" s="235">
        <v>45356.5681944444</v>
      </c>
      <c r="H1273" s="60">
        <f t="shared" si="403"/>
        <v>0.26388340999999998</v>
      </c>
      <c r="I1273" s="60">
        <f t="shared" si="404"/>
        <v>8.0223999999999996E-4</v>
      </c>
    </row>
    <row r="1274" spans="1:18" ht="19.95" customHeight="1">
      <c r="A1274" s="588" t="str">
        <f t="shared" si="405"/>
        <v>360a_1</v>
      </c>
      <c r="B1274" s="60">
        <f t="shared" si="406"/>
        <v>0.26433184971703233</v>
      </c>
      <c r="C1274" s="60">
        <f t="shared" si="407"/>
        <v>8.0343225506680836E-4</v>
      </c>
      <c r="D1274" s="152" t="s">
        <v>2395</v>
      </c>
      <c r="E1274" s="588" t="s">
        <v>2394</v>
      </c>
      <c r="F1274" s="235">
        <v>45356.5681944444</v>
      </c>
      <c r="H1274" s="60">
        <f t="shared" si="403"/>
        <v>0.26433184999999998</v>
      </c>
      <c r="I1274" s="60">
        <f t="shared" si="404"/>
        <v>8.0343000000000005E-4</v>
      </c>
    </row>
    <row r="1275" spans="1:18" ht="19.95" customHeight="1">
      <c r="A1275" s="588" t="str">
        <f t="shared" si="405"/>
        <v>052a_2</v>
      </c>
      <c r="B1275" s="60">
        <f t="shared" si="406"/>
        <v>0.2635020148936375</v>
      </c>
      <c r="C1275" s="60">
        <f t="shared" si="407"/>
        <v>8.0122861687545238E-4</v>
      </c>
      <c r="D1275" s="152" t="s">
        <v>2395</v>
      </c>
      <c r="E1275" s="588" t="s">
        <v>2394</v>
      </c>
      <c r="F1275" s="235">
        <v>45356.5681944444</v>
      </c>
      <c r="H1275" s="60">
        <f t="shared" si="403"/>
        <v>0.26350201000000001</v>
      </c>
      <c r="I1275" s="60">
        <f t="shared" si="404"/>
        <v>8.0123E-4</v>
      </c>
    </row>
    <row r="1276" spans="1:18" ht="19.95" customHeight="1">
      <c r="A1276" s="588" t="str">
        <f t="shared" si="405"/>
        <v>130a_2</v>
      </c>
      <c r="B1276" s="60">
        <f t="shared" si="406"/>
        <v>0.26521474425761038</v>
      </c>
      <c r="C1276" s="60">
        <f t="shared" si="407"/>
        <v>8.0578071811508375E-4</v>
      </c>
      <c r="D1276" s="152" t="s">
        <v>2395</v>
      </c>
      <c r="E1276" s="588" t="s">
        <v>2394</v>
      </c>
      <c r="F1276" s="235">
        <v>45356.5681944444</v>
      </c>
      <c r="H1276" s="60">
        <f t="shared" si="403"/>
        <v>0.26521474</v>
      </c>
      <c r="I1276" s="60">
        <f t="shared" si="404"/>
        <v>8.0577999999999997E-4</v>
      </c>
    </row>
    <row r="1277" spans="1:18" ht="19.95" customHeight="1">
      <c r="A1277" s="588" t="str">
        <f t="shared" si="405"/>
        <v>207a_2</v>
      </c>
      <c r="B1277" s="60">
        <f t="shared" si="406"/>
        <v>0.26254972674436167</v>
      </c>
      <c r="C1277" s="60">
        <f t="shared" si="407"/>
        <v>7.9870424507866951E-4</v>
      </c>
      <c r="D1277" s="152" t="s">
        <v>2395</v>
      </c>
      <c r="E1277" s="588" t="s">
        <v>2394</v>
      </c>
      <c r="F1277" s="235">
        <v>45356.5681944444</v>
      </c>
      <c r="H1277" s="60">
        <f t="shared" si="403"/>
        <v>0.26254972999999998</v>
      </c>
      <c r="I1277" s="60">
        <f t="shared" si="404"/>
        <v>7.9869999999999995E-4</v>
      </c>
    </row>
    <row r="1278" spans="1:18" ht="19.95" customHeight="1">
      <c r="A1278" s="588" t="str">
        <f t="shared" si="405"/>
        <v>284a_2</v>
      </c>
      <c r="B1278" s="60">
        <f t="shared" si="406"/>
        <v>0.26382574297220129</v>
      </c>
      <c r="C1278" s="60">
        <f t="shared" si="407"/>
        <v>8.0208785427811672E-4</v>
      </c>
      <c r="D1278" s="152" t="s">
        <v>2395</v>
      </c>
      <c r="E1278" s="588" t="s">
        <v>2394</v>
      </c>
      <c r="F1278" s="235">
        <v>45356.5681944444</v>
      </c>
      <c r="H1278" s="60">
        <f t="shared" si="403"/>
        <v>0.26382573999999998</v>
      </c>
      <c r="I1278" s="60">
        <f t="shared" si="404"/>
        <v>8.0208999999999999E-4</v>
      </c>
    </row>
    <row r="1279" spans="1:18" ht="19.95" customHeight="1">
      <c r="A1279" s="589" t="str">
        <f t="shared" si="405"/>
        <v>360a_2</v>
      </c>
      <c r="B1279" s="81">
        <f t="shared" si="406"/>
        <v>0.26449555662850815</v>
      </c>
      <c r="C1279" s="81">
        <f t="shared" si="407"/>
        <v>8.0386740417775061E-4</v>
      </c>
      <c r="D1279" s="153" t="s">
        <v>2395</v>
      </c>
      <c r="E1279" s="589" t="s">
        <v>2394</v>
      </c>
      <c r="F1279" s="236">
        <v>45356.5681944444</v>
      </c>
      <c r="H1279" s="81">
        <f t="shared" si="403"/>
        <v>0.26449556000000002</v>
      </c>
      <c r="I1279" s="81">
        <f t="shared" si="404"/>
        <v>8.0387000000000004E-4</v>
      </c>
    </row>
    <row r="1280" spans="1:18" ht="19.95" customHeight="1">
      <c r="A1280" s="588"/>
      <c r="B1280" s="60"/>
      <c r="C1280" s="60"/>
      <c r="D1280" s="152"/>
      <c r="E1280" s="588"/>
      <c r="F1280" s="235"/>
      <c r="M1280" s="60"/>
    </row>
    <row r="1281" spans="1:18" s="149" customFormat="1" ht="19.95" customHeight="1">
      <c r="A1281" s="150" t="s">
        <v>2519</v>
      </c>
      <c r="D1281" s="163"/>
      <c r="I1281" s="871"/>
      <c r="J1281" s="871"/>
    </row>
    <row r="1282" spans="1:18" ht="19.95" customHeight="1">
      <c r="A1282" s="588"/>
      <c r="B1282" s="60"/>
      <c r="C1282" s="60"/>
      <c r="D1282" s="152"/>
      <c r="E1282" s="588"/>
      <c r="F1282" s="235"/>
    </row>
    <row r="1283" spans="1:18" s="588" customFormat="1" ht="19.95" customHeight="1">
      <c r="B1283" s="60"/>
      <c r="C1283" s="60"/>
      <c r="D1283" s="152"/>
      <c r="F1283" s="235"/>
      <c r="K1283" s="588" t="s">
        <v>2486</v>
      </c>
    </row>
    <row r="1284" spans="1:18" ht="19.95" customHeight="1">
      <c r="A1284" s="592" t="s">
        <v>100</v>
      </c>
      <c r="B1284" s="592" t="s">
        <v>2146</v>
      </c>
      <c r="C1284" s="592" t="s">
        <v>2147</v>
      </c>
      <c r="D1284" s="875" t="s">
        <v>2390</v>
      </c>
      <c r="E1284" s="480" t="s">
        <v>270</v>
      </c>
      <c r="F1284" s="592" t="s">
        <v>2</v>
      </c>
      <c r="H1284" s="592" t="s">
        <v>2146</v>
      </c>
      <c r="I1284" s="592" t="s">
        <v>2147</v>
      </c>
      <c r="K1284" s="592" t="s">
        <v>2146</v>
      </c>
      <c r="L1284" s="592" t="s">
        <v>2147</v>
      </c>
      <c r="M1284" s="592" t="s">
        <v>2503</v>
      </c>
      <c r="N1284" s="480" t="s">
        <v>449</v>
      </c>
      <c r="O1284" s="480" t="s">
        <v>2243</v>
      </c>
      <c r="P1284" s="480" t="s">
        <v>262</v>
      </c>
      <c r="Q1284" s="875" t="s">
        <v>2390</v>
      </c>
      <c r="R1284" s="592" t="s">
        <v>2</v>
      </c>
    </row>
    <row r="1285" spans="1:18" ht="19.95" customHeight="1">
      <c r="A1285" s="589" t="s">
        <v>96</v>
      </c>
      <c r="B1285" s="589" t="s">
        <v>959</v>
      </c>
      <c r="C1285" s="589" t="s">
        <v>959</v>
      </c>
      <c r="D1285" s="153" t="s">
        <v>96</v>
      </c>
      <c r="E1285" s="589" t="s">
        <v>96</v>
      </c>
      <c r="F1285" s="589" t="s">
        <v>2393</v>
      </c>
      <c r="H1285" s="589" t="s">
        <v>959</v>
      </c>
      <c r="I1285" s="589" t="s">
        <v>959</v>
      </c>
      <c r="K1285" s="589" t="s">
        <v>959</v>
      </c>
      <c r="L1285" s="589" t="s">
        <v>959</v>
      </c>
      <c r="M1285" s="589" t="s">
        <v>74</v>
      </c>
      <c r="N1285" s="589" t="s">
        <v>959</v>
      </c>
      <c r="O1285" s="589" t="s">
        <v>959</v>
      </c>
      <c r="P1285" s="589" t="s">
        <v>74</v>
      </c>
      <c r="Q1285" s="153" t="s">
        <v>96</v>
      </c>
      <c r="R1285" s="589" t="s">
        <v>2393</v>
      </c>
    </row>
    <row r="1286" spans="1:18" ht="19.95" customHeight="1">
      <c r="A1286" s="50" t="str">
        <f t="shared" ref="A1286:A1295" si="408">A708</f>
        <v>001a_1</v>
      </c>
      <c r="B1286" s="60">
        <f t="shared" ref="B1286:B1295" si="409">L708</f>
        <v>0.42144320600798152</v>
      </c>
      <c r="C1286" s="60">
        <f t="shared" ref="C1286:C1295" si="410">M708</f>
        <v>2.8289859220615005E-3</v>
      </c>
      <c r="D1286" s="152" t="s">
        <v>2395</v>
      </c>
      <c r="E1286" s="588" t="s">
        <v>2394</v>
      </c>
      <c r="F1286" s="235">
        <v>45343</v>
      </c>
      <c r="H1286" s="60">
        <f>ROUND(B1286,9)</f>
        <v>0.42144320600000001</v>
      </c>
      <c r="I1286" s="60">
        <f>ROUND(C1286,9)</f>
        <v>2.8289859999999999E-3</v>
      </c>
      <c r="K1286" s="909">
        <v>0.42596000000000001</v>
      </c>
      <c r="L1286" s="909">
        <v>3.8782690000000002E-3</v>
      </c>
      <c r="M1286" s="309">
        <f>L1286/K1286</f>
        <v>9.1047727486148929E-3</v>
      </c>
      <c r="N1286" s="60">
        <f>AVERAGE(B1286:B1295)</f>
        <v>0.4259666761745633</v>
      </c>
      <c r="O1286" s="60">
        <f>STDEV(B1286:B1295)</f>
        <v>2.7756445485542154E-3</v>
      </c>
      <c r="P1286" s="204">
        <f>O1286/N1286</f>
        <v>6.516107253931625E-3</v>
      </c>
      <c r="Q1286" s="919" t="s">
        <v>2516</v>
      </c>
      <c r="R1286" s="570">
        <v>45343</v>
      </c>
    </row>
    <row r="1287" spans="1:18" ht="19.95" customHeight="1">
      <c r="A1287" s="588" t="str">
        <f t="shared" si="408"/>
        <v>078a_1</v>
      </c>
      <c r="B1287" s="60">
        <f t="shared" si="409"/>
        <v>0.42353818932199305</v>
      </c>
      <c r="C1287" s="60">
        <f t="shared" si="410"/>
        <v>2.8418683432670441E-3</v>
      </c>
      <c r="D1287" s="152" t="s">
        <v>2395</v>
      </c>
      <c r="E1287" s="588" t="s">
        <v>2394</v>
      </c>
      <c r="F1287" s="235">
        <v>45343</v>
      </c>
      <c r="H1287" s="60">
        <f t="shared" ref="H1287:H1310" si="411">ROUND(B1287,9)</f>
        <v>0.42353818900000001</v>
      </c>
      <c r="I1287" s="60">
        <f t="shared" ref="I1287:I1310" si="412">ROUND(C1287,9)</f>
        <v>2.841868E-3</v>
      </c>
      <c r="K1287" s="199">
        <v>0.41783160000000003</v>
      </c>
      <c r="L1287" s="199">
        <v>3.324965E-3</v>
      </c>
      <c r="M1287" s="198">
        <f>L1287/K1287</f>
        <v>7.9576676345207015E-3</v>
      </c>
      <c r="N1287" s="60">
        <f>AVERAGE(B1296:B1305)</f>
        <v>0.41782271668224125</v>
      </c>
      <c r="O1287" s="60">
        <f>STDEV(B1296:B1305)</f>
        <v>2.3967134237688381E-3</v>
      </c>
      <c r="P1287" s="204">
        <f>O1287/N1287</f>
        <v>5.7361970234652533E-3</v>
      </c>
      <c r="Q1287" s="920" t="s">
        <v>2517</v>
      </c>
      <c r="R1287" s="255">
        <v>45357</v>
      </c>
    </row>
    <row r="1288" spans="1:18" ht="19.95" customHeight="1">
      <c r="A1288" s="588" t="str">
        <f t="shared" si="408"/>
        <v>155a_1</v>
      </c>
      <c r="B1288" s="60">
        <f t="shared" si="409"/>
        <v>0.42727784532975149</v>
      </c>
      <c r="C1288" s="60">
        <f t="shared" si="410"/>
        <v>2.8649159737586262E-3</v>
      </c>
      <c r="D1288" s="152" t="s">
        <v>2395</v>
      </c>
      <c r="E1288" s="588" t="s">
        <v>2394</v>
      </c>
      <c r="F1288" s="235">
        <v>45343</v>
      </c>
      <c r="H1288" s="60">
        <f t="shared" si="411"/>
        <v>0.42727784499999999</v>
      </c>
      <c r="I1288" s="60">
        <f t="shared" si="412"/>
        <v>2.8649159999999999E-3</v>
      </c>
      <c r="K1288" s="790">
        <v>0.42102349999999999</v>
      </c>
      <c r="L1288" s="790">
        <v>9.1489210000000008E-3</v>
      </c>
      <c r="M1288" s="201">
        <f>L1288/K1288</f>
        <v>2.1730190832578232E-2</v>
      </c>
      <c r="N1288" s="81">
        <f>AVERAGE(B1306:B1310)</f>
        <v>0.42098527666848451</v>
      </c>
      <c r="O1288" s="81">
        <f>STDEV(B1306:B1310)</f>
        <v>7.2972838107601629E-3</v>
      </c>
      <c r="P1288" s="208">
        <f>O1288/N1288</f>
        <v>1.73338219058587E-2</v>
      </c>
      <c r="Q1288" s="922" t="s">
        <v>2518</v>
      </c>
      <c r="R1288" s="236">
        <v>45372</v>
      </c>
    </row>
    <row r="1289" spans="1:18" ht="19.95" customHeight="1">
      <c r="A1289" s="588" t="str">
        <f t="shared" si="408"/>
        <v>232a_1</v>
      </c>
      <c r="B1289" s="60">
        <f t="shared" si="409"/>
        <v>0.42483906401903765</v>
      </c>
      <c r="C1289" s="60">
        <f t="shared" si="410"/>
        <v>2.84987819905023E-3</v>
      </c>
      <c r="D1289" s="152" t="s">
        <v>2395</v>
      </c>
      <c r="E1289" s="588" t="s">
        <v>2394</v>
      </c>
      <c r="F1289" s="235">
        <v>45343</v>
      </c>
      <c r="H1289" s="60">
        <f t="shared" si="411"/>
        <v>0.42483906399999999</v>
      </c>
      <c r="I1289" s="60">
        <f t="shared" si="412"/>
        <v>2.8498780000000001E-3</v>
      </c>
      <c r="K1289" s="57" t="s">
        <v>2502</v>
      </c>
      <c r="L1289" s="142"/>
      <c r="M1289" s="142"/>
      <c r="N1289" s="588"/>
      <c r="O1289" s="588"/>
      <c r="P1289" s="588"/>
      <c r="Q1289" s="588"/>
      <c r="R1289" s="588"/>
    </row>
    <row r="1290" spans="1:18" ht="19.95" customHeight="1">
      <c r="A1290" s="588" t="str">
        <f t="shared" si="408"/>
        <v>310a_1</v>
      </c>
      <c r="B1290" s="60">
        <f t="shared" si="409"/>
        <v>0.42896222964472874</v>
      </c>
      <c r="C1290" s="60">
        <f t="shared" si="410"/>
        <v>2.8753182442513565E-3</v>
      </c>
      <c r="D1290" s="152" t="s">
        <v>2395</v>
      </c>
      <c r="E1290" s="588" t="s">
        <v>2394</v>
      </c>
      <c r="F1290" s="235">
        <v>45343</v>
      </c>
      <c r="H1290" s="60">
        <f t="shared" si="411"/>
        <v>0.42896223</v>
      </c>
      <c r="I1290" s="60">
        <f t="shared" si="412"/>
        <v>2.875318E-3</v>
      </c>
    </row>
    <row r="1291" spans="1:18" ht="19.95" customHeight="1">
      <c r="A1291" s="588" t="str">
        <f t="shared" si="408"/>
        <v>001a_2</v>
      </c>
      <c r="B1291" s="60">
        <f t="shared" si="409"/>
        <v>0.4236987123045538</v>
      </c>
      <c r="C1291" s="60">
        <f t="shared" si="410"/>
        <v>2.8428562940038789E-3</v>
      </c>
      <c r="D1291" s="152" t="s">
        <v>2395</v>
      </c>
      <c r="E1291" s="588" t="s">
        <v>2394</v>
      </c>
      <c r="F1291" s="235">
        <v>45343</v>
      </c>
      <c r="H1291" s="60">
        <f t="shared" si="411"/>
        <v>0.42369871199999998</v>
      </c>
      <c r="I1291" s="60">
        <f t="shared" si="412"/>
        <v>2.8428559999999999E-3</v>
      </c>
      <c r="K1291" s="588" t="s">
        <v>2488</v>
      </c>
      <c r="L1291" s="588"/>
      <c r="M1291" s="588"/>
      <c r="N1291" s="588"/>
      <c r="O1291" s="588"/>
      <c r="P1291" s="588"/>
      <c r="Q1291" s="588"/>
      <c r="R1291" s="588"/>
    </row>
    <row r="1292" spans="1:18" ht="19.95" customHeight="1">
      <c r="A1292" s="588" t="str">
        <f t="shared" si="408"/>
        <v>078a_2</v>
      </c>
      <c r="B1292" s="60">
        <f t="shared" si="409"/>
        <v>0.42940815572729563</v>
      </c>
      <c r="C1292" s="60">
        <f t="shared" si="410"/>
        <v>2.8780743469063977E-3</v>
      </c>
      <c r="D1292" s="152" t="s">
        <v>2395</v>
      </c>
      <c r="E1292" s="588" t="s">
        <v>2394</v>
      </c>
      <c r="F1292" s="235">
        <v>45343</v>
      </c>
      <c r="H1292" s="60">
        <f t="shared" si="411"/>
        <v>0.42940815599999999</v>
      </c>
      <c r="I1292" s="60">
        <f t="shared" si="412"/>
        <v>2.878074E-3</v>
      </c>
      <c r="K1292" s="480" t="s">
        <v>299</v>
      </c>
      <c r="L1292" s="480" t="s">
        <v>300</v>
      </c>
      <c r="M1292" s="480" t="s">
        <v>301</v>
      </c>
      <c r="N1292" s="911" t="s">
        <v>2504</v>
      </c>
      <c r="O1292" s="911" t="s">
        <v>2505</v>
      </c>
      <c r="P1292" s="911" t="s">
        <v>2506</v>
      </c>
      <c r="Q1292" s="592" t="s">
        <v>2697</v>
      </c>
      <c r="R1292" s="592" t="s">
        <v>2698</v>
      </c>
    </row>
    <row r="1293" spans="1:18" ht="19.95" customHeight="1">
      <c r="A1293" s="588" t="str">
        <f t="shared" si="408"/>
        <v>155a_2</v>
      </c>
      <c r="B1293" s="60">
        <f t="shared" si="409"/>
        <v>0.42420858829660502</v>
      </c>
      <c r="C1293" s="60">
        <f t="shared" si="410"/>
        <v>2.8459951773599831E-3</v>
      </c>
      <c r="D1293" s="152" t="s">
        <v>2395</v>
      </c>
      <c r="E1293" s="588" t="s">
        <v>2394</v>
      </c>
      <c r="F1293" s="235">
        <v>45343</v>
      </c>
      <c r="H1293" s="60">
        <f t="shared" si="411"/>
        <v>0.424208588</v>
      </c>
      <c r="I1293" s="60">
        <f t="shared" si="412"/>
        <v>2.845995E-3</v>
      </c>
      <c r="K1293" s="589" t="s">
        <v>959</v>
      </c>
      <c r="L1293" s="589" t="s">
        <v>959</v>
      </c>
      <c r="M1293" s="589" t="s">
        <v>959</v>
      </c>
      <c r="N1293" s="589" t="s">
        <v>959</v>
      </c>
      <c r="O1293" s="589" t="s">
        <v>959</v>
      </c>
      <c r="P1293" s="589" t="s">
        <v>74</v>
      </c>
      <c r="Q1293" s="589" t="s">
        <v>74</v>
      </c>
      <c r="R1293" s="589" t="s">
        <v>74</v>
      </c>
    </row>
    <row r="1294" spans="1:18" ht="19.95" customHeight="1">
      <c r="A1294" s="588" t="str">
        <f t="shared" si="408"/>
        <v>232a_2</v>
      </c>
      <c r="B1294" s="60">
        <f t="shared" si="409"/>
        <v>0.42899468384746947</v>
      </c>
      <c r="C1294" s="60">
        <f t="shared" si="410"/>
        <v>2.8755188007126343E-3</v>
      </c>
      <c r="D1294" s="152" t="s">
        <v>2395</v>
      </c>
      <c r="E1294" s="588" t="s">
        <v>2394</v>
      </c>
      <c r="F1294" s="235">
        <v>45343</v>
      </c>
      <c r="H1294" s="60">
        <f t="shared" si="411"/>
        <v>0.42899468400000002</v>
      </c>
      <c r="I1294" s="60">
        <f t="shared" si="412"/>
        <v>2.875519E-3</v>
      </c>
      <c r="K1294" s="910">
        <v>0.42142239999999997</v>
      </c>
      <c r="L1294" s="910">
        <v>2.897869E-3</v>
      </c>
      <c r="M1294" s="910">
        <v>2.3874790000000001E-3</v>
      </c>
      <c r="N1294" s="912">
        <f>K1294</f>
        <v>0.42142239999999997</v>
      </c>
      <c r="O1294" s="912">
        <f>SQRT(SUMSQ(L1294,M1294))</f>
        <v>3.7546904954472611E-3</v>
      </c>
      <c r="P1294" s="913">
        <f>O1294/N1294</f>
        <v>8.9095655462245512E-3</v>
      </c>
      <c r="Q1294" s="684">
        <f>O1294/STDEV(B1286:B1310)</f>
        <v>0.71117711465305256</v>
      </c>
      <c r="R1294" s="208">
        <f>K1294/AVERAGE(B1286:B1310)</f>
        <v>0.99931135012305294</v>
      </c>
    </row>
    <row r="1295" spans="1:18" ht="19.95" customHeight="1">
      <c r="A1295" s="589" t="str">
        <f t="shared" si="408"/>
        <v>310a_2</v>
      </c>
      <c r="B1295" s="81">
        <f t="shared" si="409"/>
        <v>0.4272960872462167</v>
      </c>
      <c r="C1295" s="81">
        <f t="shared" si="410"/>
        <v>2.8650285601051336E-3</v>
      </c>
      <c r="D1295" s="153" t="s">
        <v>2395</v>
      </c>
      <c r="E1295" s="589" t="s">
        <v>2394</v>
      </c>
      <c r="F1295" s="236">
        <v>45343</v>
      </c>
      <c r="H1295" s="81">
        <f t="shared" si="411"/>
        <v>0.42729608699999999</v>
      </c>
      <c r="I1295" s="81">
        <f t="shared" si="412"/>
        <v>2.8650289999999998E-3</v>
      </c>
      <c r="K1295" s="57" t="s">
        <v>2502</v>
      </c>
      <c r="L1295" s="588"/>
      <c r="M1295" s="588"/>
      <c r="N1295" s="588"/>
      <c r="O1295" s="588"/>
      <c r="P1295" s="588"/>
      <c r="Q1295" s="588"/>
      <c r="R1295" s="588"/>
    </row>
    <row r="1296" spans="1:18" ht="19.95" customHeight="1">
      <c r="A1296" s="588" t="str">
        <f t="shared" ref="A1296:A1305" si="413">A1052</f>
        <v>052a_1</v>
      </c>
      <c r="B1296" s="60">
        <f t="shared" ref="B1296:B1305" si="414">L1052</f>
        <v>0.4164035233645999</v>
      </c>
      <c r="C1296" s="60">
        <f t="shared" ref="C1296:C1305" si="415">M1052</f>
        <v>2.4244439728516652E-3</v>
      </c>
      <c r="D1296" s="152" t="s">
        <v>2395</v>
      </c>
      <c r="E1296" s="588" t="s">
        <v>2394</v>
      </c>
      <c r="F1296" s="235">
        <v>45357</v>
      </c>
      <c r="H1296" s="60">
        <f t="shared" si="411"/>
        <v>0.416403523</v>
      </c>
      <c r="I1296" s="60">
        <f t="shared" si="412"/>
        <v>2.424444E-3</v>
      </c>
      <c r="K1296" s="57" t="s">
        <v>2703</v>
      </c>
    </row>
    <row r="1297" spans="1:9" ht="19.95" customHeight="1">
      <c r="A1297" s="588" t="str">
        <f t="shared" si="413"/>
        <v>130a_1</v>
      </c>
      <c r="B1297" s="60">
        <f t="shared" si="414"/>
        <v>0.41648989361607186</v>
      </c>
      <c r="C1297" s="60">
        <f t="shared" si="415"/>
        <v>2.4249228497037327E-3</v>
      </c>
      <c r="D1297" s="152" t="s">
        <v>2395</v>
      </c>
      <c r="E1297" s="588" t="s">
        <v>2394</v>
      </c>
      <c r="F1297" s="235">
        <v>45357</v>
      </c>
      <c r="H1297" s="60">
        <f t="shared" si="411"/>
        <v>0.41648989400000003</v>
      </c>
      <c r="I1297" s="60">
        <f t="shared" si="412"/>
        <v>2.4249229999999998E-3</v>
      </c>
    </row>
    <row r="1298" spans="1:9" ht="19.95" customHeight="1">
      <c r="A1298" s="588" t="str">
        <f t="shared" si="413"/>
        <v>207a_1</v>
      </c>
      <c r="B1298" s="60">
        <f t="shared" si="414"/>
        <v>0.41855732267505702</v>
      </c>
      <c r="C1298" s="60">
        <f t="shared" si="415"/>
        <v>2.4363901474150555E-3</v>
      </c>
      <c r="D1298" s="152" t="s">
        <v>2395</v>
      </c>
      <c r="E1298" s="588" t="s">
        <v>2394</v>
      </c>
      <c r="F1298" s="235">
        <v>45357</v>
      </c>
      <c r="H1298" s="60">
        <f t="shared" si="411"/>
        <v>0.41855732299999998</v>
      </c>
      <c r="I1298" s="60">
        <f t="shared" si="412"/>
        <v>2.4363900000000001E-3</v>
      </c>
    </row>
    <row r="1299" spans="1:9" ht="19.95" customHeight="1">
      <c r="A1299" s="588" t="str">
        <f t="shared" si="413"/>
        <v>284a_1</v>
      </c>
      <c r="B1299" s="60">
        <f t="shared" si="414"/>
        <v>0.41693963583240523</v>
      </c>
      <c r="C1299" s="60">
        <f t="shared" si="415"/>
        <v>2.4274166748346464E-3</v>
      </c>
      <c r="D1299" s="152" t="s">
        <v>2395</v>
      </c>
      <c r="E1299" s="588" t="s">
        <v>2394</v>
      </c>
      <c r="F1299" s="235">
        <v>45357</v>
      </c>
      <c r="H1299" s="60">
        <f t="shared" si="411"/>
        <v>0.416939636</v>
      </c>
      <c r="I1299" s="60">
        <f t="shared" si="412"/>
        <v>2.4274169999999999E-3</v>
      </c>
    </row>
    <row r="1300" spans="1:9" ht="19.95" customHeight="1">
      <c r="A1300" s="588" t="str">
        <f t="shared" si="413"/>
        <v>360a_1</v>
      </c>
      <c r="B1300" s="60">
        <f t="shared" si="414"/>
        <v>0.42339701266874408</v>
      </c>
      <c r="C1300" s="60">
        <f t="shared" si="415"/>
        <v>2.4632675147198161E-3</v>
      </c>
      <c r="D1300" s="152" t="s">
        <v>2395</v>
      </c>
      <c r="E1300" s="588" t="s">
        <v>2394</v>
      </c>
      <c r="F1300" s="235">
        <v>45357</v>
      </c>
      <c r="H1300" s="60">
        <f t="shared" si="411"/>
        <v>0.42339701299999999</v>
      </c>
      <c r="I1300" s="60">
        <f t="shared" si="412"/>
        <v>2.4632679999999998E-3</v>
      </c>
    </row>
    <row r="1301" spans="1:9" ht="19.95" customHeight="1">
      <c r="A1301" s="588" t="str">
        <f t="shared" si="413"/>
        <v>052a_2</v>
      </c>
      <c r="B1301" s="60">
        <f t="shared" si="414"/>
        <v>0.41840181061524434</v>
      </c>
      <c r="C1301" s="60">
        <f t="shared" si="415"/>
        <v>2.4355272773008683E-3</v>
      </c>
      <c r="D1301" s="152" t="s">
        <v>2395</v>
      </c>
      <c r="E1301" s="588" t="s">
        <v>2394</v>
      </c>
      <c r="F1301" s="235">
        <v>45357</v>
      </c>
      <c r="H1301" s="60">
        <f t="shared" si="411"/>
        <v>0.41840181100000001</v>
      </c>
      <c r="I1301" s="60">
        <f t="shared" si="412"/>
        <v>2.4355269999999998E-3</v>
      </c>
    </row>
    <row r="1302" spans="1:9" ht="19.95" customHeight="1">
      <c r="A1302" s="588" t="str">
        <f t="shared" si="413"/>
        <v>130a_2</v>
      </c>
      <c r="B1302" s="60">
        <f t="shared" si="414"/>
        <v>0.41746952501644857</v>
      </c>
      <c r="C1302" s="60">
        <f t="shared" si="415"/>
        <v>2.4303554420471336E-3</v>
      </c>
      <c r="D1302" s="152" t="s">
        <v>2395</v>
      </c>
      <c r="E1302" s="588" t="s">
        <v>2394</v>
      </c>
      <c r="F1302" s="235">
        <v>45357</v>
      </c>
      <c r="H1302" s="60">
        <f t="shared" si="411"/>
        <v>0.41746952500000001</v>
      </c>
      <c r="I1302" s="60">
        <f t="shared" si="412"/>
        <v>2.4303549999999999E-3</v>
      </c>
    </row>
    <row r="1303" spans="1:9" ht="19.95" customHeight="1">
      <c r="A1303" s="588" t="str">
        <f t="shared" si="413"/>
        <v>207a_2</v>
      </c>
      <c r="B1303" s="60">
        <f t="shared" si="414"/>
        <v>0.41429736458505478</v>
      </c>
      <c r="C1303" s="60">
        <f t="shared" si="415"/>
        <v>2.4127711709635911E-3</v>
      </c>
      <c r="D1303" s="152" t="s">
        <v>2395</v>
      </c>
      <c r="E1303" s="588" t="s">
        <v>2394</v>
      </c>
      <c r="F1303" s="235">
        <v>45357</v>
      </c>
      <c r="H1303" s="60">
        <f t="shared" si="411"/>
        <v>0.41429736499999997</v>
      </c>
      <c r="I1303" s="60">
        <f t="shared" si="412"/>
        <v>2.4127710000000002E-3</v>
      </c>
    </row>
    <row r="1304" spans="1:9" ht="19.95" customHeight="1">
      <c r="A1304" s="588" t="str">
        <f t="shared" si="413"/>
        <v>284a_2</v>
      </c>
      <c r="B1304" s="60">
        <f t="shared" si="414"/>
        <v>0.41703294700729204</v>
      </c>
      <c r="C1304" s="60">
        <f t="shared" si="415"/>
        <v>2.4279341376725783E-3</v>
      </c>
      <c r="D1304" s="152" t="s">
        <v>2395</v>
      </c>
      <c r="E1304" s="588" t="s">
        <v>2394</v>
      </c>
      <c r="F1304" s="235">
        <v>45357</v>
      </c>
      <c r="H1304" s="60">
        <f t="shared" si="411"/>
        <v>0.41703294699999999</v>
      </c>
      <c r="I1304" s="60">
        <f t="shared" si="412"/>
        <v>2.4279340000000001E-3</v>
      </c>
    </row>
    <row r="1305" spans="1:9" ht="19.95" customHeight="1">
      <c r="A1305" s="589" t="str">
        <f t="shared" si="413"/>
        <v>360a_2</v>
      </c>
      <c r="B1305" s="81">
        <f t="shared" si="414"/>
        <v>0.41923813144149397</v>
      </c>
      <c r="C1305" s="81">
        <f t="shared" si="415"/>
        <v>2.4401682353657711E-3</v>
      </c>
      <c r="D1305" s="153" t="s">
        <v>2395</v>
      </c>
      <c r="E1305" s="589" t="s">
        <v>2394</v>
      </c>
      <c r="F1305" s="236">
        <v>45357</v>
      </c>
      <c r="H1305" s="81">
        <f t="shared" si="411"/>
        <v>0.41923813100000001</v>
      </c>
      <c r="I1305" s="81">
        <f t="shared" si="412"/>
        <v>2.4401679999999999E-3</v>
      </c>
    </row>
    <row r="1306" spans="1:9" ht="19.95" customHeight="1">
      <c r="A1306" s="588" t="str">
        <f>A1173</f>
        <v>181_A1</v>
      </c>
      <c r="B1306" s="60">
        <f t="shared" ref="B1306:C1310" si="416">I1173</f>
        <v>0.41572330974593114</v>
      </c>
      <c r="C1306" s="60">
        <f t="shared" si="416"/>
        <v>6.3296424050087495E-3</v>
      </c>
      <c r="D1306" s="152" t="s">
        <v>2399</v>
      </c>
      <c r="E1306" s="593" t="s">
        <v>2394</v>
      </c>
      <c r="F1306" s="235">
        <f>D1173</f>
        <v>45372</v>
      </c>
      <c r="H1306" s="60">
        <f t="shared" si="411"/>
        <v>0.41572331000000001</v>
      </c>
      <c r="I1306" s="60">
        <f t="shared" si="412"/>
        <v>6.3296419999999999E-3</v>
      </c>
    </row>
    <row r="1307" spans="1:9" ht="19.95" customHeight="1">
      <c r="A1307" s="588" t="str">
        <f>A1174</f>
        <v>181_A2</v>
      </c>
      <c r="B1307" s="60">
        <f t="shared" si="416"/>
        <v>0.4215673716137075</v>
      </c>
      <c r="C1307" s="60">
        <f t="shared" si="416"/>
        <v>6.412214933373718E-3</v>
      </c>
      <c r="D1307" s="152" t="s">
        <v>2399</v>
      </c>
      <c r="E1307" s="593" t="s">
        <v>2394</v>
      </c>
      <c r="F1307" s="235">
        <f>D1174</f>
        <v>45372</v>
      </c>
      <c r="H1307" s="60">
        <f t="shared" si="411"/>
        <v>0.421567372</v>
      </c>
      <c r="I1307" s="60">
        <f t="shared" si="412"/>
        <v>6.4122149999999998E-3</v>
      </c>
    </row>
    <row r="1308" spans="1:9" ht="19.95" customHeight="1">
      <c r="A1308" s="588" t="str">
        <f>A1175</f>
        <v>335_A1</v>
      </c>
      <c r="B1308" s="60">
        <f t="shared" si="416"/>
        <v>0.42048021200572588</v>
      </c>
      <c r="C1308" s="60">
        <f t="shared" si="416"/>
        <v>6.4026406749638784E-3</v>
      </c>
      <c r="D1308" s="152" t="s">
        <v>2399</v>
      </c>
      <c r="E1308" s="593" t="s">
        <v>2394</v>
      </c>
      <c r="F1308" s="235">
        <f>D1175</f>
        <v>45372</v>
      </c>
      <c r="H1308" s="60">
        <f t="shared" si="411"/>
        <v>0.42048021200000002</v>
      </c>
      <c r="I1308" s="60">
        <f t="shared" si="412"/>
        <v>6.4026409999999997E-3</v>
      </c>
    </row>
    <row r="1309" spans="1:9" ht="19.95" customHeight="1">
      <c r="A1309" s="593" t="str">
        <f>A1176</f>
        <v>335_A2</v>
      </c>
      <c r="B1309" s="80">
        <f t="shared" si="416"/>
        <v>0.43283186297311832</v>
      </c>
      <c r="C1309" s="80">
        <f t="shared" si="416"/>
        <v>6.5881252525113393E-3</v>
      </c>
      <c r="D1309" s="152" t="s">
        <v>2399</v>
      </c>
      <c r="E1309" s="593" t="s">
        <v>2394</v>
      </c>
      <c r="F1309" s="255">
        <f>D1176</f>
        <v>45372</v>
      </c>
      <c r="H1309" s="60">
        <f t="shared" si="411"/>
        <v>0.43283186299999998</v>
      </c>
      <c r="I1309" s="60">
        <f t="shared" si="412"/>
        <v>6.5881250000000002E-3</v>
      </c>
    </row>
    <row r="1310" spans="1:9" ht="19.95" customHeight="1">
      <c r="A1310" s="589" t="str">
        <f>A1177</f>
        <v>027_A2</v>
      </c>
      <c r="B1310" s="81">
        <f t="shared" si="416"/>
        <v>0.4143236270039401</v>
      </c>
      <c r="C1310" s="81">
        <f t="shared" si="416"/>
        <v>6.2985107568817953E-3</v>
      </c>
      <c r="D1310" s="153" t="s">
        <v>2399</v>
      </c>
      <c r="E1310" s="589" t="s">
        <v>2394</v>
      </c>
      <c r="F1310" s="236">
        <f>D1177</f>
        <v>45372</v>
      </c>
      <c r="H1310" s="81">
        <f t="shared" si="411"/>
        <v>0.41432362700000003</v>
      </c>
      <c r="I1310" s="81">
        <f t="shared" si="412"/>
        <v>6.2985109999999997E-3</v>
      </c>
    </row>
    <row r="1311" spans="1:9" ht="19.95" customHeight="1">
      <c r="A1311" s="588"/>
      <c r="B1311" s="60"/>
      <c r="C1311" s="60"/>
      <c r="D1311" s="152"/>
      <c r="E1311" s="593"/>
      <c r="F1311" s="235"/>
    </row>
    <row r="1312" spans="1:9" s="149" customFormat="1" ht="19.95" customHeight="1">
      <c r="A1312" s="150" t="s">
        <v>2523</v>
      </c>
      <c r="D1312" s="163"/>
    </row>
    <row r="1313" spans="1:16" s="148" customFormat="1" ht="19.95" customHeight="1">
      <c r="A1313" s="233"/>
      <c r="D1313" s="723"/>
    </row>
    <row r="1314" spans="1:16" ht="19.95" customHeight="1">
      <c r="K1314" s="588" t="s">
        <v>2488</v>
      </c>
      <c r="L1314" s="588"/>
      <c r="M1314" s="588"/>
      <c r="N1314" s="588"/>
      <c r="O1314" s="588"/>
      <c r="P1314" s="588"/>
    </row>
    <row r="1315" spans="1:16" ht="19.95" customHeight="1">
      <c r="A1315" s="592" t="s">
        <v>100</v>
      </c>
      <c r="B1315" s="592" t="s">
        <v>2397</v>
      </c>
      <c r="C1315" s="592" t="s">
        <v>2398</v>
      </c>
      <c r="D1315" s="875" t="s">
        <v>2390</v>
      </c>
      <c r="E1315" s="480" t="s">
        <v>270</v>
      </c>
      <c r="F1315" s="592" t="s">
        <v>2</v>
      </c>
      <c r="H1315" s="592" t="s">
        <v>2397</v>
      </c>
      <c r="I1315" s="592" t="s">
        <v>2398</v>
      </c>
      <c r="K1315" s="480" t="s">
        <v>299</v>
      </c>
      <c r="L1315" s="480" t="s">
        <v>300</v>
      </c>
      <c r="M1315" s="480" t="s">
        <v>301</v>
      </c>
      <c r="N1315" s="592" t="s">
        <v>2</v>
      </c>
      <c r="O1315" s="924"/>
      <c r="P1315" s="924"/>
    </row>
    <row r="1316" spans="1:16" ht="19.95" customHeight="1">
      <c r="A1316" s="589" t="s">
        <v>96</v>
      </c>
      <c r="B1316" s="589" t="s">
        <v>959</v>
      </c>
      <c r="C1316" s="589" t="s">
        <v>959</v>
      </c>
      <c r="D1316" s="153" t="s">
        <v>96</v>
      </c>
      <c r="E1316" s="589" t="s">
        <v>96</v>
      </c>
      <c r="F1316" s="589" t="s">
        <v>2393</v>
      </c>
      <c r="H1316" s="589" t="s">
        <v>959</v>
      </c>
      <c r="I1316" s="589" t="s">
        <v>959</v>
      </c>
      <c r="K1316" s="589" t="s">
        <v>959</v>
      </c>
      <c r="L1316" s="589" t="s">
        <v>959</v>
      </c>
      <c r="M1316" s="589" t="s">
        <v>959</v>
      </c>
      <c r="N1316" s="589" t="s">
        <v>2393</v>
      </c>
      <c r="O1316" s="228"/>
      <c r="P1316" s="228"/>
    </row>
    <row r="1317" spans="1:16" ht="19.95" customHeight="1">
      <c r="A1317" s="50" t="str">
        <f>A1260</f>
        <v>001a_1</v>
      </c>
      <c r="B1317" s="60">
        <f t="shared" ref="B1317:F1317" si="417">B1260</f>
        <v>0.26245080366607798</v>
      </c>
      <c r="C1317" s="60">
        <f t="shared" si="417"/>
        <v>1.1007615008023102E-3</v>
      </c>
      <c r="D1317" s="60" t="str">
        <f t="shared" si="417"/>
        <v>EX/UV-VIS</v>
      </c>
      <c r="E1317" s="60" t="str">
        <f t="shared" si="417"/>
        <v>Gauss</v>
      </c>
      <c r="F1317" s="235">
        <f t="shared" si="417"/>
        <v>45342</v>
      </c>
      <c r="H1317" s="60">
        <f>ROUND(B1317,8)</f>
        <v>0.26245079999999998</v>
      </c>
      <c r="I1317" s="60">
        <f>ROUND(C1317,8)</f>
        <v>1.1007600000000001E-3</v>
      </c>
      <c r="K1317" s="908">
        <v>0.26316509999999999</v>
      </c>
      <c r="L1317" s="908">
        <v>3.4885999999999999E-4</v>
      </c>
      <c r="M1317" s="908">
        <v>0</v>
      </c>
      <c r="N1317" s="378">
        <v>45342</v>
      </c>
      <c r="O1317" s="778"/>
      <c r="P1317" s="925"/>
    </row>
    <row r="1318" spans="1:16" ht="19.95" customHeight="1">
      <c r="A1318" s="588" t="str">
        <f t="shared" ref="A1318:F1318" si="418">A1261</f>
        <v>078a_1</v>
      </c>
      <c r="B1318" s="60">
        <f t="shared" si="418"/>
        <v>0.26410011573302911</v>
      </c>
      <c r="C1318" s="60">
        <f t="shared" si="418"/>
        <v>1.1063559490000977E-3</v>
      </c>
      <c r="D1318" s="60" t="str">
        <f t="shared" si="418"/>
        <v>EX/UV-VIS</v>
      </c>
      <c r="E1318" s="60" t="str">
        <f t="shared" si="418"/>
        <v>Gauss</v>
      </c>
      <c r="F1318" s="235">
        <f t="shared" si="418"/>
        <v>45342</v>
      </c>
      <c r="H1318" s="60">
        <f t="shared" ref="H1318:H1336" si="419">ROUND(B1318,8)</f>
        <v>0.26410011999999999</v>
      </c>
      <c r="I1318" s="60">
        <f t="shared" ref="I1318:I1336" si="420">ROUND(C1318,8)</f>
        <v>1.10636E-3</v>
      </c>
      <c r="K1318" s="801">
        <v>0.26395639999999998</v>
      </c>
      <c r="L1318" s="801">
        <v>2.5375320000000002E-4</v>
      </c>
      <c r="M1318" s="801">
        <v>0</v>
      </c>
      <c r="N1318" s="926">
        <v>45356</v>
      </c>
    </row>
    <row r="1319" spans="1:16" ht="19.95" customHeight="1">
      <c r="A1319" s="588" t="str">
        <f t="shared" ref="A1319:F1319" si="421">A1262</f>
        <v>155a_1</v>
      </c>
      <c r="B1319" s="60">
        <f t="shared" si="421"/>
        <v>0.26339724330548869</v>
      </c>
      <c r="C1319" s="60">
        <f t="shared" si="421"/>
        <v>1.1039681025055686E-3</v>
      </c>
      <c r="D1319" s="60" t="str">
        <f t="shared" si="421"/>
        <v>EX/UV-VIS</v>
      </c>
      <c r="E1319" s="60" t="str">
        <f t="shared" si="421"/>
        <v>Gauss</v>
      </c>
      <c r="F1319" s="235">
        <f t="shared" si="421"/>
        <v>45342</v>
      </c>
      <c r="H1319" s="60">
        <f t="shared" si="419"/>
        <v>0.26339723999999998</v>
      </c>
      <c r="I1319" s="60">
        <f t="shared" si="420"/>
        <v>1.1039699999999999E-3</v>
      </c>
      <c r="K1319" s="57" t="s">
        <v>2520</v>
      </c>
    </row>
    <row r="1320" spans="1:16" ht="19.95" customHeight="1">
      <c r="A1320" s="588" t="str">
        <f t="shared" ref="A1320:F1320" si="422">A1263</f>
        <v>232a_1</v>
      </c>
      <c r="B1320" s="60">
        <f t="shared" si="422"/>
        <v>0.26305323999000774</v>
      </c>
      <c r="C1320" s="60">
        <f t="shared" si="422"/>
        <v>1.1028014361036537E-3</v>
      </c>
      <c r="D1320" s="60" t="str">
        <f t="shared" si="422"/>
        <v>EX/UV-VIS</v>
      </c>
      <c r="E1320" s="60" t="str">
        <f t="shared" si="422"/>
        <v>Gauss</v>
      </c>
      <c r="F1320" s="235">
        <f t="shared" si="422"/>
        <v>45342</v>
      </c>
      <c r="H1320" s="60">
        <f t="shared" si="419"/>
        <v>0.26305324000000002</v>
      </c>
      <c r="I1320" s="60">
        <f t="shared" si="420"/>
        <v>1.1027999999999999E-3</v>
      </c>
      <c r="K1320" s="57" t="s">
        <v>2521</v>
      </c>
    </row>
    <row r="1321" spans="1:16" ht="19.95" customHeight="1">
      <c r="A1321" s="588" t="str">
        <f t="shared" ref="A1321:F1321" si="423">A1264</f>
        <v>310a_1</v>
      </c>
      <c r="B1321" s="60">
        <f t="shared" si="423"/>
        <v>0.26435920554057857</v>
      </c>
      <c r="C1321" s="60">
        <f t="shared" si="423"/>
        <v>1.1072375289365663E-3</v>
      </c>
      <c r="D1321" s="60" t="str">
        <f t="shared" si="423"/>
        <v>EX/UV-VIS</v>
      </c>
      <c r="E1321" s="60" t="str">
        <f t="shared" si="423"/>
        <v>Gauss</v>
      </c>
      <c r="F1321" s="235">
        <f t="shared" si="423"/>
        <v>45342</v>
      </c>
      <c r="H1321" s="60">
        <f t="shared" si="419"/>
        <v>0.26435921000000001</v>
      </c>
      <c r="I1321" s="60">
        <f t="shared" si="420"/>
        <v>1.10724E-3</v>
      </c>
    </row>
    <row r="1322" spans="1:16" ht="19.95" customHeight="1">
      <c r="A1322" s="588" t="str">
        <f t="shared" ref="A1322:F1322" si="424">A1265</f>
        <v>001a_2</v>
      </c>
      <c r="B1322" s="60">
        <f t="shared" si="424"/>
        <v>0.26321077282289296</v>
      </c>
      <c r="C1322" s="60">
        <f t="shared" si="424"/>
        <v>1.1033355351452263E-3</v>
      </c>
      <c r="D1322" s="60" t="str">
        <f t="shared" si="424"/>
        <v>EX/UV-VIS</v>
      </c>
      <c r="E1322" s="60" t="str">
        <f t="shared" si="424"/>
        <v>Gauss</v>
      </c>
      <c r="F1322" s="235">
        <f t="shared" si="424"/>
        <v>45342</v>
      </c>
      <c r="H1322" s="60">
        <f t="shared" si="419"/>
        <v>0.26321076999999998</v>
      </c>
      <c r="I1322" s="60">
        <f t="shared" si="420"/>
        <v>1.10334E-3</v>
      </c>
    </row>
    <row r="1323" spans="1:16" ht="19.95" customHeight="1">
      <c r="A1323" s="588" t="str">
        <f t="shared" ref="A1323:F1323" si="425">A1266</f>
        <v>078a_2</v>
      </c>
      <c r="B1323" s="60">
        <f t="shared" si="425"/>
        <v>0.26397352429928655</v>
      </c>
      <c r="C1323" s="60">
        <f t="shared" si="425"/>
        <v>1.1059254788156573E-3</v>
      </c>
      <c r="D1323" s="60" t="str">
        <f t="shared" si="425"/>
        <v>EX/UV-VIS</v>
      </c>
      <c r="E1323" s="60" t="str">
        <f t="shared" si="425"/>
        <v>Gauss</v>
      </c>
      <c r="F1323" s="235">
        <f t="shared" si="425"/>
        <v>45342</v>
      </c>
      <c r="H1323" s="60">
        <f t="shared" si="419"/>
        <v>0.26397352000000002</v>
      </c>
      <c r="I1323" s="60">
        <f t="shared" si="420"/>
        <v>1.10593E-3</v>
      </c>
    </row>
    <row r="1324" spans="1:16" ht="19.95" customHeight="1">
      <c r="A1324" s="588" t="str">
        <f t="shared" ref="A1324:F1324" si="426">A1267</f>
        <v>155a_2</v>
      </c>
      <c r="B1324" s="60">
        <f t="shared" si="426"/>
        <v>0.26331863899079461</v>
      </c>
      <c r="C1324" s="60">
        <f t="shared" si="426"/>
        <v>1.1037014042931872E-3</v>
      </c>
      <c r="D1324" s="60" t="str">
        <f t="shared" si="426"/>
        <v>EX/UV-VIS</v>
      </c>
      <c r="E1324" s="60" t="str">
        <f t="shared" si="426"/>
        <v>Gauss</v>
      </c>
      <c r="F1324" s="235">
        <f t="shared" si="426"/>
        <v>45342</v>
      </c>
      <c r="H1324" s="60">
        <f t="shared" si="419"/>
        <v>0.26331863999999999</v>
      </c>
      <c r="I1324" s="60">
        <f t="shared" si="420"/>
        <v>1.1037E-3</v>
      </c>
    </row>
    <row r="1325" spans="1:16" ht="19.95" customHeight="1">
      <c r="A1325" s="593" t="str">
        <f t="shared" ref="A1325:F1325" si="427">A1268</f>
        <v>232a_2</v>
      </c>
      <c r="B1325" s="80">
        <f t="shared" si="427"/>
        <v>0.26310919591244963</v>
      </c>
      <c r="C1325" s="80">
        <f t="shared" si="427"/>
        <v>1.1029911172016438E-3</v>
      </c>
      <c r="D1325" s="80" t="str">
        <f t="shared" si="427"/>
        <v>EX/UV-VIS</v>
      </c>
      <c r="E1325" s="80" t="str">
        <f t="shared" si="427"/>
        <v>Gauss</v>
      </c>
      <c r="F1325" s="255">
        <f t="shared" si="427"/>
        <v>45342</v>
      </c>
      <c r="H1325" s="60">
        <f t="shared" si="419"/>
        <v>0.26310919999999999</v>
      </c>
      <c r="I1325" s="60">
        <f t="shared" si="420"/>
        <v>1.1029900000000001E-3</v>
      </c>
    </row>
    <row r="1326" spans="1:16" ht="19.95" customHeight="1">
      <c r="A1326" s="589" t="str">
        <f t="shared" ref="A1326:F1326" si="428">A1269</f>
        <v>310a_2</v>
      </c>
      <c r="B1326" s="81">
        <f t="shared" si="428"/>
        <v>0.26073638792539205</v>
      </c>
      <c r="C1326" s="81">
        <f t="shared" si="428"/>
        <v>1.0949786571553043E-3</v>
      </c>
      <c r="D1326" s="81" t="str">
        <f t="shared" si="428"/>
        <v>EX/UV-VIS</v>
      </c>
      <c r="E1326" s="81" t="str">
        <f t="shared" si="428"/>
        <v>Gauss</v>
      </c>
      <c r="F1326" s="236">
        <f t="shared" si="428"/>
        <v>45342</v>
      </c>
      <c r="H1326" s="81">
        <f t="shared" si="419"/>
        <v>0.26073638999999998</v>
      </c>
      <c r="I1326" s="81">
        <f t="shared" si="420"/>
        <v>1.09498E-3</v>
      </c>
    </row>
    <row r="1327" spans="1:16" ht="19.95" customHeight="1">
      <c r="A1327" s="588" t="str">
        <f t="shared" ref="A1327:F1327" si="429">A1270</f>
        <v>052a_1</v>
      </c>
      <c r="B1327" s="60">
        <f t="shared" si="429"/>
        <v>0.26334707782292727</v>
      </c>
      <c r="C1327" s="60">
        <f t="shared" si="429"/>
        <v>8.008175776665692E-4</v>
      </c>
      <c r="D1327" s="60" t="str">
        <f t="shared" si="429"/>
        <v>EX/UV-VIS</v>
      </c>
      <c r="E1327" s="60" t="str">
        <f t="shared" si="429"/>
        <v>Gauss</v>
      </c>
      <c r="F1327" s="235">
        <f t="shared" si="429"/>
        <v>45356.5681944444</v>
      </c>
      <c r="H1327" s="60">
        <f t="shared" si="419"/>
        <v>0.26334708000000001</v>
      </c>
      <c r="I1327" s="60">
        <f t="shared" si="420"/>
        <v>8.0082000000000005E-4</v>
      </c>
    </row>
    <row r="1328" spans="1:16" ht="19.95" customHeight="1">
      <c r="A1328" s="588" t="str">
        <f t="shared" ref="A1328:F1328" si="430">A1271</f>
        <v>130a_1</v>
      </c>
      <c r="B1328" s="60">
        <f t="shared" si="430"/>
        <v>0.26474846634887489</v>
      </c>
      <c r="C1328" s="60">
        <f t="shared" si="430"/>
        <v>8.0453993609488753E-4</v>
      </c>
      <c r="D1328" s="60" t="str">
        <f t="shared" si="430"/>
        <v>EX/UV-VIS</v>
      </c>
      <c r="E1328" s="60" t="str">
        <f t="shared" si="430"/>
        <v>Gauss</v>
      </c>
      <c r="F1328" s="235">
        <f t="shared" si="430"/>
        <v>45356.5681944444</v>
      </c>
      <c r="H1328" s="60">
        <f t="shared" si="419"/>
        <v>0.26474847000000001</v>
      </c>
      <c r="I1328" s="60">
        <f t="shared" si="420"/>
        <v>8.0453999999999996E-4</v>
      </c>
    </row>
    <row r="1329" spans="1:15" ht="19.95" customHeight="1">
      <c r="A1329" s="588" t="str">
        <f t="shared" ref="A1329:F1329" si="431">A1272</f>
        <v>207a_1</v>
      </c>
      <c r="B1329" s="60">
        <f t="shared" si="431"/>
        <v>0.26370008660861766</v>
      </c>
      <c r="C1329" s="60">
        <f t="shared" si="431"/>
        <v>8.017542727842751E-4</v>
      </c>
      <c r="D1329" s="60" t="str">
        <f t="shared" si="431"/>
        <v>EX/UV-VIS</v>
      </c>
      <c r="E1329" s="60" t="str">
        <f t="shared" si="431"/>
        <v>Gauss</v>
      </c>
      <c r="F1329" s="235">
        <f t="shared" si="431"/>
        <v>45356.5681944444</v>
      </c>
      <c r="H1329" s="60">
        <f t="shared" si="419"/>
        <v>0.26370009</v>
      </c>
      <c r="I1329" s="60">
        <f t="shared" si="420"/>
        <v>8.0175000000000005E-4</v>
      </c>
    </row>
    <row r="1330" spans="1:15" ht="19.95" customHeight="1">
      <c r="A1330" s="588" t="str">
        <f t="shared" ref="A1330:F1330" si="432">A1273</f>
        <v>284a_1</v>
      </c>
      <c r="B1330" s="60">
        <f t="shared" si="432"/>
        <v>0.26388340569971414</v>
      </c>
      <c r="C1330" s="60">
        <f t="shared" si="432"/>
        <v>8.0224095980974879E-4</v>
      </c>
      <c r="D1330" s="60" t="str">
        <f t="shared" si="432"/>
        <v>EX/UV-VIS</v>
      </c>
      <c r="E1330" s="60" t="str">
        <f t="shared" si="432"/>
        <v>Gauss</v>
      </c>
      <c r="F1330" s="235">
        <f t="shared" si="432"/>
        <v>45356.5681944444</v>
      </c>
      <c r="H1330" s="60">
        <f t="shared" si="419"/>
        <v>0.26388340999999998</v>
      </c>
      <c r="I1330" s="60">
        <f t="shared" si="420"/>
        <v>8.0223999999999996E-4</v>
      </c>
    </row>
    <row r="1331" spans="1:15" ht="19.95" customHeight="1">
      <c r="A1331" s="588" t="str">
        <f t="shared" ref="A1331:F1331" si="433">A1274</f>
        <v>360a_1</v>
      </c>
      <c r="B1331" s="60">
        <f t="shared" si="433"/>
        <v>0.26433184971703233</v>
      </c>
      <c r="C1331" s="60">
        <f t="shared" si="433"/>
        <v>8.0343225506680836E-4</v>
      </c>
      <c r="D1331" s="60" t="str">
        <f t="shared" si="433"/>
        <v>EX/UV-VIS</v>
      </c>
      <c r="E1331" s="60" t="str">
        <f t="shared" si="433"/>
        <v>Gauss</v>
      </c>
      <c r="F1331" s="235">
        <f t="shared" si="433"/>
        <v>45356.5681944444</v>
      </c>
      <c r="H1331" s="60">
        <f t="shared" si="419"/>
        <v>0.26433184999999998</v>
      </c>
      <c r="I1331" s="60">
        <f t="shared" si="420"/>
        <v>8.0343000000000005E-4</v>
      </c>
    </row>
    <row r="1332" spans="1:15" ht="19.95" customHeight="1">
      <c r="A1332" s="588" t="str">
        <f t="shared" ref="A1332:F1332" si="434">A1275</f>
        <v>052a_2</v>
      </c>
      <c r="B1332" s="60">
        <f t="shared" si="434"/>
        <v>0.2635020148936375</v>
      </c>
      <c r="C1332" s="60">
        <f t="shared" si="434"/>
        <v>8.0122861687545238E-4</v>
      </c>
      <c r="D1332" s="60" t="str">
        <f t="shared" si="434"/>
        <v>EX/UV-VIS</v>
      </c>
      <c r="E1332" s="60" t="str">
        <f t="shared" si="434"/>
        <v>Gauss</v>
      </c>
      <c r="F1332" s="235">
        <f t="shared" si="434"/>
        <v>45356.5681944444</v>
      </c>
      <c r="H1332" s="60">
        <f t="shared" si="419"/>
        <v>0.26350201000000001</v>
      </c>
      <c r="I1332" s="60">
        <f t="shared" si="420"/>
        <v>8.0123E-4</v>
      </c>
    </row>
    <row r="1333" spans="1:15" ht="19.95" customHeight="1">
      <c r="A1333" s="588" t="str">
        <f t="shared" ref="A1333:F1333" si="435">A1276</f>
        <v>130a_2</v>
      </c>
      <c r="B1333" s="60">
        <f t="shared" si="435"/>
        <v>0.26521474425761038</v>
      </c>
      <c r="C1333" s="60">
        <f t="shared" si="435"/>
        <v>8.0578071811508375E-4</v>
      </c>
      <c r="D1333" s="60" t="str">
        <f t="shared" si="435"/>
        <v>EX/UV-VIS</v>
      </c>
      <c r="E1333" s="60" t="str">
        <f t="shared" si="435"/>
        <v>Gauss</v>
      </c>
      <c r="F1333" s="235">
        <f t="shared" si="435"/>
        <v>45356.5681944444</v>
      </c>
      <c r="H1333" s="60">
        <f t="shared" si="419"/>
        <v>0.26521474</v>
      </c>
      <c r="I1333" s="60">
        <f t="shared" si="420"/>
        <v>8.0577999999999997E-4</v>
      </c>
    </row>
    <row r="1334" spans="1:15" ht="19.95" customHeight="1">
      <c r="A1334" s="588" t="str">
        <f t="shared" ref="A1334:F1334" si="436">A1277</f>
        <v>207a_2</v>
      </c>
      <c r="B1334" s="60">
        <f t="shared" si="436"/>
        <v>0.26254972674436167</v>
      </c>
      <c r="C1334" s="60">
        <f t="shared" si="436"/>
        <v>7.9870424507866951E-4</v>
      </c>
      <c r="D1334" s="60" t="str">
        <f t="shared" si="436"/>
        <v>EX/UV-VIS</v>
      </c>
      <c r="E1334" s="60" t="str">
        <f t="shared" si="436"/>
        <v>Gauss</v>
      </c>
      <c r="F1334" s="235">
        <f t="shared" si="436"/>
        <v>45356.5681944444</v>
      </c>
      <c r="H1334" s="60">
        <f t="shared" si="419"/>
        <v>0.26254972999999998</v>
      </c>
      <c r="I1334" s="60">
        <f t="shared" si="420"/>
        <v>7.9869999999999995E-4</v>
      </c>
    </row>
    <row r="1335" spans="1:15" ht="19.95" customHeight="1">
      <c r="A1335" s="588" t="str">
        <f t="shared" ref="A1335:F1335" si="437">A1278</f>
        <v>284a_2</v>
      </c>
      <c r="B1335" s="60">
        <f t="shared" si="437"/>
        <v>0.26382574297220129</v>
      </c>
      <c r="C1335" s="60">
        <f t="shared" si="437"/>
        <v>8.0208785427811672E-4</v>
      </c>
      <c r="D1335" s="60" t="str">
        <f t="shared" si="437"/>
        <v>EX/UV-VIS</v>
      </c>
      <c r="E1335" s="60" t="str">
        <f t="shared" si="437"/>
        <v>Gauss</v>
      </c>
      <c r="F1335" s="235">
        <f t="shared" si="437"/>
        <v>45356.5681944444</v>
      </c>
      <c r="H1335" s="60">
        <f t="shared" si="419"/>
        <v>0.26382573999999998</v>
      </c>
      <c r="I1335" s="60">
        <f t="shared" si="420"/>
        <v>8.0208999999999999E-4</v>
      </c>
    </row>
    <row r="1336" spans="1:15" ht="19.95" customHeight="1">
      <c r="A1336" s="589" t="str">
        <f t="shared" ref="A1336:F1336" si="438">A1279</f>
        <v>360a_2</v>
      </c>
      <c r="B1336" s="81">
        <f t="shared" si="438"/>
        <v>0.26449555662850815</v>
      </c>
      <c r="C1336" s="81">
        <f t="shared" si="438"/>
        <v>8.0386740417775061E-4</v>
      </c>
      <c r="D1336" s="81" t="str">
        <f t="shared" si="438"/>
        <v>EX/UV-VIS</v>
      </c>
      <c r="E1336" s="81" t="str">
        <f t="shared" si="438"/>
        <v>Gauss</v>
      </c>
      <c r="F1336" s="236">
        <f t="shared" si="438"/>
        <v>45356.5681944444</v>
      </c>
      <c r="H1336" s="81">
        <f t="shared" si="419"/>
        <v>0.26449556000000002</v>
      </c>
      <c r="I1336" s="81">
        <f t="shared" si="420"/>
        <v>8.0387000000000004E-4</v>
      </c>
    </row>
    <row r="1337" spans="1:15" ht="19.95" customHeight="1">
      <c r="A1337" s="588"/>
      <c r="B1337" s="588"/>
      <c r="C1337" s="588"/>
    </row>
    <row r="1338" spans="1:15" ht="19.95" customHeight="1">
      <c r="A1338" s="57" t="s">
        <v>2522</v>
      </c>
      <c r="B1338" s="588"/>
      <c r="C1338" s="588"/>
    </row>
    <row r="1339" spans="1:15" ht="19.95" customHeight="1">
      <c r="A1339" s="588"/>
      <c r="B1339" s="588"/>
      <c r="C1339" s="588"/>
    </row>
    <row r="1340" spans="1:15" s="149" customFormat="1" ht="19.95" customHeight="1">
      <c r="A1340" s="150" t="s">
        <v>2584</v>
      </c>
      <c r="D1340" s="163"/>
    </row>
    <row r="1341" spans="1:15" ht="19.95" customHeight="1">
      <c r="A1341" s="588"/>
      <c r="B1341" s="588"/>
      <c r="C1341" s="588"/>
    </row>
    <row r="1342" spans="1:15" s="588" customFormat="1" ht="19.95" customHeight="1">
      <c r="D1342" s="479"/>
      <c r="K1342" s="588" t="s">
        <v>2488</v>
      </c>
    </row>
    <row r="1343" spans="1:15" ht="19.95" customHeight="1">
      <c r="A1343" s="592" t="s">
        <v>100</v>
      </c>
      <c r="B1343" s="592" t="s">
        <v>1526</v>
      </c>
      <c r="C1343" s="592" t="s">
        <v>2391</v>
      </c>
      <c r="D1343" s="875" t="s">
        <v>2390</v>
      </c>
      <c r="E1343" s="480" t="s">
        <v>270</v>
      </c>
      <c r="F1343" s="592" t="s">
        <v>2</v>
      </c>
      <c r="G1343" s="588"/>
      <c r="H1343" s="592" t="s">
        <v>1526</v>
      </c>
      <c r="I1343" s="592" t="s">
        <v>2391</v>
      </c>
      <c r="K1343" s="480" t="s">
        <v>299</v>
      </c>
      <c r="L1343" s="480" t="s">
        <v>300</v>
      </c>
      <c r="M1343" s="480" t="s">
        <v>301</v>
      </c>
      <c r="N1343" s="592" t="s">
        <v>2</v>
      </c>
      <c r="O1343" s="924"/>
    </row>
    <row r="1344" spans="1:15" ht="19.95" customHeight="1">
      <c r="A1344" s="589" t="s">
        <v>96</v>
      </c>
      <c r="B1344" s="589" t="s">
        <v>959</v>
      </c>
      <c r="C1344" s="589" t="s">
        <v>959</v>
      </c>
      <c r="D1344" s="153" t="s">
        <v>96</v>
      </c>
      <c r="E1344" s="589" t="s">
        <v>96</v>
      </c>
      <c r="F1344" s="589" t="s">
        <v>2393</v>
      </c>
      <c r="G1344" s="588"/>
      <c r="H1344" s="589" t="s">
        <v>959</v>
      </c>
      <c r="I1344" s="589" t="s">
        <v>959</v>
      </c>
      <c r="K1344" s="589" t="s">
        <v>959</v>
      </c>
      <c r="L1344" s="589" t="s">
        <v>959</v>
      </c>
      <c r="M1344" s="589" t="s">
        <v>959</v>
      </c>
      <c r="N1344" s="589" t="s">
        <v>2393</v>
      </c>
      <c r="O1344" s="228"/>
    </row>
    <row r="1345" spans="1:15" ht="19.95" customHeight="1">
      <c r="A1345" s="588" t="str">
        <f t="shared" ref="A1345:F1354" si="439">A1194</f>
        <v>001_A1</v>
      </c>
      <c r="B1345" s="154">
        <f t="shared" si="439"/>
        <v>7.5950239136550995E-2</v>
      </c>
      <c r="C1345" s="154">
        <f t="shared" si="439"/>
        <v>2.359629289882365E-4</v>
      </c>
      <c r="D1345" s="588" t="str">
        <f t="shared" si="439"/>
        <v>ID/GCMS</v>
      </c>
      <c r="E1345" s="588" t="str">
        <f t="shared" si="439"/>
        <v>Gauss</v>
      </c>
      <c r="F1345" s="235">
        <f t="shared" si="439"/>
        <v>45343.551331018498</v>
      </c>
      <c r="G1345" s="588"/>
      <c r="H1345" s="154">
        <f>ROUND(B1345,9)</f>
        <v>7.5950239000000003E-2</v>
      </c>
      <c r="I1345" s="154">
        <f>ROUND(C1345,9)</f>
        <v>2.35963E-4</v>
      </c>
      <c r="K1345" s="935">
        <v>7.5603030000000002E-2</v>
      </c>
      <c r="L1345" s="935">
        <v>7.4335870000000006E-5</v>
      </c>
      <c r="M1345" s="935">
        <v>0</v>
      </c>
      <c r="N1345" s="378">
        <v>45343</v>
      </c>
      <c r="O1345" s="778"/>
    </row>
    <row r="1346" spans="1:15" ht="19.95" customHeight="1">
      <c r="A1346" s="588" t="str">
        <f t="shared" si="439"/>
        <v>078_A1</v>
      </c>
      <c r="B1346" s="154">
        <f t="shared" si="439"/>
        <v>7.5766771493273655E-2</v>
      </c>
      <c r="C1346" s="154">
        <f t="shared" si="439"/>
        <v>2.3546631193763163E-4</v>
      </c>
      <c r="D1346" s="588" t="str">
        <f t="shared" si="439"/>
        <v>ID/GCMS</v>
      </c>
      <c r="E1346" s="588" t="str">
        <f t="shared" si="439"/>
        <v>Gauss</v>
      </c>
      <c r="F1346" s="235">
        <f t="shared" si="439"/>
        <v>45343.5609722222</v>
      </c>
      <c r="G1346" s="588"/>
      <c r="H1346" s="154">
        <f t="shared" ref="H1346:H1354" si="440">ROUND(B1346,9)</f>
        <v>7.5766770999999997E-2</v>
      </c>
      <c r="I1346" s="154">
        <f t="shared" ref="I1346:I1354" si="441">ROUND(C1346,9)</f>
        <v>2.3546600000000001E-4</v>
      </c>
      <c r="K1346" s="936">
        <v>7.541668E-2</v>
      </c>
      <c r="L1346" s="936">
        <v>7.5216249999999997E-5</v>
      </c>
      <c r="M1346" s="936">
        <v>0</v>
      </c>
      <c r="N1346" s="926">
        <v>45357</v>
      </c>
      <c r="O1346" s="588"/>
    </row>
    <row r="1347" spans="1:15" ht="19.95" customHeight="1">
      <c r="A1347" s="588" t="str">
        <f t="shared" si="439"/>
        <v>155_A1</v>
      </c>
      <c r="B1347" s="154">
        <f t="shared" si="439"/>
        <v>7.5281831300685914E-2</v>
      </c>
      <c r="C1347" s="154">
        <f t="shared" si="439"/>
        <v>2.3420885223758377E-4</v>
      </c>
      <c r="D1347" s="588" t="str">
        <f t="shared" si="439"/>
        <v>ID/GCMS</v>
      </c>
      <c r="E1347" s="588" t="str">
        <f t="shared" si="439"/>
        <v>Gauss</v>
      </c>
      <c r="F1347" s="235">
        <f t="shared" si="439"/>
        <v>45343.5706712963</v>
      </c>
      <c r="G1347" s="588"/>
      <c r="H1347" s="154">
        <f t="shared" si="440"/>
        <v>7.5281830999999994E-2</v>
      </c>
      <c r="I1347" s="154">
        <f t="shared" si="441"/>
        <v>2.3420900000000001E-4</v>
      </c>
      <c r="K1347" s="57" t="s">
        <v>2520</v>
      </c>
      <c r="L1347" s="588"/>
      <c r="M1347" s="588"/>
      <c r="N1347" s="588"/>
      <c r="O1347" s="588"/>
    </row>
    <row r="1348" spans="1:15" ht="19.95" customHeight="1">
      <c r="A1348" s="588" t="str">
        <f t="shared" si="439"/>
        <v>232_A1</v>
      </c>
      <c r="B1348" s="154">
        <f t="shared" si="439"/>
        <v>7.5755040069541174E-2</v>
      </c>
      <c r="C1348" s="154">
        <f t="shared" si="439"/>
        <v>2.354449758730145E-4</v>
      </c>
      <c r="D1348" s="588" t="str">
        <f t="shared" si="439"/>
        <v>ID/GCMS</v>
      </c>
      <c r="E1348" s="588" t="str">
        <f t="shared" si="439"/>
        <v>Gauss</v>
      </c>
      <c r="F1348" s="235">
        <f t="shared" si="439"/>
        <v>45343.580266203702</v>
      </c>
      <c r="G1348" s="588"/>
      <c r="H1348" s="154">
        <f t="shared" si="440"/>
        <v>7.5755039999999996E-2</v>
      </c>
      <c r="I1348" s="154">
        <f t="shared" si="441"/>
        <v>2.3544500000000001E-4</v>
      </c>
      <c r="K1348" s="57" t="s">
        <v>2521</v>
      </c>
      <c r="L1348" s="588"/>
      <c r="M1348" s="588"/>
      <c r="N1348" s="588"/>
      <c r="O1348" s="588"/>
    </row>
    <row r="1349" spans="1:15" ht="19.95" customHeight="1">
      <c r="A1349" s="588" t="str">
        <f t="shared" si="439"/>
        <v>310_A1</v>
      </c>
      <c r="B1349" s="154">
        <f t="shared" si="439"/>
        <v>7.5664730577434669E-2</v>
      </c>
      <c r="C1349" s="154">
        <f t="shared" si="439"/>
        <v>2.352704339264701E-4</v>
      </c>
      <c r="D1349" s="588" t="str">
        <f t="shared" si="439"/>
        <v>ID/GCMS</v>
      </c>
      <c r="E1349" s="588" t="str">
        <f t="shared" si="439"/>
        <v>Gauss</v>
      </c>
      <c r="F1349" s="235">
        <f t="shared" si="439"/>
        <v>45343.589884259301</v>
      </c>
      <c r="G1349" s="588"/>
      <c r="H1349" s="154">
        <f t="shared" si="440"/>
        <v>7.5664730999999999E-2</v>
      </c>
      <c r="I1349" s="154">
        <f t="shared" si="441"/>
        <v>2.3526999999999999E-4</v>
      </c>
    </row>
    <row r="1350" spans="1:15" ht="19.95" customHeight="1">
      <c r="A1350" s="588" t="str">
        <f t="shared" si="439"/>
        <v>001_A2</v>
      </c>
      <c r="B1350" s="154">
        <f t="shared" si="439"/>
        <v>7.5393900027546437E-2</v>
      </c>
      <c r="C1350" s="154">
        <f t="shared" si="439"/>
        <v>2.3443323129615523E-4</v>
      </c>
      <c r="D1350" s="588" t="str">
        <f t="shared" si="439"/>
        <v>ID/GCMS</v>
      </c>
      <c r="E1350" s="588" t="str">
        <f t="shared" si="439"/>
        <v>Gauss</v>
      </c>
      <c r="F1350" s="235">
        <f t="shared" si="439"/>
        <v>45343.599571759303</v>
      </c>
      <c r="G1350" s="588"/>
      <c r="H1350" s="154">
        <f t="shared" si="440"/>
        <v>7.53939E-2</v>
      </c>
      <c r="I1350" s="154">
        <f t="shared" si="441"/>
        <v>2.3443300000000001E-4</v>
      </c>
    </row>
    <row r="1351" spans="1:15" ht="19.95" customHeight="1">
      <c r="A1351" s="588" t="str">
        <f t="shared" si="439"/>
        <v>078_A2</v>
      </c>
      <c r="B1351" s="154">
        <f t="shared" si="439"/>
        <v>7.5491899140296664E-2</v>
      </c>
      <c r="C1351" s="154">
        <f t="shared" si="439"/>
        <v>2.3474920698866148E-4</v>
      </c>
      <c r="D1351" s="588" t="str">
        <f t="shared" si="439"/>
        <v>ID/GCMS</v>
      </c>
      <c r="E1351" s="588" t="str">
        <f t="shared" si="439"/>
        <v>Gauss</v>
      </c>
      <c r="F1351" s="235">
        <f t="shared" si="439"/>
        <v>45343.609212962998</v>
      </c>
      <c r="G1351" s="588"/>
      <c r="H1351" s="154">
        <f t="shared" si="440"/>
        <v>7.5491899000000001E-2</v>
      </c>
      <c r="I1351" s="154">
        <f t="shared" si="441"/>
        <v>2.34749E-4</v>
      </c>
    </row>
    <row r="1352" spans="1:15" ht="19.95" customHeight="1">
      <c r="A1352" s="588" t="str">
        <f t="shared" si="439"/>
        <v>155_A2</v>
      </c>
      <c r="B1352" s="154">
        <f t="shared" si="439"/>
        <v>7.584974337410362E-2</v>
      </c>
      <c r="C1352" s="154">
        <f t="shared" si="439"/>
        <v>2.3581358859527731E-4</v>
      </c>
      <c r="D1352" s="588" t="str">
        <f t="shared" si="439"/>
        <v>ID/GCMS</v>
      </c>
      <c r="E1352" s="588" t="str">
        <f t="shared" si="439"/>
        <v>Gauss</v>
      </c>
      <c r="F1352" s="235">
        <f t="shared" si="439"/>
        <v>45343.618888888901</v>
      </c>
      <c r="G1352" s="588"/>
      <c r="H1352" s="154">
        <f t="shared" si="440"/>
        <v>7.5849742999999997E-2</v>
      </c>
      <c r="I1352" s="154">
        <f t="shared" si="441"/>
        <v>2.3581399999999999E-4</v>
      </c>
    </row>
    <row r="1353" spans="1:15" ht="19.95" customHeight="1">
      <c r="A1353" s="588" t="str">
        <f t="shared" si="439"/>
        <v>232_A2</v>
      </c>
      <c r="B1353" s="154">
        <f t="shared" si="439"/>
        <v>7.5356619638623085E-2</v>
      </c>
      <c r="C1353" s="154">
        <f t="shared" si="439"/>
        <v>2.34460251478715E-4</v>
      </c>
      <c r="D1353" s="588" t="str">
        <f t="shared" si="439"/>
        <v>ID/GCMS</v>
      </c>
      <c r="E1353" s="588" t="str">
        <f t="shared" si="439"/>
        <v>Gauss</v>
      </c>
      <c r="F1353" s="235">
        <f t="shared" si="439"/>
        <v>45343.628472222197</v>
      </c>
      <c r="G1353" s="588"/>
      <c r="H1353" s="154">
        <f t="shared" si="440"/>
        <v>7.5356619999999999E-2</v>
      </c>
      <c r="I1353" s="154">
        <f t="shared" si="441"/>
        <v>2.3446E-4</v>
      </c>
    </row>
    <row r="1354" spans="1:15" ht="19.95" customHeight="1">
      <c r="A1354" s="589" t="str">
        <f t="shared" si="439"/>
        <v>310_A2</v>
      </c>
      <c r="B1354" s="155">
        <f t="shared" si="439"/>
        <v>7.5530076421360046E-2</v>
      </c>
      <c r="C1354" s="155">
        <f t="shared" si="439"/>
        <v>2.3491903546575473E-4</v>
      </c>
      <c r="D1354" s="589" t="str">
        <f t="shared" si="439"/>
        <v>ID/GCMS</v>
      </c>
      <c r="E1354" s="589" t="str">
        <f t="shared" si="439"/>
        <v>Gauss</v>
      </c>
      <c r="F1354" s="236">
        <f t="shared" si="439"/>
        <v>45343.6381944444</v>
      </c>
      <c r="G1354" s="588"/>
      <c r="H1354" s="155">
        <f t="shared" si="440"/>
        <v>7.5530076000000002E-2</v>
      </c>
      <c r="I1354" s="155">
        <f t="shared" si="441"/>
        <v>2.3491899999999999E-4</v>
      </c>
    </row>
    <row r="1355" spans="1:15" ht="19.95" customHeight="1">
      <c r="A1355" s="588" t="str">
        <f t="shared" ref="A1355:F1364" si="442">A1219</f>
        <v>052_A1</v>
      </c>
      <c r="B1355" s="154">
        <f t="shared" si="442"/>
        <v>7.5441163597349301E-2</v>
      </c>
      <c r="C1355" s="154">
        <f t="shared" si="442"/>
        <v>2.3784697567350312E-4</v>
      </c>
      <c r="D1355" s="588" t="str">
        <f t="shared" si="442"/>
        <v>ID/GCMS</v>
      </c>
      <c r="E1355" s="588" t="str">
        <f t="shared" si="442"/>
        <v>Gauss</v>
      </c>
      <c r="F1355" s="235">
        <f t="shared" si="442"/>
        <v>45357.537650462997</v>
      </c>
      <c r="G1355" s="588"/>
      <c r="H1355" s="157">
        <f t="shared" ref="H1355" si="443">ROUND(B1355,9)</f>
        <v>7.5441164000000005E-2</v>
      </c>
      <c r="I1355" s="157">
        <f t="shared" ref="I1355" si="444">ROUND(C1355,9)</f>
        <v>2.3784699999999999E-4</v>
      </c>
    </row>
    <row r="1356" spans="1:15" ht="19.95" customHeight="1">
      <c r="A1356" s="588" t="str">
        <f t="shared" si="442"/>
        <v>130_A1</v>
      </c>
      <c r="B1356" s="154">
        <f t="shared" si="442"/>
        <v>7.5415866801682122E-2</v>
      </c>
      <c r="C1356" s="154">
        <f t="shared" si="442"/>
        <v>2.3782726743797863E-4</v>
      </c>
      <c r="D1356" s="588" t="str">
        <f t="shared" si="442"/>
        <v>ID/GCMS</v>
      </c>
      <c r="E1356" s="588" t="str">
        <f t="shared" si="442"/>
        <v>Gauss</v>
      </c>
      <c r="F1356" s="235">
        <f t="shared" si="442"/>
        <v>45357.547523148103</v>
      </c>
      <c r="G1356" s="588"/>
      <c r="H1356" s="157">
        <f t="shared" ref="H1356:H1364" si="445">ROUND(B1356,9)</f>
        <v>7.5415866999999998E-2</v>
      </c>
      <c r="I1356" s="157">
        <f t="shared" ref="I1356:I1364" si="446">ROUND(C1356,9)</f>
        <v>2.37827E-4</v>
      </c>
    </row>
    <row r="1357" spans="1:15" ht="19.95" customHeight="1">
      <c r="A1357" s="588" t="str">
        <f t="shared" si="442"/>
        <v>207_A1</v>
      </c>
      <c r="B1357" s="154">
        <f t="shared" si="442"/>
        <v>7.5318738871659338E-2</v>
      </c>
      <c r="C1357" s="154">
        <f t="shared" si="442"/>
        <v>2.3757289012048225E-4</v>
      </c>
      <c r="D1357" s="588" t="str">
        <f t="shared" si="442"/>
        <v>ID/GCMS</v>
      </c>
      <c r="E1357" s="588" t="str">
        <f t="shared" si="442"/>
        <v>Gauss</v>
      </c>
      <c r="F1357" s="235">
        <f t="shared" si="442"/>
        <v>45357.557372685202</v>
      </c>
      <c r="G1357" s="588"/>
      <c r="H1357" s="157">
        <f t="shared" si="445"/>
        <v>7.5318738999999996E-2</v>
      </c>
      <c r="I1357" s="157">
        <f t="shared" si="446"/>
        <v>2.3757300000000001E-4</v>
      </c>
    </row>
    <row r="1358" spans="1:15" ht="19.95" customHeight="1">
      <c r="A1358" s="588" t="str">
        <f t="shared" si="442"/>
        <v>284_A1</v>
      </c>
      <c r="B1358" s="154">
        <f t="shared" si="442"/>
        <v>7.5677157124979383E-2</v>
      </c>
      <c r="C1358" s="154">
        <f t="shared" si="442"/>
        <v>2.3865204975590906E-4</v>
      </c>
      <c r="D1358" s="588" t="str">
        <f t="shared" si="442"/>
        <v>ID/GCMS</v>
      </c>
      <c r="E1358" s="588" t="str">
        <f t="shared" si="442"/>
        <v>Gauss</v>
      </c>
      <c r="F1358" s="235">
        <f t="shared" si="442"/>
        <v>45357.567233796297</v>
      </c>
      <c r="G1358" s="588"/>
      <c r="H1358" s="157">
        <f t="shared" si="445"/>
        <v>7.5677156999999995E-2</v>
      </c>
      <c r="I1358" s="157">
        <f t="shared" si="446"/>
        <v>2.38652E-4</v>
      </c>
    </row>
    <row r="1359" spans="1:15" ht="19.95" customHeight="1">
      <c r="A1359" s="588" t="str">
        <f t="shared" si="442"/>
        <v>360_A1</v>
      </c>
      <c r="B1359" s="154">
        <f t="shared" si="442"/>
        <v>7.5316383807303169E-2</v>
      </c>
      <c r="C1359" s="154">
        <f t="shared" si="442"/>
        <v>2.3754248591046384E-4</v>
      </c>
      <c r="D1359" s="588" t="str">
        <f t="shared" si="442"/>
        <v>ID/GCMS</v>
      </c>
      <c r="E1359" s="588" t="str">
        <f t="shared" si="442"/>
        <v>Gauss</v>
      </c>
      <c r="F1359" s="235">
        <f t="shared" si="442"/>
        <v>45357.577129629601</v>
      </c>
      <c r="G1359" s="588"/>
      <c r="H1359" s="157">
        <f t="shared" si="445"/>
        <v>7.5316384E-2</v>
      </c>
      <c r="I1359" s="157">
        <f t="shared" si="446"/>
        <v>2.3754200000000001E-4</v>
      </c>
    </row>
    <row r="1360" spans="1:15" ht="19.95" customHeight="1">
      <c r="A1360" s="588" t="str">
        <f t="shared" si="442"/>
        <v>052_A2</v>
      </c>
      <c r="B1360" s="154">
        <f t="shared" si="442"/>
        <v>7.5485598111188976E-2</v>
      </c>
      <c r="C1360" s="154">
        <f t="shared" si="442"/>
        <v>2.3806046411599239E-4</v>
      </c>
      <c r="D1360" s="588" t="str">
        <f t="shared" si="442"/>
        <v>ID/GCMS</v>
      </c>
      <c r="E1360" s="588" t="str">
        <f t="shared" si="442"/>
        <v>Gauss</v>
      </c>
      <c r="F1360" s="235">
        <f t="shared" si="442"/>
        <v>45357.586967592601</v>
      </c>
      <c r="G1360" s="588"/>
      <c r="H1360" s="157">
        <f t="shared" si="445"/>
        <v>7.5485598000000001E-2</v>
      </c>
      <c r="I1360" s="157">
        <f t="shared" si="446"/>
        <v>2.3806000000000001E-4</v>
      </c>
    </row>
    <row r="1361" spans="1:15" ht="19.95" customHeight="1">
      <c r="A1361" s="588" t="str">
        <f t="shared" si="442"/>
        <v>130_A2</v>
      </c>
      <c r="B1361" s="154">
        <f t="shared" si="442"/>
        <v>7.5486291588742163E-2</v>
      </c>
      <c r="C1361" s="154">
        <f t="shared" si="442"/>
        <v>2.3808976100253107E-4</v>
      </c>
      <c r="D1361" s="588" t="str">
        <f t="shared" si="442"/>
        <v>ID/GCMS</v>
      </c>
      <c r="E1361" s="588" t="str">
        <f t="shared" si="442"/>
        <v>Gauss</v>
      </c>
      <c r="F1361" s="235">
        <f t="shared" si="442"/>
        <v>45357.596817129597</v>
      </c>
      <c r="G1361" s="588"/>
      <c r="H1361" s="157">
        <f t="shared" si="445"/>
        <v>7.5486291999999997E-2</v>
      </c>
      <c r="I1361" s="157">
        <f t="shared" si="446"/>
        <v>2.3808999999999999E-4</v>
      </c>
    </row>
    <row r="1362" spans="1:15" ht="19.95" customHeight="1">
      <c r="A1362" s="588" t="str">
        <f t="shared" si="442"/>
        <v>207_A2</v>
      </c>
      <c r="B1362" s="154">
        <f t="shared" si="442"/>
        <v>7.5317616628369291E-2</v>
      </c>
      <c r="C1362" s="154">
        <f t="shared" si="442"/>
        <v>2.3757016936747422E-4</v>
      </c>
      <c r="D1362" s="588" t="str">
        <f t="shared" si="442"/>
        <v>ID/GCMS</v>
      </c>
      <c r="E1362" s="588" t="str">
        <f t="shared" si="442"/>
        <v>Gauss</v>
      </c>
      <c r="F1362" s="235">
        <f t="shared" si="442"/>
        <v>45357.606643518498</v>
      </c>
      <c r="G1362" s="588"/>
      <c r="H1362" s="157">
        <f t="shared" si="445"/>
        <v>7.5317617000000003E-2</v>
      </c>
      <c r="I1362" s="157">
        <f t="shared" si="446"/>
        <v>2.3756999999999999E-4</v>
      </c>
    </row>
    <row r="1363" spans="1:15" ht="19.95" customHeight="1">
      <c r="A1363" s="588" t="str">
        <f t="shared" si="442"/>
        <v>284_A2</v>
      </c>
      <c r="B1363" s="154">
        <f t="shared" si="442"/>
        <v>7.5269912025839963E-2</v>
      </c>
      <c r="C1363" s="154">
        <f t="shared" si="442"/>
        <v>2.3745824081075896E-4</v>
      </c>
      <c r="D1363" s="588" t="str">
        <f t="shared" si="442"/>
        <v>ID/GCMS</v>
      </c>
      <c r="E1363" s="588" t="str">
        <f t="shared" si="442"/>
        <v>Gauss</v>
      </c>
      <c r="F1363" s="235">
        <f t="shared" si="442"/>
        <v>45357.616550925901</v>
      </c>
      <c r="G1363" s="588"/>
      <c r="H1363" s="157">
        <f t="shared" si="445"/>
        <v>7.5269911999999994E-2</v>
      </c>
      <c r="I1363" s="157">
        <f t="shared" si="446"/>
        <v>2.3745799999999999E-4</v>
      </c>
    </row>
    <row r="1364" spans="1:15" ht="19.95" customHeight="1">
      <c r="A1364" s="589" t="str">
        <f t="shared" si="442"/>
        <v>360_A2</v>
      </c>
      <c r="B1364" s="155">
        <f t="shared" si="442"/>
        <v>7.5441298673430385E-2</v>
      </c>
      <c r="C1364" s="155">
        <f t="shared" si="442"/>
        <v>2.3793471927556075E-4</v>
      </c>
      <c r="D1364" s="589" t="str">
        <f t="shared" si="442"/>
        <v>ID/GCMS</v>
      </c>
      <c r="E1364" s="589" t="str">
        <f t="shared" si="442"/>
        <v>Gauss</v>
      </c>
      <c r="F1364" s="236">
        <f t="shared" si="442"/>
        <v>45357.626493055599</v>
      </c>
      <c r="G1364" s="588"/>
      <c r="H1364" s="155">
        <f t="shared" si="445"/>
        <v>7.5441299000000003E-2</v>
      </c>
      <c r="I1364" s="155">
        <f t="shared" si="446"/>
        <v>2.3793499999999999E-4</v>
      </c>
    </row>
    <row r="1365" spans="1:15" ht="19.95" customHeight="1">
      <c r="A1365" s="588"/>
      <c r="B1365" s="154"/>
      <c r="C1365" s="154"/>
      <c r="D1365" s="588"/>
      <c r="E1365" s="588"/>
      <c r="F1365" s="235"/>
      <c r="G1365" s="588"/>
      <c r="H1365" s="157"/>
      <c r="I1365" s="157"/>
    </row>
    <row r="1366" spans="1:15" ht="19.95" customHeight="1">
      <c r="A1366" s="57" t="s">
        <v>2585</v>
      </c>
      <c r="B1366" s="154"/>
      <c r="C1366" s="154"/>
      <c r="D1366" s="588"/>
      <c r="E1366" s="588"/>
      <c r="F1366" s="235"/>
      <c r="G1366" s="588"/>
      <c r="H1366" s="157"/>
      <c r="I1366" s="157"/>
    </row>
    <row r="1368" spans="1:15" s="149" customFormat="1" ht="19.95" customHeight="1">
      <c r="A1368" s="150" t="s">
        <v>2612</v>
      </c>
      <c r="D1368" s="163"/>
    </row>
    <row r="1370" spans="1:15" s="588" customFormat="1" ht="19.95" customHeight="1">
      <c r="D1370" s="479"/>
      <c r="K1370" s="588" t="s">
        <v>2488</v>
      </c>
    </row>
    <row r="1371" spans="1:15" ht="19.95" customHeight="1">
      <c r="A1371" s="592" t="s">
        <v>100</v>
      </c>
      <c r="B1371" s="592" t="s">
        <v>2146</v>
      </c>
      <c r="C1371" s="592" t="s">
        <v>2147</v>
      </c>
      <c r="D1371" s="875" t="s">
        <v>2390</v>
      </c>
      <c r="E1371" s="480" t="s">
        <v>270</v>
      </c>
      <c r="F1371" s="592" t="s">
        <v>2</v>
      </c>
      <c r="G1371" s="588"/>
      <c r="H1371" s="592" t="s">
        <v>2146</v>
      </c>
      <c r="I1371" s="592" t="s">
        <v>2147</v>
      </c>
      <c r="K1371" s="480" t="s">
        <v>299</v>
      </c>
      <c r="L1371" s="480" t="s">
        <v>300</v>
      </c>
      <c r="M1371" s="480" t="s">
        <v>301</v>
      </c>
      <c r="N1371" s="592" t="s">
        <v>2</v>
      </c>
      <c r="O1371" s="924"/>
    </row>
    <row r="1372" spans="1:15" ht="19.95" customHeight="1">
      <c r="A1372" s="589" t="s">
        <v>96</v>
      </c>
      <c r="B1372" s="589" t="s">
        <v>959</v>
      </c>
      <c r="C1372" s="589" t="s">
        <v>959</v>
      </c>
      <c r="D1372" s="153" t="s">
        <v>96</v>
      </c>
      <c r="E1372" s="589" t="s">
        <v>96</v>
      </c>
      <c r="F1372" s="589" t="s">
        <v>2393</v>
      </c>
      <c r="G1372" s="588"/>
      <c r="H1372" s="589" t="s">
        <v>959</v>
      </c>
      <c r="I1372" s="589" t="s">
        <v>959</v>
      </c>
      <c r="K1372" s="589" t="s">
        <v>959</v>
      </c>
      <c r="L1372" s="589" t="s">
        <v>959</v>
      </c>
      <c r="M1372" s="589" t="s">
        <v>959</v>
      </c>
      <c r="N1372" s="589" t="s">
        <v>2393</v>
      </c>
      <c r="O1372" s="228"/>
    </row>
    <row r="1373" spans="1:15" ht="19.95" customHeight="1">
      <c r="A1373" s="588" t="str">
        <f>A1286</f>
        <v>001a_1</v>
      </c>
      <c r="B1373" s="60">
        <f t="shared" ref="B1373:F1373" si="447">B1286</f>
        <v>0.42144320600798152</v>
      </c>
      <c r="C1373" s="60">
        <f t="shared" si="447"/>
        <v>2.8289859220615005E-3</v>
      </c>
      <c r="D1373" s="588" t="str">
        <f t="shared" si="447"/>
        <v>EX/UV-VIS</v>
      </c>
      <c r="E1373" s="588" t="str">
        <f t="shared" si="447"/>
        <v>Gauss</v>
      </c>
      <c r="F1373" s="235">
        <f t="shared" si="447"/>
        <v>45343</v>
      </c>
      <c r="G1373" s="588"/>
      <c r="H1373" s="60">
        <f>ROUND(B1373,9)</f>
        <v>0.42144320600000001</v>
      </c>
      <c r="I1373" s="60">
        <f>ROUND(C1373,9)</f>
        <v>2.8289859999999999E-3</v>
      </c>
      <c r="K1373" s="908">
        <v>0.4259367</v>
      </c>
      <c r="L1373" s="908">
        <v>9.0336959999999999E-4</v>
      </c>
      <c r="M1373" s="908">
        <v>0</v>
      </c>
      <c r="N1373" s="378">
        <v>45343</v>
      </c>
      <c r="O1373" s="778"/>
    </row>
    <row r="1374" spans="1:15" ht="19.95" customHeight="1">
      <c r="A1374" s="588" t="str">
        <f t="shared" ref="A1374:F1374" si="448">A1287</f>
        <v>078a_1</v>
      </c>
      <c r="B1374" s="60">
        <f t="shared" si="448"/>
        <v>0.42353818932199305</v>
      </c>
      <c r="C1374" s="60">
        <f t="shared" si="448"/>
        <v>2.8418683432670441E-3</v>
      </c>
      <c r="D1374" s="588" t="str">
        <f t="shared" si="448"/>
        <v>EX/UV-VIS</v>
      </c>
      <c r="E1374" s="588" t="str">
        <f t="shared" si="448"/>
        <v>Gauss</v>
      </c>
      <c r="F1374" s="235">
        <f t="shared" si="448"/>
        <v>45343</v>
      </c>
      <c r="G1374" s="588"/>
      <c r="H1374" s="60">
        <f t="shared" ref="H1374:H1392" si="449">ROUND(B1374,9)</f>
        <v>0.42353818900000001</v>
      </c>
      <c r="I1374" s="60">
        <f t="shared" ref="I1374:I1392" si="450">ROUND(C1374,9)</f>
        <v>2.841868E-3</v>
      </c>
      <c r="K1374" s="801">
        <v>0.41779929999999998</v>
      </c>
      <c r="L1374" s="801">
        <v>7.6913619999999998E-4</v>
      </c>
      <c r="M1374" s="801">
        <v>0</v>
      </c>
      <c r="N1374" s="926">
        <v>45357</v>
      </c>
      <c r="O1374" s="588"/>
    </row>
    <row r="1375" spans="1:15" ht="19.95" customHeight="1">
      <c r="A1375" s="588" t="str">
        <f t="shared" ref="A1375:F1375" si="451">A1288</f>
        <v>155a_1</v>
      </c>
      <c r="B1375" s="60">
        <f t="shared" si="451"/>
        <v>0.42727784532975149</v>
      </c>
      <c r="C1375" s="60">
        <f t="shared" si="451"/>
        <v>2.8649159737586262E-3</v>
      </c>
      <c r="D1375" s="588" t="str">
        <f t="shared" si="451"/>
        <v>EX/UV-VIS</v>
      </c>
      <c r="E1375" s="588" t="str">
        <f t="shared" si="451"/>
        <v>Gauss</v>
      </c>
      <c r="F1375" s="235">
        <f t="shared" si="451"/>
        <v>45343</v>
      </c>
      <c r="G1375" s="588"/>
      <c r="H1375" s="60">
        <f t="shared" si="449"/>
        <v>0.42727784499999999</v>
      </c>
      <c r="I1375" s="60">
        <f t="shared" si="450"/>
        <v>2.8649159999999999E-3</v>
      </c>
      <c r="K1375" s="57" t="s">
        <v>2520</v>
      </c>
      <c r="L1375" s="588"/>
      <c r="M1375" s="588"/>
      <c r="N1375" s="588"/>
      <c r="O1375" s="588"/>
    </row>
    <row r="1376" spans="1:15" ht="19.95" customHeight="1">
      <c r="A1376" s="588" t="str">
        <f t="shared" ref="A1376:F1376" si="452">A1289</f>
        <v>232a_1</v>
      </c>
      <c r="B1376" s="60">
        <f t="shared" si="452"/>
        <v>0.42483906401903765</v>
      </c>
      <c r="C1376" s="60">
        <f t="shared" si="452"/>
        <v>2.84987819905023E-3</v>
      </c>
      <c r="D1376" s="588" t="str">
        <f t="shared" si="452"/>
        <v>EX/UV-VIS</v>
      </c>
      <c r="E1376" s="588" t="str">
        <f t="shared" si="452"/>
        <v>Gauss</v>
      </c>
      <c r="F1376" s="235">
        <f t="shared" si="452"/>
        <v>45343</v>
      </c>
      <c r="G1376" s="588"/>
      <c r="H1376" s="60">
        <f t="shared" si="449"/>
        <v>0.42483906399999999</v>
      </c>
      <c r="I1376" s="60">
        <f t="shared" si="450"/>
        <v>2.8498780000000001E-3</v>
      </c>
      <c r="K1376" s="57" t="s">
        <v>2521</v>
      </c>
      <c r="L1376" s="588"/>
      <c r="M1376" s="588"/>
      <c r="N1376" s="588"/>
      <c r="O1376" s="588"/>
    </row>
    <row r="1377" spans="1:9" ht="19.95" customHeight="1">
      <c r="A1377" s="588" t="str">
        <f t="shared" ref="A1377:F1377" si="453">A1290</f>
        <v>310a_1</v>
      </c>
      <c r="B1377" s="60">
        <f t="shared" si="453"/>
        <v>0.42896222964472874</v>
      </c>
      <c r="C1377" s="60">
        <f t="shared" si="453"/>
        <v>2.8753182442513565E-3</v>
      </c>
      <c r="D1377" s="588" t="str">
        <f t="shared" si="453"/>
        <v>EX/UV-VIS</v>
      </c>
      <c r="E1377" s="588" t="str">
        <f t="shared" si="453"/>
        <v>Gauss</v>
      </c>
      <c r="F1377" s="235">
        <f t="shared" si="453"/>
        <v>45343</v>
      </c>
      <c r="G1377" s="588"/>
      <c r="H1377" s="60">
        <f t="shared" si="449"/>
        <v>0.42896223</v>
      </c>
      <c r="I1377" s="60">
        <f t="shared" si="450"/>
        <v>2.875318E-3</v>
      </c>
    </row>
    <row r="1378" spans="1:9" ht="19.95" customHeight="1">
      <c r="A1378" s="588" t="str">
        <f t="shared" ref="A1378:F1378" si="454">A1291</f>
        <v>001a_2</v>
      </c>
      <c r="B1378" s="60">
        <f t="shared" si="454"/>
        <v>0.4236987123045538</v>
      </c>
      <c r="C1378" s="60">
        <f t="shared" si="454"/>
        <v>2.8428562940038789E-3</v>
      </c>
      <c r="D1378" s="588" t="str">
        <f t="shared" si="454"/>
        <v>EX/UV-VIS</v>
      </c>
      <c r="E1378" s="588" t="str">
        <f t="shared" si="454"/>
        <v>Gauss</v>
      </c>
      <c r="F1378" s="235">
        <f t="shared" si="454"/>
        <v>45343</v>
      </c>
      <c r="G1378" s="588"/>
      <c r="H1378" s="60">
        <f t="shared" si="449"/>
        <v>0.42369871199999998</v>
      </c>
      <c r="I1378" s="60">
        <f t="shared" si="450"/>
        <v>2.8428559999999999E-3</v>
      </c>
    </row>
    <row r="1379" spans="1:9" ht="19.95" customHeight="1">
      <c r="A1379" s="588" t="str">
        <f t="shared" ref="A1379:F1379" si="455">A1292</f>
        <v>078a_2</v>
      </c>
      <c r="B1379" s="60">
        <f t="shared" si="455"/>
        <v>0.42940815572729563</v>
      </c>
      <c r="C1379" s="60">
        <f t="shared" si="455"/>
        <v>2.8780743469063977E-3</v>
      </c>
      <c r="D1379" s="588" t="str">
        <f t="shared" si="455"/>
        <v>EX/UV-VIS</v>
      </c>
      <c r="E1379" s="588" t="str">
        <f t="shared" si="455"/>
        <v>Gauss</v>
      </c>
      <c r="F1379" s="235">
        <f t="shared" si="455"/>
        <v>45343</v>
      </c>
      <c r="G1379" s="588"/>
      <c r="H1379" s="60">
        <f t="shared" si="449"/>
        <v>0.42940815599999999</v>
      </c>
      <c r="I1379" s="60">
        <f t="shared" si="450"/>
        <v>2.878074E-3</v>
      </c>
    </row>
    <row r="1380" spans="1:9" ht="19.95" customHeight="1">
      <c r="A1380" s="588" t="str">
        <f t="shared" ref="A1380:F1380" si="456">A1293</f>
        <v>155a_2</v>
      </c>
      <c r="B1380" s="60">
        <f t="shared" si="456"/>
        <v>0.42420858829660502</v>
      </c>
      <c r="C1380" s="60">
        <f t="shared" si="456"/>
        <v>2.8459951773599831E-3</v>
      </c>
      <c r="D1380" s="588" t="str">
        <f t="shared" si="456"/>
        <v>EX/UV-VIS</v>
      </c>
      <c r="E1380" s="588" t="str">
        <f t="shared" si="456"/>
        <v>Gauss</v>
      </c>
      <c r="F1380" s="235">
        <f t="shared" si="456"/>
        <v>45343</v>
      </c>
      <c r="G1380" s="588"/>
      <c r="H1380" s="60">
        <f t="shared" si="449"/>
        <v>0.424208588</v>
      </c>
      <c r="I1380" s="60">
        <f t="shared" si="450"/>
        <v>2.845995E-3</v>
      </c>
    </row>
    <row r="1381" spans="1:9" ht="19.95" customHeight="1">
      <c r="A1381" s="588" t="str">
        <f t="shared" ref="A1381:F1381" si="457">A1294</f>
        <v>232a_2</v>
      </c>
      <c r="B1381" s="60">
        <f t="shared" si="457"/>
        <v>0.42899468384746947</v>
      </c>
      <c r="C1381" s="60">
        <f t="shared" si="457"/>
        <v>2.8755188007126343E-3</v>
      </c>
      <c r="D1381" s="588" t="str">
        <f t="shared" si="457"/>
        <v>EX/UV-VIS</v>
      </c>
      <c r="E1381" s="588" t="str">
        <f t="shared" si="457"/>
        <v>Gauss</v>
      </c>
      <c r="F1381" s="235">
        <f t="shared" si="457"/>
        <v>45343</v>
      </c>
      <c r="G1381" s="588"/>
      <c r="H1381" s="60">
        <f t="shared" si="449"/>
        <v>0.42899468400000002</v>
      </c>
      <c r="I1381" s="60">
        <f t="shared" si="450"/>
        <v>2.875519E-3</v>
      </c>
    </row>
    <row r="1382" spans="1:9" ht="19.95" customHeight="1">
      <c r="A1382" s="589" t="str">
        <f t="shared" ref="A1382:F1382" si="458">A1295</f>
        <v>310a_2</v>
      </c>
      <c r="B1382" s="81">
        <f t="shared" si="458"/>
        <v>0.4272960872462167</v>
      </c>
      <c r="C1382" s="81">
        <f t="shared" si="458"/>
        <v>2.8650285601051336E-3</v>
      </c>
      <c r="D1382" s="589" t="str">
        <f t="shared" si="458"/>
        <v>EX/UV-VIS</v>
      </c>
      <c r="E1382" s="589" t="str">
        <f t="shared" si="458"/>
        <v>Gauss</v>
      </c>
      <c r="F1382" s="236">
        <f t="shared" si="458"/>
        <v>45343</v>
      </c>
      <c r="G1382" s="588"/>
      <c r="H1382" s="81">
        <f t="shared" si="449"/>
        <v>0.42729608699999999</v>
      </c>
      <c r="I1382" s="81">
        <f t="shared" si="450"/>
        <v>2.8650289999999998E-3</v>
      </c>
    </row>
    <row r="1383" spans="1:9" ht="19.95" customHeight="1">
      <c r="A1383" s="588" t="str">
        <f t="shared" ref="A1383:F1383" si="459">A1296</f>
        <v>052a_1</v>
      </c>
      <c r="B1383" s="60">
        <f t="shared" si="459"/>
        <v>0.4164035233645999</v>
      </c>
      <c r="C1383" s="60">
        <f t="shared" si="459"/>
        <v>2.4244439728516652E-3</v>
      </c>
      <c r="D1383" s="588" t="str">
        <f t="shared" si="459"/>
        <v>EX/UV-VIS</v>
      </c>
      <c r="E1383" s="588" t="str">
        <f t="shared" si="459"/>
        <v>Gauss</v>
      </c>
      <c r="F1383" s="235">
        <f t="shared" si="459"/>
        <v>45357</v>
      </c>
      <c r="G1383" s="588"/>
      <c r="H1383" s="60">
        <f t="shared" si="449"/>
        <v>0.416403523</v>
      </c>
      <c r="I1383" s="60">
        <f t="shared" si="450"/>
        <v>2.424444E-3</v>
      </c>
    </row>
    <row r="1384" spans="1:9" ht="19.95" customHeight="1">
      <c r="A1384" s="588" t="str">
        <f t="shared" ref="A1384:F1384" si="460">A1297</f>
        <v>130a_1</v>
      </c>
      <c r="B1384" s="60">
        <f t="shared" si="460"/>
        <v>0.41648989361607186</v>
      </c>
      <c r="C1384" s="60">
        <f t="shared" si="460"/>
        <v>2.4249228497037327E-3</v>
      </c>
      <c r="D1384" s="588" t="str">
        <f t="shared" si="460"/>
        <v>EX/UV-VIS</v>
      </c>
      <c r="E1384" s="588" t="str">
        <f t="shared" si="460"/>
        <v>Gauss</v>
      </c>
      <c r="F1384" s="235">
        <f t="shared" si="460"/>
        <v>45357</v>
      </c>
      <c r="G1384" s="588"/>
      <c r="H1384" s="60">
        <f t="shared" si="449"/>
        <v>0.41648989400000003</v>
      </c>
      <c r="I1384" s="60">
        <f t="shared" si="450"/>
        <v>2.4249229999999998E-3</v>
      </c>
    </row>
    <row r="1385" spans="1:9" ht="19.95" customHeight="1">
      <c r="A1385" s="588" t="str">
        <f t="shared" ref="A1385:F1385" si="461">A1298</f>
        <v>207a_1</v>
      </c>
      <c r="B1385" s="60">
        <f t="shared" si="461"/>
        <v>0.41855732267505702</v>
      </c>
      <c r="C1385" s="60">
        <f t="shared" si="461"/>
        <v>2.4363901474150555E-3</v>
      </c>
      <c r="D1385" s="588" t="str">
        <f t="shared" si="461"/>
        <v>EX/UV-VIS</v>
      </c>
      <c r="E1385" s="588" t="str">
        <f t="shared" si="461"/>
        <v>Gauss</v>
      </c>
      <c r="F1385" s="235">
        <f t="shared" si="461"/>
        <v>45357</v>
      </c>
      <c r="G1385" s="588"/>
      <c r="H1385" s="60">
        <f t="shared" si="449"/>
        <v>0.41855732299999998</v>
      </c>
      <c r="I1385" s="60">
        <f t="shared" si="450"/>
        <v>2.4363900000000001E-3</v>
      </c>
    </row>
    <row r="1386" spans="1:9" ht="19.95" customHeight="1">
      <c r="A1386" s="588" t="str">
        <f t="shared" ref="A1386:F1386" si="462">A1299</f>
        <v>284a_1</v>
      </c>
      <c r="B1386" s="60">
        <f t="shared" si="462"/>
        <v>0.41693963583240523</v>
      </c>
      <c r="C1386" s="60">
        <f t="shared" si="462"/>
        <v>2.4274166748346464E-3</v>
      </c>
      <c r="D1386" s="588" t="str">
        <f t="shared" si="462"/>
        <v>EX/UV-VIS</v>
      </c>
      <c r="E1386" s="588" t="str">
        <f t="shared" si="462"/>
        <v>Gauss</v>
      </c>
      <c r="F1386" s="235">
        <f t="shared" si="462"/>
        <v>45357</v>
      </c>
      <c r="G1386" s="588"/>
      <c r="H1386" s="60">
        <f t="shared" si="449"/>
        <v>0.416939636</v>
      </c>
      <c r="I1386" s="60">
        <f t="shared" si="450"/>
        <v>2.4274169999999999E-3</v>
      </c>
    </row>
    <row r="1387" spans="1:9" ht="19.95" customHeight="1">
      <c r="A1387" s="588" t="str">
        <f t="shared" ref="A1387:F1387" si="463">A1300</f>
        <v>360a_1</v>
      </c>
      <c r="B1387" s="60">
        <f t="shared" si="463"/>
        <v>0.42339701266874408</v>
      </c>
      <c r="C1387" s="60">
        <f t="shared" si="463"/>
        <v>2.4632675147198161E-3</v>
      </c>
      <c r="D1387" s="588" t="str">
        <f t="shared" si="463"/>
        <v>EX/UV-VIS</v>
      </c>
      <c r="E1387" s="588" t="str">
        <f t="shared" si="463"/>
        <v>Gauss</v>
      </c>
      <c r="F1387" s="235">
        <f t="shared" si="463"/>
        <v>45357</v>
      </c>
      <c r="G1387" s="588"/>
      <c r="H1387" s="60">
        <f t="shared" si="449"/>
        <v>0.42339701299999999</v>
      </c>
      <c r="I1387" s="60">
        <f t="shared" si="450"/>
        <v>2.4632679999999998E-3</v>
      </c>
    </row>
    <row r="1388" spans="1:9" ht="19.95" customHeight="1">
      <c r="A1388" s="588" t="str">
        <f t="shared" ref="A1388:F1388" si="464">A1301</f>
        <v>052a_2</v>
      </c>
      <c r="B1388" s="60">
        <f t="shared" si="464"/>
        <v>0.41840181061524434</v>
      </c>
      <c r="C1388" s="60">
        <f t="shared" si="464"/>
        <v>2.4355272773008683E-3</v>
      </c>
      <c r="D1388" s="588" t="str">
        <f t="shared" si="464"/>
        <v>EX/UV-VIS</v>
      </c>
      <c r="E1388" s="588" t="str">
        <f t="shared" si="464"/>
        <v>Gauss</v>
      </c>
      <c r="F1388" s="235">
        <f t="shared" si="464"/>
        <v>45357</v>
      </c>
      <c r="G1388" s="588"/>
      <c r="H1388" s="60">
        <f t="shared" si="449"/>
        <v>0.41840181100000001</v>
      </c>
      <c r="I1388" s="60">
        <f t="shared" si="450"/>
        <v>2.4355269999999998E-3</v>
      </c>
    </row>
    <row r="1389" spans="1:9" ht="19.95" customHeight="1">
      <c r="A1389" s="588" t="str">
        <f t="shared" ref="A1389:F1389" si="465">A1302</f>
        <v>130a_2</v>
      </c>
      <c r="B1389" s="60">
        <f t="shared" si="465"/>
        <v>0.41746952501644857</v>
      </c>
      <c r="C1389" s="60">
        <f t="shared" si="465"/>
        <v>2.4303554420471336E-3</v>
      </c>
      <c r="D1389" s="588" t="str">
        <f t="shared" si="465"/>
        <v>EX/UV-VIS</v>
      </c>
      <c r="E1389" s="588" t="str">
        <f t="shared" si="465"/>
        <v>Gauss</v>
      </c>
      <c r="F1389" s="235">
        <f t="shared" si="465"/>
        <v>45357</v>
      </c>
      <c r="G1389" s="588"/>
      <c r="H1389" s="60">
        <f t="shared" si="449"/>
        <v>0.41746952500000001</v>
      </c>
      <c r="I1389" s="60">
        <f t="shared" si="450"/>
        <v>2.4303549999999999E-3</v>
      </c>
    </row>
    <row r="1390" spans="1:9" ht="19.95" customHeight="1">
      <c r="A1390" s="588" t="str">
        <f t="shared" ref="A1390:F1390" si="466">A1303</f>
        <v>207a_2</v>
      </c>
      <c r="B1390" s="60">
        <f t="shared" si="466"/>
        <v>0.41429736458505478</v>
      </c>
      <c r="C1390" s="60">
        <f t="shared" si="466"/>
        <v>2.4127711709635911E-3</v>
      </c>
      <c r="D1390" s="588" t="str">
        <f t="shared" si="466"/>
        <v>EX/UV-VIS</v>
      </c>
      <c r="E1390" s="588" t="str">
        <f t="shared" si="466"/>
        <v>Gauss</v>
      </c>
      <c r="F1390" s="235">
        <f t="shared" si="466"/>
        <v>45357</v>
      </c>
      <c r="G1390" s="588"/>
      <c r="H1390" s="60">
        <f t="shared" si="449"/>
        <v>0.41429736499999997</v>
      </c>
      <c r="I1390" s="60">
        <f t="shared" si="450"/>
        <v>2.4127710000000002E-3</v>
      </c>
    </row>
    <row r="1391" spans="1:9" ht="19.95" customHeight="1">
      <c r="A1391" s="588" t="str">
        <f t="shared" ref="A1391:F1391" si="467">A1304</f>
        <v>284a_2</v>
      </c>
      <c r="B1391" s="60">
        <f t="shared" si="467"/>
        <v>0.41703294700729204</v>
      </c>
      <c r="C1391" s="60">
        <f t="shared" si="467"/>
        <v>2.4279341376725783E-3</v>
      </c>
      <c r="D1391" s="588" t="str">
        <f t="shared" si="467"/>
        <v>EX/UV-VIS</v>
      </c>
      <c r="E1391" s="588" t="str">
        <f t="shared" si="467"/>
        <v>Gauss</v>
      </c>
      <c r="F1391" s="235">
        <f t="shared" si="467"/>
        <v>45357</v>
      </c>
      <c r="G1391" s="588"/>
      <c r="H1391" s="60">
        <f t="shared" si="449"/>
        <v>0.41703294699999999</v>
      </c>
      <c r="I1391" s="60">
        <f t="shared" si="450"/>
        <v>2.4279340000000001E-3</v>
      </c>
    </row>
    <row r="1392" spans="1:9" ht="19.95" customHeight="1">
      <c r="A1392" s="589" t="str">
        <f t="shared" ref="A1392:F1392" si="468">A1305</f>
        <v>360a_2</v>
      </c>
      <c r="B1392" s="81">
        <f t="shared" si="468"/>
        <v>0.41923813144149397</v>
      </c>
      <c r="C1392" s="81">
        <f t="shared" si="468"/>
        <v>2.4401682353657711E-3</v>
      </c>
      <c r="D1392" s="589" t="str">
        <f t="shared" si="468"/>
        <v>EX/UV-VIS</v>
      </c>
      <c r="E1392" s="589" t="str">
        <f t="shared" si="468"/>
        <v>Gauss</v>
      </c>
      <c r="F1392" s="236">
        <f t="shared" si="468"/>
        <v>45357</v>
      </c>
      <c r="G1392" s="588"/>
      <c r="H1392" s="81">
        <f t="shared" si="449"/>
        <v>0.41923813100000001</v>
      </c>
      <c r="I1392" s="81">
        <f t="shared" si="450"/>
        <v>2.4401679999999999E-3</v>
      </c>
    </row>
    <row r="1393" spans="1:9" s="588" customFormat="1" ht="19.95" customHeight="1">
      <c r="A1393" s="593"/>
      <c r="B1393" s="80"/>
      <c r="C1393" s="80"/>
      <c r="D1393" s="593"/>
      <c r="E1393" s="593"/>
      <c r="F1393" s="255"/>
      <c r="H1393" s="80"/>
      <c r="I1393" s="80"/>
    </row>
    <row r="1394" spans="1:9" s="588" customFormat="1" ht="19.95" customHeight="1">
      <c r="A1394" s="57" t="s">
        <v>2613</v>
      </c>
      <c r="B1394" s="80"/>
      <c r="C1394" s="80"/>
      <c r="D1394" s="593"/>
      <c r="E1394" s="593"/>
      <c r="F1394" s="255"/>
      <c r="H1394" s="80"/>
      <c r="I1394" s="80"/>
    </row>
    <row r="1395" spans="1:9" ht="19.95" customHeight="1">
      <c r="A1395" s="588"/>
      <c r="B1395" s="60"/>
      <c r="C1395" s="60"/>
      <c r="D1395" s="588"/>
      <c r="E1395" s="588"/>
      <c r="F1395" s="235"/>
      <c r="G1395" s="588"/>
      <c r="H1395" s="60"/>
      <c r="I1395" s="60"/>
    </row>
    <row r="1396" spans="1:9" s="149" customFormat="1" ht="19.95" customHeight="1">
      <c r="B1396" s="871"/>
      <c r="C1396" s="871"/>
      <c r="F1396" s="938"/>
      <c r="H1396" s="871"/>
      <c r="I1396" s="871"/>
    </row>
    <row r="1397" spans="1:9" ht="19.95" customHeight="1">
      <c r="A1397" s="588"/>
      <c r="B1397" s="60"/>
      <c r="C1397" s="60"/>
      <c r="D1397" s="588"/>
      <c r="E1397" s="588"/>
      <c r="F1397" s="235"/>
      <c r="G1397" s="588"/>
      <c r="H1397" s="60"/>
      <c r="I1397" s="60"/>
    </row>
    <row r="1398" spans="1:9" ht="19.95" customHeight="1">
      <c r="A1398" s="588"/>
      <c r="B1398" s="60"/>
      <c r="C1398" s="60"/>
      <c r="D1398" s="588"/>
      <c r="E1398" s="588"/>
      <c r="F1398" s="235"/>
      <c r="G1398" s="588"/>
      <c r="H1398" s="60"/>
      <c r="I1398" s="60"/>
    </row>
  </sheetData>
  <sheetProtection sheet="1" objects="1" scenarios="1"/>
  <phoneticPr fontId="55" type="noConversion"/>
  <conditionalFormatting sqref="A218:A220">
    <cfRule type="duplicateValues" dxfId="31" priority="151"/>
  </conditionalFormatting>
  <conditionalFormatting sqref="A236:A237">
    <cfRule type="duplicateValues" dxfId="30" priority="29"/>
  </conditionalFormatting>
  <conditionalFormatting sqref="A234:A235">
    <cfRule type="duplicateValues" dxfId="29" priority="30"/>
  </conditionalFormatting>
  <conditionalFormatting sqref="E234">
    <cfRule type="duplicateValues" dxfId="28" priority="28"/>
  </conditionalFormatting>
  <conditionalFormatting sqref="F234">
    <cfRule type="duplicateValues" dxfId="27" priority="27"/>
  </conditionalFormatting>
  <conditionalFormatting sqref="G234">
    <cfRule type="duplicateValues" dxfId="26" priority="26"/>
  </conditionalFormatting>
  <conditionalFormatting sqref="H234">
    <cfRule type="duplicateValues" dxfId="25" priority="25"/>
  </conditionalFormatting>
  <conditionalFormatting sqref="I234">
    <cfRule type="duplicateValues" dxfId="24" priority="24"/>
  </conditionalFormatting>
  <conditionalFormatting sqref="J234">
    <cfRule type="duplicateValues" dxfId="23" priority="23"/>
  </conditionalFormatting>
  <conditionalFormatting sqref="A226:A233 A221:A224">
    <cfRule type="duplicateValues" dxfId="22" priority="153"/>
  </conditionalFormatting>
  <conditionalFormatting sqref="A279:A280">
    <cfRule type="duplicateValues" dxfId="21" priority="22"/>
  </conditionalFormatting>
  <conditionalFormatting sqref="A281">
    <cfRule type="duplicateValues" dxfId="20" priority="21"/>
  </conditionalFormatting>
  <conditionalFormatting sqref="A287:A289">
    <cfRule type="duplicateValues" dxfId="19" priority="20"/>
  </conditionalFormatting>
  <conditionalFormatting sqref="A308:A310">
    <cfRule type="duplicateValues" dxfId="18" priority="18"/>
  </conditionalFormatting>
  <conditionalFormatting sqref="A294:A304 A306:A307">
    <cfRule type="duplicateValues" dxfId="17" priority="155"/>
  </conditionalFormatting>
  <conditionalFormatting sqref="A320:A325">
    <cfRule type="duplicateValues" dxfId="16" priority="16"/>
  </conditionalFormatting>
  <conditionalFormatting sqref="A314:A318">
    <cfRule type="duplicateValues" dxfId="15" priority="156"/>
  </conditionalFormatting>
  <conditionalFormatting sqref="A437:A439">
    <cfRule type="duplicateValues" dxfId="14" priority="15"/>
  </conditionalFormatting>
  <conditionalFormatting sqref="A445:A447">
    <cfRule type="duplicateValues" dxfId="13" priority="14"/>
  </conditionalFormatting>
  <conditionalFormatting sqref="A451:A458">
    <cfRule type="duplicateValues" dxfId="12" priority="13"/>
  </conditionalFormatting>
  <conditionalFormatting sqref="A499:A501">
    <cfRule type="duplicateValues" dxfId="11" priority="12"/>
  </conditionalFormatting>
  <conditionalFormatting sqref="A507:A509">
    <cfRule type="duplicateValues" dxfId="10" priority="11"/>
  </conditionalFormatting>
  <conditionalFormatting sqref="A513:A520">
    <cfRule type="duplicateValues" dxfId="9" priority="157"/>
  </conditionalFormatting>
  <conditionalFormatting sqref="A771:A773">
    <cfRule type="duplicateValues" dxfId="8" priority="9"/>
  </conditionalFormatting>
  <conditionalFormatting sqref="A779:A783">
    <cfRule type="duplicateValues" dxfId="7" priority="160"/>
  </conditionalFormatting>
  <conditionalFormatting sqref="A798:A800">
    <cfRule type="duplicateValues" dxfId="6" priority="6"/>
  </conditionalFormatting>
  <conditionalFormatting sqref="A810:A815">
    <cfRule type="duplicateValues" dxfId="5" priority="4"/>
  </conditionalFormatting>
  <conditionalFormatting sqref="A804:A808">
    <cfRule type="duplicateValues" dxfId="4" priority="164"/>
  </conditionalFormatting>
  <conditionalFormatting sqref="A802 A785:A794 A796">
    <cfRule type="duplicateValues" dxfId="3" priority="165"/>
  </conditionalFormatting>
  <conditionalFormatting sqref="A1125:A1127">
    <cfRule type="duplicateValues" dxfId="2" priority="3"/>
  </conditionalFormatting>
  <conditionalFormatting sqref="A1130:A1132">
    <cfRule type="duplicateValues" dxfId="1" priority="2"/>
  </conditionalFormatting>
  <conditionalFormatting sqref="A1135:A1139">
    <cfRule type="duplicateValues" dxfId="0" priority="1"/>
  </conditionalFormatting>
  <pageMargins left="0.7" right="0.7" top="0.75" bottom="0.75" header="0.3" footer="0.3"/>
  <pageSetup scale="9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1F7-CD97-4F46-9084-328B0AAFA8DD}">
  <sheetPr codeName="Sheet1">
    <tabColor theme="5" tint="0.59999389629810485"/>
    <pageSetUpPr fitToPage="1"/>
  </sheetPr>
  <dimension ref="A2:L99"/>
  <sheetViews>
    <sheetView zoomScaleNormal="100" workbookViewId="0">
      <selection activeCell="A2" sqref="A2"/>
    </sheetView>
  </sheetViews>
  <sheetFormatPr defaultColWidth="12.77734375" defaultRowHeight="19.95" customHeight="1"/>
  <cols>
    <col min="1" max="1" width="12.77734375" style="588"/>
    <col min="2" max="2" width="12.77734375" style="588" customWidth="1"/>
    <col min="3" max="16384" width="12.77734375" style="588"/>
  </cols>
  <sheetData>
    <row r="2" spans="1:2" ht="19.95" customHeight="1">
      <c r="A2" s="480" t="s">
        <v>314</v>
      </c>
    </row>
    <row r="4" spans="1:2" ht="19.95" customHeight="1">
      <c r="A4" s="480" t="s">
        <v>315</v>
      </c>
      <c r="B4" s="480" t="s">
        <v>185</v>
      </c>
    </row>
    <row r="5" spans="1:2" ht="19.95" customHeight="1">
      <c r="A5" s="588">
        <f>ROW(A9)</f>
        <v>9</v>
      </c>
      <c r="B5" s="588" t="str">
        <f>A9</f>
        <v>Long term stability of the MOOS-3: summary (verified 2024-05-09)</v>
      </c>
    </row>
    <row r="6" spans="1:2" ht="19.95" customHeight="1">
      <c r="A6" s="588">
        <f>ROW(A66)</f>
        <v>66</v>
      </c>
      <c r="B6" s="588" t="str">
        <f>A66</f>
        <v>Long-term stability phosphate MOOS-4 (verified 2024-05-09)</v>
      </c>
    </row>
    <row r="7" spans="1:2" ht="19.95" customHeight="1">
      <c r="A7" s="588">
        <f>ROW(A93)</f>
        <v>93</v>
      </c>
      <c r="B7" s="588" t="str">
        <f>A93</f>
        <v>Monitoring of MOOS-4 and expiry date</v>
      </c>
    </row>
    <row r="9" spans="1:2" s="149" customFormat="1" ht="19.95" customHeight="1">
      <c r="A9" s="150" t="s">
        <v>2547</v>
      </c>
    </row>
    <row r="11" spans="1:2" ht="19.95" customHeight="1">
      <c r="A11" s="588" t="s">
        <v>2525</v>
      </c>
    </row>
    <row r="12" spans="1:2" ht="19.95" customHeight="1">
      <c r="A12" s="588" t="s">
        <v>2524</v>
      </c>
    </row>
    <row r="14" spans="1:2" ht="19.95" customHeight="1">
      <c r="A14" s="588" t="s">
        <v>2526</v>
      </c>
    </row>
    <row r="16" spans="1:2" ht="19.95" customHeight="1">
      <c r="A16" s="480" t="s">
        <v>2529</v>
      </c>
    </row>
    <row r="18" spans="1:9" ht="19.95" customHeight="1">
      <c r="A18" s="592" t="s">
        <v>2</v>
      </c>
      <c r="B18" s="592" t="s">
        <v>1526</v>
      </c>
      <c r="C18" s="592" t="s">
        <v>2391</v>
      </c>
      <c r="D18" s="377" t="s">
        <v>1172</v>
      </c>
      <c r="E18" s="592" t="s">
        <v>485</v>
      </c>
      <c r="F18" s="593"/>
      <c r="G18" s="593"/>
      <c r="H18" s="593"/>
      <c r="I18" s="593"/>
    </row>
    <row r="19" spans="1:9" ht="19.95" customHeight="1">
      <c r="A19" s="589" t="s">
        <v>89</v>
      </c>
      <c r="B19" s="589" t="s">
        <v>959</v>
      </c>
      <c r="C19" s="589" t="s">
        <v>959</v>
      </c>
      <c r="D19" s="589"/>
      <c r="E19" s="589"/>
      <c r="F19" s="589"/>
      <c r="G19" s="589"/>
      <c r="H19" s="589"/>
      <c r="I19" s="589"/>
    </row>
    <row r="20" spans="1:9" ht="19.95" customHeight="1">
      <c r="A20" s="927">
        <v>41579</v>
      </c>
      <c r="B20" s="60">
        <v>0.15810266501075906</v>
      </c>
      <c r="C20" s="60">
        <f>0.00229950847267548/2</f>
        <v>1.14975423633774E-3</v>
      </c>
      <c r="D20" s="588">
        <v>13</v>
      </c>
      <c r="E20" s="588" t="s">
        <v>2530</v>
      </c>
    </row>
    <row r="21" spans="1:9" ht="19.95" customHeight="1">
      <c r="A21" s="927">
        <v>41760</v>
      </c>
      <c r="B21" s="60">
        <v>0.15824607750533326</v>
      </c>
      <c r="C21" s="60">
        <v>5.0115271752073998E-3</v>
      </c>
      <c r="D21" s="588">
        <v>3</v>
      </c>
      <c r="E21" s="588" t="s">
        <v>2534</v>
      </c>
    </row>
    <row r="22" spans="1:9" ht="19.95" customHeight="1">
      <c r="A22" s="927">
        <v>41974</v>
      </c>
      <c r="B22" s="60">
        <v>0.15828268665470141</v>
      </c>
      <c r="C22" s="60">
        <v>7.4489522854697082E-4</v>
      </c>
      <c r="D22" s="588">
        <v>9</v>
      </c>
      <c r="E22" s="588" t="s">
        <v>2535</v>
      </c>
    </row>
    <row r="23" spans="1:9" ht="19.95" customHeight="1">
      <c r="A23" s="927">
        <v>42401</v>
      </c>
      <c r="B23" s="60">
        <v>0.15982497000000001</v>
      </c>
      <c r="C23" s="60">
        <v>1.5451515E-3</v>
      </c>
      <c r="D23" s="588">
        <v>10</v>
      </c>
      <c r="E23" s="588" t="s">
        <v>2537</v>
      </c>
    </row>
    <row r="24" spans="1:9" ht="19.95" customHeight="1">
      <c r="A24" s="927">
        <v>42887</v>
      </c>
      <c r="B24" s="60">
        <v>0.1556036867153997</v>
      </c>
      <c r="C24" s="60">
        <v>6.7370502940025815E-3</v>
      </c>
      <c r="D24" s="588">
        <v>6</v>
      </c>
      <c r="E24" s="588" t="s">
        <v>2541</v>
      </c>
    </row>
    <row r="25" spans="1:9" ht="19.95" customHeight="1">
      <c r="A25" s="927">
        <v>43709</v>
      </c>
      <c r="B25" s="60">
        <v>0.16429246428202937</v>
      </c>
      <c r="C25" s="60">
        <v>1.0058799692827208E-3</v>
      </c>
      <c r="D25" s="588">
        <v>6</v>
      </c>
      <c r="E25" s="588" t="s">
        <v>2544</v>
      </c>
    </row>
    <row r="26" spans="1:9" ht="19.95" customHeight="1">
      <c r="A26" s="928">
        <v>44348</v>
      </c>
      <c r="B26" s="81">
        <v>0.15750254452495083</v>
      </c>
      <c r="C26" s="81">
        <v>5.2669601322955081E-3</v>
      </c>
      <c r="D26" s="589">
        <v>14</v>
      </c>
      <c r="E26" s="589" t="s">
        <v>2545</v>
      </c>
      <c r="F26" s="589"/>
      <c r="G26" s="589"/>
      <c r="H26" s="589"/>
      <c r="I26" s="589"/>
    </row>
    <row r="28" spans="1:9" ht="19.95" customHeight="1">
      <c r="A28" s="480" t="s">
        <v>2531</v>
      </c>
    </row>
    <row r="30" spans="1:9" ht="19.95" customHeight="1">
      <c r="A30" s="592" t="s">
        <v>2</v>
      </c>
      <c r="B30" s="592" t="s">
        <v>296</v>
      </c>
      <c r="C30" s="592" t="s">
        <v>2396</v>
      </c>
      <c r="D30" s="377" t="s">
        <v>1172</v>
      </c>
      <c r="E30" s="592" t="s">
        <v>485</v>
      </c>
      <c r="F30" s="593"/>
      <c r="G30" s="593"/>
      <c r="H30" s="593"/>
      <c r="I30" s="593"/>
    </row>
    <row r="31" spans="1:9" ht="19.95" customHeight="1">
      <c r="A31" s="589" t="s">
        <v>89</v>
      </c>
      <c r="B31" s="589" t="s">
        <v>959</v>
      </c>
      <c r="C31" s="589" t="s">
        <v>959</v>
      </c>
      <c r="D31" s="589"/>
      <c r="E31" s="589"/>
      <c r="F31" s="589"/>
      <c r="G31" s="589"/>
      <c r="H31" s="589"/>
      <c r="I31" s="589"/>
    </row>
    <row r="32" spans="1:9" ht="19.95" customHeight="1">
      <c r="A32" s="570">
        <v>41579</v>
      </c>
      <c r="B32" s="82">
        <v>1.3841632418466814</v>
      </c>
      <c r="C32" s="82">
        <f>0.0149221499803561/2</f>
        <v>7.4610749901780496E-3</v>
      </c>
      <c r="D32" s="590">
        <v>16</v>
      </c>
      <c r="E32" s="590" t="s">
        <v>2530</v>
      </c>
      <c r="F32" s="590"/>
      <c r="G32" s="590"/>
      <c r="H32" s="590"/>
      <c r="I32" s="590"/>
    </row>
    <row r="33" spans="1:9" ht="19.95" customHeight="1">
      <c r="A33" s="255">
        <v>41760</v>
      </c>
      <c r="B33" s="80">
        <v>1.4280187575711292</v>
      </c>
      <c r="C33" s="80">
        <v>4.5869948645246995E-2</v>
      </c>
      <c r="D33" s="593">
        <v>3</v>
      </c>
      <c r="E33" s="593" t="s">
        <v>2534</v>
      </c>
      <c r="F33" s="593"/>
      <c r="G33" s="593"/>
      <c r="H33" s="593"/>
      <c r="I33" s="593"/>
    </row>
    <row r="34" spans="1:9" ht="19.95" customHeight="1">
      <c r="A34" s="255">
        <v>41974</v>
      </c>
      <c r="B34" s="80">
        <v>1.409794756852879</v>
      </c>
      <c r="C34" s="80">
        <v>8.0294316997030889E-3</v>
      </c>
      <c r="D34" s="593">
        <v>9</v>
      </c>
      <c r="E34" s="593" t="s">
        <v>2535</v>
      </c>
      <c r="F34" s="593"/>
      <c r="G34" s="593"/>
      <c r="H34" s="593"/>
      <c r="I34" s="593"/>
    </row>
    <row r="35" spans="1:9" ht="19.95" customHeight="1">
      <c r="A35" s="255">
        <v>42036</v>
      </c>
      <c r="B35" s="80">
        <v>1.3812120975068489</v>
      </c>
      <c r="C35" s="80">
        <v>6.6792633677260497E-3</v>
      </c>
      <c r="D35" s="593">
        <v>4</v>
      </c>
      <c r="E35" s="593" t="s">
        <v>2536</v>
      </c>
      <c r="F35" s="593"/>
      <c r="G35" s="593"/>
      <c r="H35" s="593"/>
      <c r="I35" s="593"/>
    </row>
    <row r="36" spans="1:9" ht="19.95" customHeight="1">
      <c r="A36" s="255">
        <v>42401</v>
      </c>
      <c r="B36" s="80">
        <v>1.4002908000000001</v>
      </c>
      <c r="C36" s="80">
        <v>2.6363567000000001E-2</v>
      </c>
      <c r="D36" s="593">
        <v>10</v>
      </c>
      <c r="E36" s="593" t="s">
        <v>2537</v>
      </c>
      <c r="F36" s="593"/>
      <c r="G36" s="593"/>
      <c r="H36" s="593"/>
      <c r="I36" s="593"/>
    </row>
    <row r="37" spans="1:9" ht="19.95" customHeight="1">
      <c r="A37" s="255">
        <v>42948</v>
      </c>
      <c r="B37" s="80">
        <v>1.3866038000000001</v>
      </c>
      <c r="C37" s="80">
        <v>2.2191953E-2</v>
      </c>
      <c r="D37" s="593">
        <v>9</v>
      </c>
      <c r="E37" s="593" t="s">
        <v>2542</v>
      </c>
      <c r="F37" s="593"/>
      <c r="G37" s="593"/>
      <c r="H37" s="593"/>
      <c r="I37" s="593"/>
    </row>
    <row r="38" spans="1:9" ht="19.8" customHeight="1">
      <c r="A38" s="255">
        <v>43709</v>
      </c>
      <c r="B38" s="80">
        <v>1.3734337000000001</v>
      </c>
      <c r="C38" s="80">
        <v>1.6546584E-2</v>
      </c>
      <c r="D38" s="593">
        <v>3</v>
      </c>
      <c r="E38" s="593" t="s">
        <v>2543</v>
      </c>
      <c r="F38" s="593"/>
      <c r="G38" s="593"/>
      <c r="H38" s="593"/>
      <c r="I38" s="593"/>
    </row>
    <row r="39" spans="1:9" ht="19.8" customHeight="1">
      <c r="A39" s="236">
        <v>44348</v>
      </c>
      <c r="B39" s="81">
        <v>1.3887450195359816</v>
      </c>
      <c r="C39" s="81">
        <v>2.1063398292112838E-2</v>
      </c>
      <c r="D39" s="589">
        <v>21</v>
      </c>
      <c r="E39" s="589" t="s">
        <v>2546</v>
      </c>
      <c r="F39" s="589"/>
      <c r="G39" s="589"/>
      <c r="H39" s="589"/>
      <c r="I39" s="589"/>
    </row>
    <row r="41" spans="1:9" ht="19.95" customHeight="1">
      <c r="A41" s="480" t="s">
        <v>2528</v>
      </c>
    </row>
    <row r="43" spans="1:9" ht="19.95" customHeight="1">
      <c r="A43" s="592" t="s">
        <v>2</v>
      </c>
      <c r="B43" s="592" t="s">
        <v>2397</v>
      </c>
      <c r="C43" s="592" t="s">
        <v>2398</v>
      </c>
      <c r="D43" s="377" t="s">
        <v>1172</v>
      </c>
      <c r="E43" s="592" t="s">
        <v>485</v>
      </c>
      <c r="F43" s="593"/>
      <c r="G43" s="593"/>
      <c r="H43" s="593"/>
      <c r="I43" s="593"/>
    </row>
    <row r="44" spans="1:9" ht="19.95" customHeight="1">
      <c r="A44" s="589" t="s">
        <v>89</v>
      </c>
      <c r="B44" s="589" t="s">
        <v>959</v>
      </c>
      <c r="C44" s="589" t="s">
        <v>959</v>
      </c>
      <c r="D44" s="589"/>
      <c r="E44" s="589"/>
      <c r="F44" s="589"/>
      <c r="G44" s="589"/>
      <c r="H44" s="589"/>
      <c r="I44" s="589"/>
    </row>
    <row r="45" spans="1:9" ht="19.95" customHeight="1">
      <c r="A45" s="570">
        <v>41579</v>
      </c>
      <c r="B45" s="82">
        <v>0.14745476374065575</v>
      </c>
      <c r="C45" s="82">
        <f>0.0134548041290927/2</f>
        <v>6.7274020645463504E-3</v>
      </c>
      <c r="D45" s="590">
        <v>25</v>
      </c>
      <c r="E45" s="590" t="s">
        <v>2527</v>
      </c>
      <c r="F45" s="590"/>
      <c r="G45" s="590"/>
      <c r="H45" s="590"/>
      <c r="I45" s="590"/>
    </row>
    <row r="46" spans="1:9" ht="19.95" customHeight="1">
      <c r="A46" s="255">
        <v>42401</v>
      </c>
      <c r="B46" s="80">
        <v>0.15919058999999999</v>
      </c>
      <c r="C46" s="80">
        <v>1.2362615E-2</v>
      </c>
      <c r="D46" s="593">
        <v>10</v>
      </c>
      <c r="E46" s="593" t="s">
        <v>2538</v>
      </c>
      <c r="F46" s="593"/>
      <c r="G46" s="593"/>
      <c r="H46" s="593"/>
      <c r="I46" s="593"/>
    </row>
    <row r="47" spans="1:9" ht="19.95" customHeight="1">
      <c r="A47" s="255">
        <v>42491</v>
      </c>
      <c r="B47" s="80">
        <v>0.15498725999999999</v>
      </c>
      <c r="C47" s="80">
        <v>6.1199024999999997E-3</v>
      </c>
      <c r="D47" s="593">
        <v>10</v>
      </c>
      <c r="E47" s="593" t="s">
        <v>2539</v>
      </c>
      <c r="F47" s="593"/>
      <c r="G47" s="593"/>
      <c r="H47" s="593"/>
      <c r="I47" s="593"/>
    </row>
    <row r="48" spans="1:9" ht="19.95" customHeight="1">
      <c r="A48" s="255">
        <v>42887</v>
      </c>
      <c r="B48" s="80">
        <v>0.15081438999999999</v>
      </c>
      <c r="C48" s="80">
        <v>4.9205001E-3</v>
      </c>
      <c r="D48" s="593">
        <v>6</v>
      </c>
      <c r="E48" s="593" t="s">
        <v>2540</v>
      </c>
      <c r="F48" s="593"/>
      <c r="G48" s="593"/>
      <c r="H48" s="593"/>
      <c r="I48" s="593"/>
    </row>
    <row r="49" spans="1:9" ht="19.95" customHeight="1">
      <c r="A49" s="255">
        <v>43709</v>
      </c>
      <c r="B49" s="80">
        <v>0.15348413</v>
      </c>
      <c r="C49" s="80">
        <v>1.0998941E-2</v>
      </c>
      <c r="D49" s="593">
        <v>5</v>
      </c>
      <c r="E49" s="593" t="s">
        <v>2544</v>
      </c>
      <c r="F49" s="593"/>
      <c r="G49" s="593"/>
      <c r="H49" s="593"/>
      <c r="I49" s="593"/>
    </row>
    <row r="50" spans="1:9" ht="19.95" customHeight="1">
      <c r="A50" s="236">
        <v>44348</v>
      </c>
      <c r="B50" s="81">
        <v>0.15628437945619608</v>
      </c>
      <c r="C50" s="81">
        <v>1.0147424083634043E-2</v>
      </c>
      <c r="D50" s="589">
        <v>21</v>
      </c>
      <c r="E50" s="589" t="s">
        <v>2545</v>
      </c>
      <c r="F50" s="589"/>
      <c r="G50" s="589"/>
      <c r="H50" s="589"/>
      <c r="I50" s="589"/>
    </row>
    <row r="52" spans="1:9" ht="19.95" customHeight="1">
      <c r="A52" s="480" t="s">
        <v>2532</v>
      </c>
    </row>
    <row r="54" spans="1:9" ht="19.95" customHeight="1">
      <c r="A54" s="592" t="s">
        <v>2</v>
      </c>
      <c r="B54" s="592" t="s">
        <v>2146</v>
      </c>
      <c r="C54" s="592" t="s">
        <v>2147</v>
      </c>
      <c r="D54" s="377" t="s">
        <v>1172</v>
      </c>
      <c r="E54" s="592" t="s">
        <v>485</v>
      </c>
      <c r="F54" s="593"/>
      <c r="G54" s="593"/>
      <c r="H54" s="593"/>
      <c r="I54" s="593"/>
    </row>
    <row r="55" spans="1:9" ht="19.95" customHeight="1">
      <c r="A55" s="589" t="s">
        <v>89</v>
      </c>
      <c r="B55" s="589" t="s">
        <v>959</v>
      </c>
      <c r="C55" s="589" t="s">
        <v>959</v>
      </c>
      <c r="D55" s="589"/>
      <c r="E55" s="589"/>
      <c r="F55" s="589"/>
      <c r="G55" s="589"/>
      <c r="H55" s="589"/>
      <c r="I55" s="589"/>
    </row>
    <row r="56" spans="1:9" ht="19.95" customHeight="1">
      <c r="A56" s="235">
        <v>41579</v>
      </c>
      <c r="B56" s="142">
        <v>1.7713495035577345</v>
      </c>
      <c r="C56" s="142">
        <f>0.0423128202940312/2</f>
        <v>2.1156410147015602E-2</v>
      </c>
      <c r="D56" s="588">
        <v>33</v>
      </c>
      <c r="E56" s="588" t="s">
        <v>2533</v>
      </c>
    </row>
    <row r="57" spans="1:9" ht="19.95" customHeight="1">
      <c r="A57" s="235">
        <v>42401</v>
      </c>
      <c r="B57" s="142">
        <v>1.7616893</v>
      </c>
      <c r="C57" s="142">
        <v>4.0927080999999997E-2</v>
      </c>
      <c r="D57" s="588">
        <v>10</v>
      </c>
      <c r="E57" s="588" t="s">
        <v>2538</v>
      </c>
    </row>
    <row r="58" spans="1:9" ht="19.95" customHeight="1">
      <c r="A58" s="235">
        <v>42887</v>
      </c>
      <c r="B58" s="142">
        <v>1.7257289</v>
      </c>
      <c r="C58" s="142">
        <v>2.1297643000000002E-2</v>
      </c>
      <c r="D58" s="588">
        <v>2</v>
      </c>
      <c r="E58" s="588" t="s">
        <v>2540</v>
      </c>
    </row>
    <row r="59" spans="1:9" ht="19.95" customHeight="1">
      <c r="A59" s="235">
        <v>43709</v>
      </c>
      <c r="B59" s="142">
        <v>1.8091606</v>
      </c>
      <c r="C59" s="142">
        <v>0.15219684</v>
      </c>
      <c r="D59" s="588">
        <v>4</v>
      </c>
      <c r="E59" s="588" t="s">
        <v>2544</v>
      </c>
    </row>
    <row r="60" spans="1:9" ht="19.95" customHeight="1">
      <c r="A60" s="236">
        <v>44348</v>
      </c>
      <c r="B60" s="143">
        <v>1.7467035872050403</v>
      </c>
      <c r="C60" s="143">
        <v>1.0037073425308993E-2</v>
      </c>
      <c r="D60" s="589">
        <v>7</v>
      </c>
      <c r="E60" s="589" t="s">
        <v>2545</v>
      </c>
      <c r="F60" s="589"/>
      <c r="G60" s="589"/>
      <c r="H60" s="589"/>
      <c r="I60" s="589"/>
    </row>
    <row r="62" spans="1:9" ht="19.95" customHeight="1">
      <c r="A62" s="57" t="s">
        <v>2548</v>
      </c>
    </row>
    <row r="63" spans="1:9" ht="19.95" customHeight="1">
      <c r="A63" s="57" t="s">
        <v>2549</v>
      </c>
    </row>
    <row r="66" spans="1:5" s="149" customFormat="1" ht="19.95" customHeight="1">
      <c r="A66" s="150" t="s">
        <v>2565</v>
      </c>
    </row>
    <row r="68" spans="1:5" ht="19.95" customHeight="1">
      <c r="A68" s="588" t="s">
        <v>2553</v>
      </c>
      <c r="D68" s="588" t="s">
        <v>2554</v>
      </c>
    </row>
    <row r="69" spans="1:5" ht="19.95" customHeight="1">
      <c r="A69" s="592" t="s">
        <v>0</v>
      </c>
      <c r="B69" s="592" t="s">
        <v>2552</v>
      </c>
      <c r="D69" s="592" t="s">
        <v>0</v>
      </c>
      <c r="E69" s="592" t="s">
        <v>2552</v>
      </c>
    </row>
    <row r="70" spans="1:5" ht="19.95" customHeight="1">
      <c r="A70" s="589" t="s">
        <v>88</v>
      </c>
      <c r="B70" s="589" t="s">
        <v>2551</v>
      </c>
      <c r="D70" s="589" t="s">
        <v>88</v>
      </c>
      <c r="E70" s="589" t="s">
        <v>2551</v>
      </c>
    </row>
    <row r="71" spans="1:5" ht="19.95" customHeight="1">
      <c r="A71" s="588">
        <f>SHORT_HOM!A429</f>
        <v>0</v>
      </c>
      <c r="B71" s="356">
        <f>SHORT_HOM!B429-1</f>
        <v>0</v>
      </c>
      <c r="C71" s="161"/>
      <c r="D71" s="588">
        <f>SHORT_HOM!F429</f>
        <v>0</v>
      </c>
      <c r="E71" s="161">
        <f>SHORT_HOM!G429-1</f>
        <v>0</v>
      </c>
    </row>
    <row r="72" spans="1:5" ht="19.95" customHeight="1">
      <c r="A72" s="588">
        <f>SHORT_HOM!A431</f>
        <v>27</v>
      </c>
      <c r="B72" s="356">
        <f>SHORT_HOM!B431-1</f>
        <v>5.1372565041951646E-4</v>
      </c>
      <c r="C72" s="161"/>
      <c r="D72" s="588">
        <f>SHORT_HOM!F431</f>
        <v>27</v>
      </c>
      <c r="E72" s="161">
        <f>SHORT_HOM!G431-1</f>
        <v>5.2411836026358127E-3</v>
      </c>
    </row>
    <row r="73" spans="1:5" ht="19.95" customHeight="1">
      <c r="A73" s="588">
        <f>SHORT_HOM!A432</f>
        <v>35</v>
      </c>
      <c r="B73" s="356">
        <f>SHORT_HOM!B432-1</f>
        <v>5.5578980074044715E-4</v>
      </c>
      <c r="C73" s="161"/>
      <c r="D73" s="588">
        <f>SHORT_HOM!F432</f>
        <v>35</v>
      </c>
      <c r="E73" s="161">
        <f>SHORT_HOM!G432-1</f>
        <v>7.2320466225244129E-3</v>
      </c>
    </row>
    <row r="74" spans="1:5" ht="19.95" customHeight="1">
      <c r="A74" s="589">
        <f>SHORT_HOM!A433</f>
        <v>43</v>
      </c>
      <c r="B74" s="216">
        <f>SHORT_HOM!B433-1</f>
        <v>9.2462885050470511E-4</v>
      </c>
      <c r="C74" s="161"/>
      <c r="D74" s="589">
        <f>SHORT_HOM!F433</f>
        <v>43</v>
      </c>
      <c r="E74" s="202">
        <f>SHORT_HOM!G433-1</f>
        <v>9.2194309101230054E-3</v>
      </c>
    </row>
    <row r="76" spans="1:5" ht="19.95" customHeight="1">
      <c r="A76" s="587" t="s">
        <v>2555</v>
      </c>
      <c r="B76" s="587"/>
      <c r="D76" s="587" t="s">
        <v>2556</v>
      </c>
      <c r="E76" s="589"/>
    </row>
    <row r="77" spans="1:5" ht="19.95" customHeight="1">
      <c r="A77" s="930" cm="1">
        <f t="array" ref="A77:B81">LINEST(B71:B74,A71:A74,TRUE,TRUE)</f>
        <v>1.9809876513252793E-5</v>
      </c>
      <c r="B77" s="660">
        <v>-2.147318305671859E-5</v>
      </c>
      <c r="D77" s="930" cm="1">
        <f t="array" ref="D77:E81">LINEST(E71:E74,D71:D74,TRUE,TRUE)</f>
        <v>2.1173801136243215E-4</v>
      </c>
      <c r="E77" s="660">
        <v>-1.3495751444303657E-4</v>
      </c>
    </row>
    <row r="78" spans="1:5" ht="19.95" customHeight="1">
      <c r="A78" s="931">
        <v>3.301910289939108E-6</v>
      </c>
      <c r="B78" s="899">
        <v>1.0181187525695409E-4</v>
      </c>
      <c r="D78" s="931">
        <v>9.739769120027001E-6</v>
      </c>
      <c r="E78" s="899">
        <v>3.0031832230608828E-4</v>
      </c>
    </row>
    <row r="79" spans="1:5" ht="19.95" customHeight="1">
      <c r="A79" s="932">
        <v>0.94736044076509229</v>
      </c>
      <c r="B79" s="899">
        <v>1.0682840752050428E-4</v>
      </c>
      <c r="D79" s="932">
        <v>0.99578598893703896</v>
      </c>
      <c r="E79" s="606">
        <v>3.1511577642803122E-4</v>
      </c>
    </row>
    <row r="80" spans="1:5" ht="19.95" customHeight="1">
      <c r="A80" s="613">
        <v>35.994239105894849</v>
      </c>
      <c r="B80" s="606">
        <v>2</v>
      </c>
      <c r="D80" s="605">
        <v>472.60720205007846</v>
      </c>
      <c r="E80" s="606">
        <v>2</v>
      </c>
    </row>
    <row r="81" spans="1:12" ht="19.95" customHeight="1">
      <c r="A81" s="933">
        <v>4.1077736641956232E-7</v>
      </c>
      <c r="B81" s="902">
        <v>2.2824617306733872E-8</v>
      </c>
      <c r="D81" s="607">
        <v>4.692892752577222E-5</v>
      </c>
      <c r="E81" s="608">
        <v>1.9859590510768194E-7</v>
      </c>
    </row>
    <row r="83" spans="1:12" ht="19.95" customHeight="1">
      <c r="A83" s="144">
        <f>(D77/A77)^(10/(40-21))</f>
        <v>3.4796478595068843</v>
      </c>
      <c r="B83" s="480" t="s">
        <v>2558</v>
      </c>
    </row>
    <row r="85" spans="1:12" ht="19.95" customHeight="1">
      <c r="A85" s="588" t="s">
        <v>2564</v>
      </c>
      <c r="B85" s="929">
        <f>D77*A83^((5-40)/10)</f>
        <v>2.6941718583156987E-6</v>
      </c>
      <c r="C85" s="929"/>
      <c r="D85" s="929"/>
      <c r="L85" s="929"/>
    </row>
    <row r="86" spans="1:12" ht="19.95" customHeight="1">
      <c r="A86" s="480" t="s">
        <v>2557</v>
      </c>
      <c r="B86" s="417">
        <f>B85*4*365</f>
        <v>3.9334909131409201E-3</v>
      </c>
      <c r="C86" s="588" t="s">
        <v>2563</v>
      </c>
      <c r="L86" s="161"/>
    </row>
    <row r="88" spans="1:12" ht="19.95" customHeight="1">
      <c r="A88" s="588" t="s">
        <v>2561</v>
      </c>
    </row>
    <row r="89" spans="1:12" ht="19.95" customHeight="1">
      <c r="A89" s="588" t="s">
        <v>2562</v>
      </c>
    </row>
    <row r="90" spans="1:12" ht="19.95" customHeight="1">
      <c r="A90" s="588" t="s">
        <v>2559</v>
      </c>
    </row>
    <row r="91" spans="1:12" ht="19.95" customHeight="1">
      <c r="A91" s="588" t="s">
        <v>2560</v>
      </c>
    </row>
    <row r="93" spans="1:12" s="149" customFormat="1" ht="19.95" customHeight="1">
      <c r="A93" s="150" t="s">
        <v>2687</v>
      </c>
    </row>
    <row r="95" spans="1:12" ht="19.95" customHeight="1">
      <c r="A95" s="588" t="s">
        <v>2688</v>
      </c>
      <c r="B95" s="588" t="s">
        <v>2689</v>
      </c>
    </row>
    <row r="96" spans="1:12" ht="19.95" customHeight="1">
      <c r="A96" s="588" t="s">
        <v>2690</v>
      </c>
      <c r="B96" s="588" t="s">
        <v>2728</v>
      </c>
    </row>
    <row r="97" spans="1:2" ht="19.95" customHeight="1">
      <c r="A97" s="588" t="s">
        <v>2691</v>
      </c>
      <c r="B97" s="588" t="s">
        <v>2729</v>
      </c>
    </row>
    <row r="99" spans="1:2" s="149" customFormat="1" ht="19.95" customHeight="1"/>
  </sheetData>
  <sheetProtection sheet="1" objects="1" scenarios="1"/>
  <pageMargins left="0.7" right="0.7" top="0.75" bottom="0.75" header="0.3" footer="0.3"/>
  <pageSetup scale="7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2FFCF-FA2A-4322-93A9-5FF3937F71E0}">
  <sheetPr codeName="Sheet2">
    <tabColor theme="5" tint="0.59999389629810485"/>
    <pageSetUpPr fitToPage="1"/>
  </sheetPr>
  <dimension ref="A2:J159"/>
  <sheetViews>
    <sheetView zoomScaleNormal="100" workbookViewId="0">
      <selection activeCell="A2" sqref="A2"/>
    </sheetView>
  </sheetViews>
  <sheetFormatPr defaultColWidth="12.77734375" defaultRowHeight="19.95" customHeight="1"/>
  <cols>
    <col min="1" max="16384" width="12.77734375" style="588"/>
  </cols>
  <sheetData>
    <row r="2" spans="1:6" ht="19.95" customHeight="1">
      <c r="A2" s="480" t="s">
        <v>314</v>
      </c>
    </row>
    <row r="4" spans="1:6" ht="19.95" customHeight="1">
      <c r="A4" s="480" t="s">
        <v>315</v>
      </c>
      <c r="B4" s="480" t="s">
        <v>185</v>
      </c>
    </row>
    <row r="5" spans="1:6" ht="19.95" customHeight="1">
      <c r="A5" s="588">
        <f>ROW(A13)</f>
        <v>13</v>
      </c>
      <c r="B5" s="588" t="str">
        <f>A13</f>
        <v>Value assignment for density in MOOS-4 (verified 2024-05-10)</v>
      </c>
    </row>
    <row r="6" spans="1:6" ht="19.95" customHeight="1">
      <c r="A6" s="588">
        <f>ROW(A18)</f>
        <v>18</v>
      </c>
      <c r="B6" s="588" t="str">
        <f>A18</f>
        <v>Value assignment for nitrite in MOOS-4 (verified 2024-05-10)</v>
      </c>
    </row>
    <row r="7" spans="1:6" ht="19.95" customHeight="1">
      <c r="A7" s="588">
        <f>ROW(A49)</f>
        <v>49</v>
      </c>
      <c r="B7" s="588" t="str">
        <f>A49</f>
        <v>Value assignment for nitrate in MOOS-4 (verified 2024-05-10)</v>
      </c>
    </row>
    <row r="8" spans="1:6" ht="19.95" customHeight="1">
      <c r="A8" s="588">
        <f>ROW(A80)</f>
        <v>80</v>
      </c>
      <c r="B8" s="588" t="str">
        <f>A80</f>
        <v>Value assignment for phosphate in MOOS-4 (verified 2024-05-10)</v>
      </c>
    </row>
    <row r="9" spans="1:6" ht="19.95" customHeight="1">
      <c r="A9" s="588">
        <f>ROW(A111)</f>
        <v>111</v>
      </c>
      <c r="B9" s="588" t="str">
        <f>A111</f>
        <v>Value assignment for silicate in MOOS-4 (verified 2024-05-10)</v>
      </c>
    </row>
    <row r="10" spans="1:6" ht="19.95" customHeight="1">
      <c r="A10" s="588">
        <f>ROW(A142)</f>
        <v>142</v>
      </c>
      <c r="B10" s="588" t="str">
        <f>A142</f>
        <v>MOOS-4 certified values (verified 2024-05-10)</v>
      </c>
    </row>
    <row r="11" spans="1:6" ht="19.95" customHeight="1">
      <c r="A11" s="588">
        <f>ROW(A151)</f>
        <v>151</v>
      </c>
      <c r="B11" s="588" t="str">
        <f>A151</f>
        <v>Comparing the uncertainty with previous CRMs</v>
      </c>
    </row>
    <row r="13" spans="1:6" s="149" customFormat="1" ht="19.95" customHeight="1">
      <c r="A13" s="150" t="s">
        <v>2677</v>
      </c>
    </row>
    <row r="15" spans="1:6" ht="19.95" customHeight="1">
      <c r="A15" s="587" t="s">
        <v>298</v>
      </c>
      <c r="B15" s="587" t="s">
        <v>4</v>
      </c>
      <c r="C15" s="587" t="s">
        <v>134</v>
      </c>
      <c r="D15" s="164" t="s">
        <v>1859</v>
      </c>
      <c r="E15" s="587" t="s">
        <v>1075</v>
      </c>
      <c r="F15" s="164" t="s">
        <v>2727</v>
      </c>
    </row>
    <row r="16" spans="1:6" ht="19.95" customHeight="1">
      <c r="A16" s="184" t="s">
        <v>134</v>
      </c>
      <c r="B16" s="184" t="s">
        <v>227</v>
      </c>
      <c r="C16" s="222">
        <f>dMOOS4</f>
        <v>1.020990846994047</v>
      </c>
      <c r="D16" s="222">
        <f>CHAR_HOM!D69</f>
        <v>5.0110889000000002E-4</v>
      </c>
      <c r="E16" s="934">
        <f>D16/C16</f>
        <v>4.9080644696800286E-4</v>
      </c>
      <c r="F16" s="222">
        <f>D16*2</f>
        <v>1.00221778E-3</v>
      </c>
    </row>
    <row r="18" spans="1:8" s="149" customFormat="1" ht="19.95" customHeight="1">
      <c r="A18" s="150" t="s">
        <v>2678</v>
      </c>
    </row>
    <row r="20" spans="1:8" ht="19.95" customHeight="1">
      <c r="A20" s="592" t="s">
        <v>2597</v>
      </c>
      <c r="B20" s="593"/>
      <c r="C20" s="593"/>
      <c r="D20" s="593"/>
      <c r="E20" s="593"/>
      <c r="F20" s="593"/>
      <c r="G20" s="593"/>
      <c r="H20" s="593"/>
    </row>
    <row r="21" spans="1:8" ht="19.95" customHeight="1">
      <c r="A21" s="592"/>
      <c r="B21" s="593"/>
      <c r="C21" s="593"/>
      <c r="D21" s="593"/>
      <c r="E21" s="593"/>
      <c r="F21" s="593"/>
      <c r="G21" s="593"/>
      <c r="H21" s="593"/>
    </row>
    <row r="22" spans="1:8" ht="19.95" customHeight="1">
      <c r="A22" s="587" t="s">
        <v>1046</v>
      </c>
      <c r="B22" s="587" t="s">
        <v>241</v>
      </c>
      <c r="C22" s="587" t="s">
        <v>2588</v>
      </c>
      <c r="D22" s="589"/>
      <c r="E22" s="589"/>
      <c r="F22" s="589"/>
      <c r="G22" s="589"/>
      <c r="H22" s="589"/>
    </row>
    <row r="23" spans="1:8" ht="19.95" customHeight="1">
      <c r="A23" s="588" t="s">
        <v>2573</v>
      </c>
      <c r="B23" s="161">
        <f>CHAR_HOM!P1203</f>
        <v>2.3698625439154122E-3</v>
      </c>
      <c r="C23" s="588" t="s">
        <v>2581</v>
      </c>
    </row>
    <row r="24" spans="1:8" ht="19.95" customHeight="1">
      <c r="A24" s="588" t="s">
        <v>2574</v>
      </c>
      <c r="B24" s="161">
        <f>pNO2u/pNO2v</f>
        <v>2.8748104812786578E-3</v>
      </c>
      <c r="C24" s="588" t="s">
        <v>2582</v>
      </c>
    </row>
    <row r="25" spans="1:8" ht="19.95" customHeight="1">
      <c r="A25" s="588" t="s">
        <v>2575</v>
      </c>
      <c r="B25" s="161">
        <v>0</v>
      </c>
      <c r="C25" s="588" t="s">
        <v>2580</v>
      </c>
    </row>
    <row r="26" spans="1:8" ht="19.95" customHeight="1">
      <c r="A26" s="588" t="s">
        <v>2576</v>
      </c>
      <c r="B26" s="161">
        <v>0</v>
      </c>
      <c r="C26" s="588" t="s">
        <v>2583</v>
      </c>
    </row>
    <row r="27" spans="1:8" ht="19.95" customHeight="1">
      <c r="A27" s="589" t="s">
        <v>2577</v>
      </c>
      <c r="B27" s="202">
        <v>0</v>
      </c>
      <c r="C27" s="589" t="s">
        <v>2676</v>
      </c>
      <c r="D27" s="589"/>
      <c r="E27" s="589"/>
      <c r="F27" s="589"/>
      <c r="G27" s="589"/>
      <c r="H27" s="589"/>
    </row>
    <row r="28" spans="1:8" ht="19.95" customHeight="1">
      <c r="A28" s="588" t="s">
        <v>2579</v>
      </c>
      <c r="B28" s="161">
        <f>SQRT(SUMSQ(B23:B27))</f>
        <v>3.7256923893852073E-3</v>
      </c>
      <c r="C28" s="588" t="s">
        <v>2586</v>
      </c>
    </row>
    <row r="29" spans="1:8" ht="19.95" customHeight="1">
      <c r="A29" s="589" t="s">
        <v>2578</v>
      </c>
      <c r="B29" s="202">
        <f>B28*2</f>
        <v>7.4513847787704146E-3</v>
      </c>
      <c r="C29" s="589" t="s">
        <v>2587</v>
      </c>
      <c r="D29" s="589"/>
      <c r="E29" s="589"/>
      <c r="F29" s="589"/>
      <c r="G29" s="589"/>
      <c r="H29" s="589"/>
    </row>
    <row r="30" spans="1:8" ht="19.95" customHeight="1">
      <c r="A30" s="593"/>
      <c r="B30" s="200"/>
      <c r="C30" s="593"/>
      <c r="D30" s="593"/>
      <c r="E30" s="593"/>
      <c r="F30" s="593"/>
      <c r="G30" s="593"/>
      <c r="H30" s="593"/>
    </row>
    <row r="31" spans="1:8" ht="19.95" customHeight="1">
      <c r="A31" s="592" t="s">
        <v>2591</v>
      </c>
    </row>
    <row r="33" spans="1:8" ht="19.95" customHeight="1">
      <c r="A33" s="587" t="s">
        <v>1046</v>
      </c>
      <c r="B33" s="587" t="s">
        <v>241</v>
      </c>
      <c r="C33" s="587" t="s">
        <v>2588</v>
      </c>
      <c r="D33" s="589"/>
      <c r="E33" s="589"/>
      <c r="F33" s="589"/>
      <c r="G33" s="589"/>
      <c r="H33" s="589"/>
    </row>
    <row r="34" spans="1:8" ht="19.95" customHeight="1">
      <c r="A34" s="588" t="s">
        <v>2573</v>
      </c>
      <c r="B34" s="161">
        <f>B23</f>
        <v>2.3698625439154122E-3</v>
      </c>
      <c r="C34" s="588" t="s">
        <v>2581</v>
      </c>
    </row>
    <row r="35" spans="1:8" ht="19.95" customHeight="1">
      <c r="A35" s="588" t="s">
        <v>2574</v>
      </c>
      <c r="B35" s="161">
        <f t="shared" ref="B35:B38" si="0">B24</f>
        <v>2.8748104812786578E-3</v>
      </c>
      <c r="C35" s="588" t="s">
        <v>2582</v>
      </c>
    </row>
    <row r="36" spans="1:8" ht="19.95" customHeight="1">
      <c r="A36" s="588" t="s">
        <v>2575</v>
      </c>
      <c r="B36" s="161">
        <f t="shared" si="0"/>
        <v>0</v>
      </c>
      <c r="C36" s="588" t="s">
        <v>2580</v>
      </c>
    </row>
    <row r="37" spans="1:8" ht="19.95" customHeight="1">
      <c r="A37" s="588" t="s">
        <v>2576</v>
      </c>
      <c r="B37" s="161">
        <f t="shared" si="0"/>
        <v>0</v>
      </c>
      <c r="C37" s="588" t="s">
        <v>2583</v>
      </c>
    </row>
    <row r="38" spans="1:8" ht="19.95" customHeight="1">
      <c r="A38" s="593" t="s">
        <v>2577</v>
      </c>
      <c r="B38" s="200">
        <f t="shared" si="0"/>
        <v>0</v>
      </c>
      <c r="C38" s="593" t="s">
        <v>2676</v>
      </c>
      <c r="D38" s="593"/>
      <c r="E38" s="593"/>
      <c r="F38" s="593"/>
      <c r="G38" s="593"/>
      <c r="H38" s="593"/>
    </row>
    <row r="39" spans="1:8" ht="19.95" customHeight="1">
      <c r="A39" s="589" t="s">
        <v>2592</v>
      </c>
      <c r="B39" s="202">
        <f>E16</f>
        <v>4.9080644696800286E-4</v>
      </c>
      <c r="C39" s="589" t="s">
        <v>2593</v>
      </c>
      <c r="D39" s="589"/>
      <c r="E39" s="589"/>
      <c r="F39" s="589"/>
      <c r="G39" s="589"/>
      <c r="H39" s="589"/>
    </row>
    <row r="40" spans="1:8" ht="19.95" customHeight="1">
      <c r="A40" s="588" t="s">
        <v>2579</v>
      </c>
      <c r="B40" s="161">
        <f>SQRT(SUMSQ(B34:B39))</f>
        <v>3.7578816837026963E-3</v>
      </c>
      <c r="C40" s="588" t="s">
        <v>2586</v>
      </c>
    </row>
    <row r="41" spans="1:8" ht="19.95" customHeight="1">
      <c r="A41" s="589" t="s">
        <v>2578</v>
      </c>
      <c r="B41" s="202">
        <f>B40*2</f>
        <v>7.5157633674053925E-3</v>
      </c>
      <c r="C41" s="589" t="s">
        <v>2587</v>
      </c>
      <c r="D41" s="589"/>
      <c r="E41" s="589"/>
      <c r="F41" s="589"/>
      <c r="G41" s="589"/>
      <c r="H41" s="589"/>
    </row>
    <row r="43" spans="1:8" ht="19.95" customHeight="1">
      <c r="A43" s="480" t="s">
        <v>2594</v>
      </c>
    </row>
    <row r="45" spans="1:8" ht="19.95" customHeight="1">
      <c r="A45" s="587" t="s">
        <v>2139</v>
      </c>
      <c r="B45" s="587" t="s">
        <v>241</v>
      </c>
      <c r="C45" s="587" t="s">
        <v>2589</v>
      </c>
      <c r="D45" s="587" t="s">
        <v>2590</v>
      </c>
    </row>
    <row r="46" spans="1:8" ht="19.95" customHeight="1">
      <c r="A46" s="588" t="s">
        <v>2567</v>
      </c>
      <c r="B46" s="154">
        <f>CHAR_HOM!N1203</f>
        <v>7.5523030000000005E-2</v>
      </c>
      <c r="C46" s="154">
        <f>B46*B29</f>
        <v>5.627511561886214E-4</v>
      </c>
      <c r="D46" s="588" t="s">
        <v>959</v>
      </c>
      <c r="G46" s="154"/>
      <c r="H46" s="154"/>
    </row>
    <row r="47" spans="1:8" ht="19.95" customHeight="1">
      <c r="A47" s="589" t="s">
        <v>2572</v>
      </c>
      <c r="B47" s="143">
        <f>1000*B46*dMOOS4/MM_NO2</f>
        <v>1.6760618312521975</v>
      </c>
      <c r="C47" s="143">
        <f>B47*B41</f>
        <v>1.2596884112831665E-2</v>
      </c>
      <c r="D47" s="589" t="s">
        <v>2568</v>
      </c>
    </row>
    <row r="48" spans="1:8" ht="19.95" customHeight="1">
      <c r="A48" s="592"/>
      <c r="B48" s="592"/>
      <c r="C48" s="592"/>
      <c r="D48" s="592"/>
      <c r="E48" s="592"/>
    </row>
    <row r="49" spans="1:8" s="149" customFormat="1" ht="19.95" customHeight="1">
      <c r="A49" s="150" t="s">
        <v>2679</v>
      </c>
    </row>
    <row r="51" spans="1:8" ht="19.95" customHeight="1">
      <c r="A51" s="592" t="s">
        <v>2598</v>
      </c>
      <c r="B51" s="593"/>
      <c r="C51" s="593"/>
      <c r="D51" s="593"/>
      <c r="E51" s="593"/>
      <c r="F51" s="593"/>
      <c r="G51" s="593"/>
      <c r="H51" s="593"/>
    </row>
    <row r="52" spans="1:8" ht="19.95" customHeight="1">
      <c r="A52" s="592"/>
      <c r="B52" s="593"/>
      <c r="C52" s="593"/>
      <c r="D52" s="593"/>
      <c r="E52" s="593"/>
      <c r="F52" s="593"/>
      <c r="G52" s="593"/>
      <c r="H52" s="593"/>
    </row>
    <row r="53" spans="1:8" ht="19.95" customHeight="1">
      <c r="A53" s="587" t="s">
        <v>1046</v>
      </c>
      <c r="B53" s="587" t="s">
        <v>241</v>
      </c>
      <c r="C53" s="587" t="s">
        <v>2588</v>
      </c>
      <c r="D53" s="589"/>
      <c r="E53" s="589"/>
      <c r="F53" s="589"/>
      <c r="G53" s="589"/>
      <c r="H53" s="589"/>
    </row>
    <row r="54" spans="1:8" ht="19.95" customHeight="1">
      <c r="A54" s="588" t="s">
        <v>2573</v>
      </c>
      <c r="B54" s="204">
        <f>CHAR_HOM!P1242</f>
        <v>1.2616060629640624E-2</v>
      </c>
      <c r="C54" s="588" t="s">
        <v>2581</v>
      </c>
    </row>
    <row r="55" spans="1:8" ht="19.95" customHeight="1">
      <c r="A55" s="588" t="s">
        <v>2574</v>
      </c>
      <c r="B55" s="161">
        <f>pNO3u/pNO3v</f>
        <v>9.1548124560378286E-4</v>
      </c>
      <c r="C55" s="588" t="s">
        <v>2582</v>
      </c>
    </row>
    <row r="56" spans="1:8" ht="19.95" customHeight="1">
      <c r="A56" s="588" t="s">
        <v>2575</v>
      </c>
      <c r="B56" s="161">
        <f>SHORT_HOM!B194</f>
        <v>1.9772507818506305E-3</v>
      </c>
      <c r="C56" s="588" t="s">
        <v>2580</v>
      </c>
    </row>
    <row r="57" spans="1:8" ht="19.95" customHeight="1">
      <c r="A57" s="588" t="s">
        <v>2576</v>
      </c>
      <c r="B57" s="161">
        <v>0</v>
      </c>
      <c r="C57" s="588" t="s">
        <v>2583</v>
      </c>
    </row>
    <row r="58" spans="1:8" ht="19.95" customHeight="1">
      <c r="A58" s="589" t="s">
        <v>2577</v>
      </c>
      <c r="B58" s="202">
        <v>0</v>
      </c>
      <c r="C58" s="589" t="s">
        <v>2676</v>
      </c>
      <c r="D58" s="589"/>
      <c r="E58" s="589"/>
      <c r="F58" s="589"/>
      <c r="G58" s="589"/>
      <c r="H58" s="589"/>
    </row>
    <row r="59" spans="1:8" ht="19.95" customHeight="1">
      <c r="A59" s="588" t="s">
        <v>2579</v>
      </c>
      <c r="B59" s="204">
        <f>SQRT(SUMSQ(B54:B58))</f>
        <v>1.280283610674406E-2</v>
      </c>
      <c r="C59" s="588" t="s">
        <v>2586</v>
      </c>
    </row>
    <row r="60" spans="1:8" ht="19.95" customHeight="1">
      <c r="A60" s="589" t="s">
        <v>2578</v>
      </c>
      <c r="B60" s="208">
        <f>B59*2</f>
        <v>2.5605672213488119E-2</v>
      </c>
      <c r="C60" s="589" t="s">
        <v>2587</v>
      </c>
      <c r="D60" s="589"/>
      <c r="E60" s="589"/>
      <c r="F60" s="589"/>
      <c r="G60" s="589"/>
      <c r="H60" s="589"/>
    </row>
    <row r="61" spans="1:8" ht="19.95" customHeight="1">
      <c r="A61" s="592"/>
      <c r="B61" s="592"/>
      <c r="C61" s="592"/>
      <c r="D61" s="592"/>
      <c r="E61" s="592"/>
    </row>
    <row r="62" spans="1:8" ht="19.95" customHeight="1">
      <c r="A62" s="592" t="s">
        <v>2599</v>
      </c>
      <c r="D62" s="592"/>
      <c r="E62" s="592"/>
    </row>
    <row r="63" spans="1:8" ht="19.95" customHeight="1">
      <c r="D63" s="592"/>
      <c r="E63" s="592"/>
    </row>
    <row r="64" spans="1:8" ht="19.95" customHeight="1">
      <c r="A64" s="587" t="s">
        <v>1046</v>
      </c>
      <c r="B64" s="587" t="s">
        <v>241</v>
      </c>
      <c r="C64" s="587" t="s">
        <v>2588</v>
      </c>
      <c r="D64" s="587"/>
      <c r="E64" s="587"/>
      <c r="F64" s="589"/>
      <c r="G64" s="589"/>
      <c r="H64" s="589"/>
    </row>
    <row r="65" spans="1:8" ht="19.95" customHeight="1">
      <c r="A65" s="588" t="s">
        <v>2573</v>
      </c>
      <c r="B65" s="204">
        <f>B54</f>
        <v>1.2616060629640624E-2</v>
      </c>
      <c r="C65" s="588" t="s">
        <v>2581</v>
      </c>
      <c r="D65" s="592"/>
      <c r="E65" s="592"/>
    </row>
    <row r="66" spans="1:8" ht="19.95" customHeight="1">
      <c r="A66" s="588" t="s">
        <v>2574</v>
      </c>
      <c r="B66" s="161">
        <f t="shared" ref="B66:B69" si="1">B55</f>
        <v>9.1548124560378286E-4</v>
      </c>
      <c r="C66" s="588" t="s">
        <v>2582</v>
      </c>
      <c r="D66" s="592"/>
      <c r="E66" s="592"/>
    </row>
    <row r="67" spans="1:8" ht="19.95" customHeight="1">
      <c r="A67" s="588" t="s">
        <v>2575</v>
      </c>
      <c r="B67" s="161">
        <f t="shared" si="1"/>
        <v>1.9772507818506305E-3</v>
      </c>
      <c r="C67" s="588" t="s">
        <v>2580</v>
      </c>
      <c r="D67" s="592"/>
      <c r="E67" s="592"/>
    </row>
    <row r="68" spans="1:8" ht="19.95" customHeight="1">
      <c r="A68" s="588" t="s">
        <v>2576</v>
      </c>
      <c r="B68" s="161">
        <f t="shared" si="1"/>
        <v>0</v>
      </c>
      <c r="C68" s="588" t="s">
        <v>2583</v>
      </c>
    </row>
    <row r="69" spans="1:8" ht="19.95" customHeight="1">
      <c r="A69" s="593" t="s">
        <v>2577</v>
      </c>
      <c r="B69" s="200">
        <f t="shared" si="1"/>
        <v>0</v>
      </c>
      <c r="C69" s="593" t="s">
        <v>2676</v>
      </c>
    </row>
    <row r="70" spans="1:8" ht="19.95" customHeight="1">
      <c r="A70" s="589" t="s">
        <v>2592</v>
      </c>
      <c r="B70" s="202">
        <f>E16</f>
        <v>4.9080644696800286E-4</v>
      </c>
      <c r="C70" s="589" t="s">
        <v>2593</v>
      </c>
      <c r="D70" s="589"/>
      <c r="E70" s="589"/>
      <c r="F70" s="589"/>
      <c r="G70" s="589"/>
      <c r="H70" s="589"/>
    </row>
    <row r="71" spans="1:8" ht="19.95" customHeight="1">
      <c r="A71" s="588" t="s">
        <v>2579</v>
      </c>
      <c r="B71" s="204">
        <f>SQRT(SUMSQ(B65:B70))</f>
        <v>1.2812240371790358E-2</v>
      </c>
      <c r="C71" s="588" t="s">
        <v>2586</v>
      </c>
    </row>
    <row r="72" spans="1:8" ht="19.95" customHeight="1">
      <c r="A72" s="589" t="s">
        <v>2578</v>
      </c>
      <c r="B72" s="208">
        <f>B71*2</f>
        <v>2.5624480743580716E-2</v>
      </c>
      <c r="C72" s="589" t="s">
        <v>2587</v>
      </c>
      <c r="D72" s="589"/>
      <c r="E72" s="589"/>
      <c r="F72" s="589"/>
      <c r="G72" s="589"/>
      <c r="H72" s="589"/>
    </row>
    <row r="74" spans="1:8" ht="19.95" customHeight="1">
      <c r="A74" s="480" t="s">
        <v>2600</v>
      </c>
    </row>
    <row r="76" spans="1:8" ht="19.95" customHeight="1">
      <c r="A76" s="587" t="s">
        <v>2139</v>
      </c>
      <c r="B76" s="587" t="s">
        <v>241</v>
      </c>
      <c r="C76" s="587" t="s">
        <v>2589</v>
      </c>
      <c r="D76" s="587" t="s">
        <v>2590</v>
      </c>
    </row>
    <row r="77" spans="1:8" ht="19.95" customHeight="1">
      <c r="A77" s="588" t="s">
        <v>2601</v>
      </c>
      <c r="B77" s="142">
        <f>CHAR_HOM!N1242</f>
        <v>1.040943</v>
      </c>
      <c r="C77" s="142">
        <f>B77*B60</f>
        <v>2.6654045250924963E-2</v>
      </c>
      <c r="D77" s="588" t="s">
        <v>959</v>
      </c>
    </row>
    <row r="78" spans="1:8" ht="19.95" customHeight="1">
      <c r="A78" s="589" t="s">
        <v>2602</v>
      </c>
      <c r="B78" s="169">
        <f>1000*B77*dMOOS4/MM_NO3</f>
        <v>17.140429522117579</v>
      </c>
      <c r="C78" s="169">
        <f>B78*B72</f>
        <v>0.43921460622620428</v>
      </c>
      <c r="D78" s="589" t="s">
        <v>2568</v>
      </c>
    </row>
    <row r="80" spans="1:8" s="149" customFormat="1" ht="19.95" customHeight="1">
      <c r="A80" s="150" t="s">
        <v>2732</v>
      </c>
    </row>
    <row r="82" spans="1:8" ht="19.95" customHeight="1">
      <c r="A82" s="592" t="s">
        <v>2604</v>
      </c>
      <c r="B82" s="593"/>
      <c r="C82" s="593"/>
      <c r="D82" s="593"/>
      <c r="E82" s="593"/>
      <c r="F82" s="593"/>
      <c r="G82" s="593"/>
      <c r="H82" s="593"/>
    </row>
    <row r="83" spans="1:8" ht="19.95" customHeight="1">
      <c r="A83" s="592"/>
      <c r="B83" s="593"/>
      <c r="C83" s="593"/>
      <c r="D83" s="593"/>
      <c r="E83" s="593"/>
      <c r="F83" s="593"/>
      <c r="G83" s="593"/>
      <c r="H83" s="593"/>
    </row>
    <row r="84" spans="1:8" ht="19.95" customHeight="1">
      <c r="A84" s="587" t="s">
        <v>1046</v>
      </c>
      <c r="B84" s="587" t="s">
        <v>241</v>
      </c>
      <c r="C84" s="587" t="s">
        <v>2588</v>
      </c>
      <c r="D84" s="589"/>
      <c r="E84" s="589"/>
      <c r="F84" s="589"/>
      <c r="G84" s="589"/>
      <c r="H84" s="589"/>
    </row>
    <row r="85" spans="1:8" ht="19.95" customHeight="1">
      <c r="A85" s="588" t="s">
        <v>2573</v>
      </c>
      <c r="B85" s="161">
        <f>CHAR_HOM!P1267</f>
        <v>3.3055991256319972E-3</v>
      </c>
      <c r="C85" s="588" t="s">
        <v>2581</v>
      </c>
    </row>
    <row r="86" spans="1:8" ht="19.95" customHeight="1">
      <c r="A86" s="588" t="s">
        <v>2574</v>
      </c>
      <c r="B86" s="161">
        <f>pPO4u/pPO4v</f>
        <v>1.7941992226303664E-3</v>
      </c>
      <c r="C86" s="588" t="s">
        <v>2582</v>
      </c>
    </row>
    <row r="87" spans="1:8" ht="19.95" customHeight="1">
      <c r="A87" s="588" t="s">
        <v>2575</v>
      </c>
      <c r="B87" s="161">
        <v>0</v>
      </c>
      <c r="C87" s="588" t="s">
        <v>2580</v>
      </c>
    </row>
    <row r="88" spans="1:8" ht="19.95" customHeight="1">
      <c r="A88" s="588" t="s">
        <v>2576</v>
      </c>
      <c r="B88" s="161">
        <f>SHORT_HOM!B454</f>
        <v>6.0850413579619639E-4</v>
      </c>
      <c r="C88" s="588" t="s">
        <v>2583</v>
      </c>
    </row>
    <row r="89" spans="1:8" ht="19.95" customHeight="1">
      <c r="A89" s="589" t="s">
        <v>2577</v>
      </c>
      <c r="B89" s="202">
        <f>LONG!B86</f>
        <v>3.9334909131409201E-3</v>
      </c>
      <c r="C89" s="589" t="s">
        <v>2676</v>
      </c>
      <c r="D89" s="589"/>
      <c r="E89" s="589"/>
      <c r="F89" s="589"/>
      <c r="G89" s="589"/>
      <c r="H89" s="589"/>
    </row>
    <row r="90" spans="1:8" ht="19.95" customHeight="1">
      <c r="A90" s="588" t="s">
        <v>2579</v>
      </c>
      <c r="B90" s="161">
        <f>SQRT(SUMSQ(B85:B89))</f>
        <v>5.476199820761629E-3</v>
      </c>
      <c r="C90" s="588" t="s">
        <v>2586</v>
      </c>
    </row>
    <row r="91" spans="1:8" ht="19.95" customHeight="1">
      <c r="A91" s="589" t="s">
        <v>2578</v>
      </c>
      <c r="B91" s="208">
        <f>B90*2</f>
        <v>1.0952399641523258E-2</v>
      </c>
      <c r="C91" s="589" t="s">
        <v>2587</v>
      </c>
      <c r="D91" s="589"/>
      <c r="E91" s="589"/>
      <c r="F91" s="589"/>
      <c r="G91" s="589"/>
      <c r="H91" s="589"/>
    </row>
    <row r="93" spans="1:8" ht="19.95" customHeight="1">
      <c r="A93" s="592" t="s">
        <v>2605</v>
      </c>
      <c r="D93" s="592"/>
      <c r="E93" s="592"/>
    </row>
    <row r="94" spans="1:8" ht="19.95" customHeight="1">
      <c r="D94" s="592"/>
      <c r="E94" s="592"/>
    </row>
    <row r="95" spans="1:8" ht="19.95" customHeight="1">
      <c r="A95" s="587" t="s">
        <v>1046</v>
      </c>
      <c r="B95" s="587" t="s">
        <v>241</v>
      </c>
      <c r="C95" s="587" t="s">
        <v>2588</v>
      </c>
      <c r="D95" s="587"/>
      <c r="E95" s="587"/>
      <c r="F95" s="589"/>
      <c r="G95" s="589"/>
      <c r="H95" s="589"/>
    </row>
    <row r="96" spans="1:8" ht="19.95" customHeight="1">
      <c r="A96" s="588" t="s">
        <v>2573</v>
      </c>
      <c r="B96" s="161">
        <f>B85</f>
        <v>3.3055991256319972E-3</v>
      </c>
      <c r="C96" s="588" t="s">
        <v>2581</v>
      </c>
      <c r="D96" s="592"/>
      <c r="E96" s="592"/>
    </row>
    <row r="97" spans="1:8" ht="19.95" customHeight="1">
      <c r="A97" s="588" t="s">
        <v>2574</v>
      </c>
      <c r="B97" s="161">
        <f t="shared" ref="B97:B100" si="2">B86</f>
        <v>1.7941992226303664E-3</v>
      </c>
      <c r="C97" s="588" t="s">
        <v>2582</v>
      </c>
      <c r="D97" s="592"/>
      <c r="E97" s="592"/>
    </row>
    <row r="98" spans="1:8" ht="19.95" customHeight="1">
      <c r="A98" s="588" t="s">
        <v>2575</v>
      </c>
      <c r="B98" s="161">
        <f t="shared" si="2"/>
        <v>0</v>
      </c>
      <c r="C98" s="588" t="s">
        <v>2580</v>
      </c>
      <c r="D98" s="592"/>
      <c r="E98" s="592"/>
    </row>
    <row r="99" spans="1:8" ht="19.95" customHeight="1">
      <c r="A99" s="588" t="s">
        <v>2576</v>
      </c>
      <c r="B99" s="161">
        <f t="shared" si="2"/>
        <v>6.0850413579619639E-4</v>
      </c>
      <c r="C99" s="588" t="s">
        <v>2583</v>
      </c>
    </row>
    <row r="100" spans="1:8" ht="19.95" customHeight="1">
      <c r="A100" s="593" t="s">
        <v>2577</v>
      </c>
      <c r="B100" s="200">
        <f t="shared" si="2"/>
        <v>3.9334909131409201E-3</v>
      </c>
      <c r="C100" s="593" t="s">
        <v>2676</v>
      </c>
    </row>
    <row r="101" spans="1:8" ht="19.95" customHeight="1">
      <c r="A101" s="589" t="s">
        <v>2592</v>
      </c>
      <c r="B101" s="202">
        <f>E16</f>
        <v>4.9080644696800286E-4</v>
      </c>
      <c r="C101" s="589" t="s">
        <v>2593</v>
      </c>
      <c r="D101" s="589"/>
      <c r="E101" s="589"/>
      <c r="F101" s="589"/>
      <c r="G101" s="589"/>
      <c r="H101" s="589"/>
    </row>
    <row r="102" spans="1:8" ht="19.95" customHeight="1">
      <c r="A102" s="588" t="s">
        <v>2579</v>
      </c>
      <c r="B102" s="204">
        <f>SQRT(SUMSQ(B96:B101))</f>
        <v>5.4981501839523311E-3</v>
      </c>
      <c r="C102" s="588" t="s">
        <v>2586</v>
      </c>
    </row>
    <row r="103" spans="1:8" ht="19.95" customHeight="1">
      <c r="A103" s="589" t="s">
        <v>2578</v>
      </c>
      <c r="B103" s="208">
        <f>B102*2</f>
        <v>1.0996300367904662E-2</v>
      </c>
      <c r="C103" s="589" t="s">
        <v>2587</v>
      </c>
      <c r="D103" s="589"/>
      <c r="E103" s="589"/>
      <c r="F103" s="589"/>
      <c r="G103" s="589"/>
      <c r="H103" s="589"/>
    </row>
    <row r="104" spans="1:8" ht="19.95" customHeight="1">
      <c r="A104" s="593"/>
      <c r="B104" s="206"/>
      <c r="C104" s="593"/>
      <c r="D104" s="593"/>
      <c r="E104" s="593"/>
      <c r="F104" s="593"/>
      <c r="G104" s="593"/>
      <c r="H104" s="593"/>
    </row>
    <row r="105" spans="1:8" ht="19.95" customHeight="1">
      <c r="A105" s="480" t="s">
        <v>2606</v>
      </c>
      <c r="F105" s="593"/>
      <c r="G105" s="593"/>
      <c r="H105" s="593"/>
    </row>
    <row r="106" spans="1:8" ht="19.95" customHeight="1">
      <c r="F106" s="593"/>
      <c r="G106" s="593"/>
      <c r="H106" s="593"/>
    </row>
    <row r="107" spans="1:8" ht="19.95" customHeight="1">
      <c r="A107" s="587" t="s">
        <v>2139</v>
      </c>
      <c r="B107" s="587" t="s">
        <v>241</v>
      </c>
      <c r="C107" s="587" t="s">
        <v>2589</v>
      </c>
      <c r="D107" s="587" t="s">
        <v>2590</v>
      </c>
      <c r="F107" s="593"/>
      <c r="G107" s="593"/>
      <c r="H107" s="593"/>
    </row>
    <row r="108" spans="1:8" ht="19.95" customHeight="1">
      <c r="A108" s="588" t="s">
        <v>2607</v>
      </c>
      <c r="B108" s="60">
        <f>CHAR_HOM!N1267</f>
        <v>0.26368760000000002</v>
      </c>
      <c r="C108" s="60">
        <f>B108*B91</f>
        <v>2.8880119757141286E-3</v>
      </c>
      <c r="D108" s="588" t="s">
        <v>959</v>
      </c>
      <c r="F108" s="593"/>
      <c r="G108" s="593"/>
      <c r="H108" s="593"/>
    </row>
    <row r="109" spans="1:8" ht="19.95" customHeight="1">
      <c r="A109" s="589" t="s">
        <v>2608</v>
      </c>
      <c r="B109" s="143">
        <f>1000*B108*dMOOS4/MM_PO4</f>
        <v>2.8347769306656576</v>
      </c>
      <c r="C109" s="143">
        <f>B109*B103</f>
        <v>3.1172058605606418E-2</v>
      </c>
      <c r="D109" s="589" t="s">
        <v>2568</v>
      </c>
    </row>
    <row r="110" spans="1:8" ht="19.95" customHeight="1">
      <c r="A110" s="593"/>
      <c r="B110" s="197"/>
      <c r="C110" s="197"/>
      <c r="D110" s="593"/>
    </row>
    <row r="111" spans="1:8" s="149" customFormat="1" ht="19.95" customHeight="1">
      <c r="A111" s="150" t="s">
        <v>2733</v>
      </c>
    </row>
    <row r="113" spans="1:10" ht="19.95" customHeight="1">
      <c r="A113" s="592" t="s">
        <v>2611</v>
      </c>
      <c r="B113" s="593"/>
      <c r="C113" s="593"/>
      <c r="D113" s="593"/>
      <c r="E113" s="593"/>
      <c r="F113" s="593"/>
      <c r="G113" s="593"/>
      <c r="H113" s="593"/>
    </row>
    <row r="114" spans="1:10" ht="19.95" customHeight="1">
      <c r="A114" s="592"/>
      <c r="B114" s="593"/>
      <c r="C114" s="593"/>
      <c r="D114" s="593"/>
      <c r="E114" s="593"/>
      <c r="F114" s="593"/>
      <c r="G114" s="593"/>
      <c r="H114" s="593"/>
    </row>
    <row r="115" spans="1:10" ht="19.95" customHeight="1">
      <c r="A115" s="587" t="s">
        <v>1046</v>
      </c>
      <c r="B115" s="587" t="s">
        <v>241</v>
      </c>
      <c r="C115" s="587" t="s">
        <v>2588</v>
      </c>
      <c r="D115" s="589"/>
      <c r="E115" s="589"/>
      <c r="F115" s="589"/>
      <c r="G115" s="589"/>
      <c r="H115" s="589"/>
    </row>
    <row r="116" spans="1:10" ht="19.95" customHeight="1">
      <c r="A116" s="588" t="s">
        <v>2573</v>
      </c>
      <c r="B116" s="161">
        <f>CHAR_HOM!P1294</f>
        <v>8.9095655462245512E-3</v>
      </c>
      <c r="C116" s="588" t="s">
        <v>2581</v>
      </c>
    </row>
    <row r="117" spans="1:10" ht="19.95" customHeight="1">
      <c r="A117" s="588" t="s">
        <v>2574</v>
      </c>
      <c r="B117" s="161">
        <f>pSiO2u/pSiO2v</f>
        <v>1.2384655510899239E-3</v>
      </c>
      <c r="C117" s="588" t="s">
        <v>2582</v>
      </c>
    </row>
    <row r="118" spans="1:10" ht="19.95" customHeight="1">
      <c r="A118" s="588" t="s">
        <v>2575</v>
      </c>
      <c r="B118" s="161">
        <v>0</v>
      </c>
      <c r="C118" s="588" t="s">
        <v>2580</v>
      </c>
    </row>
    <row r="119" spans="1:10" ht="19.95" customHeight="1">
      <c r="A119" s="588" t="s">
        <v>2576</v>
      </c>
      <c r="B119" s="161">
        <v>0</v>
      </c>
      <c r="C119" s="588" t="s">
        <v>2583</v>
      </c>
    </row>
    <row r="120" spans="1:10" ht="19.95" customHeight="1">
      <c r="A120" s="589" t="s">
        <v>2577</v>
      </c>
      <c r="B120" s="202">
        <v>0</v>
      </c>
      <c r="C120" s="589" t="s">
        <v>2676</v>
      </c>
      <c r="D120" s="589"/>
      <c r="E120" s="589"/>
      <c r="F120" s="589"/>
      <c r="G120" s="589"/>
      <c r="H120" s="589"/>
    </row>
    <row r="121" spans="1:10" ht="19.95" customHeight="1">
      <c r="A121" s="588" t="s">
        <v>2579</v>
      </c>
      <c r="B121" s="161">
        <f>SQRT(SUMSQ(B116:B120))</f>
        <v>8.9952295770429364E-3</v>
      </c>
      <c r="C121" s="588" t="s">
        <v>2586</v>
      </c>
    </row>
    <row r="122" spans="1:10" ht="19.95" customHeight="1">
      <c r="A122" s="589" t="s">
        <v>2578</v>
      </c>
      <c r="B122" s="208">
        <f>B121*2</f>
        <v>1.7990459154085873E-2</v>
      </c>
      <c r="C122" s="589" t="s">
        <v>2587</v>
      </c>
      <c r="D122" s="589"/>
      <c r="E122" s="589"/>
      <c r="F122" s="589"/>
      <c r="G122" s="589"/>
      <c r="H122" s="589"/>
    </row>
    <row r="123" spans="1:10" ht="19.95" customHeight="1">
      <c r="A123" s="593"/>
      <c r="B123" s="197"/>
      <c r="C123" s="197"/>
      <c r="D123" s="593"/>
    </row>
    <row r="124" spans="1:10" ht="19.95" customHeight="1">
      <c r="A124" s="592" t="s">
        <v>2614</v>
      </c>
      <c r="D124" s="592"/>
      <c r="E124" s="592"/>
    </row>
    <row r="125" spans="1:10" ht="19.95" customHeight="1">
      <c r="D125" s="592"/>
      <c r="E125" s="592"/>
    </row>
    <row r="126" spans="1:10" ht="19.95" customHeight="1">
      <c r="A126" s="587" t="s">
        <v>1046</v>
      </c>
      <c r="B126" s="587" t="s">
        <v>241</v>
      </c>
      <c r="C126" s="587" t="s">
        <v>2588</v>
      </c>
      <c r="D126" s="587"/>
      <c r="E126" s="587"/>
      <c r="F126" s="589"/>
      <c r="G126" s="589"/>
      <c r="H126" s="589"/>
    </row>
    <row r="127" spans="1:10" ht="19.95" customHeight="1">
      <c r="A127" s="588" t="s">
        <v>2573</v>
      </c>
      <c r="B127" s="161">
        <f>B116</f>
        <v>8.9095655462245512E-3</v>
      </c>
      <c r="C127" s="588" t="s">
        <v>2581</v>
      </c>
      <c r="D127" s="592"/>
      <c r="E127" s="592"/>
      <c r="J127" s="939"/>
    </row>
    <row r="128" spans="1:10" ht="19.95" customHeight="1">
      <c r="A128" s="588" t="s">
        <v>2574</v>
      </c>
      <c r="B128" s="161">
        <f t="shared" ref="B128:B131" si="3">B117</f>
        <v>1.2384655510899239E-3</v>
      </c>
      <c r="C128" s="588" t="s">
        <v>2582</v>
      </c>
      <c r="D128" s="592"/>
      <c r="E128" s="592"/>
      <c r="J128" s="939"/>
    </row>
    <row r="129" spans="1:10" ht="19.95" customHeight="1">
      <c r="A129" s="588" t="s">
        <v>2575</v>
      </c>
      <c r="B129" s="161">
        <f t="shared" si="3"/>
        <v>0</v>
      </c>
      <c r="C129" s="588" t="s">
        <v>2580</v>
      </c>
      <c r="D129" s="592"/>
      <c r="E129" s="592"/>
      <c r="J129" s="939"/>
    </row>
    <row r="130" spans="1:10" ht="19.95" customHeight="1">
      <c r="A130" s="588" t="s">
        <v>2576</v>
      </c>
      <c r="B130" s="161">
        <f t="shared" si="3"/>
        <v>0</v>
      </c>
      <c r="C130" s="588" t="s">
        <v>2583</v>
      </c>
      <c r="J130" s="939"/>
    </row>
    <row r="131" spans="1:10" ht="19.95" customHeight="1">
      <c r="A131" s="593" t="s">
        <v>2577</v>
      </c>
      <c r="B131" s="200">
        <f t="shared" si="3"/>
        <v>0</v>
      </c>
      <c r="C131" s="593" t="s">
        <v>2676</v>
      </c>
      <c r="J131" s="939"/>
    </row>
    <row r="132" spans="1:10" ht="19.95" customHeight="1">
      <c r="A132" s="589" t="s">
        <v>2592</v>
      </c>
      <c r="B132" s="202">
        <f>E16</f>
        <v>4.9080644696800286E-4</v>
      </c>
      <c r="C132" s="589" t="s">
        <v>2593</v>
      </c>
      <c r="D132" s="589"/>
      <c r="E132" s="589"/>
      <c r="F132" s="589"/>
      <c r="G132" s="589"/>
      <c r="H132" s="589"/>
      <c r="J132" s="939"/>
    </row>
    <row r="133" spans="1:10" ht="19.95" customHeight="1">
      <c r="A133" s="588" t="s">
        <v>2579</v>
      </c>
      <c r="B133" s="161">
        <f>SQRT(SUMSQ(B127:B132))</f>
        <v>9.0086095548699077E-3</v>
      </c>
      <c r="C133" s="588" t="s">
        <v>2586</v>
      </c>
      <c r="J133" s="939"/>
    </row>
    <row r="134" spans="1:10" ht="19.95" customHeight="1">
      <c r="A134" s="589" t="s">
        <v>2578</v>
      </c>
      <c r="B134" s="208">
        <f>B133*2</f>
        <v>1.8017219109739815E-2</v>
      </c>
      <c r="C134" s="589" t="s">
        <v>2587</v>
      </c>
      <c r="D134" s="589"/>
      <c r="E134" s="589"/>
      <c r="F134" s="589"/>
      <c r="G134" s="589"/>
      <c r="H134" s="589"/>
    </row>
    <row r="135" spans="1:10" ht="19.95" customHeight="1">
      <c r="A135" s="593"/>
      <c r="B135" s="197"/>
      <c r="C135" s="197"/>
      <c r="D135" s="593"/>
    </row>
    <row r="136" spans="1:10" ht="19.95" customHeight="1">
      <c r="A136" s="480" t="s">
        <v>2680</v>
      </c>
    </row>
    <row r="138" spans="1:10" ht="19.95" customHeight="1">
      <c r="A138" s="587" t="s">
        <v>2139</v>
      </c>
      <c r="B138" s="587" t="s">
        <v>241</v>
      </c>
      <c r="C138" s="587" t="s">
        <v>2589</v>
      </c>
      <c r="D138" s="587" t="s">
        <v>2590</v>
      </c>
    </row>
    <row r="139" spans="1:10" ht="19.95" customHeight="1">
      <c r="A139" s="588" t="s">
        <v>1791</v>
      </c>
      <c r="B139" s="60">
        <f>CHAR_HOM!N1294</f>
        <v>0.42142239999999997</v>
      </c>
      <c r="C139" s="60">
        <f>B139*B122</f>
        <v>7.5815824738168381E-3</v>
      </c>
      <c r="D139" s="588" t="s">
        <v>959</v>
      </c>
    </row>
    <row r="140" spans="1:10" ht="19.95" customHeight="1">
      <c r="A140" s="589" t="s">
        <v>2615</v>
      </c>
      <c r="B140" s="169">
        <f>1000*B139*dMOOS4/MM_SiO2</f>
        <v>7.1611384952060968</v>
      </c>
      <c r="C140" s="169">
        <f>B140*B134</f>
        <v>0.12902380134332073</v>
      </c>
      <c r="D140" s="589" t="s">
        <v>2568</v>
      </c>
    </row>
    <row r="142" spans="1:10" s="149" customFormat="1" ht="19.95" customHeight="1">
      <c r="A142" s="150" t="s">
        <v>2683</v>
      </c>
    </row>
    <row r="144" spans="1:10" ht="19.95" customHeight="1">
      <c r="A144" s="592" t="s">
        <v>298</v>
      </c>
      <c r="B144" s="592" t="s">
        <v>2571</v>
      </c>
      <c r="C144" s="979" t="s">
        <v>2682</v>
      </c>
      <c r="D144" s="979"/>
      <c r="E144" s="979" t="s">
        <v>2595</v>
      </c>
      <c r="F144" s="979"/>
      <c r="G144" s="592" t="s">
        <v>302</v>
      </c>
      <c r="J144" s="937"/>
    </row>
    <row r="145" spans="1:7" ht="19.95" customHeight="1">
      <c r="A145" s="589" t="s">
        <v>1042</v>
      </c>
      <c r="B145" s="589" t="s">
        <v>2681</v>
      </c>
      <c r="C145" s="978" t="s">
        <v>2568</v>
      </c>
      <c r="D145" s="978"/>
      <c r="E145" s="978" t="s">
        <v>257</v>
      </c>
      <c r="F145" s="978"/>
      <c r="G145" s="589" t="s">
        <v>2570</v>
      </c>
    </row>
    <row r="146" spans="1:7" ht="19.95" customHeight="1">
      <c r="A146" s="590" t="s">
        <v>520</v>
      </c>
      <c r="B146" s="590" t="s">
        <v>2596</v>
      </c>
      <c r="C146" s="980" t="str">
        <f>ROUND(B47,3)&amp;" ± " &amp; ROUND(C47,3)</f>
        <v>1.676 ± 0.013</v>
      </c>
      <c r="D146" s="980"/>
      <c r="E146" s="980" t="str">
        <f>ROUND(B46,5)&amp;" ± " &amp; ROUND(C46,5)</f>
        <v>0.07552 ± 0.00056</v>
      </c>
      <c r="F146" s="980"/>
      <c r="G146" s="590" t="s">
        <v>2566</v>
      </c>
    </row>
    <row r="147" spans="1:7" ht="19.95" customHeight="1">
      <c r="A147" s="593" t="s">
        <v>98</v>
      </c>
      <c r="B147" s="593" t="s">
        <v>2603</v>
      </c>
      <c r="C147" s="977" t="str">
        <f>ROUND(B78,2)&amp;" ± " &amp; ROUND(C78,2)</f>
        <v>17.14 ± 0.44</v>
      </c>
      <c r="D147" s="977"/>
      <c r="E147" s="977" t="str">
        <f>ROUND(B77,3)&amp;" ± " &amp; ROUND(C77,3)</f>
        <v>1.041 ± 0.027</v>
      </c>
      <c r="F147" s="977"/>
      <c r="G147" s="593" t="s">
        <v>2566</v>
      </c>
    </row>
    <row r="148" spans="1:7" ht="19.95" customHeight="1">
      <c r="A148" s="593" t="s">
        <v>97</v>
      </c>
      <c r="B148" s="593" t="s">
        <v>2609</v>
      </c>
      <c r="C148" s="977" t="str">
        <f>ROUND(B109,3)&amp;" ± " &amp; ROUND(C109,3)</f>
        <v>2.835 ± 0.031</v>
      </c>
      <c r="D148" s="977"/>
      <c r="E148" s="977" t="str">
        <f>ROUND(B108,4)&amp;" ± " &amp; ROUND(C108,4)</f>
        <v>0.2637 ± 0.0029</v>
      </c>
      <c r="F148" s="977"/>
      <c r="G148" s="593" t="s">
        <v>2566</v>
      </c>
    </row>
    <row r="149" spans="1:7" ht="19.95" customHeight="1">
      <c r="A149" s="589" t="s">
        <v>521</v>
      </c>
      <c r="B149" s="589" t="s">
        <v>2610</v>
      </c>
      <c r="C149" s="978" t="str">
        <f>ROUND(B140,2)&amp;" ± " &amp; ROUND(C140,2)</f>
        <v>7.16 ± 0.13</v>
      </c>
      <c r="D149" s="978"/>
      <c r="E149" s="978" t="str">
        <f>ROUND(B139,4)&amp;" ± " &amp; ROUND(C139,4)</f>
        <v>0.4214 ± 0.0076</v>
      </c>
      <c r="F149" s="978"/>
      <c r="G149" s="589" t="s">
        <v>2566</v>
      </c>
    </row>
    <row r="151" spans="1:7" s="149" customFormat="1" ht="19.95" customHeight="1">
      <c r="A151" s="150" t="s">
        <v>2709</v>
      </c>
    </row>
    <row r="153" spans="1:7" ht="19.95" customHeight="1">
      <c r="A153" s="587" t="s">
        <v>298</v>
      </c>
      <c r="B153" s="587" t="s">
        <v>128</v>
      </c>
      <c r="C153" s="587" t="s">
        <v>226</v>
      </c>
      <c r="D153" s="587" t="s">
        <v>1189</v>
      </c>
    </row>
    <row r="154" spans="1:7" ht="19.95" customHeight="1">
      <c r="A154" s="590" t="s">
        <v>520</v>
      </c>
      <c r="B154" s="162">
        <f>0.0023/0.1581</f>
        <v>1.4547754585705251E-2</v>
      </c>
      <c r="C154" s="162" t="s">
        <v>2155</v>
      </c>
      <c r="D154" s="162">
        <f>C46/B46</f>
        <v>7.4513847787704146E-3</v>
      </c>
    </row>
    <row r="155" spans="1:7" ht="19.95" customHeight="1">
      <c r="A155" s="593" t="s">
        <v>98</v>
      </c>
      <c r="B155" s="206">
        <f>0.015/1.384</f>
        <v>1.0838150289017341E-2</v>
      </c>
      <c r="C155" s="206">
        <f>0.028/1.177</f>
        <v>2.3789294817332201E-2</v>
      </c>
      <c r="D155" s="206">
        <f>C77/B77</f>
        <v>2.5605672213488119E-2</v>
      </c>
    </row>
    <row r="156" spans="1:7" ht="19.95" customHeight="1">
      <c r="A156" s="593" t="s">
        <v>97</v>
      </c>
      <c r="B156" s="206">
        <f>0.013/0.147</f>
        <v>8.8435374149659865E-2</v>
      </c>
      <c r="C156" s="206">
        <f>0.0029/0.1534</f>
        <v>1.890482398956975E-2</v>
      </c>
      <c r="D156" s="206">
        <f>C108/B108</f>
        <v>1.0952399641523258E-2</v>
      </c>
    </row>
    <row r="157" spans="1:7" ht="19.95" customHeight="1">
      <c r="A157" s="589" t="s">
        <v>521</v>
      </c>
      <c r="B157" s="208">
        <f>0.04/1.77</f>
        <v>2.2598870056497175E-2</v>
      </c>
      <c r="C157" s="208">
        <f>0.019/0.534</f>
        <v>3.5580524344569285E-2</v>
      </c>
      <c r="D157" s="208">
        <f>C139/B139</f>
        <v>1.7990459154085873E-2</v>
      </c>
    </row>
    <row r="159" spans="1:7" s="149" customFormat="1" ht="19.95" customHeight="1"/>
  </sheetData>
  <sheetProtection sheet="1" objects="1" scenarios="1"/>
  <mergeCells count="12">
    <mergeCell ref="C144:D144"/>
    <mergeCell ref="C145:D145"/>
    <mergeCell ref="C146:D146"/>
    <mergeCell ref="E144:F144"/>
    <mergeCell ref="E145:F145"/>
    <mergeCell ref="E146:F146"/>
    <mergeCell ref="C147:D147"/>
    <mergeCell ref="E147:F147"/>
    <mergeCell ref="C148:D148"/>
    <mergeCell ref="E148:F148"/>
    <mergeCell ref="C149:D149"/>
    <mergeCell ref="E149:F149"/>
  </mergeCells>
  <pageMargins left="0.7" right="0.7" top="0.75" bottom="0.75" header="0.3" footer="0.3"/>
  <pageSetup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C367F-9012-4B10-A719-ECE7186AC1E0}">
  <sheetPr codeName="Sheet20"/>
  <dimension ref="A2:V963"/>
  <sheetViews>
    <sheetView zoomScaleNormal="100" workbookViewId="0">
      <selection activeCell="A2" sqref="A2"/>
    </sheetView>
  </sheetViews>
  <sheetFormatPr defaultColWidth="12.77734375" defaultRowHeight="19.95" customHeight="1"/>
  <cols>
    <col min="1" max="16384" width="12.77734375" style="382"/>
  </cols>
  <sheetData>
    <row r="2" spans="1:2" ht="19.95" customHeight="1">
      <c r="A2" s="388" t="s">
        <v>314</v>
      </c>
    </row>
    <row r="4" spans="1:2" ht="19.95" customHeight="1">
      <c r="A4" s="388" t="s">
        <v>315</v>
      </c>
      <c r="B4" s="388" t="s">
        <v>185</v>
      </c>
    </row>
    <row r="5" spans="1:2" ht="19.95" customHeight="1">
      <c r="A5" s="382">
        <f>ROW(A31)</f>
        <v>31</v>
      </c>
      <c r="B5" s="382" t="str">
        <f>A31</f>
        <v>2024-01-15 Nitrate short-term stability by ID HS GC-MS (verified on 2024-04-09)</v>
      </c>
    </row>
    <row r="6" spans="1:2" ht="19.95" customHeight="1">
      <c r="A6" s="382">
        <f>ROW(A61)</f>
        <v>61</v>
      </c>
      <c r="B6" s="382" t="str">
        <f>A61</f>
        <v>2024-01-15 Nitrite short-term stability by UV-vis (verified on 2024-04-09)</v>
      </c>
    </row>
    <row r="7" spans="1:2" ht="19.95" customHeight="1">
      <c r="A7" s="382">
        <f>ROW(A88)</f>
        <v>88</v>
      </c>
      <c r="B7" s="382" t="str">
        <f>A88</f>
        <v>2024-01-15 Phosphate short-term stability by UV-vis (verified 2024-04-09)</v>
      </c>
    </row>
    <row r="8" spans="1:2" s="395" customFormat="1" ht="19.95" customHeight="1">
      <c r="A8" s="395">
        <f>ROW(A115)</f>
        <v>115</v>
      </c>
      <c r="B8" s="395" t="str">
        <f>A115</f>
        <v>2024-01-15 Silicate short-term stability by UV-vis (verified on 2024-04-09)</v>
      </c>
    </row>
    <row r="9" spans="1:2" s="475" customFormat="1" ht="19.95" customHeight="1">
      <c r="A9" s="475">
        <f>ROW(A142)</f>
        <v>142</v>
      </c>
      <c r="B9" s="475" t="str">
        <f>A142</f>
        <v>2024-02-06 Standardization of Nitrite standard from Sigma Aldrich vs NIST 3185 by IDMS (verified on 2024-04-09)</v>
      </c>
    </row>
    <row r="10" spans="1:2" s="507" customFormat="1" ht="19.95" customHeight="1">
      <c r="A10" s="530">
        <f>ROW(A242)</f>
        <v>242</v>
      </c>
      <c r="B10" s="530" t="str">
        <f>A242</f>
        <v>2024-02-13 Standardization of Nitrite standard from Sigma Aldrich vs NIST 3185 by IDMS: verify the RA to RA' difference (verified 2024-04-09)</v>
      </c>
    </row>
    <row r="11" spans="1:2" s="507" customFormat="1" ht="19.95" customHeight="1">
      <c r="A11" s="507">
        <f>ROW(A261)</f>
        <v>261</v>
      </c>
      <c r="B11" s="507" t="str">
        <f>A261</f>
        <v>2024-02-14 Validation of nitrite and nitrate method and preliminary results on MOOS-4 and SEAN-1 (verified on 2024-04-09)</v>
      </c>
    </row>
    <row r="12" spans="1:2" s="507" customFormat="1" ht="19.95" customHeight="1">
      <c r="A12" s="588">
        <f>ROW(A283)</f>
        <v>283</v>
      </c>
      <c r="B12" s="588" t="str">
        <f>A283</f>
        <v>2024-02-20 CHAR MOOS4 NO3 w1d1 - GCMS (verified on 2024-04-09)</v>
      </c>
    </row>
    <row r="13" spans="1:2" s="507" customFormat="1" ht="19.95" customHeight="1">
      <c r="A13" s="588">
        <f>ROW(A389)</f>
        <v>389</v>
      </c>
      <c r="B13" s="588" t="str">
        <f>A389</f>
        <v>2024-02-21 CHAR MOOS4 NO2 w1d2 - GCMS (verified on 2024-04-09)</v>
      </c>
    </row>
    <row r="14" spans="1:2" s="507" customFormat="1" ht="19.95" customHeight="1">
      <c r="A14" s="588">
        <f>ROW(A482)</f>
        <v>482</v>
      </c>
      <c r="B14" s="588" t="str">
        <f>A482</f>
        <v>2024-02-20 CHAR MOOS4 NO2 w1d1 - spectrophotometry (verified on 2024-04-09)</v>
      </c>
    </row>
    <row r="15" spans="1:2" s="507" customFormat="1" ht="19.95" customHeight="1">
      <c r="A15" s="588">
        <f>ROW(A508)</f>
        <v>508</v>
      </c>
      <c r="B15" s="588" t="str">
        <f>A508</f>
        <v>2024-02-20 CHAR MOOS4 PO4 w1d1 - spectrophotometry (verified on 2024-04-09)</v>
      </c>
    </row>
    <row r="16" spans="1:2" s="507" customFormat="1" ht="19.95" customHeight="1">
      <c r="A16" s="588">
        <f>ROW(A536)</f>
        <v>536</v>
      </c>
      <c r="B16" s="588" t="str">
        <f>A536</f>
        <v>2024-02-21 CHAR MOOS4 SiO2 w1d2 - spectrophotometry (verified on 2024-04-09)</v>
      </c>
    </row>
    <row r="17" spans="1:2" ht="19.95" customHeight="1">
      <c r="A17" s="588">
        <f>ROW(A565)</f>
        <v>565</v>
      </c>
      <c r="B17" s="588" t="str">
        <f>A565</f>
        <v>2024-02-21 CHAR MOOS4 NO2 w1d2 - spectrophotometry (verified on 2024-04-09)</v>
      </c>
    </row>
    <row r="18" spans="1:2" s="588" customFormat="1" ht="19.95" customHeight="1">
      <c r="A18" s="588">
        <f>ROW(A586)</f>
        <v>586</v>
      </c>
      <c r="B18" s="588" t="str">
        <f>A586</f>
        <v>2024-03-05 CHAR MOOS4 NO3 w2d1 - GCMS (verified on 2024-04-09)</v>
      </c>
    </row>
    <row r="19" spans="1:2" s="588" customFormat="1" ht="19.95" customHeight="1">
      <c r="A19" s="588">
        <f>ROW(A707)</f>
        <v>707</v>
      </c>
      <c r="B19" s="588" t="str">
        <f>A707</f>
        <v>2024-03-05 CHAR MOOS4 PO4 w2d1 - spectrophotometry (verified on 2024-04-09)</v>
      </c>
    </row>
    <row r="20" spans="1:2" s="588" customFormat="1" ht="19.95" customHeight="1">
      <c r="A20" s="588">
        <f>ROW(A735)</f>
        <v>735</v>
      </c>
      <c r="B20" s="588" t="str">
        <f>A735</f>
        <v>2024-03-06 CHAR MOOS4 NO2 w2d2 - GCMS (verified on 2024-04-09)</v>
      </c>
    </row>
    <row r="21" spans="1:2" s="588" customFormat="1" ht="19.95" customHeight="1">
      <c r="A21" s="588">
        <f>ROW(A841)</f>
        <v>841</v>
      </c>
      <c r="B21" s="588" t="str">
        <f>A841</f>
        <v>2024-03-06 CHAR MOOS4 SiO2 w2d2 - spectrophotometry (verified on 2024-04-09)</v>
      </c>
    </row>
    <row r="22" spans="1:2" s="588" customFormat="1" ht="19.95" customHeight="1">
      <c r="A22" s="588">
        <f>ROW(A870)</f>
        <v>870</v>
      </c>
      <c r="B22" s="588" t="str">
        <f>A870</f>
        <v>2024-03-21 CHAR MOOS4 SiO2 - LC-ICPMS (verified on 2024-04-24)</v>
      </c>
    </row>
    <row r="23" spans="1:2" s="588" customFormat="1" ht="19.95" customHeight="1">
      <c r="A23" s="588">
        <f>ROW(A886)</f>
        <v>886</v>
      </c>
      <c r="B23" s="588" t="str">
        <f>A886</f>
        <v>2024-05-02 Nitrite matrix effects (verified 2024-05-03)</v>
      </c>
    </row>
    <row r="24" spans="1:2" s="588" customFormat="1" ht="19.95" customHeight="1">
      <c r="A24" s="588">
        <f>ROW(A898)</f>
        <v>898</v>
      </c>
      <c r="B24" s="588" t="str">
        <f>A898</f>
        <v>2024-05-02 Phosphate matrix effects (verified 2024-05-03)</v>
      </c>
    </row>
    <row r="25" spans="1:2" s="588" customFormat="1" ht="19.95" customHeight="1">
      <c r="A25" s="588">
        <f>ROW(A910)</f>
        <v>910</v>
      </c>
      <c r="B25" s="588" t="str">
        <f>A910</f>
        <v>2024-05-02 Silicate matrix effects (verified 2024-05-03)</v>
      </c>
    </row>
    <row r="26" spans="1:2" s="588" customFormat="1" ht="19.95" customHeight="1">
      <c r="A26" s="588">
        <f>ROW(A922)</f>
        <v>922</v>
      </c>
      <c r="B26" s="588" t="str">
        <f>A922</f>
        <v>2024-05-06 Silicate interference on phosphate data (verified 2024-05-10)</v>
      </c>
    </row>
    <row r="27" spans="1:2" s="588" customFormat="1" ht="19.95" customHeight="1">
      <c r="A27" s="588">
        <f>ROW(A933)</f>
        <v>933</v>
      </c>
      <c r="B27" s="588" t="str">
        <f>A933</f>
        <v>2024-05-07 Temperature effect on nitrite determination (verified 2024-05-10)</v>
      </c>
    </row>
    <row r="28" spans="1:2" s="588" customFormat="1" ht="19.95" customHeight="1">
      <c r="A28" s="588">
        <f>ROW(A943)</f>
        <v>943</v>
      </c>
      <c r="B28" s="588" t="str">
        <f>A943</f>
        <v>2024-05-07 Temperature effect on phosphate determination (verified 2024-05-10)</v>
      </c>
    </row>
    <row r="29" spans="1:2" s="588" customFormat="1" ht="19.95" customHeight="1">
      <c r="A29" s="588">
        <f>ROW(A953)</f>
        <v>953</v>
      </c>
      <c r="B29" s="588" t="str">
        <f>A953</f>
        <v>2024-05-07 Temperature effect on silicate determination (verified 2024-05-10)</v>
      </c>
    </row>
    <row r="30" spans="1:2" s="588" customFormat="1" ht="19.95" customHeight="1"/>
    <row r="31" spans="1:2" s="149" customFormat="1" ht="19.95" customHeight="1">
      <c r="A31" s="150" t="s">
        <v>2090</v>
      </c>
    </row>
    <row r="33" spans="1:11" ht="19.95" customHeight="1">
      <c r="A33" s="390" t="s">
        <v>100</v>
      </c>
      <c r="B33" s="390"/>
      <c r="C33" s="390" t="s">
        <v>111</v>
      </c>
      <c r="D33" s="390"/>
      <c r="E33" s="390" t="s">
        <v>112</v>
      </c>
      <c r="F33" s="390"/>
      <c r="G33" s="388" t="s">
        <v>217</v>
      </c>
      <c r="H33" s="388" t="s">
        <v>1041</v>
      </c>
    </row>
    <row r="34" spans="1:11" ht="19.95" customHeight="1">
      <c r="A34" s="383" t="s">
        <v>106</v>
      </c>
      <c r="B34" s="383" t="s">
        <v>105</v>
      </c>
      <c r="C34" s="383" t="s">
        <v>107</v>
      </c>
      <c r="D34" s="383" t="s">
        <v>108</v>
      </c>
      <c r="E34" s="383" t="s">
        <v>107</v>
      </c>
      <c r="F34" s="383" t="s">
        <v>108</v>
      </c>
      <c r="G34" s="383" t="s">
        <v>1040</v>
      </c>
      <c r="H34" s="383" t="s">
        <v>1042</v>
      </c>
    </row>
    <row r="35" spans="1:11" ht="19.95" customHeight="1">
      <c r="A35" s="837" t="s">
        <v>1017</v>
      </c>
      <c r="B35" s="835">
        <v>45306.414027777777</v>
      </c>
      <c r="C35" s="166" t="s">
        <v>109</v>
      </c>
      <c r="D35" s="382" t="s">
        <v>109</v>
      </c>
      <c r="E35" s="166" t="s">
        <v>109</v>
      </c>
      <c r="F35" s="382" t="s">
        <v>109</v>
      </c>
    </row>
    <row r="36" spans="1:11" ht="19.95" customHeight="1">
      <c r="A36" s="837" t="s">
        <v>1018</v>
      </c>
      <c r="B36" s="835">
        <v>45306.420856481498</v>
      </c>
      <c r="C36" s="166">
        <v>4.0326333333333304</v>
      </c>
      <c r="D36" s="170">
        <v>25.145</v>
      </c>
      <c r="E36" s="166" t="s">
        <v>109</v>
      </c>
      <c r="F36" s="170" t="s">
        <v>109</v>
      </c>
      <c r="J36" s="388" t="s">
        <v>1041</v>
      </c>
      <c r="K36" s="388" t="s">
        <v>217</v>
      </c>
    </row>
    <row r="37" spans="1:11" ht="19.95" customHeight="1">
      <c r="A37" s="837" t="s">
        <v>1019</v>
      </c>
      <c r="B37" s="835">
        <v>45306.4277083333</v>
      </c>
      <c r="C37" s="166">
        <v>4.0326666666666702</v>
      </c>
      <c r="D37" s="170">
        <v>81.5984999999975</v>
      </c>
      <c r="E37" s="166">
        <v>4.0346833333333301</v>
      </c>
      <c r="F37" s="170">
        <v>11203.9725</v>
      </c>
      <c r="J37" s="383" t="s">
        <v>1042</v>
      </c>
      <c r="K37" s="383" t="s">
        <v>1040</v>
      </c>
    </row>
    <row r="38" spans="1:11" ht="19.95" customHeight="1">
      <c r="A38" s="838" t="s">
        <v>1039</v>
      </c>
      <c r="B38" s="835">
        <v>45306.434548611098</v>
      </c>
      <c r="C38" s="166">
        <v>4.03046666666667</v>
      </c>
      <c r="D38" s="170">
        <v>5822.2781308897402</v>
      </c>
      <c r="E38" s="166">
        <v>4.0324666666666698</v>
      </c>
      <c r="F38" s="170">
        <v>5962.0385357843497</v>
      </c>
      <c r="G38" s="60">
        <f>D38/F38</f>
        <v>0.97655828555019175</v>
      </c>
      <c r="H38" s="382" t="str">
        <f>SUBSTITUTE((SUBSTITUTE(A38,".D","")),"A","a")</f>
        <v>MOOS237a1</v>
      </c>
      <c r="J38" s="382" t="s">
        <v>981</v>
      </c>
      <c r="K38" s="382">
        <f>INDEX($G$38:$H$57,MATCH(J38,$H$38:$H$57,0),1)</f>
        <v>0.98799036366700588</v>
      </c>
    </row>
    <row r="39" spans="1:11" ht="19.95" customHeight="1">
      <c r="A39" s="837" t="s">
        <v>1020</v>
      </c>
      <c r="B39" s="835">
        <v>45306.441377314797</v>
      </c>
      <c r="C39" s="166">
        <v>4.0285833333333301</v>
      </c>
      <c r="D39" s="170">
        <v>6366.6580422775696</v>
      </c>
      <c r="E39" s="166">
        <v>4.0285833333333301</v>
      </c>
      <c r="F39" s="170">
        <v>6551.3800000000101</v>
      </c>
      <c r="G39" s="60">
        <f t="shared" ref="G39:G57" si="0">D39/F39</f>
        <v>0.97180411490061025</v>
      </c>
      <c r="H39" s="382" t="str">
        <f t="shared" ref="H39:H57" si="1">SUBSTITUTE((SUBSTITUTE(A39,".D","")),"A","a")</f>
        <v>MOOS351a2</v>
      </c>
      <c r="J39" s="382" t="s">
        <v>982</v>
      </c>
      <c r="K39" s="382">
        <f t="shared" ref="K39:K57" si="2">INDEX($G$38:$H$57,MATCH(J39,$H$38:$H$57,0),1)</f>
        <v>0.96314031120263444</v>
      </c>
    </row>
    <row r="40" spans="1:11" ht="19.95" customHeight="1">
      <c r="A40" s="837" t="s">
        <v>1021</v>
      </c>
      <c r="B40" s="835">
        <v>45306.448229166701</v>
      </c>
      <c r="C40" s="166">
        <v>4.0345000000000004</v>
      </c>
      <c r="D40" s="170">
        <v>5508.9056480989502</v>
      </c>
      <c r="E40" s="166">
        <v>4.0345000000000004</v>
      </c>
      <c r="F40" s="170">
        <v>5645.4300893423497</v>
      </c>
      <c r="G40" s="60">
        <f t="shared" si="0"/>
        <v>0.97581682191032082</v>
      </c>
      <c r="H40" s="382" t="str">
        <f t="shared" si="1"/>
        <v>MOOS161a1</v>
      </c>
      <c r="J40" s="382" t="s">
        <v>983</v>
      </c>
      <c r="K40" s="382">
        <f t="shared" si="2"/>
        <v>0.97973547498740898</v>
      </c>
    </row>
    <row r="41" spans="1:11" ht="19.95" customHeight="1">
      <c r="A41" s="837" t="s">
        <v>1022</v>
      </c>
      <c r="B41" s="835">
        <v>45306.455081018503</v>
      </c>
      <c r="C41" s="166">
        <v>4.02863333333333</v>
      </c>
      <c r="D41" s="170">
        <v>6118.8698666764403</v>
      </c>
      <c r="E41" s="166">
        <v>4.0306499999999996</v>
      </c>
      <c r="F41" s="170">
        <v>6276.8512055927604</v>
      </c>
      <c r="G41" s="60">
        <f t="shared" si="0"/>
        <v>0.97483111615334195</v>
      </c>
      <c r="H41" s="382" t="str">
        <f t="shared" si="1"/>
        <v>MOOS123a2</v>
      </c>
      <c r="J41" s="382" t="s">
        <v>984</v>
      </c>
      <c r="K41" s="382">
        <f t="shared" si="2"/>
        <v>0.96659090683785398</v>
      </c>
    </row>
    <row r="42" spans="1:11" ht="19.95" customHeight="1">
      <c r="A42" s="837" t="s">
        <v>1023</v>
      </c>
      <c r="B42" s="835">
        <v>45306.461944444403</v>
      </c>
      <c r="C42" s="166">
        <v>4.0346166666666701</v>
      </c>
      <c r="D42" s="170">
        <v>5392.2880000000096</v>
      </c>
      <c r="E42" s="166">
        <v>4.0346166666666701</v>
      </c>
      <c r="F42" s="170">
        <v>5571.5592984024997</v>
      </c>
      <c r="G42" s="60">
        <f t="shared" si="0"/>
        <v>0.96782385526186687</v>
      </c>
      <c r="H42" s="382" t="str">
        <f t="shared" si="1"/>
        <v>MOOS161a2</v>
      </c>
      <c r="J42" s="382" t="s">
        <v>985</v>
      </c>
      <c r="K42" s="382">
        <f t="shared" si="2"/>
        <v>0.97654902813210986</v>
      </c>
    </row>
    <row r="43" spans="1:11" ht="19.95" customHeight="1">
      <c r="A43" s="837" t="s">
        <v>1024</v>
      </c>
      <c r="B43" s="835">
        <v>45306.468784722201</v>
      </c>
      <c r="C43" s="166">
        <v>4.0345666666666702</v>
      </c>
      <c r="D43" s="170">
        <v>5496.3211126714004</v>
      </c>
      <c r="E43" s="166">
        <v>4.0325666666666704</v>
      </c>
      <c r="F43" s="170">
        <v>5626.5550000000003</v>
      </c>
      <c r="G43" s="60">
        <f t="shared" si="0"/>
        <v>0.97685370758330814</v>
      </c>
      <c r="H43" s="382" t="str">
        <f t="shared" si="1"/>
        <v>MOOS275a1</v>
      </c>
      <c r="J43" s="382" t="s">
        <v>986</v>
      </c>
      <c r="K43" s="382">
        <f t="shared" si="2"/>
        <v>0.96848523731194602</v>
      </c>
    </row>
    <row r="44" spans="1:11" ht="19.95" customHeight="1">
      <c r="A44" s="837" t="s">
        <v>1025</v>
      </c>
      <c r="B44" s="835">
        <v>45306.475624999999</v>
      </c>
      <c r="C44" s="166">
        <v>4.0305999999999997</v>
      </c>
      <c r="D44" s="170">
        <v>5878.3358273355097</v>
      </c>
      <c r="E44" s="166">
        <v>4.0305999999999997</v>
      </c>
      <c r="F44" s="170">
        <v>6103.3016259027399</v>
      </c>
      <c r="G44" s="60">
        <f t="shared" si="0"/>
        <v>0.96314031120263444</v>
      </c>
      <c r="H44" s="382" t="str">
        <f t="shared" si="1"/>
        <v>MOOS009a2</v>
      </c>
      <c r="J44" s="382" t="s">
        <v>987</v>
      </c>
      <c r="K44" s="382">
        <f t="shared" si="2"/>
        <v>0.97737955929256559</v>
      </c>
    </row>
    <row r="45" spans="1:11" ht="19.95" customHeight="1">
      <c r="A45" s="837" t="s">
        <v>1026</v>
      </c>
      <c r="B45" s="835">
        <v>45306.482465277797</v>
      </c>
      <c r="C45" s="166">
        <v>4.0266333333333302</v>
      </c>
      <c r="D45" s="170">
        <v>6046.7856962980304</v>
      </c>
      <c r="E45" s="166">
        <v>4.0266333333333302</v>
      </c>
      <c r="F45" s="170">
        <v>6247.8105415760001</v>
      </c>
      <c r="G45" s="60">
        <f t="shared" si="0"/>
        <v>0.96782475333714879</v>
      </c>
      <c r="H45" s="382" t="str">
        <f t="shared" si="1"/>
        <v>MOOS313a2</v>
      </c>
      <c r="J45" s="382" t="s">
        <v>988</v>
      </c>
      <c r="K45" s="382">
        <f t="shared" si="2"/>
        <v>0.97483111615334195</v>
      </c>
    </row>
    <row r="46" spans="1:11" ht="19.95" customHeight="1">
      <c r="A46" s="837" t="s">
        <v>1027</v>
      </c>
      <c r="B46" s="835">
        <v>45306.489305555602</v>
      </c>
      <c r="C46" s="166">
        <v>4.0345833333333303</v>
      </c>
      <c r="D46" s="170">
        <v>5328.3006024503702</v>
      </c>
      <c r="E46" s="166">
        <v>4.0345833333333303</v>
      </c>
      <c r="F46" s="170">
        <v>5487.1325042820199</v>
      </c>
      <c r="G46" s="60">
        <f t="shared" si="0"/>
        <v>0.97105375135233174</v>
      </c>
      <c r="H46" s="382" t="str">
        <f t="shared" si="1"/>
        <v>MOOS199a1</v>
      </c>
      <c r="J46" s="382" t="s">
        <v>989</v>
      </c>
      <c r="K46" s="382">
        <f t="shared" si="2"/>
        <v>0.97581682191032082</v>
      </c>
    </row>
    <row r="47" spans="1:11" ht="19.95" customHeight="1">
      <c r="A47" s="837" t="s">
        <v>1028</v>
      </c>
      <c r="B47" s="835">
        <v>45306.496145833298</v>
      </c>
      <c r="C47" s="166">
        <v>4.0305999999999997</v>
      </c>
      <c r="D47" s="170">
        <v>5767.5164710420304</v>
      </c>
      <c r="E47" s="166">
        <v>4.0305999999999997</v>
      </c>
      <c r="F47" s="170">
        <v>5993.6324427670897</v>
      </c>
      <c r="G47" s="60">
        <f t="shared" si="0"/>
        <v>0.96227396760074457</v>
      </c>
      <c r="H47" s="382" t="str">
        <f t="shared" si="1"/>
        <v>MOOS237a2</v>
      </c>
      <c r="J47" s="382" t="s">
        <v>990</v>
      </c>
      <c r="K47" s="382">
        <f t="shared" si="2"/>
        <v>0.96782385526186687</v>
      </c>
    </row>
    <row r="48" spans="1:11" ht="19.95" customHeight="1">
      <c r="A48" s="837" t="s">
        <v>1029</v>
      </c>
      <c r="B48" s="835">
        <v>45306.502986111103</v>
      </c>
      <c r="C48" s="166">
        <v>4.0325333333333298</v>
      </c>
      <c r="D48" s="170">
        <v>5742.0047676385102</v>
      </c>
      <c r="E48" s="166">
        <v>4.0325333333333298</v>
      </c>
      <c r="F48" s="170">
        <v>5940.4704999999904</v>
      </c>
      <c r="G48" s="60">
        <f t="shared" si="0"/>
        <v>0.96659090683785398</v>
      </c>
      <c r="H48" s="382" t="str">
        <f t="shared" si="1"/>
        <v>MOOS047a2</v>
      </c>
      <c r="J48" s="382" t="s">
        <v>991</v>
      </c>
      <c r="K48" s="382">
        <f t="shared" si="2"/>
        <v>0.97105375135233174</v>
      </c>
    </row>
    <row r="49" spans="1:11" ht="19.95" customHeight="1">
      <c r="A49" s="837" t="s">
        <v>1030</v>
      </c>
      <c r="B49" s="835">
        <v>45306.509849536997</v>
      </c>
      <c r="C49" s="166">
        <v>4.0306666666666704</v>
      </c>
      <c r="D49" s="170">
        <v>5946.7394508643702</v>
      </c>
      <c r="E49" s="166">
        <v>4.0326833333333303</v>
      </c>
      <c r="F49" s="170">
        <v>6089.5452041347799</v>
      </c>
      <c r="G49" s="60">
        <f t="shared" si="0"/>
        <v>0.97654902813210986</v>
      </c>
      <c r="H49" s="382" t="str">
        <f t="shared" si="1"/>
        <v>MOOS085a1</v>
      </c>
      <c r="J49" s="382" t="s">
        <v>992</v>
      </c>
      <c r="K49" s="382">
        <f t="shared" si="2"/>
        <v>0.96540362626144827</v>
      </c>
    </row>
    <row r="50" spans="1:11" ht="19.95" customHeight="1">
      <c r="A50" s="837" t="s">
        <v>1031</v>
      </c>
      <c r="B50" s="835">
        <v>45306.516666666699</v>
      </c>
      <c r="C50" s="166">
        <v>4.0346000000000002</v>
      </c>
      <c r="D50" s="170">
        <v>5465.3351015149901</v>
      </c>
      <c r="E50" s="166">
        <v>4.0325833333333296</v>
      </c>
      <c r="F50" s="170">
        <v>5661.1918091499701</v>
      </c>
      <c r="G50" s="60">
        <f t="shared" si="0"/>
        <v>0.96540362626144827</v>
      </c>
      <c r="H50" s="382" t="str">
        <f t="shared" si="1"/>
        <v>MOOS199a2</v>
      </c>
      <c r="J50" s="382" t="s">
        <v>993</v>
      </c>
      <c r="K50" s="382">
        <f t="shared" si="2"/>
        <v>0.97655828555019175</v>
      </c>
    </row>
    <row r="51" spans="1:11" ht="19.95" customHeight="1">
      <c r="A51" s="837" t="s">
        <v>1032</v>
      </c>
      <c r="B51" s="835">
        <v>45306.523495370398</v>
      </c>
      <c r="C51" s="166">
        <v>4.0326500000000003</v>
      </c>
      <c r="D51" s="170">
        <v>5565.7524999999896</v>
      </c>
      <c r="E51" s="166">
        <v>4.0326500000000003</v>
      </c>
      <c r="F51" s="170">
        <v>5694.5660946997104</v>
      </c>
      <c r="G51" s="60">
        <f t="shared" si="0"/>
        <v>0.97737955929256559</v>
      </c>
      <c r="H51" s="382" t="str">
        <f t="shared" si="1"/>
        <v>MOOS123a1</v>
      </c>
      <c r="J51" s="382" t="s">
        <v>994</v>
      </c>
      <c r="K51" s="382">
        <f t="shared" si="2"/>
        <v>0.96227396760074457</v>
      </c>
    </row>
    <row r="52" spans="1:11" ht="19.95" customHeight="1">
      <c r="A52" s="837" t="s">
        <v>1033</v>
      </c>
      <c r="B52" s="835">
        <v>45306.5303472222</v>
      </c>
      <c r="C52" s="166">
        <v>4.0324999999999998</v>
      </c>
      <c r="D52" s="170">
        <v>5420.4951529203499</v>
      </c>
      <c r="E52" s="166">
        <v>4.0324999999999998</v>
      </c>
      <c r="F52" s="170">
        <v>5486.3846371959999</v>
      </c>
      <c r="G52" s="60">
        <f t="shared" si="0"/>
        <v>0.98799036366700588</v>
      </c>
      <c r="H52" s="382" t="str">
        <f t="shared" si="1"/>
        <v>MOOS009a1</v>
      </c>
      <c r="J52" s="382" t="s">
        <v>995</v>
      </c>
      <c r="K52" s="382">
        <f t="shared" si="2"/>
        <v>0.97685370758330814</v>
      </c>
    </row>
    <row r="53" spans="1:11" ht="19.95" customHeight="1">
      <c r="A53" s="837" t="s">
        <v>1034</v>
      </c>
      <c r="B53" s="835">
        <v>45306.537187499998</v>
      </c>
      <c r="C53" s="166">
        <v>4.02856666666667</v>
      </c>
      <c r="D53" s="170">
        <v>6036.2649813818598</v>
      </c>
      <c r="E53" s="166">
        <v>4.02856666666667</v>
      </c>
      <c r="F53" s="170">
        <v>6161.5655000000097</v>
      </c>
      <c r="G53" s="60">
        <f t="shared" si="0"/>
        <v>0.9796641748565118</v>
      </c>
      <c r="H53" s="382" t="str">
        <f t="shared" si="1"/>
        <v>MOOS313a1</v>
      </c>
      <c r="J53" s="382" t="s">
        <v>996</v>
      </c>
      <c r="K53" s="382">
        <f t="shared" si="2"/>
        <v>0.96233613546424568</v>
      </c>
    </row>
    <row r="54" spans="1:11" ht="19.95" customHeight="1">
      <c r="A54" s="837" t="s">
        <v>1035</v>
      </c>
      <c r="B54" s="835">
        <v>45306.544027777803</v>
      </c>
      <c r="C54" s="166">
        <v>4.0305999999999997</v>
      </c>
      <c r="D54" s="170">
        <v>5538.1540000000095</v>
      </c>
      <c r="E54" s="166">
        <v>4.0326166666666703</v>
      </c>
      <c r="F54" s="170">
        <v>5754.90600000001</v>
      </c>
      <c r="G54" s="60">
        <f t="shared" si="0"/>
        <v>0.96233613546424568</v>
      </c>
      <c r="H54" s="382" t="str">
        <f t="shared" si="1"/>
        <v>MOOS275a2</v>
      </c>
      <c r="J54" s="382" t="s">
        <v>997</v>
      </c>
      <c r="K54" s="382">
        <f t="shared" si="2"/>
        <v>0.9796641748565118</v>
      </c>
    </row>
    <row r="55" spans="1:11" ht="19.95" customHeight="1">
      <c r="A55" s="837" t="s">
        <v>1036</v>
      </c>
      <c r="B55" s="835">
        <v>45306.550844907397</v>
      </c>
      <c r="C55" s="166">
        <v>4.0285833333333301</v>
      </c>
      <c r="D55" s="170">
        <v>5887.2509999999802</v>
      </c>
      <c r="E55" s="166">
        <v>4.0285833333333301</v>
      </c>
      <c r="F55" s="170">
        <v>6009.0209554529401</v>
      </c>
      <c r="G55" s="60">
        <f t="shared" si="0"/>
        <v>0.97973547498740898</v>
      </c>
      <c r="H55" s="382" t="str">
        <f t="shared" si="1"/>
        <v>MOOS047a1</v>
      </c>
      <c r="J55" s="382" t="s">
        <v>998</v>
      </c>
      <c r="K55" s="382">
        <f t="shared" si="2"/>
        <v>0.96782475333714879</v>
      </c>
    </row>
    <row r="56" spans="1:11" ht="19.95" customHeight="1">
      <c r="A56" s="837" t="s">
        <v>1037</v>
      </c>
      <c r="B56" s="835">
        <v>45306.557696759301</v>
      </c>
      <c r="C56" s="166">
        <v>4.0324666666666698</v>
      </c>
      <c r="D56" s="170">
        <v>5204.2017643512299</v>
      </c>
      <c r="E56" s="166">
        <v>4.0324666666666698</v>
      </c>
      <c r="F56" s="170">
        <v>5315.1336582341</v>
      </c>
      <c r="G56" s="60">
        <f t="shared" si="0"/>
        <v>0.97912904904827436</v>
      </c>
      <c r="H56" s="382" t="str">
        <f t="shared" si="1"/>
        <v>MOOS351a1</v>
      </c>
      <c r="J56" s="382" t="s">
        <v>999</v>
      </c>
      <c r="K56" s="382">
        <f t="shared" si="2"/>
        <v>0.97912904904827436</v>
      </c>
    </row>
    <row r="57" spans="1:11" ht="19.95" customHeight="1">
      <c r="A57" s="839" t="s">
        <v>1038</v>
      </c>
      <c r="B57" s="836">
        <v>45306.564548611103</v>
      </c>
      <c r="C57" s="169">
        <v>4.0327166666666701</v>
      </c>
      <c r="D57" s="172">
        <v>5506.9673436625098</v>
      </c>
      <c r="E57" s="169">
        <v>4.0327166666666701</v>
      </c>
      <c r="F57" s="172">
        <v>5686.1655000000101</v>
      </c>
      <c r="G57" s="81">
        <f t="shared" si="0"/>
        <v>0.96848523731194602</v>
      </c>
      <c r="H57" s="383" t="str">
        <f t="shared" si="1"/>
        <v>MOOS085a2</v>
      </c>
      <c r="J57" s="383" t="s">
        <v>1000</v>
      </c>
      <c r="K57" s="383">
        <f t="shared" si="2"/>
        <v>0.97180411490061025</v>
      </c>
    </row>
    <row r="58" spans="1:11" ht="19.95" customHeight="1">
      <c r="A58" s="401" t="s">
        <v>1043</v>
      </c>
      <c r="B58" s="152"/>
      <c r="C58" s="56"/>
      <c r="D58" s="171"/>
      <c r="E58" s="56"/>
      <c r="F58" s="171"/>
    </row>
    <row r="59" spans="1:11" ht="19.95" customHeight="1">
      <c r="A59" s="88" t="s">
        <v>1044</v>
      </c>
      <c r="B59" s="229">
        <f>D37/F37</f>
        <v>7.2829971690842243E-3</v>
      </c>
      <c r="C59" s="56"/>
      <c r="D59" s="171"/>
      <c r="E59" s="56"/>
      <c r="F59" s="171"/>
    </row>
    <row r="61" spans="1:11" s="149" customFormat="1" ht="19.95" customHeight="1">
      <c r="A61" s="150" t="s">
        <v>2091</v>
      </c>
    </row>
    <row r="63" spans="1:11" ht="19.95" customHeight="1">
      <c r="A63" s="384" t="s">
        <v>102</v>
      </c>
      <c r="B63" s="384" t="s">
        <v>103</v>
      </c>
      <c r="C63" s="384" t="s">
        <v>1083</v>
      </c>
      <c r="E63" s="388" t="s">
        <v>1041</v>
      </c>
      <c r="F63" s="388" t="s">
        <v>242</v>
      </c>
    </row>
    <row r="64" spans="1:11" ht="19.95" customHeight="1">
      <c r="A64" s="387" t="s">
        <v>110</v>
      </c>
      <c r="B64" s="769" t="s">
        <v>1084</v>
      </c>
      <c r="C64" s="387">
        <v>1.75E-4</v>
      </c>
      <c r="E64" s="387"/>
      <c r="F64" s="387"/>
    </row>
    <row r="65" spans="1:6" ht="19.95" customHeight="1">
      <c r="A65" s="383" t="s">
        <v>980</v>
      </c>
      <c r="B65" s="771" t="s">
        <v>1085</v>
      </c>
      <c r="C65" s="383">
        <v>6.6799999999999997E-4</v>
      </c>
      <c r="E65" s="383"/>
      <c r="F65" s="383"/>
    </row>
    <row r="66" spans="1:6" ht="19.95" customHeight="1">
      <c r="A66" s="382" t="s">
        <v>999</v>
      </c>
      <c r="B66" s="840" t="s">
        <v>1086</v>
      </c>
      <c r="C66" s="382">
        <v>8.4748000000000004E-2</v>
      </c>
      <c r="E66" s="382" t="s">
        <v>981</v>
      </c>
      <c r="F66" s="382">
        <f>INDEX($A$66:$C$85,MATCH(E66,$A$66:$A$85,0),3)</f>
        <v>8.5948999999999998E-2</v>
      </c>
    </row>
    <row r="67" spans="1:6" ht="19.95" customHeight="1">
      <c r="A67" s="382" t="s">
        <v>998</v>
      </c>
      <c r="B67" s="840" t="s">
        <v>1087</v>
      </c>
      <c r="C67" s="382">
        <v>8.4851999999999997E-2</v>
      </c>
      <c r="E67" s="382" t="s">
        <v>982</v>
      </c>
      <c r="F67" s="382">
        <f t="shared" ref="F67:F85" si="3">INDEX($A$66:$C$85,MATCH(E67,$A$66:$A$85,0),3)</f>
        <v>8.6121000000000003E-2</v>
      </c>
    </row>
    <row r="68" spans="1:6" ht="19.95" customHeight="1">
      <c r="A68" s="382" t="s">
        <v>985</v>
      </c>
      <c r="B68" s="840" t="s">
        <v>1088</v>
      </c>
      <c r="C68" s="382">
        <v>8.4193000000000004E-2</v>
      </c>
      <c r="E68" s="382" t="s">
        <v>983</v>
      </c>
      <c r="F68" s="382">
        <f t="shared" si="3"/>
        <v>8.5612999999999995E-2</v>
      </c>
    </row>
    <row r="69" spans="1:6" ht="19.95" customHeight="1">
      <c r="A69" s="382" t="s">
        <v>994</v>
      </c>
      <c r="B69" s="840" t="s">
        <v>1089</v>
      </c>
      <c r="C69" s="382">
        <v>8.4691000000000002E-2</v>
      </c>
      <c r="E69" s="382" t="s">
        <v>984</v>
      </c>
      <c r="F69" s="382">
        <f t="shared" si="3"/>
        <v>8.5773000000000002E-2</v>
      </c>
    </row>
    <row r="70" spans="1:6" ht="19.95" customHeight="1">
      <c r="A70" s="382" t="s">
        <v>1000</v>
      </c>
      <c r="B70" s="840" t="s">
        <v>1090</v>
      </c>
      <c r="C70" s="382">
        <v>8.5299E-2</v>
      </c>
      <c r="E70" s="382" t="s">
        <v>985</v>
      </c>
      <c r="F70" s="382">
        <f t="shared" si="3"/>
        <v>8.4193000000000004E-2</v>
      </c>
    </row>
    <row r="71" spans="1:6" ht="19.95" customHeight="1">
      <c r="A71" s="382" t="s">
        <v>984</v>
      </c>
      <c r="B71" s="840" t="s">
        <v>1091</v>
      </c>
      <c r="C71" s="382">
        <v>8.5773000000000002E-2</v>
      </c>
      <c r="E71" s="382" t="s">
        <v>986</v>
      </c>
      <c r="F71" s="382">
        <f t="shared" si="3"/>
        <v>8.5289000000000004E-2</v>
      </c>
    </row>
    <row r="72" spans="1:6" ht="19.95" customHeight="1">
      <c r="A72" s="382" t="s">
        <v>995</v>
      </c>
      <c r="B72" s="840" t="s">
        <v>1092</v>
      </c>
      <c r="C72" s="382">
        <v>8.6173E-2</v>
      </c>
      <c r="E72" s="382" t="s">
        <v>987</v>
      </c>
      <c r="F72" s="382">
        <f t="shared" si="3"/>
        <v>8.6719000000000004E-2</v>
      </c>
    </row>
    <row r="73" spans="1:6" ht="19.95" customHeight="1">
      <c r="A73" s="382" t="s">
        <v>982</v>
      </c>
      <c r="B73" s="840" t="s">
        <v>1093</v>
      </c>
      <c r="C73" s="382">
        <v>8.6121000000000003E-2</v>
      </c>
      <c r="E73" s="382" t="s">
        <v>988</v>
      </c>
      <c r="F73" s="382">
        <f t="shared" si="3"/>
        <v>8.5916000000000006E-2</v>
      </c>
    </row>
    <row r="74" spans="1:6" ht="19.95" customHeight="1">
      <c r="A74" s="382" t="s">
        <v>990</v>
      </c>
      <c r="B74" s="840" t="s">
        <v>1094</v>
      </c>
      <c r="C74" s="382">
        <v>8.6119000000000001E-2</v>
      </c>
      <c r="E74" s="382" t="s">
        <v>989</v>
      </c>
      <c r="F74" s="382">
        <f t="shared" si="3"/>
        <v>8.6470000000000005E-2</v>
      </c>
    </row>
    <row r="75" spans="1:6" ht="19.95" customHeight="1">
      <c r="A75" s="382" t="s">
        <v>997</v>
      </c>
      <c r="B75" s="840" t="s">
        <v>1095</v>
      </c>
      <c r="C75" s="382">
        <v>8.6039000000000004E-2</v>
      </c>
      <c r="E75" s="382" t="s">
        <v>990</v>
      </c>
      <c r="F75" s="382">
        <f t="shared" si="3"/>
        <v>8.6119000000000001E-2</v>
      </c>
    </row>
    <row r="76" spans="1:6" ht="19.95" customHeight="1">
      <c r="A76" s="382" t="s">
        <v>988</v>
      </c>
      <c r="B76" s="840" t="s">
        <v>1096</v>
      </c>
      <c r="C76" s="382">
        <v>8.5916000000000006E-2</v>
      </c>
      <c r="E76" s="382" t="s">
        <v>991</v>
      </c>
      <c r="F76" s="382">
        <f t="shared" si="3"/>
        <v>8.6315000000000003E-2</v>
      </c>
    </row>
    <row r="77" spans="1:6" ht="19.95" customHeight="1">
      <c r="A77" s="382" t="s">
        <v>991</v>
      </c>
      <c r="B77" s="840" t="s">
        <v>1097</v>
      </c>
      <c r="C77" s="382">
        <v>8.6315000000000003E-2</v>
      </c>
      <c r="E77" s="382" t="s">
        <v>992</v>
      </c>
      <c r="F77" s="382">
        <f t="shared" si="3"/>
        <v>8.5523000000000002E-2</v>
      </c>
    </row>
    <row r="78" spans="1:6" ht="19.95" customHeight="1">
      <c r="A78" s="382" t="s">
        <v>996</v>
      </c>
      <c r="B78" s="840" t="s">
        <v>1098</v>
      </c>
      <c r="C78" s="382">
        <v>8.6321999999999996E-2</v>
      </c>
      <c r="E78" s="382" t="s">
        <v>993</v>
      </c>
      <c r="F78" s="382">
        <f t="shared" si="3"/>
        <v>8.5775000000000004E-2</v>
      </c>
    </row>
    <row r="79" spans="1:6" ht="19.95" customHeight="1">
      <c r="A79" s="382" t="s">
        <v>987</v>
      </c>
      <c r="B79" s="840" t="s">
        <v>1099</v>
      </c>
      <c r="C79" s="382">
        <v>8.6719000000000004E-2</v>
      </c>
      <c r="E79" s="382" t="s">
        <v>994</v>
      </c>
      <c r="F79" s="382">
        <f t="shared" si="3"/>
        <v>8.4691000000000002E-2</v>
      </c>
    </row>
    <row r="80" spans="1:6" ht="19.95" customHeight="1">
      <c r="A80" s="382" t="s">
        <v>981</v>
      </c>
      <c r="B80" s="840" t="s">
        <v>1100</v>
      </c>
      <c r="C80" s="382">
        <v>8.5948999999999998E-2</v>
      </c>
      <c r="E80" s="382" t="s">
        <v>995</v>
      </c>
      <c r="F80" s="382">
        <f t="shared" si="3"/>
        <v>8.6173E-2</v>
      </c>
    </row>
    <row r="81" spans="1:6" ht="19.95" customHeight="1">
      <c r="A81" s="382" t="s">
        <v>986</v>
      </c>
      <c r="B81" s="840" t="s">
        <v>1101</v>
      </c>
      <c r="C81" s="382">
        <v>8.5289000000000004E-2</v>
      </c>
      <c r="E81" s="382" t="s">
        <v>996</v>
      </c>
      <c r="F81" s="382">
        <f t="shared" si="3"/>
        <v>8.6321999999999996E-2</v>
      </c>
    </row>
    <row r="82" spans="1:6" ht="19.95" customHeight="1">
      <c r="A82" s="382" t="s">
        <v>993</v>
      </c>
      <c r="B82" s="840" t="s">
        <v>1102</v>
      </c>
      <c r="C82" s="382">
        <v>8.5775000000000004E-2</v>
      </c>
      <c r="E82" s="382" t="s">
        <v>997</v>
      </c>
      <c r="F82" s="382">
        <f t="shared" si="3"/>
        <v>8.6039000000000004E-2</v>
      </c>
    </row>
    <row r="83" spans="1:6" ht="19.95" customHeight="1">
      <c r="A83" s="382" t="s">
        <v>989</v>
      </c>
      <c r="B83" s="840" t="s">
        <v>1103</v>
      </c>
      <c r="C83" s="382">
        <v>8.6470000000000005E-2</v>
      </c>
      <c r="E83" s="382" t="s">
        <v>998</v>
      </c>
      <c r="F83" s="382">
        <f t="shared" si="3"/>
        <v>8.4851999999999997E-2</v>
      </c>
    </row>
    <row r="84" spans="1:6" ht="19.95" customHeight="1">
      <c r="A84" s="382" t="s">
        <v>992</v>
      </c>
      <c r="B84" s="840" t="s">
        <v>1104</v>
      </c>
      <c r="C84" s="382">
        <v>8.5523000000000002E-2</v>
      </c>
      <c r="E84" s="382" t="s">
        <v>999</v>
      </c>
      <c r="F84" s="382">
        <f t="shared" si="3"/>
        <v>8.4748000000000004E-2</v>
      </c>
    </row>
    <row r="85" spans="1:6" ht="19.95" customHeight="1">
      <c r="A85" s="383" t="s">
        <v>983</v>
      </c>
      <c r="B85" s="771" t="s">
        <v>1105</v>
      </c>
      <c r="C85" s="383">
        <v>8.5612999999999995E-2</v>
      </c>
      <c r="E85" s="383" t="s">
        <v>1000</v>
      </c>
      <c r="F85" s="383">
        <f t="shared" si="3"/>
        <v>8.5299E-2</v>
      </c>
    </row>
    <row r="86" spans="1:6" s="419" customFormat="1" ht="19.95" customHeight="1">
      <c r="A86" s="88" t="s">
        <v>1188</v>
      </c>
      <c r="B86" s="229">
        <f>AVERAGE(C64:C65)/AVERAGE(C66:C85)</f>
        <v>4.918609556339085E-3</v>
      </c>
      <c r="C86" s="420"/>
      <c r="E86" s="420"/>
      <c r="F86" s="420"/>
    </row>
    <row r="88" spans="1:6" s="149" customFormat="1" ht="19.95" customHeight="1">
      <c r="A88" s="150" t="s">
        <v>2092</v>
      </c>
    </row>
    <row r="90" spans="1:6" ht="19.95" customHeight="1">
      <c r="A90" s="384" t="s">
        <v>102</v>
      </c>
      <c r="B90" s="384" t="s">
        <v>103</v>
      </c>
      <c r="C90" s="384" t="s">
        <v>104</v>
      </c>
      <c r="E90" s="388" t="s">
        <v>1041</v>
      </c>
      <c r="F90" s="388" t="s">
        <v>242</v>
      </c>
    </row>
    <row r="91" spans="1:6" ht="19.95" customHeight="1">
      <c r="A91" s="382" t="s">
        <v>110</v>
      </c>
      <c r="B91" s="840" t="s">
        <v>1109</v>
      </c>
      <c r="C91" s="382">
        <v>-5.6059999999999999E-3</v>
      </c>
      <c r="E91" s="387"/>
      <c r="F91" s="387"/>
    </row>
    <row r="92" spans="1:6" ht="19.95" customHeight="1">
      <c r="A92" s="382" t="s">
        <v>980</v>
      </c>
      <c r="B92" s="840" t="s">
        <v>1110</v>
      </c>
      <c r="C92" s="382">
        <v>-5.4390000000000003E-3</v>
      </c>
      <c r="E92" s="383"/>
      <c r="F92" s="383"/>
    </row>
    <row r="93" spans="1:6" ht="19.95" customHeight="1">
      <c r="A93" s="382" t="s">
        <v>992</v>
      </c>
      <c r="B93" s="840" t="s">
        <v>1111</v>
      </c>
      <c r="C93" s="382">
        <v>0.27090599999999998</v>
      </c>
      <c r="E93" s="382" t="s">
        <v>981</v>
      </c>
      <c r="F93" s="382">
        <f>INDEX($A$93:$C$112,MATCH(E93,$A$93:$A$112,0),3)</f>
        <v>0.26947700000000002</v>
      </c>
    </row>
    <row r="94" spans="1:6" ht="19.95" customHeight="1">
      <c r="A94" s="382" t="s">
        <v>985</v>
      </c>
      <c r="B94" s="840" t="s">
        <v>1112</v>
      </c>
      <c r="C94" s="382">
        <v>0.27005899999999999</v>
      </c>
      <c r="E94" s="382" t="s">
        <v>982</v>
      </c>
      <c r="F94" s="382">
        <f t="shared" ref="F94:F112" si="4">INDEX($A$93:$C$112,MATCH(E94,$A$93:$A$112,0),3)</f>
        <v>0.27079999999999999</v>
      </c>
    </row>
    <row r="95" spans="1:6" ht="19.95" customHeight="1">
      <c r="A95" s="382" t="s">
        <v>986</v>
      </c>
      <c r="B95" s="840" t="s">
        <v>1113</v>
      </c>
      <c r="C95" s="382">
        <v>0.27059100000000003</v>
      </c>
      <c r="E95" s="382" t="s">
        <v>983</v>
      </c>
      <c r="F95" s="382">
        <f t="shared" si="4"/>
        <v>0.270706</v>
      </c>
    </row>
    <row r="96" spans="1:6" ht="19.95" customHeight="1">
      <c r="A96" s="382" t="s">
        <v>997</v>
      </c>
      <c r="B96" s="840" t="s">
        <v>1114</v>
      </c>
      <c r="C96" s="382">
        <v>0.27269599999999999</v>
      </c>
      <c r="E96" s="382" t="s">
        <v>984</v>
      </c>
      <c r="F96" s="382">
        <f t="shared" si="4"/>
        <v>0.27070899999999998</v>
      </c>
    </row>
    <row r="97" spans="1:6" ht="19.95" customHeight="1">
      <c r="A97" s="382" t="s">
        <v>984</v>
      </c>
      <c r="B97" s="840" t="s">
        <v>1115</v>
      </c>
      <c r="C97" s="382">
        <v>0.27070899999999998</v>
      </c>
      <c r="E97" s="382" t="s">
        <v>985</v>
      </c>
      <c r="F97" s="382">
        <f t="shared" si="4"/>
        <v>0.27005899999999999</v>
      </c>
    </row>
    <row r="98" spans="1:6" ht="19.95" customHeight="1">
      <c r="A98" s="382" t="s">
        <v>983</v>
      </c>
      <c r="B98" s="840" t="s">
        <v>1116</v>
      </c>
      <c r="C98" s="382">
        <v>0.270706</v>
      </c>
      <c r="E98" s="382" t="s">
        <v>986</v>
      </c>
      <c r="F98" s="382">
        <f t="shared" si="4"/>
        <v>0.27059100000000003</v>
      </c>
    </row>
    <row r="99" spans="1:6" ht="19.95" customHeight="1">
      <c r="A99" s="382" t="s">
        <v>999</v>
      </c>
      <c r="B99" s="840" t="s">
        <v>1117</v>
      </c>
      <c r="C99" s="382">
        <v>0.27294099999999999</v>
      </c>
      <c r="E99" s="382" t="s">
        <v>987</v>
      </c>
      <c r="F99" s="382">
        <f t="shared" si="4"/>
        <v>0.27002999999999999</v>
      </c>
    </row>
    <row r="100" spans="1:6" ht="19.95" customHeight="1">
      <c r="A100" s="382" t="s">
        <v>994</v>
      </c>
      <c r="B100" s="840" t="s">
        <v>1118</v>
      </c>
      <c r="C100" s="382">
        <v>0.27077499999999999</v>
      </c>
      <c r="E100" s="382" t="s">
        <v>988</v>
      </c>
      <c r="F100" s="382">
        <f t="shared" si="4"/>
        <v>0.27058100000000002</v>
      </c>
    </row>
    <row r="101" spans="1:6" ht="19.95" customHeight="1">
      <c r="A101" s="382" t="s">
        <v>998</v>
      </c>
      <c r="B101" s="840" t="s">
        <v>1119</v>
      </c>
      <c r="C101" s="382">
        <v>0.272312</v>
      </c>
      <c r="E101" s="382" t="s">
        <v>989</v>
      </c>
      <c r="F101" s="382">
        <f t="shared" si="4"/>
        <v>0.27256200000000003</v>
      </c>
    </row>
    <row r="102" spans="1:6" ht="19.95" customHeight="1">
      <c r="A102" s="382" t="s">
        <v>1000</v>
      </c>
      <c r="B102" s="840" t="s">
        <v>1120</v>
      </c>
      <c r="C102" s="382">
        <v>0.27325300000000002</v>
      </c>
      <c r="E102" s="382" t="s">
        <v>990</v>
      </c>
      <c r="F102" s="382">
        <f t="shared" si="4"/>
        <v>0.27166800000000002</v>
      </c>
    </row>
    <row r="103" spans="1:6" ht="19.95" customHeight="1">
      <c r="A103" s="382" t="s">
        <v>996</v>
      </c>
      <c r="B103" s="840" t="s">
        <v>1121</v>
      </c>
      <c r="C103" s="382">
        <v>0.27083400000000002</v>
      </c>
      <c r="E103" s="382" t="s">
        <v>991</v>
      </c>
      <c r="F103" s="382">
        <f t="shared" si="4"/>
        <v>0.27052799999999999</v>
      </c>
    </row>
    <row r="104" spans="1:6" ht="19.95" customHeight="1">
      <c r="A104" s="382" t="s">
        <v>991</v>
      </c>
      <c r="B104" s="840" t="s">
        <v>1122</v>
      </c>
      <c r="C104" s="382">
        <v>0.27052799999999999</v>
      </c>
      <c r="E104" s="382" t="s">
        <v>992</v>
      </c>
      <c r="F104" s="382">
        <f t="shared" si="4"/>
        <v>0.27090599999999998</v>
      </c>
    </row>
    <row r="105" spans="1:6" ht="19.95" customHeight="1">
      <c r="A105" s="382" t="s">
        <v>993</v>
      </c>
      <c r="B105" s="840" t="s">
        <v>1123</v>
      </c>
      <c r="C105" s="382">
        <v>0.27093600000000001</v>
      </c>
      <c r="E105" s="382" t="s">
        <v>993</v>
      </c>
      <c r="F105" s="382">
        <f t="shared" si="4"/>
        <v>0.27093600000000001</v>
      </c>
    </row>
    <row r="106" spans="1:6" ht="19.95" customHeight="1">
      <c r="A106" s="382" t="s">
        <v>989</v>
      </c>
      <c r="B106" s="840" t="s">
        <v>1124</v>
      </c>
      <c r="C106" s="382">
        <v>0.27256200000000003</v>
      </c>
      <c r="E106" s="382" t="s">
        <v>994</v>
      </c>
      <c r="F106" s="382">
        <f t="shared" si="4"/>
        <v>0.27077499999999999</v>
      </c>
    </row>
    <row r="107" spans="1:6" ht="19.95" customHeight="1">
      <c r="A107" s="382" t="s">
        <v>987</v>
      </c>
      <c r="B107" s="840" t="s">
        <v>1125</v>
      </c>
      <c r="C107" s="382">
        <v>0.27002999999999999</v>
      </c>
      <c r="E107" s="382" t="s">
        <v>995</v>
      </c>
      <c r="F107" s="382">
        <f t="shared" si="4"/>
        <v>0.27058500000000002</v>
      </c>
    </row>
    <row r="108" spans="1:6" ht="19.95" customHeight="1">
      <c r="A108" s="382" t="s">
        <v>982</v>
      </c>
      <c r="B108" s="840" t="s">
        <v>1126</v>
      </c>
      <c r="C108" s="382">
        <v>0.27079999999999999</v>
      </c>
      <c r="E108" s="382" t="s">
        <v>996</v>
      </c>
      <c r="F108" s="382">
        <f t="shared" si="4"/>
        <v>0.27083400000000002</v>
      </c>
    </row>
    <row r="109" spans="1:6" ht="19.95" customHeight="1">
      <c r="A109" s="382" t="s">
        <v>981</v>
      </c>
      <c r="B109" s="840" t="s">
        <v>1127</v>
      </c>
      <c r="C109" s="382">
        <v>0.26947700000000002</v>
      </c>
      <c r="E109" s="382" t="s">
        <v>997</v>
      </c>
      <c r="F109" s="382">
        <f t="shared" si="4"/>
        <v>0.27269599999999999</v>
      </c>
    </row>
    <row r="110" spans="1:6" ht="19.95" customHeight="1">
      <c r="A110" s="382" t="s">
        <v>988</v>
      </c>
      <c r="B110" s="840" t="s">
        <v>1128</v>
      </c>
      <c r="C110" s="382">
        <v>0.27058100000000002</v>
      </c>
      <c r="E110" s="382" t="s">
        <v>998</v>
      </c>
      <c r="F110" s="382">
        <f t="shared" si="4"/>
        <v>0.272312</v>
      </c>
    </row>
    <row r="111" spans="1:6" ht="19.95" customHeight="1">
      <c r="A111" s="382" t="s">
        <v>990</v>
      </c>
      <c r="B111" s="840" t="s">
        <v>1129</v>
      </c>
      <c r="C111" s="382">
        <v>0.27166800000000002</v>
      </c>
      <c r="E111" s="382" t="s">
        <v>999</v>
      </c>
      <c r="F111" s="382">
        <f t="shared" si="4"/>
        <v>0.27294099999999999</v>
      </c>
    </row>
    <row r="112" spans="1:6" ht="19.95" customHeight="1">
      <c r="A112" s="383" t="s">
        <v>995</v>
      </c>
      <c r="B112" s="771" t="s">
        <v>1130</v>
      </c>
      <c r="C112" s="383">
        <v>0.27058500000000002</v>
      </c>
      <c r="E112" s="383" t="s">
        <v>1000</v>
      </c>
      <c r="F112" s="383">
        <f t="shared" si="4"/>
        <v>0.27325300000000002</v>
      </c>
    </row>
    <row r="113" spans="1:8" s="419" customFormat="1" ht="19.95" customHeight="1">
      <c r="A113" s="88" t="s">
        <v>1188</v>
      </c>
      <c r="B113" s="229">
        <f>AVERAGE(C91:C92)/AVERAGE(C93:C112)</f>
        <v>-2.0367147100221666E-2</v>
      </c>
      <c r="C113" s="420"/>
      <c r="E113" s="420"/>
      <c r="F113" s="420"/>
    </row>
    <row r="115" spans="1:8" s="149" customFormat="1" ht="19.95" customHeight="1">
      <c r="A115" s="150" t="s">
        <v>2093</v>
      </c>
    </row>
    <row r="117" spans="1:8" ht="19.95" customHeight="1">
      <c r="A117" s="394" t="s">
        <v>102</v>
      </c>
      <c r="B117" s="394" t="s">
        <v>103</v>
      </c>
      <c r="C117" s="394" t="s">
        <v>1142</v>
      </c>
      <c r="E117" s="393" t="s">
        <v>1041</v>
      </c>
      <c r="F117" s="393" t="s">
        <v>242</v>
      </c>
    </row>
    <row r="118" spans="1:8" ht="19.95" customHeight="1">
      <c r="A118" s="382" t="s">
        <v>110</v>
      </c>
      <c r="B118" s="840" t="s">
        <v>1143</v>
      </c>
      <c r="C118" s="382">
        <v>1.1716000000000001E-2</v>
      </c>
      <c r="E118" s="392"/>
      <c r="F118" s="392"/>
    </row>
    <row r="119" spans="1:8" ht="19.95" customHeight="1">
      <c r="A119" s="382" t="s">
        <v>980</v>
      </c>
      <c r="B119" s="840" t="s">
        <v>1144</v>
      </c>
      <c r="C119" s="382">
        <v>1.2798E-2</v>
      </c>
      <c r="E119" s="396"/>
      <c r="F119" s="396"/>
    </row>
    <row r="120" spans="1:8" ht="19.95" customHeight="1">
      <c r="A120" s="382" t="s">
        <v>997</v>
      </c>
      <c r="B120" s="840" t="s">
        <v>1145</v>
      </c>
      <c r="C120" s="382">
        <v>0.120216</v>
      </c>
      <c r="E120" s="395" t="s">
        <v>981</v>
      </c>
      <c r="F120" s="395">
        <f>INDEX($A$120:$C$139,MATCH(E120,$A$120:$A$139,0),3)</f>
        <v>0.119181</v>
      </c>
    </row>
    <row r="121" spans="1:8" ht="19.95" customHeight="1">
      <c r="A121" s="382" t="s">
        <v>982</v>
      </c>
      <c r="B121" s="840" t="s">
        <v>1146</v>
      </c>
      <c r="C121" s="382">
        <v>0.121985</v>
      </c>
      <c r="E121" s="395" t="s">
        <v>982</v>
      </c>
      <c r="F121" s="395">
        <f t="shared" ref="F121:F139" si="5">INDEX($A$120:$C$139,MATCH(E121,$A$120:$A$139,0),3)</f>
        <v>0.121985</v>
      </c>
      <c r="H121" s="395"/>
    </row>
    <row r="122" spans="1:8" ht="19.95" customHeight="1">
      <c r="A122" s="382" t="s">
        <v>992</v>
      </c>
      <c r="B122" s="840" t="s">
        <v>1147</v>
      </c>
      <c r="C122" s="382">
        <v>0.11901200000000001</v>
      </c>
      <c r="E122" s="395" t="s">
        <v>983</v>
      </c>
      <c r="F122" s="395">
        <f t="shared" si="5"/>
        <v>0.121435</v>
      </c>
      <c r="H122" s="395"/>
    </row>
    <row r="123" spans="1:8" ht="19.95" customHeight="1">
      <c r="A123" s="382" t="s">
        <v>984</v>
      </c>
      <c r="B123" s="840" t="s">
        <v>1148</v>
      </c>
      <c r="C123" s="382">
        <v>0.120865</v>
      </c>
      <c r="E123" s="395" t="s">
        <v>984</v>
      </c>
      <c r="F123" s="395">
        <f t="shared" si="5"/>
        <v>0.120865</v>
      </c>
      <c r="H123" s="395"/>
    </row>
    <row r="124" spans="1:8" ht="19.95" customHeight="1">
      <c r="A124" s="382" t="s">
        <v>986</v>
      </c>
      <c r="B124" s="840" t="s">
        <v>1149</v>
      </c>
      <c r="C124" s="382">
        <v>0.12030100000000001</v>
      </c>
      <c r="E124" s="395" t="s">
        <v>985</v>
      </c>
      <c r="F124" s="395">
        <f t="shared" si="5"/>
        <v>0.121693</v>
      </c>
      <c r="H124" s="395"/>
    </row>
    <row r="125" spans="1:8" ht="19.95" customHeight="1">
      <c r="A125" s="382" t="s">
        <v>985</v>
      </c>
      <c r="B125" s="840" t="s">
        <v>1150</v>
      </c>
      <c r="C125" s="382">
        <v>0.121693</v>
      </c>
      <c r="E125" s="395" t="s">
        <v>986</v>
      </c>
      <c r="F125" s="395">
        <f t="shared" si="5"/>
        <v>0.12030100000000001</v>
      </c>
      <c r="H125" s="395"/>
    </row>
    <row r="126" spans="1:8" ht="19.95" customHeight="1">
      <c r="A126" s="382" t="s">
        <v>981</v>
      </c>
      <c r="B126" s="840" t="s">
        <v>1151</v>
      </c>
      <c r="C126" s="382">
        <v>0.119181</v>
      </c>
      <c r="E126" s="395" t="s">
        <v>987</v>
      </c>
      <c r="F126" s="395">
        <f t="shared" si="5"/>
        <v>0.121153</v>
      </c>
      <c r="H126" s="395"/>
    </row>
    <row r="127" spans="1:8" ht="19.95" customHeight="1">
      <c r="A127" s="382" t="s">
        <v>989</v>
      </c>
      <c r="B127" s="840" t="s">
        <v>1152</v>
      </c>
      <c r="C127" s="382">
        <v>0.120549</v>
      </c>
      <c r="E127" s="395" t="s">
        <v>988</v>
      </c>
      <c r="F127" s="395">
        <f t="shared" si="5"/>
        <v>0.121044</v>
      </c>
      <c r="H127" s="395"/>
    </row>
    <row r="128" spans="1:8" ht="19.95" customHeight="1">
      <c r="A128" s="382" t="s">
        <v>988</v>
      </c>
      <c r="B128" s="840" t="s">
        <v>1153</v>
      </c>
      <c r="C128" s="382">
        <v>0.121044</v>
      </c>
      <c r="E128" s="395" t="s">
        <v>989</v>
      </c>
      <c r="F128" s="395">
        <f t="shared" si="5"/>
        <v>0.120549</v>
      </c>
      <c r="H128" s="395"/>
    </row>
    <row r="129" spans="1:22" ht="19.95" customHeight="1">
      <c r="A129" s="382" t="s">
        <v>996</v>
      </c>
      <c r="B129" s="840" t="s">
        <v>1154</v>
      </c>
      <c r="C129" s="382">
        <v>0.119949</v>
      </c>
      <c r="E129" s="395" t="s">
        <v>990</v>
      </c>
      <c r="F129" s="395">
        <f t="shared" si="5"/>
        <v>0.118827</v>
      </c>
      <c r="H129" s="395"/>
    </row>
    <row r="130" spans="1:22" ht="19.95" customHeight="1">
      <c r="A130" s="382" t="s">
        <v>990</v>
      </c>
      <c r="B130" s="840" t="s">
        <v>1155</v>
      </c>
      <c r="C130" s="382">
        <v>0.118827</v>
      </c>
      <c r="E130" s="395" t="s">
        <v>991</v>
      </c>
      <c r="F130" s="395">
        <f t="shared" si="5"/>
        <v>0.120642</v>
      </c>
      <c r="H130" s="395"/>
    </row>
    <row r="131" spans="1:22" ht="19.95" customHeight="1">
      <c r="A131" s="382" t="s">
        <v>994</v>
      </c>
      <c r="B131" s="840" t="s">
        <v>1156</v>
      </c>
      <c r="C131" s="382">
        <v>0.11999899999999999</v>
      </c>
      <c r="E131" s="395" t="s">
        <v>992</v>
      </c>
      <c r="F131" s="395">
        <f t="shared" si="5"/>
        <v>0.11901200000000001</v>
      </c>
      <c r="H131" s="395"/>
    </row>
    <row r="132" spans="1:22" ht="19.95" customHeight="1">
      <c r="A132" s="382" t="s">
        <v>991</v>
      </c>
      <c r="B132" s="840" t="s">
        <v>1157</v>
      </c>
      <c r="C132" s="382">
        <v>0.120642</v>
      </c>
      <c r="E132" s="395" t="s">
        <v>993</v>
      </c>
      <c r="F132" s="395">
        <f t="shared" si="5"/>
        <v>0.120397</v>
      </c>
      <c r="H132" s="395"/>
    </row>
    <row r="133" spans="1:22" ht="19.95" customHeight="1">
      <c r="A133" s="382" t="s">
        <v>1000</v>
      </c>
      <c r="B133" s="840" t="s">
        <v>1158</v>
      </c>
      <c r="C133" s="382">
        <v>0.11969200000000001</v>
      </c>
      <c r="E133" s="395" t="s">
        <v>994</v>
      </c>
      <c r="F133" s="395">
        <f t="shared" si="5"/>
        <v>0.11999899999999999</v>
      </c>
      <c r="H133" s="395"/>
    </row>
    <row r="134" spans="1:22" ht="19.95" customHeight="1">
      <c r="A134" s="382" t="s">
        <v>995</v>
      </c>
      <c r="B134" s="840" t="s">
        <v>1159</v>
      </c>
      <c r="C134" s="382">
        <v>0.117728</v>
      </c>
      <c r="E134" s="395" t="s">
        <v>995</v>
      </c>
      <c r="F134" s="395">
        <f t="shared" si="5"/>
        <v>0.117728</v>
      </c>
      <c r="H134" s="395"/>
    </row>
    <row r="135" spans="1:22" ht="19.95" customHeight="1">
      <c r="A135" s="382" t="s">
        <v>993</v>
      </c>
      <c r="B135" s="840" t="s">
        <v>1160</v>
      </c>
      <c r="C135" s="382">
        <v>0.120397</v>
      </c>
      <c r="E135" s="395" t="s">
        <v>996</v>
      </c>
      <c r="F135" s="395">
        <f t="shared" si="5"/>
        <v>0.119949</v>
      </c>
      <c r="H135" s="395"/>
    </row>
    <row r="136" spans="1:22" ht="19.95" customHeight="1">
      <c r="A136" s="382" t="s">
        <v>998</v>
      </c>
      <c r="B136" s="840" t="s">
        <v>1161</v>
      </c>
      <c r="C136" s="382">
        <v>0.119175</v>
      </c>
      <c r="E136" s="395" t="s">
        <v>997</v>
      </c>
      <c r="F136" s="395">
        <f t="shared" si="5"/>
        <v>0.120216</v>
      </c>
      <c r="H136" s="395"/>
    </row>
    <row r="137" spans="1:22" ht="19.95" customHeight="1">
      <c r="A137" s="382" t="s">
        <v>999</v>
      </c>
      <c r="B137" s="840" t="s">
        <v>1162</v>
      </c>
      <c r="C137" s="382">
        <v>0.119156</v>
      </c>
      <c r="E137" s="395" t="s">
        <v>998</v>
      </c>
      <c r="F137" s="395">
        <f t="shared" si="5"/>
        <v>0.119175</v>
      </c>
      <c r="H137" s="395"/>
    </row>
    <row r="138" spans="1:22" ht="19.95" customHeight="1">
      <c r="A138" s="382" t="s">
        <v>983</v>
      </c>
      <c r="B138" s="840" t="s">
        <v>1163</v>
      </c>
      <c r="C138" s="382">
        <v>0.121435</v>
      </c>
      <c r="E138" s="395" t="s">
        <v>999</v>
      </c>
      <c r="F138" s="395">
        <f t="shared" si="5"/>
        <v>0.119156</v>
      </c>
      <c r="H138" s="395"/>
    </row>
    <row r="139" spans="1:22" ht="19.95" customHeight="1">
      <c r="A139" s="396" t="s">
        <v>987</v>
      </c>
      <c r="B139" s="771" t="s">
        <v>1164</v>
      </c>
      <c r="C139" s="396">
        <v>0.121153</v>
      </c>
      <c r="E139" s="396" t="s">
        <v>1000</v>
      </c>
      <c r="F139" s="396">
        <f t="shared" si="5"/>
        <v>0.11969200000000001</v>
      </c>
      <c r="H139" s="395"/>
    </row>
    <row r="140" spans="1:22" s="419" customFormat="1" ht="19.95" customHeight="1">
      <c r="A140" s="88" t="s">
        <v>1188</v>
      </c>
      <c r="B140" s="229">
        <f>AVERAGE(C118:C119)/AVERAGE(C120:C139)</f>
        <v>0.10201419143328816</v>
      </c>
      <c r="C140" s="420"/>
      <c r="E140" s="420"/>
      <c r="F140" s="420"/>
    </row>
    <row r="142" spans="1:22" s="149" customFormat="1" ht="19.95" customHeight="1">
      <c r="A142" s="150" t="s">
        <v>2094</v>
      </c>
    </row>
    <row r="144" spans="1:22" ht="19.95" customHeight="1">
      <c r="A144" s="478" t="s">
        <v>100</v>
      </c>
      <c r="B144" s="478"/>
      <c r="C144" s="478" t="s">
        <v>1273</v>
      </c>
      <c r="D144" s="478"/>
      <c r="E144" s="478" t="s">
        <v>111</v>
      </c>
      <c r="F144" s="478"/>
      <c r="G144" s="478" t="s">
        <v>112</v>
      </c>
      <c r="H144" s="478"/>
      <c r="I144" s="478" t="s">
        <v>217</v>
      </c>
      <c r="J144" s="478" t="s">
        <v>1041</v>
      </c>
      <c r="M144" s="478" t="s">
        <v>1041</v>
      </c>
      <c r="N144" s="478" t="s">
        <v>1382</v>
      </c>
      <c r="O144" s="478" t="s">
        <v>1383</v>
      </c>
      <c r="P144" s="478" t="s">
        <v>1384</v>
      </c>
      <c r="Q144" s="478" t="s">
        <v>1385</v>
      </c>
      <c r="R144" s="478" t="s">
        <v>1386</v>
      </c>
      <c r="S144" s="477" t="s">
        <v>260</v>
      </c>
      <c r="T144" s="477" t="s">
        <v>261</v>
      </c>
      <c r="U144" s="477" t="s">
        <v>262</v>
      </c>
      <c r="V144" s="477" t="s">
        <v>1389</v>
      </c>
    </row>
    <row r="145" spans="1:22" ht="19.95" customHeight="1">
      <c r="A145" s="476" t="s">
        <v>106</v>
      </c>
      <c r="B145" s="476" t="s">
        <v>105</v>
      </c>
      <c r="C145" s="476" t="s">
        <v>107</v>
      </c>
      <c r="D145" s="476" t="s">
        <v>108</v>
      </c>
      <c r="E145" s="476" t="s">
        <v>107</v>
      </c>
      <c r="F145" s="476" t="s">
        <v>108</v>
      </c>
      <c r="G145" s="476" t="s">
        <v>107</v>
      </c>
      <c r="H145" s="476" t="s">
        <v>108</v>
      </c>
      <c r="I145" s="476" t="s">
        <v>1040</v>
      </c>
      <c r="J145" s="476" t="s">
        <v>1042</v>
      </c>
      <c r="M145" s="476" t="s">
        <v>1042</v>
      </c>
      <c r="N145" s="476" t="s">
        <v>1040</v>
      </c>
      <c r="O145" s="476" t="s">
        <v>1040</v>
      </c>
      <c r="P145" s="476" t="s">
        <v>1040</v>
      </c>
      <c r="Q145" s="476" t="s">
        <v>1040</v>
      </c>
      <c r="R145" s="476" t="s">
        <v>1040</v>
      </c>
      <c r="S145" s="476" t="s">
        <v>1040</v>
      </c>
      <c r="T145" s="476" t="s">
        <v>1040</v>
      </c>
      <c r="U145" s="476" t="s">
        <v>1040</v>
      </c>
      <c r="V145" s="476" t="s">
        <v>1040</v>
      </c>
    </row>
    <row r="146" spans="1:22" ht="19.95" customHeight="1">
      <c r="A146" s="837" t="s">
        <v>1274</v>
      </c>
      <c r="B146" s="835">
        <v>45328.525694444397</v>
      </c>
      <c r="C146" s="166" t="s">
        <v>109</v>
      </c>
      <c r="D146" s="170" t="s">
        <v>109</v>
      </c>
      <c r="E146" s="166" t="s">
        <v>109</v>
      </c>
      <c r="F146" s="170" t="s">
        <v>109</v>
      </c>
      <c r="G146" s="166" t="s">
        <v>109</v>
      </c>
      <c r="H146" s="170" t="s">
        <v>109</v>
      </c>
      <c r="I146" s="142" t="e">
        <f>F146/H146</f>
        <v>#VALUE!</v>
      </c>
      <c r="J146" s="382" t="str">
        <f>SUBSTITUTE(A146,"_I.D","")</f>
        <v>VOID</v>
      </c>
      <c r="M146" s="382" t="s">
        <v>1369</v>
      </c>
      <c r="N146" s="142" t="e">
        <f>I146</f>
        <v>#VALUE!</v>
      </c>
      <c r="O146" s="142" t="e">
        <f>I165</f>
        <v>#VALUE!</v>
      </c>
      <c r="P146" s="142" t="e">
        <f>I184</f>
        <v>#VALUE!</v>
      </c>
      <c r="Q146" s="142" t="e">
        <f>I203</f>
        <v>#VALUE!</v>
      </c>
      <c r="R146" s="142" t="e">
        <f>I222</f>
        <v>#VALUE!</v>
      </c>
      <c r="S146" s="142" t="e">
        <f>AVERAGE(N146:R146)</f>
        <v>#VALUE!</v>
      </c>
      <c r="T146" s="382" t="e">
        <f>STDEV(N146:R146)</f>
        <v>#VALUE!</v>
      </c>
      <c r="U146" s="161" t="e">
        <f>T146/S146</f>
        <v>#VALUE!</v>
      </c>
    </row>
    <row r="147" spans="1:22" ht="19.95" customHeight="1">
      <c r="A147" s="837" t="s">
        <v>1275</v>
      </c>
      <c r="B147" s="835">
        <v>45328.535138888903</v>
      </c>
      <c r="C147" s="166">
        <v>2.4559166666666701</v>
      </c>
      <c r="D147" s="170">
        <v>21.3962832400676</v>
      </c>
      <c r="E147" s="166">
        <v>5.8057333333333299</v>
      </c>
      <c r="F147" s="170">
        <v>35.904499999999999</v>
      </c>
      <c r="G147" s="166" t="s">
        <v>109</v>
      </c>
      <c r="H147" s="170" t="s">
        <v>109</v>
      </c>
      <c r="I147" s="142" t="e">
        <f t="shared" ref="I147:I210" si="6">F147/H147</f>
        <v>#VALUE!</v>
      </c>
      <c r="J147" s="475" t="str">
        <f t="shared" ref="J147:J164" si="7">SUBSTITUTE(A147,"_I.D","")</f>
        <v>WATER</v>
      </c>
      <c r="M147" s="476" t="s">
        <v>1370</v>
      </c>
      <c r="N147" s="143" t="e">
        <f t="shared" ref="N147:N164" si="8">I147</f>
        <v>#VALUE!</v>
      </c>
      <c r="O147" s="143">
        <f t="shared" ref="O147:O164" si="9">I166</f>
        <v>5.2216206123972659</v>
      </c>
      <c r="P147" s="143">
        <f t="shared" ref="P147:P164" si="10">I185</f>
        <v>5.4863266434385034</v>
      </c>
      <c r="Q147" s="143">
        <f t="shared" ref="Q147:Q164" si="11">I204</f>
        <v>4.5666760343813051</v>
      </c>
      <c r="R147" s="143">
        <f t="shared" ref="R147:R164" si="12">I223</f>
        <v>3.4785248917599176</v>
      </c>
      <c r="S147" s="143" t="e">
        <f t="shared" ref="S147:S164" si="13">AVERAGE(N147:R147)</f>
        <v>#VALUE!</v>
      </c>
      <c r="T147" s="476" t="e">
        <f t="shared" ref="T147:T164" si="14">STDEV(N147:R147)</f>
        <v>#VALUE!</v>
      </c>
      <c r="U147" s="202" t="e">
        <f t="shared" ref="U147:U164" si="15">T147/S147</f>
        <v>#VALUE!</v>
      </c>
      <c r="V147" s="589"/>
    </row>
    <row r="148" spans="1:22" ht="19.95" customHeight="1">
      <c r="A148" s="837" t="s">
        <v>1276</v>
      </c>
      <c r="B148" s="835">
        <v>45328.544513888897</v>
      </c>
      <c r="C148" s="166" t="s">
        <v>109</v>
      </c>
      <c r="D148" s="170" t="s">
        <v>109</v>
      </c>
      <c r="E148" s="166">
        <v>5.80371666666667</v>
      </c>
      <c r="F148" s="170">
        <v>273.88765384615402</v>
      </c>
      <c r="G148" s="166">
        <v>5.8057333333333299</v>
      </c>
      <c r="H148" s="170">
        <v>15543.6299770723</v>
      </c>
      <c r="I148" s="142">
        <f t="shared" si="6"/>
        <v>1.7620572173305284E-2</v>
      </c>
      <c r="J148" s="475" t="str">
        <f t="shared" si="7"/>
        <v>BLK1</v>
      </c>
      <c r="M148" s="382" t="s">
        <v>1004</v>
      </c>
      <c r="N148" s="142">
        <f t="shared" si="8"/>
        <v>1.7620572173305284E-2</v>
      </c>
      <c r="O148" s="142">
        <f t="shared" si="9"/>
        <v>1.8128136092317036E-2</v>
      </c>
      <c r="P148" s="142">
        <f t="shared" si="10"/>
        <v>1.7959464598733679E-2</v>
      </c>
      <c r="Q148" s="142">
        <f t="shared" si="11"/>
        <v>1.7960649108447604E-2</v>
      </c>
      <c r="R148" s="142">
        <f t="shared" si="12"/>
        <v>1.8130838494545869E-2</v>
      </c>
      <c r="S148" s="60">
        <f t="shared" si="13"/>
        <v>1.7959932093469896E-2</v>
      </c>
      <c r="T148" s="60">
        <f t="shared" si="14"/>
        <v>2.0776637795421102E-4</v>
      </c>
      <c r="U148" s="161">
        <f t="shared" si="15"/>
        <v>1.1568327590155723E-2</v>
      </c>
    </row>
    <row r="149" spans="1:22" ht="19.95" customHeight="1">
      <c r="A149" s="837" t="s">
        <v>1277</v>
      </c>
      <c r="B149" s="835">
        <v>45328.553946759297</v>
      </c>
      <c r="C149" s="166">
        <v>2.4473833333333301</v>
      </c>
      <c r="D149" s="170">
        <v>11.404556247785299</v>
      </c>
      <c r="E149" s="166">
        <v>5.7997500000000004</v>
      </c>
      <c r="F149" s="170">
        <v>241.091076923076</v>
      </c>
      <c r="G149" s="166">
        <v>5.8017666666666701</v>
      </c>
      <c r="H149" s="170">
        <v>17208.7494325158</v>
      </c>
      <c r="I149" s="142">
        <f t="shared" si="6"/>
        <v>1.4009796462463231E-2</v>
      </c>
      <c r="J149" s="475" t="str">
        <f t="shared" si="7"/>
        <v>BLK2</v>
      </c>
      <c r="M149" s="382" t="s">
        <v>1005</v>
      </c>
      <c r="N149" s="142">
        <f t="shared" si="8"/>
        <v>1.4009796462463231E-2</v>
      </c>
      <c r="O149" s="142">
        <f t="shared" si="9"/>
        <v>1.4400073599686624E-2</v>
      </c>
      <c r="P149" s="142">
        <f t="shared" si="10"/>
        <v>1.4454522440472482E-2</v>
      </c>
      <c r="Q149" s="142">
        <f t="shared" si="11"/>
        <v>1.4352022556528975E-2</v>
      </c>
      <c r="R149" s="142">
        <f t="shared" si="12"/>
        <v>1.4449545739352017E-2</v>
      </c>
      <c r="S149" s="60">
        <f t="shared" si="13"/>
        <v>1.4333192159700664E-2</v>
      </c>
      <c r="T149" s="60">
        <f t="shared" si="14"/>
        <v>1.8552067295913739E-4</v>
      </c>
      <c r="U149" s="161">
        <f t="shared" si="15"/>
        <v>1.2943430248618938E-2</v>
      </c>
    </row>
    <row r="150" spans="1:22" ht="19.95" customHeight="1">
      <c r="A150" s="837" t="s">
        <v>1278</v>
      </c>
      <c r="B150" s="835">
        <v>45328.563425925902</v>
      </c>
      <c r="C150" s="166">
        <v>2.4645666666666699</v>
      </c>
      <c r="D150" s="170">
        <v>6.8748076923077104</v>
      </c>
      <c r="E150" s="166">
        <v>5.8017666666666701</v>
      </c>
      <c r="F150" s="170">
        <v>242.14099999999999</v>
      </c>
      <c r="G150" s="166">
        <v>5.8017666666666701</v>
      </c>
      <c r="H150" s="170">
        <v>15982.6331639692</v>
      </c>
      <c r="I150" s="142">
        <f t="shared" si="6"/>
        <v>1.5150257001823446E-2</v>
      </c>
      <c r="J150" s="475" t="str">
        <f t="shared" si="7"/>
        <v>BLK3</v>
      </c>
      <c r="M150" s="382" t="s">
        <v>1239</v>
      </c>
      <c r="N150" s="142">
        <f t="shared" si="8"/>
        <v>1.5150257001823446E-2</v>
      </c>
      <c r="O150" s="142">
        <f t="shared" si="9"/>
        <v>1.520758186665805E-2</v>
      </c>
      <c r="P150" s="142">
        <f t="shared" si="10"/>
        <v>1.520518390059844E-2</v>
      </c>
      <c r="Q150" s="142">
        <f t="shared" si="11"/>
        <v>1.536176773855358E-2</v>
      </c>
      <c r="R150" s="142">
        <f t="shared" si="12"/>
        <v>1.5446591138900604E-2</v>
      </c>
      <c r="S150" s="60">
        <f t="shared" si="13"/>
        <v>1.5274276329306825E-2</v>
      </c>
      <c r="T150" s="60">
        <f t="shared" si="14"/>
        <v>1.2444863291694375E-4</v>
      </c>
      <c r="U150" s="161">
        <f t="shared" si="15"/>
        <v>8.1475960126610771E-3</v>
      </c>
    </row>
    <row r="151" spans="1:22" ht="19.95" customHeight="1">
      <c r="A151" s="837" t="s">
        <v>1279</v>
      </c>
      <c r="B151" s="835">
        <v>45328.572847222204</v>
      </c>
      <c r="C151" s="166">
        <v>2.4588999999999999</v>
      </c>
      <c r="D151" s="170">
        <v>9.3628034880500195</v>
      </c>
      <c r="E151" s="166">
        <v>5.8038333333333298</v>
      </c>
      <c r="F151" s="170">
        <v>354.411384615386</v>
      </c>
      <c r="G151" s="166">
        <v>5.80181666666667</v>
      </c>
      <c r="H151" s="170">
        <v>20366.970168437201</v>
      </c>
      <c r="I151" s="142">
        <f t="shared" si="6"/>
        <v>1.7401281667541259E-2</v>
      </c>
      <c r="J151" s="475" t="str">
        <f t="shared" si="7"/>
        <v>SULF_BLK1</v>
      </c>
      <c r="M151" s="382" t="s">
        <v>1371</v>
      </c>
      <c r="N151" s="142">
        <f t="shared" si="8"/>
        <v>1.7401281667541259E-2</v>
      </c>
      <c r="O151" s="142">
        <f t="shared" si="9"/>
        <v>1.7567491537572002E-2</v>
      </c>
      <c r="P151" s="142">
        <f t="shared" si="10"/>
        <v>1.7697012806551379E-2</v>
      </c>
      <c r="Q151" s="142">
        <f t="shared" si="11"/>
        <v>1.772526816946398E-2</v>
      </c>
      <c r="R151" s="142">
        <f t="shared" si="12"/>
        <v>1.7629623576477637E-2</v>
      </c>
      <c r="S151" s="60">
        <f t="shared" si="13"/>
        <v>1.7604135551521252E-2</v>
      </c>
      <c r="T151" s="60">
        <f t="shared" si="14"/>
        <v>1.2888116333647115E-4</v>
      </c>
      <c r="U151" s="161">
        <f t="shared" si="15"/>
        <v>7.3210731057642845E-3</v>
      </c>
    </row>
    <row r="152" spans="1:22" ht="19.95" customHeight="1">
      <c r="A152" s="837" t="s">
        <v>1280</v>
      </c>
      <c r="B152" s="835">
        <v>45328.582326388903</v>
      </c>
      <c r="C152" s="166">
        <v>2.4675333333333298</v>
      </c>
      <c r="D152" s="170">
        <v>6.3302692307691997</v>
      </c>
      <c r="E152" s="166">
        <v>5.8038833333333297</v>
      </c>
      <c r="F152" s="170">
        <v>330.39000000000101</v>
      </c>
      <c r="G152" s="166">
        <v>5.8038833333333297</v>
      </c>
      <c r="H152" s="170">
        <v>19511.5615</v>
      </c>
      <c r="I152" s="142">
        <f t="shared" si="6"/>
        <v>1.6933037368639152E-2</v>
      </c>
      <c r="J152" s="475" t="str">
        <f t="shared" si="7"/>
        <v>SULF_BLK2</v>
      </c>
      <c r="M152" s="382" t="s">
        <v>1372</v>
      </c>
      <c r="N152" s="142">
        <f t="shared" si="8"/>
        <v>1.6933037368639152E-2</v>
      </c>
      <c r="O152" s="142">
        <f t="shared" si="9"/>
        <v>1.7111497328014376E-2</v>
      </c>
      <c r="P152" s="142">
        <f t="shared" si="10"/>
        <v>1.7216064181612416E-2</v>
      </c>
      <c r="Q152" s="142">
        <f t="shared" si="11"/>
        <v>1.717578199435961E-2</v>
      </c>
      <c r="R152" s="142">
        <f t="shared" si="12"/>
        <v>1.7167713636001069E-2</v>
      </c>
      <c r="S152" s="60">
        <f t="shared" si="13"/>
        <v>1.7120818901725322E-2</v>
      </c>
      <c r="T152" s="60">
        <f t="shared" si="14"/>
        <v>1.1140075953525856E-4</v>
      </c>
      <c r="U152" s="161">
        <f t="shared" si="15"/>
        <v>6.5067424738680189E-3</v>
      </c>
    </row>
    <row r="153" spans="1:22" ht="19.95" customHeight="1">
      <c r="A153" s="837" t="s">
        <v>1281</v>
      </c>
      <c r="B153" s="835">
        <v>45328.591747685197</v>
      </c>
      <c r="C153" s="166" t="s">
        <v>109</v>
      </c>
      <c r="D153" s="170" t="s">
        <v>109</v>
      </c>
      <c r="E153" s="166">
        <v>5.80375</v>
      </c>
      <c r="F153" s="170">
        <v>274.49050067449002</v>
      </c>
      <c r="G153" s="166">
        <v>5.80375</v>
      </c>
      <c r="H153" s="170">
        <v>17766.2925</v>
      </c>
      <c r="I153" s="142">
        <f t="shared" si="6"/>
        <v>1.5450072133760605E-2</v>
      </c>
      <c r="J153" s="475" t="str">
        <f t="shared" si="7"/>
        <v>SULF_BLK3</v>
      </c>
      <c r="M153" s="476" t="s">
        <v>1373</v>
      </c>
      <c r="N153" s="143">
        <f t="shared" si="8"/>
        <v>1.5450072133760605E-2</v>
      </c>
      <c r="O153" s="143">
        <f t="shared" si="9"/>
        <v>1.5510138112006022E-2</v>
      </c>
      <c r="P153" s="143">
        <f t="shared" si="10"/>
        <v>1.5580375141336504E-2</v>
      </c>
      <c r="Q153" s="143">
        <f t="shared" si="11"/>
        <v>1.5677374759566789E-2</v>
      </c>
      <c r="R153" s="143">
        <f t="shared" si="12"/>
        <v>1.5902295043975258E-2</v>
      </c>
      <c r="S153" s="81">
        <f t="shared" si="13"/>
        <v>1.5624051038129033E-2</v>
      </c>
      <c r="T153" s="81">
        <f t="shared" si="14"/>
        <v>1.7707028542439157E-4</v>
      </c>
      <c r="U153" s="202">
        <f t="shared" si="15"/>
        <v>1.1333186571924793E-2</v>
      </c>
      <c r="V153" s="589"/>
    </row>
    <row r="154" spans="1:22" ht="19.95" customHeight="1">
      <c r="A154" s="837" t="s">
        <v>1282</v>
      </c>
      <c r="B154" s="835">
        <v>45328.601261574098</v>
      </c>
      <c r="C154" s="166">
        <v>2.4616833333333301</v>
      </c>
      <c r="D154" s="170">
        <v>11.920710375198</v>
      </c>
      <c r="E154" s="166">
        <v>5.7997333333333296</v>
      </c>
      <c r="F154" s="170">
        <v>8757.8590000000004</v>
      </c>
      <c r="G154" s="166">
        <v>5.7997333333333296</v>
      </c>
      <c r="H154" s="170">
        <v>16588.259932464302</v>
      </c>
      <c r="I154" s="142">
        <f t="shared" si="6"/>
        <v>0.52795525484021999</v>
      </c>
      <c r="J154" s="475" t="str">
        <f t="shared" si="7"/>
        <v>AB1</v>
      </c>
      <c r="M154" s="382" t="s">
        <v>1374</v>
      </c>
      <c r="N154" s="142">
        <f t="shared" si="8"/>
        <v>0.52795525484021999</v>
      </c>
      <c r="O154" s="142">
        <f t="shared" si="9"/>
        <v>0.52841640794283806</v>
      </c>
      <c r="P154" s="142">
        <f t="shared" si="10"/>
        <v>0.5281372234965982</v>
      </c>
      <c r="Q154" s="142">
        <f t="shared" si="11"/>
        <v>0.52776964295521567</v>
      </c>
      <c r="R154" s="142">
        <f t="shared" si="12"/>
        <v>0.52876396228548617</v>
      </c>
      <c r="S154" s="60">
        <f t="shared" si="13"/>
        <v>0.52820849830407157</v>
      </c>
      <c r="T154" s="60">
        <f t="shared" si="14"/>
        <v>3.9165450971625408E-4</v>
      </c>
      <c r="U154" s="161">
        <f t="shared" si="15"/>
        <v>7.4147710794836925E-4</v>
      </c>
      <c r="V154" s="154">
        <f>T154/SQRT(5)</f>
        <v>1.7515322148397918E-4</v>
      </c>
    </row>
    <row r="155" spans="1:22" ht="19.95" customHeight="1">
      <c r="A155" s="837" t="s">
        <v>1283</v>
      </c>
      <c r="B155" s="835">
        <v>45328.610729166699</v>
      </c>
      <c r="C155" s="166">
        <v>2.4503833333333298</v>
      </c>
      <c r="D155" s="170">
        <v>22.311673856573901</v>
      </c>
      <c r="E155" s="166">
        <v>5.7998833333333302</v>
      </c>
      <c r="F155" s="170">
        <v>17972.870500000001</v>
      </c>
      <c r="G155" s="166">
        <v>5.7998833333333302</v>
      </c>
      <c r="H155" s="170">
        <v>17132.610184521502</v>
      </c>
      <c r="I155" s="142">
        <f t="shared" si="6"/>
        <v>1.0490445008920843</v>
      </c>
      <c r="J155" s="475" t="str">
        <f t="shared" si="7"/>
        <v>AB2A</v>
      </c>
      <c r="M155" s="382" t="s">
        <v>1375</v>
      </c>
      <c r="N155" s="142">
        <f t="shared" si="8"/>
        <v>1.0490445008920843</v>
      </c>
      <c r="O155" s="142">
        <f t="shared" si="9"/>
        <v>1.0502940043123556</v>
      </c>
      <c r="P155" s="142">
        <f t="shared" si="10"/>
        <v>1.0462191428492007</v>
      </c>
      <c r="Q155" s="142">
        <f t="shared" si="11"/>
        <v>1.052297998603555</v>
      </c>
      <c r="R155" s="142">
        <f t="shared" si="12"/>
        <v>1.0502654769045345</v>
      </c>
      <c r="S155" s="60">
        <f t="shared" si="13"/>
        <v>1.0496242247123462</v>
      </c>
      <c r="T155" s="60">
        <f t="shared" si="14"/>
        <v>2.2326854967945221E-3</v>
      </c>
      <c r="U155" s="161">
        <f t="shared" si="15"/>
        <v>2.1271283991243614E-3</v>
      </c>
      <c r="V155" s="154">
        <f t="shared" ref="V155:V161" si="16">T155/SQRT(5)</f>
        <v>9.9848730864208796E-4</v>
      </c>
    </row>
    <row r="156" spans="1:22" ht="19.95" customHeight="1">
      <c r="A156" s="837" t="s">
        <v>1284</v>
      </c>
      <c r="B156" s="835">
        <v>45328.620451388902</v>
      </c>
      <c r="C156" s="166">
        <v>2.4647000000000001</v>
      </c>
      <c r="D156" s="170">
        <v>13.765230769230801</v>
      </c>
      <c r="E156" s="166">
        <v>5.8018999999999998</v>
      </c>
      <c r="F156" s="170">
        <v>17031.888500000001</v>
      </c>
      <c r="G156" s="166">
        <v>5.8018999999999998</v>
      </c>
      <c r="H156" s="170">
        <v>16326.093999999999</v>
      </c>
      <c r="I156" s="142">
        <f t="shared" si="6"/>
        <v>1.0432310692318691</v>
      </c>
      <c r="J156" s="475" t="str">
        <f t="shared" si="7"/>
        <v>AB2B</v>
      </c>
      <c r="M156" s="382" t="s">
        <v>1376</v>
      </c>
      <c r="N156" s="142">
        <f t="shared" si="8"/>
        <v>1.0432310692318691</v>
      </c>
      <c r="O156" s="142">
        <f t="shared" si="9"/>
        <v>1.0419912376830054</v>
      </c>
      <c r="P156" s="142">
        <f t="shared" si="10"/>
        <v>1.0450685174118783</v>
      </c>
      <c r="Q156" s="142">
        <f t="shared" si="11"/>
        <v>1.0436360577732624</v>
      </c>
      <c r="R156" s="142">
        <f t="shared" si="12"/>
        <v>1.0461348775694541</v>
      </c>
      <c r="S156" s="60">
        <f t="shared" si="13"/>
        <v>1.044012351933894</v>
      </c>
      <c r="T156" s="60">
        <f t="shared" si="14"/>
        <v>1.6169031635699057E-3</v>
      </c>
      <c r="U156" s="161">
        <f t="shared" si="15"/>
        <v>1.5487394958257033E-3</v>
      </c>
      <c r="V156" s="154">
        <f t="shared" si="16"/>
        <v>7.2310107735535408E-4</v>
      </c>
    </row>
    <row r="157" spans="1:22" ht="19.95" customHeight="1">
      <c r="A157" s="837" t="s">
        <v>1285</v>
      </c>
      <c r="B157" s="835">
        <v>45328.630011574103</v>
      </c>
      <c r="C157" s="166">
        <v>2.4645333333333301</v>
      </c>
      <c r="D157" s="170">
        <v>15.564202405750301</v>
      </c>
      <c r="E157" s="166">
        <v>5.8045833333333299</v>
      </c>
      <c r="F157" s="170">
        <v>15698.0605</v>
      </c>
      <c r="G157" s="166">
        <v>5.8045833333333299</v>
      </c>
      <c r="H157" s="170">
        <v>15093.1668826763</v>
      </c>
      <c r="I157" s="142">
        <f t="shared" si="6"/>
        <v>1.0400773159155874</v>
      </c>
      <c r="J157" s="475" t="str">
        <f t="shared" si="7"/>
        <v>AB2C</v>
      </c>
      <c r="M157" s="382" t="s">
        <v>1377</v>
      </c>
      <c r="N157" s="142">
        <f t="shared" si="8"/>
        <v>1.0400773159155874</v>
      </c>
      <c r="O157" s="142">
        <f t="shared" si="9"/>
        <v>1.0389263015205104</v>
      </c>
      <c r="P157" s="142">
        <f t="shared" si="10"/>
        <v>1.037689653698036</v>
      </c>
      <c r="Q157" s="142">
        <f t="shared" si="11"/>
        <v>1.0382688982525188</v>
      </c>
      <c r="R157" s="142">
        <f t="shared" si="12"/>
        <v>1.0396719201864939</v>
      </c>
      <c r="S157" s="60">
        <f t="shared" si="13"/>
        <v>1.0389268179146292</v>
      </c>
      <c r="T157" s="60">
        <f t="shared" si="14"/>
        <v>9.8008378379347595E-4</v>
      </c>
      <c r="U157" s="161">
        <f t="shared" si="15"/>
        <v>9.4336171412028329E-4</v>
      </c>
      <c r="V157" s="154">
        <f t="shared" si="16"/>
        <v>4.3830679284148378E-4</v>
      </c>
    </row>
    <row r="158" spans="1:22" ht="19.95" customHeight="1">
      <c r="A158" s="837" t="s">
        <v>1286</v>
      </c>
      <c r="B158" s="835">
        <v>45328.639594907399</v>
      </c>
      <c r="C158" s="166">
        <v>2.4674833333333299</v>
      </c>
      <c r="D158" s="170">
        <v>20.4664230769231</v>
      </c>
      <c r="E158" s="166">
        <v>5.8038333333333298</v>
      </c>
      <c r="F158" s="170">
        <v>31784.999868406099</v>
      </c>
      <c r="G158" s="166">
        <v>5.8038333333333298</v>
      </c>
      <c r="H158" s="170">
        <v>15097.514138696</v>
      </c>
      <c r="I158" s="142">
        <f t="shared" si="6"/>
        <v>2.1053134692511324</v>
      </c>
      <c r="J158" s="475" t="str">
        <f t="shared" si="7"/>
        <v>AB3</v>
      </c>
      <c r="M158" s="382" t="s">
        <v>1378</v>
      </c>
      <c r="N158" s="142">
        <f t="shared" si="8"/>
        <v>2.1053134692511324</v>
      </c>
      <c r="O158" s="142">
        <f t="shared" si="9"/>
        <v>2.1023612339988005</v>
      </c>
      <c r="P158" s="142">
        <f t="shared" si="10"/>
        <v>2.106190186290529</v>
      </c>
      <c r="Q158" s="142">
        <f t="shared" si="11"/>
        <v>2.1062873097703938</v>
      </c>
      <c r="R158" s="142">
        <f t="shared" si="12"/>
        <v>2.1082718988712568</v>
      </c>
      <c r="S158" s="60">
        <f t="shared" si="13"/>
        <v>2.1056848196364224</v>
      </c>
      <c r="T158" s="60">
        <f t="shared" si="14"/>
        <v>2.1503192427630765E-3</v>
      </c>
      <c r="U158" s="161">
        <f t="shared" si="15"/>
        <v>1.0211971054311731E-3</v>
      </c>
      <c r="V158" s="154">
        <f t="shared" si="16"/>
        <v>9.6165200002882234E-4</v>
      </c>
    </row>
    <row r="159" spans="1:22" ht="19.95" customHeight="1">
      <c r="A159" s="837" t="s">
        <v>1287</v>
      </c>
      <c r="B159" s="835">
        <v>45328.649259259299</v>
      </c>
      <c r="C159" s="166">
        <v>2.46173333333333</v>
      </c>
      <c r="D159" s="170">
        <v>22.875780777511601</v>
      </c>
      <c r="E159" s="166">
        <v>5.8038166666666697</v>
      </c>
      <c r="F159" s="170">
        <v>15884.111999999999</v>
      </c>
      <c r="G159" s="166">
        <v>5.8038166666666697</v>
      </c>
      <c r="H159" s="170">
        <v>15056.441765735801</v>
      </c>
      <c r="I159" s="142">
        <f t="shared" si="6"/>
        <v>1.0549711709540657</v>
      </c>
      <c r="J159" s="475" t="str">
        <f t="shared" si="7"/>
        <v>S1</v>
      </c>
      <c r="M159" s="382" t="s">
        <v>1236</v>
      </c>
      <c r="N159" s="142">
        <f t="shared" si="8"/>
        <v>1.0549711709540657</v>
      </c>
      <c r="O159" s="142">
        <f t="shared" si="9"/>
        <v>1.0542922286361769</v>
      </c>
      <c r="P159" s="142">
        <f t="shared" si="10"/>
        <v>1.0566722875802286</v>
      </c>
      <c r="Q159" s="142">
        <f t="shared" si="11"/>
        <v>1.055799515388838</v>
      </c>
      <c r="R159" s="142">
        <f t="shared" si="12"/>
        <v>1.0558913344161307</v>
      </c>
      <c r="S159" s="60">
        <f t="shared" si="13"/>
        <v>1.0555253073950879</v>
      </c>
      <c r="T159" s="60">
        <f t="shared" si="14"/>
        <v>9.1546160078147926E-4</v>
      </c>
      <c r="U159" s="161">
        <f t="shared" si="15"/>
        <v>8.6730426486952795E-4</v>
      </c>
      <c r="V159" s="154">
        <f t="shared" si="16"/>
        <v>4.094068740276324E-4</v>
      </c>
    </row>
    <row r="160" spans="1:22" ht="19.95" customHeight="1">
      <c r="A160" s="837" t="s">
        <v>1288</v>
      </c>
      <c r="B160" s="835">
        <v>45328.658831018503</v>
      </c>
      <c r="C160" s="166">
        <v>2.4616333333333298</v>
      </c>
      <c r="D160" s="170">
        <v>23.690846009703399</v>
      </c>
      <c r="E160" s="166">
        <v>5.8037000000000001</v>
      </c>
      <c r="F160" s="170">
        <v>17242.505499999999</v>
      </c>
      <c r="G160" s="166">
        <v>5.8037000000000001</v>
      </c>
      <c r="H160" s="170">
        <v>16269.8585474668</v>
      </c>
      <c r="I160" s="142">
        <f t="shared" si="6"/>
        <v>1.0597821394510305</v>
      </c>
      <c r="J160" s="475" t="str">
        <f t="shared" si="7"/>
        <v>S2</v>
      </c>
      <c r="M160" s="382" t="s">
        <v>1237</v>
      </c>
      <c r="N160" s="142">
        <f t="shared" si="8"/>
        <v>1.0597821394510305</v>
      </c>
      <c r="O160" s="142">
        <f t="shared" si="9"/>
        <v>1.0619744774562945</v>
      </c>
      <c r="P160" s="142">
        <f t="shared" si="10"/>
        <v>1.0613468909683124</v>
      </c>
      <c r="Q160" s="142">
        <f t="shared" si="11"/>
        <v>1.0621617090175586</v>
      </c>
      <c r="R160" s="142">
        <f t="shared" si="12"/>
        <v>1.0612281780473902</v>
      </c>
      <c r="S160" s="60">
        <f t="shared" si="13"/>
        <v>1.0612986789881171</v>
      </c>
      <c r="T160" s="60">
        <f t="shared" si="14"/>
        <v>9.3657772589000768E-4</v>
      </c>
      <c r="U160" s="161">
        <f t="shared" si="15"/>
        <v>8.8248270202595253E-4</v>
      </c>
      <c r="V160" s="154">
        <f t="shared" si="16"/>
        <v>4.1885029226044438E-4</v>
      </c>
    </row>
    <row r="161" spans="1:22" ht="19.95" customHeight="1">
      <c r="A161" s="837" t="s">
        <v>1289</v>
      </c>
      <c r="B161" s="835">
        <v>45328.668425925898</v>
      </c>
      <c r="C161" s="166">
        <v>2.45596666666667</v>
      </c>
      <c r="D161" s="170">
        <v>19.4894946051487</v>
      </c>
      <c r="E161" s="166">
        <v>5.8017500000000002</v>
      </c>
      <c r="F161" s="170">
        <v>17804.2036570686</v>
      </c>
      <c r="G161" s="166">
        <v>5.8017500000000002</v>
      </c>
      <c r="H161" s="170">
        <v>16748.827000000001</v>
      </c>
      <c r="I161" s="142">
        <f t="shared" si="6"/>
        <v>1.0630119743351936</v>
      </c>
      <c r="J161" s="475" t="str">
        <f t="shared" si="7"/>
        <v>S3</v>
      </c>
      <c r="M161" s="476" t="s">
        <v>1238</v>
      </c>
      <c r="N161" s="143">
        <f t="shared" si="8"/>
        <v>1.0630119743351936</v>
      </c>
      <c r="O161" s="143">
        <f t="shared" si="9"/>
        <v>1.0661333192053859</v>
      </c>
      <c r="P161" s="143">
        <f t="shared" si="10"/>
        <v>1.0656030979257705</v>
      </c>
      <c r="Q161" s="143">
        <f t="shared" si="11"/>
        <v>1.066474650076509</v>
      </c>
      <c r="R161" s="143">
        <f t="shared" si="12"/>
        <v>1.0621213876313549</v>
      </c>
      <c r="S161" s="81">
        <f t="shared" si="13"/>
        <v>1.0646688858348428</v>
      </c>
      <c r="T161" s="81">
        <f t="shared" si="14"/>
        <v>1.9693402853823883E-3</v>
      </c>
      <c r="U161" s="202">
        <f t="shared" si="15"/>
        <v>1.8497208959367326E-3</v>
      </c>
      <c r="V161" s="155">
        <f t="shared" si="16"/>
        <v>8.8071574978877112E-4</v>
      </c>
    </row>
    <row r="162" spans="1:22" ht="19.95" customHeight="1">
      <c r="A162" s="837" t="s">
        <v>1290</v>
      </c>
      <c r="B162" s="835">
        <v>45328.678009259304</v>
      </c>
      <c r="C162" s="166">
        <v>2.4732500000000002</v>
      </c>
      <c r="D162" s="170">
        <v>18.742692307692401</v>
      </c>
      <c r="E162" s="166">
        <v>5.8038666666666696</v>
      </c>
      <c r="F162" s="170">
        <v>258.45800000000003</v>
      </c>
      <c r="G162" s="166">
        <v>5.8038666666666696</v>
      </c>
      <c r="H162" s="170">
        <v>18777.284500000002</v>
      </c>
      <c r="I162" s="142">
        <f t="shared" si="6"/>
        <v>1.3764397083081956E-2</v>
      </c>
      <c r="J162" s="475" t="str">
        <f t="shared" si="7"/>
        <v>SULF_S1</v>
      </c>
      <c r="M162" s="382" t="s">
        <v>1379</v>
      </c>
      <c r="N162" s="142">
        <f t="shared" si="8"/>
        <v>1.3764397083081956E-2</v>
      </c>
      <c r="O162" s="142">
        <f t="shared" si="9"/>
        <v>1.3778061073736107E-2</v>
      </c>
      <c r="P162" s="142">
        <f t="shared" si="10"/>
        <v>1.392756866113409E-2</v>
      </c>
      <c r="Q162" s="142">
        <f t="shared" si="11"/>
        <v>1.3946827951951811E-2</v>
      </c>
      <c r="R162" s="142">
        <f t="shared" si="12"/>
        <v>1.4006775634178473E-2</v>
      </c>
      <c r="S162" s="60">
        <f t="shared" si="13"/>
        <v>1.3884726080816489E-2</v>
      </c>
      <c r="T162" s="60">
        <f t="shared" si="14"/>
        <v>1.077551785227666E-4</v>
      </c>
      <c r="U162" s="161">
        <f t="shared" si="15"/>
        <v>7.7606989072434096E-3</v>
      </c>
    </row>
    <row r="163" spans="1:22" ht="19.95" customHeight="1">
      <c r="A163" s="837" t="s">
        <v>1291</v>
      </c>
      <c r="B163" s="835">
        <v>45328.687650462998</v>
      </c>
      <c r="C163" s="166">
        <v>2.4502333333333302</v>
      </c>
      <c r="D163" s="170">
        <v>27.814076923077</v>
      </c>
      <c r="E163" s="166">
        <v>5.7997333333333296</v>
      </c>
      <c r="F163" s="170">
        <v>377.37477093830802</v>
      </c>
      <c r="G163" s="166">
        <v>5.7997333333333296</v>
      </c>
      <c r="H163" s="170">
        <v>22269.4719999999</v>
      </c>
      <c r="I163" s="142">
        <f t="shared" si="6"/>
        <v>1.6945833782602018E-2</v>
      </c>
      <c r="J163" s="475" t="str">
        <f t="shared" si="7"/>
        <v>SULF_S2</v>
      </c>
      <c r="M163" s="382" t="s">
        <v>1380</v>
      </c>
      <c r="N163" s="142">
        <f t="shared" si="8"/>
        <v>1.6945833782602018E-2</v>
      </c>
      <c r="O163" s="142">
        <f t="shared" si="9"/>
        <v>1.7361242320861694E-2</v>
      </c>
      <c r="P163" s="142">
        <f t="shared" si="10"/>
        <v>1.7349446095046645E-2</v>
      </c>
      <c r="Q163" s="142">
        <f t="shared" si="11"/>
        <v>1.7199684558943454E-2</v>
      </c>
      <c r="R163" s="142">
        <f t="shared" si="12"/>
        <v>1.7543613820205344E-2</v>
      </c>
      <c r="S163" s="60">
        <f t="shared" si="13"/>
        <v>1.7279964115531832E-2</v>
      </c>
      <c r="T163" s="60">
        <f t="shared" si="14"/>
        <v>2.2306554278013504E-4</v>
      </c>
      <c r="U163" s="161">
        <f t="shared" si="15"/>
        <v>1.2908912384814271E-2</v>
      </c>
    </row>
    <row r="164" spans="1:22" ht="19.95" customHeight="1">
      <c r="A164" s="839" t="s">
        <v>1292</v>
      </c>
      <c r="B164" s="836">
        <v>45328.697233796302</v>
      </c>
      <c r="C164" s="169">
        <v>2.4646166666666698</v>
      </c>
      <c r="D164" s="172">
        <v>19.864423076923099</v>
      </c>
      <c r="E164" s="169">
        <v>5.8038166666666697</v>
      </c>
      <c r="F164" s="172">
        <v>353.46199999999902</v>
      </c>
      <c r="G164" s="169">
        <v>5.8018000000000001</v>
      </c>
      <c r="H164" s="172">
        <v>20736.235576114501</v>
      </c>
      <c r="I164" s="143">
        <f t="shared" si="6"/>
        <v>1.704562039250471E-2</v>
      </c>
      <c r="J164" s="476" t="str">
        <f t="shared" si="7"/>
        <v>SULF_S3</v>
      </c>
      <c r="M164" s="476" t="s">
        <v>1381</v>
      </c>
      <c r="N164" s="143">
        <f t="shared" si="8"/>
        <v>1.704562039250471E-2</v>
      </c>
      <c r="O164" s="143">
        <f t="shared" si="9"/>
        <v>1.6975652008432051E-2</v>
      </c>
      <c r="P164" s="143">
        <f t="shared" si="10"/>
        <v>1.7286303944919555E-2</v>
      </c>
      <c r="Q164" s="143">
        <f t="shared" si="11"/>
        <v>1.7193670887923014E-2</v>
      </c>
      <c r="R164" s="143">
        <f t="shared" si="12"/>
        <v>1.7114593783023834E-2</v>
      </c>
      <c r="S164" s="81">
        <f t="shared" si="13"/>
        <v>1.7123168203360635E-2</v>
      </c>
      <c r="T164" s="81">
        <f t="shared" si="14"/>
        <v>1.2189350897745493E-4</v>
      </c>
      <c r="U164" s="202">
        <f t="shared" si="15"/>
        <v>7.1186305904261228E-3</v>
      </c>
      <c r="V164" s="589"/>
    </row>
    <row r="165" spans="1:22" ht="19.95" customHeight="1">
      <c r="A165" s="837" t="s">
        <v>1293</v>
      </c>
      <c r="B165" s="835">
        <v>45328.706828703696</v>
      </c>
      <c r="C165" s="166" t="s">
        <v>109</v>
      </c>
      <c r="D165" s="170" t="s">
        <v>109</v>
      </c>
      <c r="E165" s="166" t="s">
        <v>109</v>
      </c>
      <c r="F165" s="170" t="s">
        <v>109</v>
      </c>
      <c r="G165" s="166">
        <v>5.8059166666666702</v>
      </c>
      <c r="H165" s="170">
        <v>7.0110000000000197</v>
      </c>
      <c r="I165" s="142" t="e">
        <f t="shared" si="6"/>
        <v>#VALUE!</v>
      </c>
      <c r="J165" s="475" t="str">
        <f>SUBSTITUTE(A165,"_II.D","")</f>
        <v>VOID</v>
      </c>
    </row>
    <row r="166" spans="1:22" ht="19.95" customHeight="1">
      <c r="A166" s="837" t="s">
        <v>1294</v>
      </c>
      <c r="B166" s="835">
        <v>45328.716481481497</v>
      </c>
      <c r="C166" s="166">
        <v>2.4702500000000001</v>
      </c>
      <c r="D166" s="170">
        <v>10.811076923077</v>
      </c>
      <c r="E166" s="166">
        <v>5.8037333333333301</v>
      </c>
      <c r="F166" s="170">
        <v>29.042653846153801</v>
      </c>
      <c r="G166" s="166">
        <v>5.8077666666666703</v>
      </c>
      <c r="H166" s="170">
        <v>5.5620000000000402</v>
      </c>
      <c r="I166" s="142">
        <f t="shared" si="6"/>
        <v>5.2216206123972659</v>
      </c>
      <c r="J166" s="475" t="str">
        <f t="shared" ref="J166:J183" si="17">SUBSTITUTE(A166,"_II.D","")</f>
        <v>WATER</v>
      </c>
      <c r="U166" s="226"/>
    </row>
    <row r="167" spans="1:22" ht="19.95" customHeight="1">
      <c r="A167" s="837" t="s">
        <v>1295</v>
      </c>
      <c r="B167" s="835">
        <v>45328.726041666698</v>
      </c>
      <c r="C167" s="166">
        <v>2.4530333333333298</v>
      </c>
      <c r="D167" s="170">
        <v>17.003574080314799</v>
      </c>
      <c r="E167" s="166">
        <v>5.8005166666666703</v>
      </c>
      <c r="F167" s="170">
        <v>329.29800000000103</v>
      </c>
      <c r="G167" s="166">
        <v>5.8005166666666703</v>
      </c>
      <c r="H167" s="170">
        <v>18165.022499999999</v>
      </c>
      <c r="I167" s="142">
        <f t="shared" si="6"/>
        <v>1.8128136092317036E-2</v>
      </c>
      <c r="J167" s="475" t="str">
        <f t="shared" si="17"/>
        <v>BLK1</v>
      </c>
    </row>
    <row r="168" spans="1:22" ht="19.95" customHeight="1">
      <c r="A168" s="837" t="s">
        <v>1296</v>
      </c>
      <c r="B168" s="835">
        <v>45328.735740740703</v>
      </c>
      <c r="C168" s="166">
        <v>2.4532333333333298</v>
      </c>
      <c r="D168" s="170">
        <v>12.7187867263287</v>
      </c>
      <c r="E168" s="166">
        <v>5.7998666666666701</v>
      </c>
      <c r="F168" s="170">
        <v>263.29899999999901</v>
      </c>
      <c r="G168" s="166">
        <v>5.7998666666666701</v>
      </c>
      <c r="H168" s="170">
        <v>18284.559323761299</v>
      </c>
      <c r="I168" s="142">
        <f t="shared" si="6"/>
        <v>1.4400073599686624E-2</v>
      </c>
      <c r="J168" s="475" t="str">
        <f t="shared" si="17"/>
        <v>BLK2</v>
      </c>
    </row>
    <row r="169" spans="1:22" ht="19.95" customHeight="1">
      <c r="A169" s="837" t="s">
        <v>1297</v>
      </c>
      <c r="B169" s="835">
        <v>45328.745324074102</v>
      </c>
      <c r="C169" s="166">
        <v>2.4501666666666702</v>
      </c>
      <c r="D169" s="170">
        <v>8.6998461538461704</v>
      </c>
      <c r="E169" s="166">
        <v>5.8016833333333304</v>
      </c>
      <c r="F169" s="170">
        <v>279.588115384616</v>
      </c>
      <c r="G169" s="166">
        <v>5.7996666666666696</v>
      </c>
      <c r="H169" s="170">
        <v>18384.784500000002</v>
      </c>
      <c r="I169" s="142">
        <f t="shared" si="6"/>
        <v>1.520758186665805E-2</v>
      </c>
      <c r="J169" s="475" t="str">
        <f t="shared" si="17"/>
        <v>BLK3</v>
      </c>
    </row>
    <row r="170" spans="1:22" ht="19.95" customHeight="1">
      <c r="A170" s="837" t="s">
        <v>1298</v>
      </c>
      <c r="B170" s="835">
        <v>45328.754953703698</v>
      </c>
      <c r="C170" s="166">
        <v>2.45885</v>
      </c>
      <c r="D170" s="170">
        <v>18.491423076923098</v>
      </c>
      <c r="E170" s="166">
        <v>5.8017666666666701</v>
      </c>
      <c r="F170" s="170">
        <v>383.70150000000098</v>
      </c>
      <c r="G170" s="166">
        <v>5.8017666666666701</v>
      </c>
      <c r="H170" s="170">
        <v>21841.564527261598</v>
      </c>
      <c r="I170" s="142">
        <f t="shared" si="6"/>
        <v>1.7567491537572002E-2</v>
      </c>
      <c r="J170" s="475" t="str">
        <f t="shared" si="17"/>
        <v>SULF_BLK1</v>
      </c>
    </row>
    <row r="171" spans="1:22" ht="19.95" customHeight="1">
      <c r="A171" s="837" t="s">
        <v>1299</v>
      </c>
      <c r="B171" s="835">
        <v>45328.764583333301</v>
      </c>
      <c r="C171" s="166">
        <v>2.4644833333333298</v>
      </c>
      <c r="D171" s="170">
        <v>8.5767251600311596</v>
      </c>
      <c r="E171" s="166">
        <v>5.8037000000000001</v>
      </c>
      <c r="F171" s="170">
        <v>332.48065384615398</v>
      </c>
      <c r="G171" s="166">
        <v>5.8037000000000001</v>
      </c>
      <c r="H171" s="170">
        <v>19430.249</v>
      </c>
      <c r="I171" s="142">
        <f t="shared" si="6"/>
        <v>1.7111497328014376E-2</v>
      </c>
      <c r="J171" s="475" t="str">
        <f t="shared" si="17"/>
        <v>SULF_BLK2</v>
      </c>
    </row>
    <row r="172" spans="1:22" ht="19.95" customHeight="1">
      <c r="A172" s="837" t="s">
        <v>1300</v>
      </c>
      <c r="B172" s="835">
        <v>45328.774166666699</v>
      </c>
      <c r="C172" s="166">
        <v>2.4702500000000001</v>
      </c>
      <c r="D172" s="170">
        <v>8.6988032908509894</v>
      </c>
      <c r="E172" s="166">
        <v>5.8057499999999997</v>
      </c>
      <c r="F172" s="170">
        <v>289.19673076922999</v>
      </c>
      <c r="G172" s="166">
        <v>5.8037333333333301</v>
      </c>
      <c r="H172" s="170">
        <v>18645.657999999999</v>
      </c>
      <c r="I172" s="142">
        <f t="shared" si="6"/>
        <v>1.5510138112006022E-2</v>
      </c>
      <c r="J172" s="475" t="str">
        <f t="shared" si="17"/>
        <v>SULF_BLK3</v>
      </c>
    </row>
    <row r="173" spans="1:22" ht="19.95" customHeight="1">
      <c r="A173" s="837" t="s">
        <v>1301</v>
      </c>
      <c r="B173" s="835">
        <v>45328.783842592602</v>
      </c>
      <c r="C173" s="166">
        <v>2.4588999999999999</v>
      </c>
      <c r="D173" s="170">
        <v>19.242923190465302</v>
      </c>
      <c r="E173" s="166">
        <v>5.80181666666667</v>
      </c>
      <c r="F173" s="170">
        <v>9623.3794999999991</v>
      </c>
      <c r="G173" s="166">
        <v>5.80181666666667</v>
      </c>
      <c r="H173" s="170">
        <v>18211.7348275851</v>
      </c>
      <c r="I173" s="142">
        <f t="shared" si="6"/>
        <v>0.52841640794283806</v>
      </c>
      <c r="J173" s="475" t="str">
        <f t="shared" si="17"/>
        <v>AB1</v>
      </c>
    </row>
    <row r="174" spans="1:22" ht="19.95" customHeight="1">
      <c r="A174" s="837" t="s">
        <v>1302</v>
      </c>
      <c r="B174" s="835">
        <v>45328.793391203697</v>
      </c>
      <c r="C174" s="166">
        <v>2.4731666666666698</v>
      </c>
      <c r="D174" s="170">
        <v>5.7111948081105499</v>
      </c>
      <c r="E174" s="166">
        <v>5.80378333333333</v>
      </c>
      <c r="F174" s="170">
        <v>16045.863499999999</v>
      </c>
      <c r="G174" s="166">
        <v>5.80378333333333</v>
      </c>
      <c r="H174" s="170">
        <v>15277.496999999999</v>
      </c>
      <c r="I174" s="142">
        <f t="shared" si="6"/>
        <v>1.0502940043123556</v>
      </c>
      <c r="J174" s="475" t="str">
        <f t="shared" si="17"/>
        <v>AB2A</v>
      </c>
    </row>
    <row r="175" spans="1:22" ht="19.95" customHeight="1">
      <c r="A175" s="837" t="s">
        <v>1303</v>
      </c>
      <c r="B175" s="835">
        <v>45328.803055555603</v>
      </c>
      <c r="C175" s="166">
        <v>2.4675833333333301</v>
      </c>
      <c r="D175" s="170">
        <v>4.4230000000000196</v>
      </c>
      <c r="E175" s="166">
        <v>5.8039166666666704</v>
      </c>
      <c r="F175" s="170">
        <v>16222.943499999999</v>
      </c>
      <c r="G175" s="166">
        <v>5.8039166666666704</v>
      </c>
      <c r="H175" s="170">
        <v>15569.174589292799</v>
      </c>
      <c r="I175" s="142">
        <f t="shared" si="6"/>
        <v>1.0419912376830054</v>
      </c>
      <c r="J175" s="475" t="str">
        <f t="shared" si="17"/>
        <v>AB2B</v>
      </c>
    </row>
    <row r="176" spans="1:22" ht="19.95" customHeight="1">
      <c r="A176" s="837" t="s">
        <v>1304</v>
      </c>
      <c r="B176" s="835">
        <v>45328.8126388889</v>
      </c>
      <c r="C176" s="166">
        <v>2.4618333333333302</v>
      </c>
      <c r="D176" s="170">
        <v>4.5411538461538301</v>
      </c>
      <c r="E176" s="166">
        <v>5.8018999999999998</v>
      </c>
      <c r="F176" s="170">
        <v>18022.626499999998</v>
      </c>
      <c r="G176" s="166">
        <v>5.8018999999999998</v>
      </c>
      <c r="H176" s="170">
        <v>17347.358011461602</v>
      </c>
      <c r="I176" s="142">
        <f t="shared" si="6"/>
        <v>1.0389263015205104</v>
      </c>
      <c r="J176" s="475" t="str">
        <f t="shared" si="17"/>
        <v>AB2C</v>
      </c>
    </row>
    <row r="177" spans="1:10" ht="19.95" customHeight="1">
      <c r="A177" s="837" t="s">
        <v>1305</v>
      </c>
      <c r="B177" s="835">
        <v>45328.822187500002</v>
      </c>
      <c r="C177" s="166">
        <v>2.46166666666667</v>
      </c>
      <c r="D177" s="170">
        <v>6.1848846153845898</v>
      </c>
      <c r="E177" s="166">
        <v>5.8017333333333303</v>
      </c>
      <c r="F177" s="170">
        <v>35592.456408374899</v>
      </c>
      <c r="G177" s="166">
        <v>5.8017333333333303</v>
      </c>
      <c r="H177" s="170">
        <v>16929.753000000001</v>
      </c>
      <c r="I177" s="142">
        <f t="shared" si="6"/>
        <v>2.1023612339988005</v>
      </c>
      <c r="J177" s="475" t="str">
        <f t="shared" si="17"/>
        <v>AB3</v>
      </c>
    </row>
    <row r="178" spans="1:10" ht="19.95" customHeight="1">
      <c r="A178" s="837" t="s">
        <v>1306</v>
      </c>
      <c r="B178" s="835">
        <v>45328.831840277802</v>
      </c>
      <c r="C178" s="166">
        <v>2.4788666666666699</v>
      </c>
      <c r="D178" s="170">
        <v>5.5568792457346703</v>
      </c>
      <c r="E178" s="166">
        <v>5.8037666666666698</v>
      </c>
      <c r="F178" s="170">
        <v>15107</v>
      </c>
      <c r="G178" s="166">
        <v>5.8057833333333297</v>
      </c>
      <c r="H178" s="170">
        <v>14329.044253263901</v>
      </c>
      <c r="I178" s="142">
        <f t="shared" si="6"/>
        <v>1.0542922286361769</v>
      </c>
      <c r="J178" s="475" t="str">
        <f t="shared" si="17"/>
        <v>S1</v>
      </c>
    </row>
    <row r="179" spans="1:10" ht="19.95" customHeight="1">
      <c r="A179" s="837" t="s">
        <v>1307</v>
      </c>
      <c r="B179" s="835">
        <v>45328.841388888897</v>
      </c>
      <c r="C179" s="166">
        <v>2.4645999999999999</v>
      </c>
      <c r="D179" s="170">
        <v>11.059097744998899</v>
      </c>
      <c r="E179" s="166">
        <v>5.8018000000000001</v>
      </c>
      <c r="F179" s="170">
        <v>18383.0275</v>
      </c>
      <c r="G179" s="166">
        <v>5.8018000000000001</v>
      </c>
      <c r="H179" s="170">
        <v>17310.234746914201</v>
      </c>
      <c r="I179" s="142">
        <f t="shared" si="6"/>
        <v>1.0619744774562945</v>
      </c>
      <c r="J179" s="475" t="str">
        <f t="shared" si="17"/>
        <v>S2</v>
      </c>
    </row>
    <row r="180" spans="1:10" ht="19.95" customHeight="1">
      <c r="A180" s="837" t="s">
        <v>1308</v>
      </c>
      <c r="B180" s="835">
        <v>45328.8510185185</v>
      </c>
      <c r="C180" s="166">
        <v>2.4588666666666699</v>
      </c>
      <c r="D180" s="170">
        <v>11.913011355892399</v>
      </c>
      <c r="E180" s="166">
        <v>5.8006333333333302</v>
      </c>
      <c r="F180" s="170">
        <v>19526.454641626598</v>
      </c>
      <c r="G180" s="166">
        <v>5.8006333333333302</v>
      </c>
      <c r="H180" s="170">
        <v>18315.209073645801</v>
      </c>
      <c r="I180" s="142">
        <f t="shared" si="6"/>
        <v>1.0661333192053859</v>
      </c>
      <c r="J180" s="475" t="str">
        <f t="shared" si="17"/>
        <v>S3</v>
      </c>
    </row>
    <row r="181" spans="1:10" ht="19.95" customHeight="1">
      <c r="A181" s="837" t="s">
        <v>1309</v>
      </c>
      <c r="B181" s="835">
        <v>45328.860648148097</v>
      </c>
      <c r="C181" s="166">
        <v>2.4701166666666698</v>
      </c>
      <c r="D181" s="170">
        <v>6.3699999999999797</v>
      </c>
      <c r="E181" s="166">
        <v>5.8036000000000003</v>
      </c>
      <c r="F181" s="170">
        <v>270.960461538461</v>
      </c>
      <c r="G181" s="166">
        <v>5.8036000000000003</v>
      </c>
      <c r="H181" s="170">
        <v>19666.080741576101</v>
      </c>
      <c r="I181" s="142">
        <f t="shared" si="6"/>
        <v>1.3778061073736107E-2</v>
      </c>
      <c r="J181" s="475" t="str">
        <f t="shared" si="17"/>
        <v>SULF_S1</v>
      </c>
    </row>
    <row r="182" spans="1:10" ht="19.95" customHeight="1">
      <c r="A182" s="837" t="s">
        <v>1310</v>
      </c>
      <c r="B182" s="835">
        <v>45328.870162036997</v>
      </c>
      <c r="C182" s="166">
        <v>2.4788666666666699</v>
      </c>
      <c r="D182" s="170">
        <v>8.0434615384614698</v>
      </c>
      <c r="E182" s="166">
        <v>5.8025833333333301</v>
      </c>
      <c r="F182" s="170">
        <v>353.29500000000002</v>
      </c>
      <c r="G182" s="166">
        <v>5.8045999999999998</v>
      </c>
      <c r="H182" s="170">
        <v>20349.638203913099</v>
      </c>
      <c r="I182" s="142">
        <f t="shared" si="6"/>
        <v>1.7361242320861694E-2</v>
      </c>
      <c r="J182" s="475" t="str">
        <f t="shared" si="17"/>
        <v>SULF_S2</v>
      </c>
    </row>
    <row r="183" spans="1:10" ht="19.95" customHeight="1">
      <c r="A183" s="839" t="s">
        <v>1311</v>
      </c>
      <c r="B183" s="836">
        <v>45328.879930555602</v>
      </c>
      <c r="C183" s="169">
        <v>2.4643999999999999</v>
      </c>
      <c r="D183" s="172">
        <v>10.4043076923077</v>
      </c>
      <c r="E183" s="169">
        <v>5.8036166666666702</v>
      </c>
      <c r="F183" s="172">
        <v>373.41592113815102</v>
      </c>
      <c r="G183" s="169">
        <v>5.8015999999999996</v>
      </c>
      <c r="H183" s="172">
        <v>21997.147499999999</v>
      </c>
      <c r="I183" s="143">
        <f t="shared" si="6"/>
        <v>1.6975652008432051E-2</v>
      </c>
      <c r="J183" s="476" t="str">
        <f t="shared" si="17"/>
        <v>SULF_S3</v>
      </c>
    </row>
    <row r="184" spans="1:10" ht="19.95" customHeight="1">
      <c r="A184" s="837" t="s">
        <v>1312</v>
      </c>
      <c r="B184" s="835">
        <v>45328.889479166697</v>
      </c>
      <c r="C184" s="166" t="s">
        <v>109</v>
      </c>
      <c r="D184" s="170" t="s">
        <v>109</v>
      </c>
      <c r="E184" s="166" t="s">
        <v>109</v>
      </c>
      <c r="F184" s="170" t="s">
        <v>109</v>
      </c>
      <c r="G184" s="166">
        <v>5.8079499999999999</v>
      </c>
      <c r="H184" s="170">
        <v>8.8249999999999904</v>
      </c>
      <c r="I184" s="142" t="e">
        <f t="shared" si="6"/>
        <v>#VALUE!</v>
      </c>
      <c r="J184" s="475" t="str">
        <f>SUBSTITUTE(A184,"_III.D","")</f>
        <v>VOID</v>
      </c>
    </row>
    <row r="185" spans="1:10" ht="19.95" customHeight="1">
      <c r="A185" s="837" t="s">
        <v>1313</v>
      </c>
      <c r="B185" s="835">
        <v>45328.899062500001</v>
      </c>
      <c r="C185" s="166">
        <v>2.47311666666667</v>
      </c>
      <c r="D185" s="170">
        <v>16.351222549821699</v>
      </c>
      <c r="E185" s="166">
        <v>5.8037333333333301</v>
      </c>
      <c r="F185" s="170">
        <v>32.824692307692402</v>
      </c>
      <c r="G185" s="166">
        <v>5.81178333333333</v>
      </c>
      <c r="H185" s="170">
        <v>5.9829999999999703</v>
      </c>
      <c r="I185" s="142">
        <f t="shared" si="6"/>
        <v>5.4863266434385034</v>
      </c>
      <c r="J185" s="475" t="str">
        <f t="shared" ref="J185:J202" si="18">SUBSTITUTE(A185,"_III.D","")</f>
        <v>WATER</v>
      </c>
    </row>
    <row r="186" spans="1:10" ht="19.95" customHeight="1">
      <c r="A186" s="837" t="s">
        <v>1314</v>
      </c>
      <c r="B186" s="835">
        <v>45328.908773148098</v>
      </c>
      <c r="C186" s="166">
        <v>2.4531833333333299</v>
      </c>
      <c r="D186" s="170">
        <v>11.128658329264001</v>
      </c>
      <c r="E186" s="166">
        <v>5.8018333333333301</v>
      </c>
      <c r="F186" s="170">
        <v>341.15300000000099</v>
      </c>
      <c r="G186" s="166">
        <v>5.7998166666666702</v>
      </c>
      <c r="H186" s="170">
        <v>18995.7221789371</v>
      </c>
      <c r="I186" s="142">
        <f t="shared" si="6"/>
        <v>1.7959464598733679E-2</v>
      </c>
      <c r="J186" s="475" t="str">
        <f t="shared" si="18"/>
        <v>BLK1</v>
      </c>
    </row>
    <row r="187" spans="1:10" ht="19.95" customHeight="1">
      <c r="A187" s="837" t="s">
        <v>1315</v>
      </c>
      <c r="B187" s="835">
        <v>45328.918310185203</v>
      </c>
      <c r="C187" s="166">
        <v>2.4561333333333302</v>
      </c>
      <c r="D187" s="170">
        <v>10.860884615384601</v>
      </c>
      <c r="E187" s="166">
        <v>5.8019166666666697</v>
      </c>
      <c r="F187" s="170">
        <v>261.48450000000003</v>
      </c>
      <c r="G187" s="166">
        <v>5.8019166666666697</v>
      </c>
      <c r="H187" s="170">
        <v>18090.151444079998</v>
      </c>
      <c r="I187" s="142">
        <f t="shared" si="6"/>
        <v>1.4454522440472482E-2</v>
      </c>
      <c r="J187" s="475" t="str">
        <f t="shared" si="18"/>
        <v>BLK2</v>
      </c>
    </row>
    <row r="188" spans="1:10" ht="19.95" customHeight="1">
      <c r="A188" s="837" t="s">
        <v>1316</v>
      </c>
      <c r="B188" s="835">
        <v>45328.927928240701</v>
      </c>
      <c r="C188" s="166">
        <v>2.4646833333333298</v>
      </c>
      <c r="D188" s="170">
        <v>5.3077692307692699</v>
      </c>
      <c r="E188" s="166">
        <v>5.80188333333333</v>
      </c>
      <c r="F188" s="170">
        <v>235.04946848924399</v>
      </c>
      <c r="G188" s="166">
        <v>5.8038999999999996</v>
      </c>
      <c r="H188" s="170">
        <v>15458.5087576608</v>
      </c>
      <c r="I188" s="142">
        <f t="shared" si="6"/>
        <v>1.520518390059844E-2</v>
      </c>
      <c r="J188" s="475" t="str">
        <f t="shared" si="18"/>
        <v>BLK3</v>
      </c>
    </row>
    <row r="189" spans="1:10" ht="19.95" customHeight="1">
      <c r="A189" s="837" t="s">
        <v>1317</v>
      </c>
      <c r="B189" s="835">
        <v>45328.937650462998</v>
      </c>
      <c r="C189" s="166" t="s">
        <v>109</v>
      </c>
      <c r="D189" s="170" t="s">
        <v>109</v>
      </c>
      <c r="E189" s="166">
        <v>5.80185</v>
      </c>
      <c r="F189" s="170">
        <v>394.575500000001</v>
      </c>
      <c r="G189" s="166">
        <v>5.8038666666666696</v>
      </c>
      <c r="H189" s="170">
        <v>22296.164008760301</v>
      </c>
      <c r="I189" s="142">
        <f t="shared" si="6"/>
        <v>1.7697012806551379E-2</v>
      </c>
      <c r="J189" s="475" t="str">
        <f t="shared" si="18"/>
        <v>SULF_BLK1</v>
      </c>
    </row>
    <row r="190" spans="1:10" ht="19.95" customHeight="1">
      <c r="A190" s="837" t="s">
        <v>1318</v>
      </c>
      <c r="B190" s="835">
        <v>45328.947175925903</v>
      </c>
      <c r="C190" s="166">
        <v>2.4560833333333298</v>
      </c>
      <c r="D190" s="170">
        <v>26.1353676770905</v>
      </c>
      <c r="E190" s="166">
        <v>5.7978333333333296</v>
      </c>
      <c r="F190" s="170">
        <v>383.99349999999998</v>
      </c>
      <c r="G190" s="166">
        <v>5.8018666666666698</v>
      </c>
      <c r="H190" s="170">
        <v>22304.372006821599</v>
      </c>
      <c r="I190" s="142">
        <f t="shared" si="6"/>
        <v>1.7216064181612416E-2</v>
      </c>
      <c r="J190" s="475" t="str">
        <f t="shared" si="18"/>
        <v>SULF_BLK2</v>
      </c>
    </row>
    <row r="191" spans="1:10" ht="19.95" customHeight="1">
      <c r="A191" s="837" t="s">
        <v>1319</v>
      </c>
      <c r="B191" s="835">
        <v>45328.956932870402</v>
      </c>
      <c r="C191" s="166">
        <v>2.4645000000000001</v>
      </c>
      <c r="D191" s="170">
        <v>18.933461538461501</v>
      </c>
      <c r="E191" s="166">
        <v>5.80371666666667</v>
      </c>
      <c r="F191" s="170">
        <v>321.46899999999903</v>
      </c>
      <c r="G191" s="166">
        <v>5.8017000000000003</v>
      </c>
      <c r="H191" s="170">
        <v>20632.943499999899</v>
      </c>
      <c r="I191" s="142">
        <f t="shared" si="6"/>
        <v>1.5580375141336504E-2</v>
      </c>
      <c r="J191" s="475" t="str">
        <f t="shared" si="18"/>
        <v>SULF_BLK3</v>
      </c>
    </row>
    <row r="192" spans="1:10" ht="19.95" customHeight="1">
      <c r="A192" s="837" t="s">
        <v>1320</v>
      </c>
      <c r="B192" s="835">
        <v>45328.966550925899</v>
      </c>
      <c r="C192" s="166">
        <v>2.4589500000000002</v>
      </c>
      <c r="D192" s="170">
        <v>11.9572988272605</v>
      </c>
      <c r="E192" s="166">
        <v>5.8018666666666698</v>
      </c>
      <c r="F192" s="170">
        <v>9192.7820000000102</v>
      </c>
      <c r="G192" s="166">
        <v>5.8018666666666698</v>
      </c>
      <c r="H192" s="170">
        <v>17406.048259840602</v>
      </c>
      <c r="I192" s="142">
        <f t="shared" si="6"/>
        <v>0.5281372234965982</v>
      </c>
      <c r="J192" s="475" t="str">
        <f t="shared" si="18"/>
        <v>AB1</v>
      </c>
    </row>
    <row r="193" spans="1:10" ht="19.95" customHeight="1">
      <c r="A193" s="837" t="s">
        <v>1321</v>
      </c>
      <c r="B193" s="835">
        <v>45328.976076388899</v>
      </c>
      <c r="C193" s="166">
        <v>2.4645000000000001</v>
      </c>
      <c r="D193" s="170">
        <v>7.5132593386792399</v>
      </c>
      <c r="E193" s="166">
        <v>5.80371666666667</v>
      </c>
      <c r="F193" s="170">
        <v>17994.975500000099</v>
      </c>
      <c r="G193" s="166">
        <v>5.80371666666667</v>
      </c>
      <c r="H193" s="170">
        <v>17200.0059671952</v>
      </c>
      <c r="I193" s="142">
        <f t="shared" si="6"/>
        <v>1.0462191428492007</v>
      </c>
      <c r="J193" s="475" t="str">
        <f t="shared" si="18"/>
        <v>AB2A</v>
      </c>
    </row>
    <row r="194" spans="1:10" ht="19.95" customHeight="1">
      <c r="A194" s="837" t="s">
        <v>1322</v>
      </c>
      <c r="B194" s="835">
        <v>45328.9858564815</v>
      </c>
      <c r="C194" s="166">
        <v>2.4732166666666702</v>
      </c>
      <c r="D194" s="170">
        <v>5.2903873921216498</v>
      </c>
      <c r="E194" s="166">
        <v>5.8038333333333298</v>
      </c>
      <c r="F194" s="170">
        <v>17198.054</v>
      </c>
      <c r="G194" s="166">
        <v>5.8038333333333298</v>
      </c>
      <c r="H194" s="170">
        <v>16456.388948153501</v>
      </c>
      <c r="I194" s="142">
        <f t="shared" si="6"/>
        <v>1.0450685174118783</v>
      </c>
      <c r="J194" s="475" t="str">
        <f t="shared" si="18"/>
        <v>AB2B</v>
      </c>
    </row>
    <row r="195" spans="1:10" ht="19.95" customHeight="1">
      <c r="A195" s="837" t="s">
        <v>1323</v>
      </c>
      <c r="B195" s="835">
        <v>45328.995462963001</v>
      </c>
      <c r="C195" s="166">
        <v>2.4561166666666701</v>
      </c>
      <c r="D195" s="170">
        <v>21.097517942214001</v>
      </c>
      <c r="E195" s="166">
        <v>5.8039166666666704</v>
      </c>
      <c r="F195" s="170">
        <v>17456.9726232139</v>
      </c>
      <c r="G195" s="166">
        <v>5.8018999999999998</v>
      </c>
      <c r="H195" s="170">
        <v>16822.922500000001</v>
      </c>
      <c r="I195" s="142">
        <f t="shared" si="6"/>
        <v>1.037689653698036</v>
      </c>
      <c r="J195" s="475" t="str">
        <f t="shared" si="18"/>
        <v>AB2C</v>
      </c>
    </row>
    <row r="196" spans="1:10" ht="19.95" customHeight="1">
      <c r="A196" s="837" t="s">
        <v>1324</v>
      </c>
      <c r="B196" s="835">
        <v>45329.0050694444</v>
      </c>
      <c r="C196" s="166">
        <v>2.4673166666666702</v>
      </c>
      <c r="D196" s="170">
        <v>6.8702782623250798</v>
      </c>
      <c r="E196" s="166">
        <v>5.8036666666666701</v>
      </c>
      <c r="F196" s="170">
        <v>35489.705868225901</v>
      </c>
      <c r="G196" s="166">
        <v>5.8036666666666701</v>
      </c>
      <c r="H196" s="170">
        <v>16850.190500000001</v>
      </c>
      <c r="I196" s="142">
        <f t="shared" si="6"/>
        <v>2.106190186290529</v>
      </c>
      <c r="J196" s="475" t="str">
        <f t="shared" si="18"/>
        <v>AB3</v>
      </c>
    </row>
    <row r="197" spans="1:10" ht="19.95" customHeight="1">
      <c r="A197" s="837" t="s">
        <v>1325</v>
      </c>
      <c r="B197" s="835">
        <v>45329.014710648102</v>
      </c>
      <c r="C197" s="166">
        <v>2.4588000000000001</v>
      </c>
      <c r="D197" s="170">
        <v>8.5239612138412593</v>
      </c>
      <c r="E197" s="166">
        <v>5.8017166666666702</v>
      </c>
      <c r="F197" s="170">
        <v>18779.031879190501</v>
      </c>
      <c r="G197" s="166">
        <v>5.8017166666666702</v>
      </c>
      <c r="H197" s="170">
        <v>17771.859922809501</v>
      </c>
      <c r="I197" s="142">
        <f t="shared" si="6"/>
        <v>1.0566722875802286</v>
      </c>
      <c r="J197" s="475" t="str">
        <f t="shared" si="18"/>
        <v>S1</v>
      </c>
    </row>
    <row r="198" spans="1:10" ht="19.95" customHeight="1">
      <c r="A198" s="837" t="s">
        <v>1326</v>
      </c>
      <c r="B198" s="835">
        <v>45329.024259259299</v>
      </c>
      <c r="C198" s="166" t="s">
        <v>109</v>
      </c>
      <c r="D198" s="170" t="s">
        <v>109</v>
      </c>
      <c r="E198" s="166">
        <v>5.8038833333333297</v>
      </c>
      <c r="F198" s="170">
        <v>15591.531000000001</v>
      </c>
      <c r="G198" s="166">
        <v>5.8038833333333297</v>
      </c>
      <c r="H198" s="170">
        <v>14690.325220414201</v>
      </c>
      <c r="I198" s="142">
        <f t="shared" si="6"/>
        <v>1.0613468909683124</v>
      </c>
      <c r="J198" s="475" t="str">
        <f t="shared" si="18"/>
        <v>S2</v>
      </c>
    </row>
    <row r="199" spans="1:10" ht="19.95" customHeight="1">
      <c r="A199" s="837" t="s">
        <v>1327</v>
      </c>
      <c r="B199" s="835">
        <v>45329.034027777801</v>
      </c>
      <c r="C199" s="166">
        <v>2.4616333333333298</v>
      </c>
      <c r="D199" s="170">
        <v>11.451499999999999</v>
      </c>
      <c r="E199" s="166">
        <v>5.8017000000000003</v>
      </c>
      <c r="F199" s="170">
        <v>19611.541000000001</v>
      </c>
      <c r="G199" s="166">
        <v>5.8017000000000003</v>
      </c>
      <c r="H199" s="170">
        <v>18404.1704065749</v>
      </c>
      <c r="I199" s="142">
        <f t="shared" si="6"/>
        <v>1.0656030979257705</v>
      </c>
      <c r="J199" s="475" t="str">
        <f t="shared" si="18"/>
        <v>S3</v>
      </c>
    </row>
    <row r="200" spans="1:10" ht="19.95" customHeight="1">
      <c r="A200" s="837" t="s">
        <v>1328</v>
      </c>
      <c r="B200" s="835">
        <v>45329.043587963002</v>
      </c>
      <c r="C200" s="166">
        <v>2.4645666666666699</v>
      </c>
      <c r="D200" s="170">
        <v>8.0340000000000007</v>
      </c>
      <c r="E200" s="166">
        <v>5.8037666666666698</v>
      </c>
      <c r="F200" s="170">
        <v>285.42500000000001</v>
      </c>
      <c r="G200" s="166">
        <v>5.8037666666666698</v>
      </c>
      <c r="H200" s="170">
        <v>20493.5266839861</v>
      </c>
      <c r="I200" s="142">
        <f t="shared" si="6"/>
        <v>1.392756866113409E-2</v>
      </c>
      <c r="J200" s="475" t="str">
        <f t="shared" si="18"/>
        <v>SULF_S1</v>
      </c>
    </row>
    <row r="201" spans="1:10" ht="19.95" customHeight="1">
      <c r="A201" s="837" t="s">
        <v>1329</v>
      </c>
      <c r="B201" s="835">
        <v>45329.0532060185</v>
      </c>
      <c r="C201" s="166">
        <v>2.4587666666666701</v>
      </c>
      <c r="D201" s="170">
        <v>8.6952307692307595</v>
      </c>
      <c r="E201" s="166">
        <v>5.8017000000000003</v>
      </c>
      <c r="F201" s="170">
        <v>409.572</v>
      </c>
      <c r="G201" s="166">
        <v>5.8017000000000003</v>
      </c>
      <c r="H201" s="170">
        <v>23607.208999999999</v>
      </c>
      <c r="I201" s="142">
        <f t="shared" si="6"/>
        <v>1.7349446095046645E-2</v>
      </c>
      <c r="J201" s="475" t="str">
        <f t="shared" si="18"/>
        <v>SULF_S2</v>
      </c>
    </row>
    <row r="202" spans="1:10" ht="19.95" customHeight="1">
      <c r="A202" s="839" t="s">
        <v>1330</v>
      </c>
      <c r="B202" s="836">
        <v>45329.062881944403</v>
      </c>
      <c r="C202" s="169">
        <v>2.456</v>
      </c>
      <c r="D202" s="172">
        <v>15.912538461538499</v>
      </c>
      <c r="E202" s="169">
        <v>5.8046499999999996</v>
      </c>
      <c r="F202" s="172">
        <v>392.55726923076998</v>
      </c>
      <c r="G202" s="169">
        <v>5.80263333333333</v>
      </c>
      <c r="H202" s="172">
        <v>22709.15</v>
      </c>
      <c r="I202" s="143">
        <f t="shared" si="6"/>
        <v>1.7286303944919555E-2</v>
      </c>
      <c r="J202" s="476" t="str">
        <f t="shared" si="18"/>
        <v>SULF_S3</v>
      </c>
    </row>
    <row r="203" spans="1:10" ht="19.95" customHeight="1">
      <c r="A203" s="837" t="s">
        <v>1331</v>
      </c>
      <c r="B203" s="835">
        <v>45329.072395833296</v>
      </c>
      <c r="C203" s="166" t="s">
        <v>109</v>
      </c>
      <c r="D203" s="170" t="s">
        <v>109</v>
      </c>
      <c r="E203" s="166" t="s">
        <v>109</v>
      </c>
      <c r="F203" s="170" t="s">
        <v>109</v>
      </c>
      <c r="G203" s="166" t="s">
        <v>109</v>
      </c>
      <c r="H203" s="170" t="s">
        <v>109</v>
      </c>
      <c r="I203" s="142" t="e">
        <f t="shared" si="6"/>
        <v>#VALUE!</v>
      </c>
      <c r="J203" s="475" t="str">
        <f>SUBSTITUTE(A203,"_IV.D","")</f>
        <v>VOID</v>
      </c>
    </row>
    <row r="204" spans="1:10" ht="19.95" customHeight="1">
      <c r="A204" s="837" t="s">
        <v>1332</v>
      </c>
      <c r="B204" s="835">
        <v>45329.082141203697</v>
      </c>
      <c r="C204" s="166">
        <v>2.4673333333333298</v>
      </c>
      <c r="D204" s="170">
        <v>18.788615384615401</v>
      </c>
      <c r="E204" s="166">
        <v>5.8016666666666703</v>
      </c>
      <c r="F204" s="170">
        <v>33.124384615384798</v>
      </c>
      <c r="G204" s="166">
        <v>5.8117333333333301</v>
      </c>
      <c r="H204" s="170">
        <v>7.2534999999999998</v>
      </c>
      <c r="I204" s="142">
        <f t="shared" si="6"/>
        <v>4.5666760343813051</v>
      </c>
      <c r="J204" s="475" t="str">
        <f t="shared" ref="J204:J221" si="19">SUBSTITUTE(A204,"_IV.D","")</f>
        <v>WATER</v>
      </c>
    </row>
    <row r="205" spans="1:10" ht="19.95" customHeight="1">
      <c r="A205" s="837" t="s">
        <v>1333</v>
      </c>
      <c r="B205" s="835">
        <v>45329.091782407399</v>
      </c>
      <c r="C205" s="166">
        <v>2.4559833333333301</v>
      </c>
      <c r="D205" s="170">
        <v>9.9066923076923104</v>
      </c>
      <c r="E205" s="166">
        <v>5.7997500000000004</v>
      </c>
      <c r="F205" s="170">
        <v>332.80730769230701</v>
      </c>
      <c r="G205" s="166">
        <v>5.8017666666666701</v>
      </c>
      <c r="H205" s="170">
        <v>18529.803999999898</v>
      </c>
      <c r="I205" s="142">
        <f t="shared" si="6"/>
        <v>1.7960649108447604E-2</v>
      </c>
      <c r="J205" s="475" t="str">
        <f t="shared" si="19"/>
        <v>BLK1</v>
      </c>
    </row>
    <row r="206" spans="1:10" ht="19.95" customHeight="1">
      <c r="A206" s="837" t="s">
        <v>1334</v>
      </c>
      <c r="B206" s="835">
        <v>45329.101331018501</v>
      </c>
      <c r="C206" s="166">
        <v>2.4558833333333299</v>
      </c>
      <c r="D206" s="170">
        <v>19.7605</v>
      </c>
      <c r="E206" s="166">
        <v>5.7996499999999997</v>
      </c>
      <c r="F206" s="170">
        <v>264.02249999999998</v>
      </c>
      <c r="G206" s="166">
        <v>5.8016666666666703</v>
      </c>
      <c r="H206" s="170">
        <v>18396.187642548801</v>
      </c>
      <c r="I206" s="142">
        <f t="shared" si="6"/>
        <v>1.4352022556528975E-2</v>
      </c>
      <c r="J206" s="475" t="str">
        <f t="shared" si="19"/>
        <v>BLK2</v>
      </c>
    </row>
    <row r="207" spans="1:10" ht="19.95" customHeight="1">
      <c r="A207" s="837" t="s">
        <v>1335</v>
      </c>
      <c r="B207" s="835">
        <v>45329.111030092601</v>
      </c>
      <c r="C207" s="166">
        <v>2.4646333333333299</v>
      </c>
      <c r="D207" s="170">
        <v>30.693699982544299</v>
      </c>
      <c r="E207" s="166">
        <v>5.8018333333333301</v>
      </c>
      <c r="F207" s="170">
        <v>248.81400000000099</v>
      </c>
      <c r="G207" s="166">
        <v>5.8038499999999997</v>
      </c>
      <c r="H207" s="170">
        <v>16196.9640626417</v>
      </c>
      <c r="I207" s="142">
        <f t="shared" si="6"/>
        <v>1.536176773855358E-2</v>
      </c>
      <c r="J207" s="475" t="str">
        <f t="shared" si="19"/>
        <v>BLK3</v>
      </c>
    </row>
    <row r="208" spans="1:10" ht="19.95" customHeight="1">
      <c r="A208" s="837" t="s">
        <v>1336</v>
      </c>
      <c r="B208" s="835">
        <v>45329.120567129597</v>
      </c>
      <c r="C208" s="166">
        <v>2.4644499999999998</v>
      </c>
      <c r="D208" s="170">
        <v>24.009351404898801</v>
      </c>
      <c r="E208" s="166">
        <v>5.8036500000000002</v>
      </c>
      <c r="F208" s="170">
        <v>371.09219230769099</v>
      </c>
      <c r="G208" s="166">
        <v>5.8036500000000002</v>
      </c>
      <c r="H208" s="170">
        <v>20935.773087314199</v>
      </c>
      <c r="I208" s="142">
        <f t="shared" si="6"/>
        <v>1.772526816946398E-2</v>
      </c>
      <c r="J208" s="475" t="str">
        <f t="shared" si="19"/>
        <v>SULF_BLK1</v>
      </c>
    </row>
    <row r="209" spans="1:10" ht="19.95" customHeight="1">
      <c r="A209" s="837" t="s">
        <v>1337</v>
      </c>
      <c r="B209" s="835">
        <v>45329.130231481497</v>
      </c>
      <c r="C209" s="166">
        <v>2.4587500000000002</v>
      </c>
      <c r="D209" s="170">
        <v>11.2747307692308</v>
      </c>
      <c r="E209" s="166">
        <v>5.7996666666666696</v>
      </c>
      <c r="F209" s="170">
        <v>347.38049999999902</v>
      </c>
      <c r="G209" s="166">
        <v>5.8016666666666703</v>
      </c>
      <c r="H209" s="170">
        <v>20225.018</v>
      </c>
      <c r="I209" s="142">
        <f t="shared" si="6"/>
        <v>1.717578199435961E-2</v>
      </c>
      <c r="J209" s="475" t="str">
        <f t="shared" si="19"/>
        <v>SULF_BLK2</v>
      </c>
    </row>
    <row r="210" spans="1:10" ht="19.95" customHeight="1">
      <c r="A210" s="837" t="s">
        <v>1338</v>
      </c>
      <c r="B210" s="835">
        <v>45329.139872685198</v>
      </c>
      <c r="C210" s="166">
        <v>2.4559000000000002</v>
      </c>
      <c r="D210" s="170">
        <v>9.4392086245745492</v>
      </c>
      <c r="E210" s="166">
        <v>5.7996833333333297</v>
      </c>
      <c r="F210" s="170">
        <v>328.753999999999</v>
      </c>
      <c r="G210" s="166">
        <v>5.8016833333333304</v>
      </c>
      <c r="H210" s="170">
        <v>20969.965</v>
      </c>
      <c r="I210" s="142">
        <f t="shared" si="6"/>
        <v>1.5677374759566789E-2</v>
      </c>
      <c r="J210" s="475" t="str">
        <f t="shared" si="19"/>
        <v>SULF_BLK3</v>
      </c>
    </row>
    <row r="211" spans="1:10" ht="19.95" customHeight="1">
      <c r="A211" s="837" t="s">
        <v>1339</v>
      </c>
      <c r="B211" s="835">
        <v>45329.149386574099</v>
      </c>
      <c r="C211" s="166">
        <v>2.4646499999999998</v>
      </c>
      <c r="D211" s="170">
        <v>19.734230769230798</v>
      </c>
      <c r="E211" s="166">
        <v>5.80185</v>
      </c>
      <c r="F211" s="170">
        <v>8553.9840274350809</v>
      </c>
      <c r="G211" s="166">
        <v>5.8038666666666696</v>
      </c>
      <c r="H211" s="170">
        <v>16207.798500000001</v>
      </c>
      <c r="I211" s="142">
        <f t="shared" ref="I211:I240" si="20">F211/H211</f>
        <v>0.52776964295521567</v>
      </c>
      <c r="J211" s="475" t="str">
        <f t="shared" si="19"/>
        <v>AB1</v>
      </c>
    </row>
    <row r="212" spans="1:10" ht="19.95" customHeight="1">
      <c r="A212" s="837" t="s">
        <v>1340</v>
      </c>
      <c r="B212" s="835">
        <v>45329.159189814804</v>
      </c>
      <c r="C212" s="166">
        <v>2.4560666666666702</v>
      </c>
      <c r="D212" s="170">
        <v>11.1297980547308</v>
      </c>
      <c r="E212" s="166">
        <v>5.8038666666666696</v>
      </c>
      <c r="F212" s="170">
        <v>16630.746999999999</v>
      </c>
      <c r="G212" s="166">
        <v>5.8038666666666696</v>
      </c>
      <c r="H212" s="170">
        <v>15804.218027659201</v>
      </c>
      <c r="I212" s="142">
        <f t="shared" si="20"/>
        <v>1.052297998603555</v>
      </c>
      <c r="J212" s="475" t="str">
        <f t="shared" si="19"/>
        <v>AB2A</v>
      </c>
    </row>
    <row r="213" spans="1:10" ht="19.95" customHeight="1">
      <c r="A213" s="837" t="s">
        <v>1341</v>
      </c>
      <c r="B213" s="835">
        <v>45329.168761574103</v>
      </c>
      <c r="C213" s="166">
        <v>2.4587666666666701</v>
      </c>
      <c r="D213" s="170">
        <v>7.3280000000000198</v>
      </c>
      <c r="E213" s="166">
        <v>5.8016833333333304</v>
      </c>
      <c r="F213" s="170">
        <v>18977.469000000001</v>
      </c>
      <c r="G213" s="166">
        <v>5.8016833333333304</v>
      </c>
      <c r="H213" s="170">
        <v>18183.991304872099</v>
      </c>
      <c r="I213" s="142">
        <f t="shared" si="20"/>
        <v>1.0436360577732624</v>
      </c>
      <c r="J213" s="475" t="str">
        <f t="shared" si="19"/>
        <v>AB2B</v>
      </c>
    </row>
    <row r="214" spans="1:10" ht="19.95" customHeight="1">
      <c r="A214" s="837" t="s">
        <v>1342</v>
      </c>
      <c r="B214" s="835">
        <v>45329.178333333301</v>
      </c>
      <c r="C214" s="166">
        <v>2.4531166666666699</v>
      </c>
      <c r="D214" s="170">
        <v>24.0070384615385</v>
      </c>
      <c r="E214" s="166">
        <v>5.8017666666666701</v>
      </c>
      <c r="F214" s="170">
        <v>19385.95</v>
      </c>
      <c r="G214" s="166">
        <v>5.8017666666666701</v>
      </c>
      <c r="H214" s="170">
        <v>18671.415499999999</v>
      </c>
      <c r="I214" s="142">
        <f t="shared" si="20"/>
        <v>1.0382688982525188</v>
      </c>
      <c r="J214" s="475" t="str">
        <f t="shared" si="19"/>
        <v>AB2C</v>
      </c>
    </row>
    <row r="215" spans="1:10" ht="19.95" customHeight="1">
      <c r="A215" s="837" t="s">
        <v>1343</v>
      </c>
      <c r="B215" s="835">
        <v>45329.188020833302</v>
      </c>
      <c r="C215" s="166">
        <v>2.4616333333333298</v>
      </c>
      <c r="D215" s="170">
        <v>29.078576923077001</v>
      </c>
      <c r="E215" s="166">
        <v>5.80371666666667</v>
      </c>
      <c r="F215" s="170">
        <v>31974.157499999899</v>
      </c>
      <c r="G215" s="166">
        <v>5.80371666666667</v>
      </c>
      <c r="H215" s="170">
        <v>15180.34</v>
      </c>
      <c r="I215" s="142">
        <f t="shared" si="20"/>
        <v>2.1062873097703938</v>
      </c>
      <c r="J215" s="475" t="str">
        <f t="shared" si="19"/>
        <v>AB3</v>
      </c>
    </row>
    <row r="216" spans="1:10" ht="19.95" customHeight="1">
      <c r="A216" s="837" t="s">
        <v>1344</v>
      </c>
      <c r="B216" s="835">
        <v>45329.197546296302</v>
      </c>
      <c r="C216" s="166">
        <v>2.4561000000000002</v>
      </c>
      <c r="D216" s="170">
        <v>13.248334999119701</v>
      </c>
      <c r="E216" s="166">
        <v>5.80188333333333</v>
      </c>
      <c r="F216" s="170">
        <v>17906.6454999999</v>
      </c>
      <c r="G216" s="166">
        <v>5.80188333333333</v>
      </c>
      <c r="H216" s="170">
        <v>16960.270618617498</v>
      </c>
      <c r="I216" s="142">
        <f t="shared" si="20"/>
        <v>1.055799515388838</v>
      </c>
      <c r="J216" s="475" t="str">
        <f t="shared" si="19"/>
        <v>S1</v>
      </c>
    </row>
    <row r="217" spans="1:10" ht="19.95" customHeight="1">
      <c r="A217" s="837" t="s">
        <v>1345</v>
      </c>
      <c r="B217" s="835">
        <v>45329.207141203697</v>
      </c>
      <c r="C217" s="166" t="s">
        <v>109</v>
      </c>
      <c r="D217" s="170" t="s">
        <v>109</v>
      </c>
      <c r="E217" s="166">
        <v>5.8018999999999998</v>
      </c>
      <c r="F217" s="170">
        <v>18284.531783915801</v>
      </c>
      <c r="G217" s="166">
        <v>5.8018999999999998</v>
      </c>
      <c r="H217" s="170">
        <v>17214.452026168401</v>
      </c>
      <c r="I217" s="142">
        <f t="shared" si="20"/>
        <v>1.0621617090175586</v>
      </c>
      <c r="J217" s="475" t="str">
        <f t="shared" si="19"/>
        <v>S2</v>
      </c>
    </row>
    <row r="218" spans="1:10" ht="19.95" customHeight="1">
      <c r="A218" s="837" t="s">
        <v>1346</v>
      </c>
      <c r="B218" s="835">
        <v>45329.2168171296</v>
      </c>
      <c r="C218" s="166">
        <v>2.4618000000000002</v>
      </c>
      <c r="D218" s="170">
        <v>9.8890523249238491</v>
      </c>
      <c r="E218" s="166">
        <v>5.8018666666666698</v>
      </c>
      <c r="F218" s="170">
        <v>18024.085999999999</v>
      </c>
      <c r="G218" s="166">
        <v>5.8018666666666698</v>
      </c>
      <c r="H218" s="170">
        <v>16900.623</v>
      </c>
      <c r="I218" s="142">
        <f t="shared" si="20"/>
        <v>1.066474650076509</v>
      </c>
      <c r="J218" s="475" t="str">
        <f t="shared" si="19"/>
        <v>S3</v>
      </c>
    </row>
    <row r="219" spans="1:10" ht="19.95" customHeight="1">
      <c r="A219" s="837" t="s">
        <v>1347</v>
      </c>
      <c r="B219" s="835">
        <v>45329.226342592599</v>
      </c>
      <c r="C219" s="166" t="s">
        <v>109</v>
      </c>
      <c r="D219" s="170" t="s">
        <v>109</v>
      </c>
      <c r="E219" s="166">
        <v>5.80378333333333</v>
      </c>
      <c r="F219" s="170">
        <v>289.29149999999902</v>
      </c>
      <c r="G219" s="166">
        <v>5.80378333333333</v>
      </c>
      <c r="H219" s="170">
        <v>20742.458499999899</v>
      </c>
      <c r="I219" s="142">
        <f t="shared" si="20"/>
        <v>1.3946827951951811E-2</v>
      </c>
      <c r="J219" s="475" t="str">
        <f t="shared" si="19"/>
        <v>SULF_S1</v>
      </c>
    </row>
    <row r="220" spans="1:10" ht="19.95" customHeight="1">
      <c r="A220" s="837" t="s">
        <v>1348</v>
      </c>
      <c r="B220" s="835">
        <v>45329.236053240696</v>
      </c>
      <c r="C220" s="166">
        <v>2.4561333333333302</v>
      </c>
      <c r="D220" s="170">
        <v>7.4693076923077202</v>
      </c>
      <c r="E220" s="166">
        <v>5.7999000000000001</v>
      </c>
      <c r="F220" s="170">
        <v>397.84819230769199</v>
      </c>
      <c r="G220" s="166">
        <v>5.8019166666666697</v>
      </c>
      <c r="H220" s="170">
        <v>23131.1330707411</v>
      </c>
      <c r="I220" s="142">
        <f t="shared" si="20"/>
        <v>1.7199684558943454E-2</v>
      </c>
      <c r="J220" s="475" t="str">
        <f t="shared" si="19"/>
        <v>SULF_S2</v>
      </c>
    </row>
    <row r="221" spans="1:10" ht="19.95" customHeight="1">
      <c r="A221" s="839" t="s">
        <v>1349</v>
      </c>
      <c r="B221" s="836">
        <v>45329.245613425897</v>
      </c>
      <c r="C221" s="169">
        <v>2.4644666666666701</v>
      </c>
      <c r="D221" s="172">
        <v>21.404923076923101</v>
      </c>
      <c r="E221" s="169">
        <v>5.8016666666666703</v>
      </c>
      <c r="F221" s="172">
        <v>368.15853223575101</v>
      </c>
      <c r="G221" s="169">
        <v>5.8036833333333302</v>
      </c>
      <c r="H221" s="172">
        <v>21412.444999999901</v>
      </c>
      <c r="I221" s="143">
        <f t="shared" si="20"/>
        <v>1.7193670887923014E-2</v>
      </c>
      <c r="J221" s="476" t="str">
        <f t="shared" si="19"/>
        <v>SULF_S3</v>
      </c>
    </row>
    <row r="222" spans="1:10" ht="19.95" customHeight="1">
      <c r="A222" s="837" t="s">
        <v>1350</v>
      </c>
      <c r="B222" s="835">
        <v>45329.255219907398</v>
      </c>
      <c r="C222" s="166" t="s">
        <v>109</v>
      </c>
      <c r="D222" s="170" t="s">
        <v>109</v>
      </c>
      <c r="E222" s="166" t="s">
        <v>109</v>
      </c>
      <c r="F222" s="170" t="s">
        <v>109</v>
      </c>
      <c r="G222" s="166">
        <v>5.8038499999999997</v>
      </c>
      <c r="H222" s="170">
        <v>11.712692307692301</v>
      </c>
      <c r="I222" s="142" t="e">
        <f t="shared" si="20"/>
        <v>#VALUE!</v>
      </c>
      <c r="J222" s="475" t="str">
        <f>SUBSTITUTE(A222,"_V.D","")</f>
        <v>VOID</v>
      </c>
    </row>
    <row r="223" spans="1:10" ht="19.95" customHeight="1">
      <c r="A223" s="837" t="s">
        <v>1351</v>
      </c>
      <c r="B223" s="835">
        <v>45329.2648611111</v>
      </c>
      <c r="C223" s="166">
        <v>2.4475166666666701</v>
      </c>
      <c r="D223" s="170">
        <v>24.1714615384615</v>
      </c>
      <c r="E223" s="166">
        <v>5.7998833333333302</v>
      </c>
      <c r="F223" s="170">
        <v>38.688153846153803</v>
      </c>
      <c r="G223" s="166">
        <v>5.8039166666666704</v>
      </c>
      <c r="H223" s="170">
        <v>11.122</v>
      </c>
      <c r="I223" s="142">
        <f t="shared" si="20"/>
        <v>3.4785248917599176</v>
      </c>
      <c r="J223" s="475" t="str">
        <f t="shared" ref="J223:J240" si="21">SUBSTITUTE(A223,"_V.D","")</f>
        <v>WATER</v>
      </c>
    </row>
    <row r="224" spans="1:10" ht="19.95" customHeight="1">
      <c r="A224" s="837" t="s">
        <v>1352</v>
      </c>
      <c r="B224" s="835">
        <v>45329.274398148104</v>
      </c>
      <c r="C224" s="166">
        <v>2.4589333333333299</v>
      </c>
      <c r="D224" s="170">
        <v>11.266413568624399</v>
      </c>
      <c r="E224" s="166">
        <v>5.7998333333333303</v>
      </c>
      <c r="F224" s="170">
        <v>306.39100000000002</v>
      </c>
      <c r="G224" s="166">
        <v>5.7998333333333303</v>
      </c>
      <c r="H224" s="170">
        <v>16898.887500000001</v>
      </c>
      <c r="I224" s="142">
        <f t="shared" si="20"/>
        <v>1.8130838494545869E-2</v>
      </c>
      <c r="J224" s="475" t="str">
        <f t="shared" si="21"/>
        <v>BLK1</v>
      </c>
    </row>
    <row r="225" spans="1:10" ht="19.95" customHeight="1">
      <c r="A225" s="837" t="s">
        <v>1353</v>
      </c>
      <c r="B225" s="835">
        <v>45329.284062500003</v>
      </c>
      <c r="C225" s="166" t="s">
        <v>109</v>
      </c>
      <c r="D225" s="170" t="s">
        <v>109</v>
      </c>
      <c r="E225" s="166">
        <v>5.80568333333333</v>
      </c>
      <c r="F225" s="170">
        <v>198.71192307692201</v>
      </c>
      <c r="G225" s="166">
        <v>5.8036666666666701</v>
      </c>
      <c r="H225" s="170">
        <v>13752.122499999999</v>
      </c>
      <c r="I225" s="142">
        <f t="shared" si="20"/>
        <v>1.4449545739352017E-2</v>
      </c>
      <c r="J225" s="475" t="str">
        <f t="shared" si="21"/>
        <v>BLK2</v>
      </c>
    </row>
    <row r="226" spans="1:10" ht="19.95" customHeight="1">
      <c r="A226" s="837" t="s">
        <v>1354</v>
      </c>
      <c r="B226" s="835">
        <v>45329.293599536999</v>
      </c>
      <c r="C226" s="166">
        <v>2.4474833333333299</v>
      </c>
      <c r="D226" s="170">
        <v>12.0703218374891</v>
      </c>
      <c r="E226" s="166">
        <v>5.80185</v>
      </c>
      <c r="F226" s="170">
        <v>283.53588461538499</v>
      </c>
      <c r="G226" s="166">
        <v>5.7998333333333303</v>
      </c>
      <c r="H226" s="170">
        <v>18355.887202926599</v>
      </c>
      <c r="I226" s="142">
        <f t="shared" si="20"/>
        <v>1.5446591138900604E-2</v>
      </c>
      <c r="J226" s="475" t="str">
        <f t="shared" si="21"/>
        <v>BLK3</v>
      </c>
    </row>
    <row r="227" spans="1:10" ht="19.95" customHeight="1">
      <c r="A227" s="837" t="s">
        <v>1355</v>
      </c>
      <c r="B227" s="835">
        <v>45329.303310185198</v>
      </c>
      <c r="C227" s="166">
        <v>2.45028333333333</v>
      </c>
      <c r="D227" s="170">
        <v>77.656499999999994</v>
      </c>
      <c r="E227" s="166">
        <v>5.8018000000000001</v>
      </c>
      <c r="F227" s="170">
        <v>399.61411538461601</v>
      </c>
      <c r="G227" s="166">
        <v>5.8018000000000001</v>
      </c>
      <c r="H227" s="170">
        <v>22667.195</v>
      </c>
      <c r="I227" s="142">
        <f t="shared" si="20"/>
        <v>1.7629623576477637E-2</v>
      </c>
      <c r="J227" s="475" t="str">
        <f t="shared" si="21"/>
        <v>SULF_BLK1</v>
      </c>
    </row>
    <row r="228" spans="1:10" ht="19.95" customHeight="1">
      <c r="A228" s="837" t="s">
        <v>1356</v>
      </c>
      <c r="B228" s="835">
        <v>45329.3129050926</v>
      </c>
      <c r="C228" s="166">
        <v>2.4647000000000001</v>
      </c>
      <c r="D228" s="170">
        <v>30.305423076923098</v>
      </c>
      <c r="E228" s="166">
        <v>5.8027499999999996</v>
      </c>
      <c r="F228" s="170">
        <v>297.674076923077</v>
      </c>
      <c r="G228" s="166">
        <v>5.8027499999999996</v>
      </c>
      <c r="H228" s="170">
        <v>17339.18</v>
      </c>
      <c r="I228" s="142">
        <f t="shared" si="20"/>
        <v>1.7167713636001069E-2</v>
      </c>
      <c r="J228" s="475" t="str">
        <f t="shared" si="21"/>
        <v>SULF_BLK2</v>
      </c>
    </row>
    <row r="229" spans="1:10" ht="19.95" customHeight="1">
      <c r="A229" s="837" t="s">
        <v>1357</v>
      </c>
      <c r="B229" s="835">
        <v>45329.322453703702</v>
      </c>
      <c r="C229" s="166">
        <v>2.46166666666667</v>
      </c>
      <c r="D229" s="170">
        <v>11.038269230769201</v>
      </c>
      <c r="E229" s="166">
        <v>5.7997166666666704</v>
      </c>
      <c r="F229" s="170">
        <v>308.09500000000003</v>
      </c>
      <c r="G229" s="166">
        <v>5.8017333333333303</v>
      </c>
      <c r="H229" s="170">
        <v>19374.247500000001</v>
      </c>
      <c r="I229" s="142">
        <f t="shared" si="20"/>
        <v>1.5902295043975258E-2</v>
      </c>
      <c r="J229" s="475" t="str">
        <f t="shared" si="21"/>
        <v>SULF_BLK3</v>
      </c>
    </row>
    <row r="230" spans="1:10" ht="19.95" customHeight="1">
      <c r="A230" s="837" t="s">
        <v>1358</v>
      </c>
      <c r="B230" s="835">
        <v>45329.332152777803</v>
      </c>
      <c r="C230" s="166" t="s">
        <v>109</v>
      </c>
      <c r="D230" s="170" t="s">
        <v>109</v>
      </c>
      <c r="E230" s="166">
        <v>5.80371666666667</v>
      </c>
      <c r="F230" s="170">
        <v>6318.2060000000101</v>
      </c>
      <c r="G230" s="166">
        <v>5.80371666666667</v>
      </c>
      <c r="H230" s="170">
        <v>11949.010240203799</v>
      </c>
      <c r="I230" s="142">
        <f t="shared" si="20"/>
        <v>0.52876396228548617</v>
      </c>
      <c r="J230" s="475" t="str">
        <f t="shared" si="21"/>
        <v>AB1</v>
      </c>
    </row>
    <row r="231" spans="1:10" ht="19.95" customHeight="1">
      <c r="A231" s="837" t="s">
        <v>1359</v>
      </c>
      <c r="B231" s="835">
        <v>45329.341689814799</v>
      </c>
      <c r="C231" s="166">
        <v>2.44736666666667</v>
      </c>
      <c r="D231" s="170">
        <v>8.3485976039709993</v>
      </c>
      <c r="E231" s="166">
        <v>5.7997166666666704</v>
      </c>
      <c r="F231" s="170">
        <v>15427.698</v>
      </c>
      <c r="G231" s="166">
        <v>5.7997166666666704</v>
      </c>
      <c r="H231" s="170">
        <v>14689.3317349346</v>
      </c>
      <c r="I231" s="142">
        <f t="shared" si="20"/>
        <v>1.0502654769045345</v>
      </c>
      <c r="J231" s="475" t="str">
        <f t="shared" si="21"/>
        <v>AB2A</v>
      </c>
    </row>
    <row r="232" spans="1:10" ht="19.95" customHeight="1">
      <c r="A232" s="837" t="s">
        <v>1360</v>
      </c>
      <c r="B232" s="835">
        <v>45329.351388888899</v>
      </c>
      <c r="C232" s="166">
        <v>2.4531999999999998</v>
      </c>
      <c r="D232" s="170">
        <v>7.1375384615384299</v>
      </c>
      <c r="E232" s="166">
        <v>5.80185</v>
      </c>
      <c r="F232" s="170">
        <v>19160.785320176899</v>
      </c>
      <c r="G232" s="166">
        <v>5.80185</v>
      </c>
      <c r="H232" s="170">
        <v>18315.7886530791</v>
      </c>
      <c r="I232" s="142">
        <f t="shared" si="20"/>
        <v>1.0461348775694541</v>
      </c>
      <c r="J232" s="475" t="str">
        <f t="shared" si="21"/>
        <v>AB2B</v>
      </c>
    </row>
    <row r="233" spans="1:10" ht="19.95" customHeight="1">
      <c r="A233" s="837" t="s">
        <v>1361</v>
      </c>
      <c r="B233" s="835">
        <v>45329.3609953704</v>
      </c>
      <c r="C233" s="166">
        <v>2.4532166666666702</v>
      </c>
      <c r="D233" s="170">
        <v>13.881061061809801</v>
      </c>
      <c r="E233" s="166">
        <v>5.8018666666666698</v>
      </c>
      <c r="F233" s="170">
        <v>19059.458500000001</v>
      </c>
      <c r="G233" s="166">
        <v>5.8018666666666698</v>
      </c>
      <c r="H233" s="170">
        <v>18332.1855</v>
      </c>
      <c r="I233" s="142">
        <f t="shared" si="20"/>
        <v>1.0396719201864939</v>
      </c>
      <c r="J233" s="475" t="str">
        <f t="shared" si="21"/>
        <v>AB2C</v>
      </c>
    </row>
    <row r="234" spans="1:10" ht="19.95" customHeight="1">
      <c r="A234" s="837" t="s">
        <v>1362</v>
      </c>
      <c r="B234" s="835">
        <v>45329.370555555601</v>
      </c>
      <c r="C234" s="166">
        <v>2.4561333333333302</v>
      </c>
      <c r="D234" s="170">
        <v>13.2531735329769</v>
      </c>
      <c r="E234" s="166">
        <v>5.8019166666666697</v>
      </c>
      <c r="F234" s="170">
        <v>32550.050500000001</v>
      </c>
      <c r="G234" s="166">
        <v>5.8019166666666697</v>
      </c>
      <c r="H234" s="170">
        <v>15439.2090116208</v>
      </c>
      <c r="I234" s="142">
        <f t="shared" si="20"/>
        <v>2.1082718988712568</v>
      </c>
      <c r="J234" s="475" t="str">
        <f t="shared" si="21"/>
        <v>AB3</v>
      </c>
    </row>
    <row r="235" spans="1:10" ht="19.95" customHeight="1">
      <c r="A235" s="837" t="s">
        <v>1363</v>
      </c>
      <c r="B235" s="835">
        <v>45329.380254629599</v>
      </c>
      <c r="C235" s="166">
        <v>2.4589166666666702</v>
      </c>
      <c r="D235" s="170">
        <v>7.2946923076922703</v>
      </c>
      <c r="E235" s="166">
        <v>5.8038666666666696</v>
      </c>
      <c r="F235" s="170">
        <v>12928.7201928418</v>
      </c>
      <c r="G235" s="166">
        <v>5.8038666666666696</v>
      </c>
      <c r="H235" s="170">
        <v>12244.3662254231</v>
      </c>
      <c r="I235" s="142">
        <f t="shared" si="20"/>
        <v>1.0558913344161307</v>
      </c>
      <c r="J235" s="475" t="str">
        <f t="shared" si="21"/>
        <v>S1</v>
      </c>
    </row>
    <row r="236" spans="1:10" ht="19.95" customHeight="1">
      <c r="A236" s="837" t="s">
        <v>1364</v>
      </c>
      <c r="B236" s="835">
        <v>45329.3898148148</v>
      </c>
      <c r="C236" s="166">
        <v>2.4589166666666702</v>
      </c>
      <c r="D236" s="170">
        <v>41.376769230769199</v>
      </c>
      <c r="E236" s="166">
        <v>5.80066666666667</v>
      </c>
      <c r="F236" s="170">
        <v>18232.816999999999</v>
      </c>
      <c r="G236" s="166">
        <v>5.8026833333333299</v>
      </c>
      <c r="H236" s="170">
        <v>17180.864000000001</v>
      </c>
      <c r="I236" s="142">
        <f t="shared" si="20"/>
        <v>1.0612281780473902</v>
      </c>
      <c r="J236" s="475" t="str">
        <f t="shared" si="21"/>
        <v>S2</v>
      </c>
    </row>
    <row r="237" spans="1:10" ht="19.95" customHeight="1">
      <c r="A237" s="837" t="s">
        <v>1365</v>
      </c>
      <c r="B237" s="835">
        <v>45329.399456018502</v>
      </c>
      <c r="C237" s="166">
        <v>2.46458333333333</v>
      </c>
      <c r="D237" s="170">
        <v>14.987846153846199</v>
      </c>
      <c r="E237" s="166">
        <v>5.80378333333333</v>
      </c>
      <c r="F237" s="170">
        <v>15890.0975</v>
      </c>
      <c r="G237" s="166">
        <v>5.80378333333333</v>
      </c>
      <c r="H237" s="170">
        <v>14960.717000000001</v>
      </c>
      <c r="I237" s="142">
        <f t="shared" si="20"/>
        <v>1.0621213876313549</v>
      </c>
      <c r="J237" s="475" t="str">
        <f t="shared" si="21"/>
        <v>S3</v>
      </c>
    </row>
    <row r="238" spans="1:10" ht="19.95" customHeight="1">
      <c r="A238" s="837" t="s">
        <v>1366</v>
      </c>
      <c r="B238" s="835">
        <v>45329.409097222197</v>
      </c>
      <c r="C238" s="166">
        <v>2.4531333333333301</v>
      </c>
      <c r="D238" s="170">
        <v>9.4870636871869696</v>
      </c>
      <c r="E238" s="166">
        <v>5.7997666666666703</v>
      </c>
      <c r="F238" s="170">
        <v>280.76299999999901</v>
      </c>
      <c r="G238" s="166">
        <v>5.8017833333333302</v>
      </c>
      <c r="H238" s="170">
        <v>20044.798841133601</v>
      </c>
      <c r="I238" s="142">
        <f t="shared" si="20"/>
        <v>1.4006775634178473E-2</v>
      </c>
      <c r="J238" s="475" t="str">
        <f t="shared" si="21"/>
        <v>SULF_S1</v>
      </c>
    </row>
    <row r="239" spans="1:10" ht="19.95" customHeight="1">
      <c r="A239" s="842" t="s">
        <v>1367</v>
      </c>
      <c r="B239" s="841">
        <v>45329.418657407397</v>
      </c>
      <c r="C239" s="56">
        <v>2.4616500000000001</v>
      </c>
      <c r="D239" s="171">
        <v>21.257538461538498</v>
      </c>
      <c r="E239" s="56">
        <v>5.8017166666666702</v>
      </c>
      <c r="F239" s="171">
        <v>408.78449999999901</v>
      </c>
      <c r="G239" s="56">
        <v>5.8017166666666702</v>
      </c>
      <c r="H239" s="171">
        <v>23301.043000000001</v>
      </c>
      <c r="I239" s="197">
        <f t="shared" si="20"/>
        <v>1.7543613820205344E-2</v>
      </c>
      <c r="J239" s="475" t="str">
        <f t="shared" si="21"/>
        <v>SULF_S2</v>
      </c>
    </row>
    <row r="240" spans="1:10" ht="19.95" customHeight="1">
      <c r="A240" s="839" t="s">
        <v>1368</v>
      </c>
      <c r="B240" s="836">
        <v>45329.428240740701</v>
      </c>
      <c r="C240" s="169">
        <v>2.4617499999999999</v>
      </c>
      <c r="D240" s="172">
        <v>66.866846153846097</v>
      </c>
      <c r="E240" s="169">
        <v>5.80181666666667</v>
      </c>
      <c r="F240" s="172">
        <v>403.47180769230903</v>
      </c>
      <c r="G240" s="169">
        <v>5.80181666666667</v>
      </c>
      <c r="H240" s="172">
        <v>23574.723000000002</v>
      </c>
      <c r="I240" s="143">
        <f t="shared" si="20"/>
        <v>1.7114593783023834E-2</v>
      </c>
      <c r="J240" s="476" t="str">
        <f t="shared" si="21"/>
        <v>SULF_S3</v>
      </c>
    </row>
    <row r="242" spans="1:10" s="149" customFormat="1" ht="19.95" customHeight="1">
      <c r="A242" s="150" t="s">
        <v>2095</v>
      </c>
    </row>
    <row r="244" spans="1:10" ht="19.95" customHeight="1">
      <c r="A244" s="510" t="s">
        <v>100</v>
      </c>
      <c r="B244" s="510"/>
      <c r="C244" s="510" t="s">
        <v>111</v>
      </c>
      <c r="D244" s="510"/>
      <c r="E244" s="510" t="s">
        <v>112</v>
      </c>
      <c r="F244" s="510"/>
      <c r="G244" s="510" t="s">
        <v>217</v>
      </c>
      <c r="H244" s="510"/>
    </row>
    <row r="245" spans="1:10" ht="19.95" customHeight="1">
      <c r="A245" s="508" t="s">
        <v>106</v>
      </c>
      <c r="B245" s="508" t="s">
        <v>105</v>
      </c>
      <c r="C245" s="508" t="s">
        <v>107</v>
      </c>
      <c r="D245" s="508" t="s">
        <v>108</v>
      </c>
      <c r="E245" s="508" t="s">
        <v>107</v>
      </c>
      <c r="F245" s="508" t="s">
        <v>108</v>
      </c>
      <c r="G245" s="508" t="s">
        <v>1040</v>
      </c>
      <c r="H245" s="511"/>
      <c r="I245" s="316" t="s">
        <v>100</v>
      </c>
      <c r="J245" s="92" t="s">
        <v>1388</v>
      </c>
    </row>
    <row r="246" spans="1:10" ht="19.95" customHeight="1">
      <c r="A246" s="837" t="s">
        <v>1435</v>
      </c>
      <c r="B246" s="841">
        <v>45335.458391203698</v>
      </c>
      <c r="C246" s="166">
        <v>4.0346000000000002</v>
      </c>
      <c r="D246" s="170">
        <v>17402.232499999998</v>
      </c>
      <c r="E246" s="166">
        <v>4.0346000000000002</v>
      </c>
      <c r="F246" s="170">
        <v>202.495</v>
      </c>
      <c r="G246" s="166">
        <f>D246/F246</f>
        <v>85.939072569693067</v>
      </c>
      <c r="H246" s="511"/>
      <c r="I246" s="228" t="s">
        <v>1449</v>
      </c>
      <c r="J246" s="379">
        <f>G246</f>
        <v>85.939072569693067</v>
      </c>
    </row>
    <row r="247" spans="1:10" ht="19.95" customHeight="1">
      <c r="A247" s="837" t="s">
        <v>1436</v>
      </c>
      <c r="B247" s="841">
        <v>45335.465173611097</v>
      </c>
      <c r="C247" s="166">
        <v>4.0365166666666701</v>
      </c>
      <c r="D247" s="170">
        <v>15385.193763442399</v>
      </c>
      <c r="E247" s="166">
        <v>4.0365166666666701</v>
      </c>
      <c r="F247" s="170">
        <v>183.5085</v>
      </c>
      <c r="G247" s="166">
        <f t="shared" ref="G247:G259" si="22">D247/F247</f>
        <v>83.839134227800884</v>
      </c>
      <c r="H247" s="511"/>
      <c r="I247" s="228" t="s">
        <v>1450</v>
      </c>
      <c r="J247" s="379">
        <f>G248</f>
        <v>83.50377038238112</v>
      </c>
    </row>
    <row r="248" spans="1:10" ht="19.95" customHeight="1">
      <c r="A248" s="837" t="s">
        <v>1437</v>
      </c>
      <c r="B248" s="841">
        <v>45335.471967592603</v>
      </c>
      <c r="C248" s="166">
        <v>4.0345666666666702</v>
      </c>
      <c r="D248" s="170">
        <v>15449.658836722199</v>
      </c>
      <c r="E248" s="166">
        <v>4.0325499999999996</v>
      </c>
      <c r="F248" s="170">
        <v>185.01750000000001</v>
      </c>
      <c r="G248" s="166">
        <f t="shared" si="22"/>
        <v>83.50377038238112</v>
      </c>
      <c r="H248" s="511"/>
      <c r="I248" s="228" t="s">
        <v>1451</v>
      </c>
      <c r="J248" s="379">
        <f>G250</f>
        <v>84.72196052785192</v>
      </c>
    </row>
    <row r="249" spans="1:10" ht="19.95" customHeight="1">
      <c r="A249" s="837" t="s">
        <v>1438</v>
      </c>
      <c r="B249" s="841">
        <v>45335.478761574101</v>
      </c>
      <c r="C249" s="166">
        <v>4.0306833333333296</v>
      </c>
      <c r="D249" s="170">
        <v>18135.280299218099</v>
      </c>
      <c r="E249" s="166">
        <v>4.0327000000000002</v>
      </c>
      <c r="F249" s="170">
        <v>215.55699999999999</v>
      </c>
      <c r="G249" s="166">
        <f t="shared" si="22"/>
        <v>84.132179883827021</v>
      </c>
      <c r="H249" s="511"/>
      <c r="I249" s="228" t="s">
        <v>1452</v>
      </c>
      <c r="J249" s="379">
        <f>G252</f>
        <v>84.621482279722471</v>
      </c>
    </row>
    <row r="250" spans="1:10" ht="19.95" customHeight="1">
      <c r="A250" s="837" t="s">
        <v>1439</v>
      </c>
      <c r="B250" s="841">
        <v>45335.485555555599</v>
      </c>
      <c r="C250" s="166">
        <v>4.0305</v>
      </c>
      <c r="D250" s="170">
        <v>17348.7895743915</v>
      </c>
      <c r="E250" s="166">
        <v>4.0305</v>
      </c>
      <c r="F250" s="170">
        <v>204.77323076923099</v>
      </c>
      <c r="G250" s="166">
        <f t="shared" si="22"/>
        <v>84.72196052785192</v>
      </c>
      <c r="H250" s="511"/>
      <c r="I250" s="228" t="s">
        <v>1453</v>
      </c>
      <c r="J250" s="379">
        <f>G254</f>
        <v>82.203076380012121</v>
      </c>
    </row>
    <row r="251" spans="1:10" ht="19.95" customHeight="1">
      <c r="A251" s="837" t="s">
        <v>1440</v>
      </c>
      <c r="B251" s="841">
        <v>45335.492337962998</v>
      </c>
      <c r="C251" s="166">
        <v>4.0325333333333298</v>
      </c>
      <c r="D251" s="170">
        <v>17171.677538461499</v>
      </c>
      <c r="E251" s="166">
        <v>4.0325333333333298</v>
      </c>
      <c r="F251" s="170">
        <v>207.68049999999999</v>
      </c>
      <c r="G251" s="166">
        <f t="shared" si="22"/>
        <v>82.6831480974935</v>
      </c>
      <c r="H251" s="511"/>
      <c r="I251" s="228" t="s">
        <v>1454</v>
      </c>
      <c r="J251" s="379">
        <f>G256</f>
        <v>83.770493766701094</v>
      </c>
    </row>
    <row r="252" spans="1:10" ht="19.95" customHeight="1">
      <c r="A252" s="837" t="s">
        <v>1441</v>
      </c>
      <c r="B252" s="841">
        <v>45335.499120370398</v>
      </c>
      <c r="C252" s="166">
        <v>4.0306666666666704</v>
      </c>
      <c r="D252" s="170">
        <v>17472.008999999998</v>
      </c>
      <c r="E252" s="166">
        <v>4.0326833333333303</v>
      </c>
      <c r="F252" s="170">
        <v>206.4725</v>
      </c>
      <c r="G252" s="166">
        <f t="shared" si="22"/>
        <v>84.621482279722471</v>
      </c>
      <c r="H252" s="511"/>
      <c r="I252" s="315" t="s">
        <v>1455</v>
      </c>
      <c r="J252" s="441">
        <f>G258</f>
        <v>83.321253637925139</v>
      </c>
    </row>
    <row r="253" spans="1:10" ht="19.95" customHeight="1">
      <c r="A253" s="837" t="s">
        <v>1442</v>
      </c>
      <c r="B253" s="841">
        <v>45335.505891203698</v>
      </c>
      <c r="C253" s="166">
        <v>4.0345833333333303</v>
      </c>
      <c r="D253" s="170">
        <v>15550.4042067233</v>
      </c>
      <c r="E253" s="166">
        <v>4.0366</v>
      </c>
      <c r="F253" s="170">
        <v>187.25200000000001</v>
      </c>
      <c r="G253" s="166">
        <f t="shared" si="22"/>
        <v>83.045330392857224</v>
      </c>
      <c r="H253" s="511"/>
      <c r="I253" s="228" t="s">
        <v>1456</v>
      </c>
      <c r="J253" s="379">
        <f>G247</f>
        <v>83.839134227800884</v>
      </c>
    </row>
    <row r="254" spans="1:10" ht="19.95" customHeight="1">
      <c r="A254" s="837" t="s">
        <v>1443</v>
      </c>
      <c r="B254" s="841">
        <v>45335.512673611098</v>
      </c>
      <c r="C254" s="166">
        <v>4.0345333333333304</v>
      </c>
      <c r="D254" s="170">
        <v>16535.724235374098</v>
      </c>
      <c r="E254" s="166">
        <v>4.0365500000000001</v>
      </c>
      <c r="F254" s="170">
        <v>201.15700000000001</v>
      </c>
      <c r="G254" s="166">
        <f t="shared" si="22"/>
        <v>82.203076380012121</v>
      </c>
      <c r="H254" s="511"/>
      <c r="I254" s="228" t="s">
        <v>1457</v>
      </c>
      <c r="J254" s="379">
        <f>G249</f>
        <v>84.132179883827021</v>
      </c>
    </row>
    <row r="255" spans="1:10" ht="19.95" customHeight="1">
      <c r="A255" s="837" t="s">
        <v>1444</v>
      </c>
      <c r="B255" s="841">
        <v>45335.519467592603</v>
      </c>
      <c r="C255" s="166">
        <v>4.0326333333333304</v>
      </c>
      <c r="D255" s="170">
        <v>17620.838640243899</v>
      </c>
      <c r="E255" s="166">
        <v>4.0346500000000001</v>
      </c>
      <c r="F255" s="170">
        <v>212.27903846153899</v>
      </c>
      <c r="G255" s="166">
        <f t="shared" si="22"/>
        <v>83.007906800164193</v>
      </c>
      <c r="H255" s="511"/>
      <c r="I255" s="228" t="s">
        <v>1458</v>
      </c>
      <c r="J255" s="379">
        <f>G251</f>
        <v>82.6831480974935</v>
      </c>
    </row>
    <row r="256" spans="1:10" ht="19.95" customHeight="1">
      <c r="A256" s="837" t="s">
        <v>1445</v>
      </c>
      <c r="B256" s="841">
        <v>45335.526238425897</v>
      </c>
      <c r="C256" s="166">
        <v>4.03466666666667</v>
      </c>
      <c r="D256" s="170">
        <v>15737.2925</v>
      </c>
      <c r="E256" s="166">
        <v>4.0326500000000003</v>
      </c>
      <c r="F256" s="170">
        <v>187.86199999999999</v>
      </c>
      <c r="G256" s="166">
        <f t="shared" si="22"/>
        <v>83.770493766701094</v>
      </c>
      <c r="H256" s="511"/>
      <c r="I256" s="228" t="s">
        <v>1459</v>
      </c>
      <c r="J256" s="379">
        <f>G253</f>
        <v>83.045330392857224</v>
      </c>
    </row>
    <row r="257" spans="1:10" ht="19.95" customHeight="1">
      <c r="A257" s="837" t="s">
        <v>1446</v>
      </c>
      <c r="B257" s="841">
        <v>45335.533020833303</v>
      </c>
      <c r="C257" s="166">
        <v>4.0305166666666699</v>
      </c>
      <c r="D257" s="170">
        <v>17664.5265</v>
      </c>
      <c r="E257" s="166">
        <v>4.0305166666666699</v>
      </c>
      <c r="F257" s="170">
        <v>213.27199999999999</v>
      </c>
      <c r="G257" s="166">
        <f t="shared" si="22"/>
        <v>82.826280524400772</v>
      </c>
      <c r="H257" s="511"/>
      <c r="I257" s="228" t="s">
        <v>1460</v>
      </c>
      <c r="J257" s="379">
        <f>G255</f>
        <v>83.007906800164193</v>
      </c>
    </row>
    <row r="258" spans="1:10" ht="19.95" customHeight="1">
      <c r="A258" s="837" t="s">
        <v>1447</v>
      </c>
      <c r="B258" s="841">
        <v>45335.539791666699</v>
      </c>
      <c r="C258" s="166">
        <v>4.0345000000000004</v>
      </c>
      <c r="D258" s="170">
        <v>16347.38</v>
      </c>
      <c r="E258" s="166">
        <v>4.0345000000000004</v>
      </c>
      <c r="F258" s="170">
        <v>196.197</v>
      </c>
      <c r="G258" s="166">
        <f t="shared" si="22"/>
        <v>83.321253637925139</v>
      </c>
      <c r="H258" s="511"/>
      <c r="I258" s="228" t="s">
        <v>1461</v>
      </c>
      <c r="J258" s="379">
        <f>G257</f>
        <v>82.826280524400772</v>
      </c>
    </row>
    <row r="259" spans="1:10" ht="19.95" customHeight="1">
      <c r="A259" s="839" t="s">
        <v>1448</v>
      </c>
      <c r="B259" s="836">
        <v>45335.546585648102</v>
      </c>
      <c r="C259" s="169">
        <v>4.0306499999999996</v>
      </c>
      <c r="D259" s="172">
        <v>17797.8995</v>
      </c>
      <c r="E259" s="169">
        <v>4.0326666666666702</v>
      </c>
      <c r="F259" s="172">
        <v>214.45249999999999</v>
      </c>
      <c r="G259" s="169">
        <f t="shared" si="22"/>
        <v>82.99226868420746</v>
      </c>
      <c r="H259" s="511"/>
      <c r="I259" s="315" t="s">
        <v>1462</v>
      </c>
      <c r="J259" s="441">
        <f>G259</f>
        <v>82.99226868420746</v>
      </c>
    </row>
    <row r="261" spans="1:10" s="149" customFormat="1" ht="19.95" customHeight="1">
      <c r="A261" s="150" t="s">
        <v>2096</v>
      </c>
    </row>
    <row r="263" spans="1:10" ht="19.95" customHeight="1">
      <c r="A263" s="510" t="s">
        <v>100</v>
      </c>
      <c r="B263" s="510"/>
      <c r="C263" s="510" t="s">
        <v>1485</v>
      </c>
      <c r="D263" s="510"/>
      <c r="E263" s="510" t="s">
        <v>1486</v>
      </c>
      <c r="F263" s="510"/>
      <c r="G263" s="510" t="s">
        <v>111</v>
      </c>
      <c r="H263" s="510"/>
      <c r="I263" s="510" t="s">
        <v>112</v>
      </c>
      <c r="J263" s="510"/>
    </row>
    <row r="264" spans="1:10" ht="19.95" customHeight="1">
      <c r="A264" s="508" t="s">
        <v>106</v>
      </c>
      <c r="B264" s="508" t="s">
        <v>105</v>
      </c>
      <c r="C264" s="508" t="s">
        <v>107</v>
      </c>
      <c r="D264" s="508" t="s">
        <v>108</v>
      </c>
      <c r="E264" s="508" t="s">
        <v>107</v>
      </c>
      <c r="F264" s="508" t="s">
        <v>108</v>
      </c>
      <c r="G264" s="508" t="s">
        <v>107</v>
      </c>
      <c r="H264" s="508" t="s">
        <v>108</v>
      </c>
      <c r="I264" s="508" t="s">
        <v>107</v>
      </c>
      <c r="J264" s="508" t="s">
        <v>108</v>
      </c>
    </row>
    <row r="265" spans="1:10" ht="19.95" customHeight="1">
      <c r="A265" s="184" t="s">
        <v>1017</v>
      </c>
      <c r="B265" s="843">
        <v>45336.511921296304</v>
      </c>
      <c r="C265" s="521" t="s">
        <v>109</v>
      </c>
      <c r="D265" s="184" t="s">
        <v>109</v>
      </c>
      <c r="E265" s="521" t="s">
        <v>109</v>
      </c>
      <c r="F265" s="184" t="s">
        <v>109</v>
      </c>
      <c r="G265" s="521" t="s">
        <v>109</v>
      </c>
      <c r="H265" s="184" t="s">
        <v>109</v>
      </c>
      <c r="I265" s="521" t="s">
        <v>109</v>
      </c>
      <c r="J265" s="184" t="s">
        <v>109</v>
      </c>
    </row>
    <row r="266" spans="1:10" ht="19.95" customHeight="1">
      <c r="A266" s="382" t="s">
        <v>1487</v>
      </c>
      <c r="B266" s="841">
        <v>45336.521412037</v>
      </c>
      <c r="C266" s="166">
        <v>2.4548000000000001</v>
      </c>
      <c r="D266" s="170">
        <v>33.1798266736401</v>
      </c>
      <c r="E266" s="166" t="s">
        <v>109</v>
      </c>
      <c r="F266" s="382" t="s">
        <v>109</v>
      </c>
      <c r="G266" s="166">
        <v>5.8034499999999998</v>
      </c>
      <c r="H266" s="170">
        <v>63.345500000000101</v>
      </c>
      <c r="I266" s="166" t="s">
        <v>109</v>
      </c>
      <c r="J266" s="382" t="s">
        <v>109</v>
      </c>
    </row>
    <row r="267" spans="1:10" ht="19.95" customHeight="1">
      <c r="A267" s="382" t="s">
        <v>1488</v>
      </c>
      <c r="B267" s="841">
        <v>45336.531122685199</v>
      </c>
      <c r="C267" s="166">
        <v>2.45278333333333</v>
      </c>
      <c r="D267" s="170">
        <v>4.0592602301255098</v>
      </c>
      <c r="E267" s="166" t="s">
        <v>109</v>
      </c>
      <c r="F267" s="382" t="s">
        <v>109</v>
      </c>
      <c r="G267" s="166">
        <v>5.8014333333333301</v>
      </c>
      <c r="H267" s="170">
        <v>31.2491107923736</v>
      </c>
      <c r="I267" s="166" t="s">
        <v>109</v>
      </c>
      <c r="J267" s="382" t="s">
        <v>109</v>
      </c>
    </row>
    <row r="268" spans="1:10" ht="19.95" customHeight="1">
      <c r="A268" s="382" t="s">
        <v>1489</v>
      </c>
      <c r="B268" s="841">
        <v>45336.540671296301</v>
      </c>
      <c r="C268" s="166">
        <v>2.4627666666666701</v>
      </c>
      <c r="D268" s="170">
        <v>26.4854615384616</v>
      </c>
      <c r="E268" s="166" t="s">
        <v>109</v>
      </c>
      <c r="F268" s="382" t="s">
        <v>109</v>
      </c>
      <c r="G268" s="166">
        <v>5.80335</v>
      </c>
      <c r="H268" s="170">
        <v>39.107999999999898</v>
      </c>
      <c r="I268" s="166" t="s">
        <v>109</v>
      </c>
      <c r="J268" s="382" t="s">
        <v>109</v>
      </c>
    </row>
    <row r="269" spans="1:10" ht="19.95" customHeight="1">
      <c r="A269" s="382" t="s">
        <v>1490</v>
      </c>
      <c r="B269" s="841">
        <v>45336.550393518497</v>
      </c>
      <c r="C269" s="166">
        <v>2.43651666666667</v>
      </c>
      <c r="D269" s="170">
        <v>3.9273956903765499</v>
      </c>
      <c r="E269" s="166" t="s">
        <v>109</v>
      </c>
      <c r="F269" s="382" t="s">
        <v>109</v>
      </c>
      <c r="G269" s="166">
        <v>5.8073333333333297</v>
      </c>
      <c r="H269" s="170">
        <v>30.668807692307599</v>
      </c>
      <c r="I269" s="166" t="s">
        <v>109</v>
      </c>
      <c r="J269" s="382" t="s">
        <v>109</v>
      </c>
    </row>
    <row r="270" spans="1:10" ht="19.95" customHeight="1">
      <c r="A270" s="382" t="s">
        <v>1491</v>
      </c>
      <c r="B270" s="841">
        <v>45336.5600694444</v>
      </c>
      <c r="C270" s="166">
        <v>2.45468333333333</v>
      </c>
      <c r="D270" s="170">
        <v>26.0299744184743</v>
      </c>
      <c r="E270" s="166" t="s">
        <v>109</v>
      </c>
      <c r="F270" s="382" t="s">
        <v>109</v>
      </c>
      <c r="G270" s="166">
        <v>5.8053499999999998</v>
      </c>
      <c r="H270" s="170">
        <v>41.946999999999903</v>
      </c>
      <c r="I270" s="166" t="s">
        <v>109</v>
      </c>
      <c r="J270" s="382" t="s">
        <v>109</v>
      </c>
    </row>
    <row r="271" spans="1:10" ht="19.95" customHeight="1">
      <c r="A271" s="508" t="s">
        <v>1492</v>
      </c>
      <c r="B271" s="836">
        <v>45336.569687499999</v>
      </c>
      <c r="C271" s="169">
        <v>2.4367333333333301</v>
      </c>
      <c r="D271" s="172">
        <v>3.63488811715481</v>
      </c>
      <c r="E271" s="169" t="s">
        <v>109</v>
      </c>
      <c r="F271" s="508" t="s">
        <v>109</v>
      </c>
      <c r="G271" s="169">
        <v>5.7994833333333302</v>
      </c>
      <c r="H271" s="172">
        <v>29.6837692307693</v>
      </c>
      <c r="I271" s="169" t="s">
        <v>109</v>
      </c>
      <c r="J271" s="508" t="s">
        <v>109</v>
      </c>
    </row>
    <row r="272" spans="1:10" ht="19.95" customHeight="1">
      <c r="A272" s="382" t="s">
        <v>1493</v>
      </c>
      <c r="B272" s="841">
        <v>45336.579317129603</v>
      </c>
      <c r="C272" s="166">
        <v>2.4587833333333302</v>
      </c>
      <c r="D272" s="170">
        <v>44.218407827178702</v>
      </c>
      <c r="E272" s="166" t="s">
        <v>109</v>
      </c>
      <c r="F272" s="382" t="s">
        <v>109</v>
      </c>
      <c r="G272" s="166">
        <v>5.8033999999999999</v>
      </c>
      <c r="H272" s="170">
        <v>255.80500000000001</v>
      </c>
      <c r="I272" s="166" t="s">
        <v>109</v>
      </c>
      <c r="J272" s="382" t="s">
        <v>109</v>
      </c>
    </row>
    <row r="273" spans="1:12" ht="19.95" customHeight="1">
      <c r="A273" s="382" t="s">
        <v>1494</v>
      </c>
      <c r="B273" s="841">
        <v>45336.588935185202</v>
      </c>
      <c r="C273" s="166">
        <v>2.45061666666667</v>
      </c>
      <c r="D273" s="170">
        <v>46.182230769230799</v>
      </c>
      <c r="E273" s="166" t="s">
        <v>109</v>
      </c>
      <c r="F273" s="382" t="s">
        <v>109</v>
      </c>
      <c r="G273" s="166">
        <v>5.8012833333333296</v>
      </c>
      <c r="H273" s="170">
        <v>282.193373983892</v>
      </c>
      <c r="I273" s="166" t="s">
        <v>109</v>
      </c>
      <c r="J273" s="382" t="s">
        <v>109</v>
      </c>
    </row>
    <row r="274" spans="1:12" ht="19.95" customHeight="1">
      <c r="A274" s="508" t="s">
        <v>1495</v>
      </c>
      <c r="B274" s="836">
        <v>45336.598726851902</v>
      </c>
      <c r="C274" s="169">
        <v>2.46091666666667</v>
      </c>
      <c r="D274" s="172">
        <v>45.395499999999998</v>
      </c>
      <c r="E274" s="169" t="s">
        <v>109</v>
      </c>
      <c r="F274" s="508" t="s">
        <v>109</v>
      </c>
      <c r="G274" s="169">
        <v>5.8055333333333303</v>
      </c>
      <c r="H274" s="172">
        <v>284.54195782799098</v>
      </c>
      <c r="I274" s="169">
        <v>5.8014999999999999</v>
      </c>
      <c r="J274" s="172">
        <v>4.1099999999999604</v>
      </c>
    </row>
    <row r="275" spans="1:12" ht="19.95" customHeight="1">
      <c r="A275" s="382" t="s">
        <v>1496</v>
      </c>
      <c r="B275" s="841">
        <v>45336.6085648148</v>
      </c>
      <c r="C275" s="166">
        <v>2.45868333333333</v>
      </c>
      <c r="D275" s="170">
        <v>420.01536480731301</v>
      </c>
      <c r="E275" s="166">
        <v>2.4607000000000001</v>
      </c>
      <c r="F275" s="170">
        <v>3048.9850844386601</v>
      </c>
      <c r="G275" s="166">
        <v>5.8033000000000001</v>
      </c>
      <c r="H275" s="170">
        <v>2196.9591549872998</v>
      </c>
      <c r="I275" s="166">
        <v>5.8033000000000001</v>
      </c>
      <c r="J275" s="170">
        <v>18759.695423076999</v>
      </c>
    </row>
    <row r="276" spans="1:12" ht="19.95" customHeight="1">
      <c r="A276" s="382" t="s">
        <v>1497</v>
      </c>
      <c r="B276" s="841">
        <v>45336.618287037003</v>
      </c>
      <c r="C276" s="166">
        <v>2.4528666666666701</v>
      </c>
      <c r="D276" s="170">
        <v>983.78527671960001</v>
      </c>
      <c r="E276" s="166">
        <v>2.4528666666666701</v>
      </c>
      <c r="F276" s="170">
        <v>3057.17583150562</v>
      </c>
      <c r="G276" s="166">
        <v>5.8015166666666698</v>
      </c>
      <c r="H276" s="170">
        <v>4876.6445000000103</v>
      </c>
      <c r="I276" s="166">
        <v>5.8015166666666698</v>
      </c>
      <c r="J276" s="170">
        <v>18735.4776285687</v>
      </c>
    </row>
    <row r="277" spans="1:12" ht="19.95" customHeight="1">
      <c r="A277" s="382" t="s">
        <v>1498</v>
      </c>
      <c r="B277" s="841">
        <v>45336.627962963001</v>
      </c>
      <c r="C277" s="166">
        <v>2.4606166666666698</v>
      </c>
      <c r="D277" s="170">
        <v>1962.4017101664001</v>
      </c>
      <c r="E277" s="166">
        <v>2.4606166666666698</v>
      </c>
      <c r="F277" s="170">
        <v>3148.3170502152698</v>
      </c>
      <c r="G277" s="166">
        <v>5.8032333333333304</v>
      </c>
      <c r="H277" s="170">
        <v>9719.6390318673002</v>
      </c>
      <c r="I277" s="166">
        <v>5.8032333333333304</v>
      </c>
      <c r="J277" s="170">
        <v>19328.18</v>
      </c>
    </row>
    <row r="278" spans="1:12" ht="19.95" customHeight="1">
      <c r="A278" s="382" t="s">
        <v>1499</v>
      </c>
      <c r="B278" s="841">
        <v>45336.637743055602</v>
      </c>
      <c r="C278" s="166">
        <v>2.4627333333333299</v>
      </c>
      <c r="D278" s="170">
        <v>2713.22957376265</v>
      </c>
      <c r="E278" s="166">
        <v>2.4607333333333301</v>
      </c>
      <c r="F278" s="170">
        <v>2931.6985</v>
      </c>
      <c r="G278" s="166">
        <v>5.8033333333333301</v>
      </c>
      <c r="H278" s="170">
        <v>12998.823248955599</v>
      </c>
      <c r="I278" s="166">
        <v>5.8033333333333301</v>
      </c>
      <c r="J278" s="170">
        <v>17489.110499999901</v>
      </c>
    </row>
    <row r="279" spans="1:12" ht="19.95" customHeight="1">
      <c r="A279" s="382" t="s">
        <v>1500</v>
      </c>
      <c r="B279" s="841">
        <v>45336.647476851896</v>
      </c>
      <c r="C279" s="166">
        <v>2.4648166666666702</v>
      </c>
      <c r="D279" s="170">
        <v>3559.5853708925401</v>
      </c>
      <c r="E279" s="166">
        <v>2.4668333333333301</v>
      </c>
      <c r="F279" s="170">
        <v>2906.5899859528099</v>
      </c>
      <c r="G279" s="166">
        <v>5.8053999999999997</v>
      </c>
      <c r="H279" s="170">
        <v>17380.055</v>
      </c>
      <c r="I279" s="166">
        <v>5.80338333333333</v>
      </c>
      <c r="J279" s="170">
        <v>17406.299913479201</v>
      </c>
    </row>
    <row r="280" spans="1:12" ht="19.95" customHeight="1">
      <c r="A280" s="382" t="s">
        <v>1501</v>
      </c>
      <c r="B280" s="841">
        <v>45336.657199074099</v>
      </c>
      <c r="C280" s="166">
        <v>2.4506333333333301</v>
      </c>
      <c r="D280" s="170">
        <v>878.69038078515996</v>
      </c>
      <c r="E280" s="166">
        <v>2.4526500000000002</v>
      </c>
      <c r="F280" s="170">
        <v>2375.5601543467901</v>
      </c>
      <c r="G280" s="166">
        <v>5.8013000000000003</v>
      </c>
      <c r="H280" s="170">
        <v>4811.4430000000002</v>
      </c>
      <c r="I280" s="166">
        <v>5.8013000000000003</v>
      </c>
      <c r="J280" s="170">
        <v>9018.5270000000091</v>
      </c>
    </row>
    <row r="281" spans="1:12" ht="19.95" customHeight="1">
      <c r="A281" s="508" t="s">
        <v>1502</v>
      </c>
      <c r="B281" s="836">
        <v>45336.666863425897</v>
      </c>
      <c r="C281" s="169">
        <v>2.4567000000000001</v>
      </c>
      <c r="D281" s="172">
        <v>2229.75906404537</v>
      </c>
      <c r="E281" s="169">
        <v>2.4587166666666702</v>
      </c>
      <c r="F281" s="172">
        <v>2308.6758717385101</v>
      </c>
      <c r="G281" s="169">
        <v>5.8013166666666702</v>
      </c>
      <c r="H281" s="172">
        <v>8910.6326342228804</v>
      </c>
      <c r="I281" s="169">
        <v>5.8013166666666702</v>
      </c>
      <c r="J281" s="172">
        <v>8814.1540000000005</v>
      </c>
    </row>
    <row r="283" spans="1:12" s="149" customFormat="1" ht="19.95" customHeight="1">
      <c r="A283" s="150" t="s">
        <v>2101</v>
      </c>
    </row>
    <row r="285" spans="1:12" ht="19.95" customHeight="1">
      <c r="A285" s="592" t="s">
        <v>100</v>
      </c>
      <c r="B285" s="592"/>
      <c r="C285" s="592" t="s">
        <v>111</v>
      </c>
      <c r="D285" s="592"/>
      <c r="E285" s="592" t="s">
        <v>112</v>
      </c>
      <c r="F285" s="592"/>
      <c r="G285" s="601" t="s">
        <v>1704</v>
      </c>
      <c r="H285" s="602"/>
      <c r="I285" s="609" t="s">
        <v>285</v>
      </c>
      <c r="J285" s="610" t="s">
        <v>286</v>
      </c>
      <c r="K285" s="601" t="s">
        <v>287</v>
      </c>
      <c r="L285" s="602"/>
    </row>
    <row r="286" spans="1:12" ht="19.95" customHeight="1">
      <c r="A286" s="589" t="s">
        <v>106</v>
      </c>
      <c r="B286" s="589" t="s">
        <v>105</v>
      </c>
      <c r="C286" s="589" t="s">
        <v>107</v>
      </c>
      <c r="D286" s="589" t="s">
        <v>108</v>
      </c>
      <c r="E286" s="589" t="s">
        <v>107</v>
      </c>
      <c r="F286" s="589" t="s">
        <v>108</v>
      </c>
      <c r="G286" s="603" t="s">
        <v>107</v>
      </c>
      <c r="H286" s="604" t="s">
        <v>108</v>
      </c>
      <c r="I286" s="611" t="s">
        <v>283</v>
      </c>
      <c r="J286" s="612" t="s">
        <v>283</v>
      </c>
      <c r="K286" s="611" t="s">
        <v>283</v>
      </c>
      <c r="L286" s="612" t="s">
        <v>284</v>
      </c>
    </row>
    <row r="287" spans="1:12" ht="19.95" customHeight="1">
      <c r="A287" s="837" t="s">
        <v>1274</v>
      </c>
      <c r="B287" s="841">
        <v>45342.539803240703</v>
      </c>
      <c r="C287" s="166" t="s">
        <v>109</v>
      </c>
      <c r="D287" s="170" t="s">
        <v>109</v>
      </c>
      <c r="E287" s="166" t="s">
        <v>109</v>
      </c>
      <c r="F287" s="170" t="s">
        <v>109</v>
      </c>
      <c r="G287" s="605"/>
      <c r="H287" s="606"/>
      <c r="I287" s="605"/>
      <c r="J287" s="606"/>
      <c r="K287" s="605"/>
      <c r="L287" s="606"/>
    </row>
    <row r="288" spans="1:12" ht="19.95" customHeight="1">
      <c r="A288" s="837" t="s">
        <v>1655</v>
      </c>
      <c r="B288" s="841">
        <v>45342.546770833302</v>
      </c>
      <c r="C288" s="166">
        <v>4.0326666666666702</v>
      </c>
      <c r="D288" s="170">
        <v>180.121781722187</v>
      </c>
      <c r="E288" s="166" t="s">
        <v>109</v>
      </c>
      <c r="F288" s="170" t="s">
        <v>109</v>
      </c>
      <c r="G288" s="605"/>
      <c r="H288" s="606"/>
      <c r="I288" s="605"/>
      <c r="J288" s="606"/>
      <c r="K288" s="605"/>
      <c r="L288" s="606"/>
    </row>
    <row r="289" spans="1:18" ht="19.95" customHeight="1">
      <c r="A289" s="837" t="s">
        <v>1656</v>
      </c>
      <c r="B289" s="841">
        <v>45342.553749999999</v>
      </c>
      <c r="C289" s="166">
        <v>4.0266000000000002</v>
      </c>
      <c r="D289" s="170">
        <v>116.874692307693</v>
      </c>
      <c r="E289" s="166" t="s">
        <v>109</v>
      </c>
      <c r="F289" s="170" t="s">
        <v>109</v>
      </c>
      <c r="G289" s="605"/>
      <c r="H289" s="606"/>
      <c r="I289" s="605"/>
      <c r="J289" s="606"/>
      <c r="K289" s="605"/>
      <c r="L289" s="606"/>
    </row>
    <row r="290" spans="1:18" ht="19.95" customHeight="1">
      <c r="A290" s="837" t="s">
        <v>1657</v>
      </c>
      <c r="B290" s="841">
        <v>45342.560706018499</v>
      </c>
      <c r="C290" s="166">
        <v>4.0266333333333302</v>
      </c>
      <c r="D290" s="170">
        <v>264.56700000000097</v>
      </c>
      <c r="E290" s="166">
        <v>4.02863333333333</v>
      </c>
      <c r="F290" s="170">
        <v>17760.554607514299</v>
      </c>
      <c r="G290" s="605"/>
      <c r="H290" s="606"/>
      <c r="I290" s="605"/>
      <c r="J290" s="606"/>
      <c r="K290" s="605"/>
      <c r="L290" s="606"/>
    </row>
    <row r="291" spans="1:18" ht="19.95" customHeight="1">
      <c r="A291" s="837" t="s">
        <v>1658</v>
      </c>
      <c r="B291" s="841">
        <v>45342.567696759303</v>
      </c>
      <c r="C291" s="166">
        <v>4.0284833333333303</v>
      </c>
      <c r="D291" s="170">
        <v>748.66850000000102</v>
      </c>
      <c r="E291" s="166">
        <v>4.0284833333333303</v>
      </c>
      <c r="F291" s="170">
        <v>7589.8613141021196</v>
      </c>
      <c r="G291" s="605"/>
      <c r="H291" s="606"/>
      <c r="I291" s="605"/>
      <c r="J291" s="606"/>
      <c r="K291" s="605"/>
      <c r="L291" s="606"/>
      <c r="N291" s="587" t="s">
        <v>102</v>
      </c>
      <c r="O291" s="92" t="s">
        <v>283</v>
      </c>
      <c r="P291" s="92" t="s">
        <v>284</v>
      </c>
      <c r="Q291" s="195" t="s">
        <v>103</v>
      </c>
      <c r="R291" s="592"/>
    </row>
    <row r="292" spans="1:18" ht="19.95" customHeight="1">
      <c r="A292" s="837" t="s">
        <v>1282</v>
      </c>
      <c r="B292" s="841">
        <v>45342.574687499997</v>
      </c>
      <c r="C292" s="166">
        <v>4.0305666666666697</v>
      </c>
      <c r="D292" s="170">
        <v>8740.6700131970993</v>
      </c>
      <c r="E292" s="166">
        <v>4.0305666666666697</v>
      </c>
      <c r="F292" s="170">
        <v>17745.877</v>
      </c>
      <c r="G292" s="605"/>
      <c r="H292" s="606"/>
      <c r="I292" s="615">
        <f>D292/F292</f>
        <v>0.49254652295838064</v>
      </c>
      <c r="J292" s="617">
        <f>I292</f>
        <v>0.49254652295838064</v>
      </c>
      <c r="K292" s="613">
        <f t="shared" ref="K292" si="23">AVERAGE(I292:J292)</f>
        <v>0.49254652295838064</v>
      </c>
      <c r="L292" s="618">
        <f>SQRT((K292*$K$372)^2+(ABS(J292-I292)/2)^2)</f>
        <v>1.0377320064105555E-2</v>
      </c>
      <c r="M292" s="204"/>
      <c r="N292" s="382" t="str">
        <f>SUBSTITUTE(A292,"_I.D","")</f>
        <v>AB1</v>
      </c>
      <c r="O292" s="60">
        <f>AVERAGE(K292,K314,K336)</f>
        <v>0.49290545737347574</v>
      </c>
      <c r="P292" s="60">
        <f>AVERAGE(L292,L314,L336)</f>
        <v>1.0384882349359531E-2</v>
      </c>
      <c r="Q292" s="479">
        <f>B292</f>
        <v>45342.574687499997</v>
      </c>
    </row>
    <row r="293" spans="1:18" ht="19.95" customHeight="1">
      <c r="A293" s="837" t="s">
        <v>1283</v>
      </c>
      <c r="B293" s="841">
        <v>45342.581666666701</v>
      </c>
      <c r="C293" s="166">
        <v>4.0324666666666698</v>
      </c>
      <c r="D293" s="170">
        <v>17371.5238599925</v>
      </c>
      <c r="E293" s="166">
        <v>4.0324666666666698</v>
      </c>
      <c r="F293" s="170">
        <v>17601.805794001699</v>
      </c>
      <c r="G293" s="605"/>
      <c r="H293" s="606"/>
      <c r="I293" s="615">
        <f t="shared" ref="I293:I308" si="24">D293/F293</f>
        <v>0.98691714153057675</v>
      </c>
      <c r="J293" s="617">
        <f t="shared" ref="J293:J295" si="25">I293</f>
        <v>0.98691714153057675</v>
      </c>
      <c r="K293" s="613">
        <f t="shared" ref="K293:K308" si="26">AVERAGE(I293:J293)</f>
        <v>0.98691714153057675</v>
      </c>
      <c r="L293" s="618">
        <f t="shared" ref="L293:L295" si="27">SQRT((K293*$K$372)^2+(ABS(J293-I293)/2)^2)</f>
        <v>2.0793071470490008E-2</v>
      </c>
      <c r="M293" s="204"/>
      <c r="N293" s="588" t="str">
        <f t="shared" ref="N293:N308" si="28">SUBSTITUTE(A293,"_I.D","")</f>
        <v>AB2A</v>
      </c>
      <c r="O293" s="60">
        <f t="shared" ref="O293:P293" si="29">AVERAGE(K293,K315,K337)</f>
        <v>0.98736629766817241</v>
      </c>
      <c r="P293" s="60">
        <f t="shared" si="29"/>
        <v>2.0802534611089583E-2</v>
      </c>
      <c r="Q293" s="479">
        <f t="shared" ref="Q293:Q308" si="30">B293</f>
        <v>45342.581666666701</v>
      </c>
      <c r="R293" s="588"/>
    </row>
    <row r="294" spans="1:18" ht="19.95" customHeight="1">
      <c r="A294" s="837" t="s">
        <v>1284</v>
      </c>
      <c r="B294" s="841">
        <v>45342.588622685202</v>
      </c>
      <c r="C294" s="166">
        <v>4.0344833333333296</v>
      </c>
      <c r="D294" s="170">
        <v>16346.866087664401</v>
      </c>
      <c r="E294" s="166">
        <v>4.0344833333333296</v>
      </c>
      <c r="F294" s="170">
        <v>17071.116499999898</v>
      </c>
      <c r="G294" s="605"/>
      <c r="H294" s="606"/>
      <c r="I294" s="615">
        <f t="shared" si="24"/>
        <v>0.95757451410190408</v>
      </c>
      <c r="J294" s="617">
        <f t="shared" si="25"/>
        <v>0.95757451410190408</v>
      </c>
      <c r="K294" s="613">
        <f t="shared" si="26"/>
        <v>0.95757451410190408</v>
      </c>
      <c r="L294" s="618">
        <f t="shared" si="27"/>
        <v>2.0174860150023802E-2</v>
      </c>
      <c r="M294" s="204"/>
      <c r="N294" s="588" t="str">
        <f t="shared" si="28"/>
        <v>AB2B</v>
      </c>
      <c r="O294" s="60">
        <f t="shared" ref="O294:P294" si="31">AVERAGE(K294,K316,K338)</f>
        <v>0.95710002603695654</v>
      </c>
      <c r="P294" s="60">
        <f t="shared" si="31"/>
        <v>2.0164863298382282E-2</v>
      </c>
      <c r="Q294" s="479">
        <f t="shared" si="30"/>
        <v>45342.588622685202</v>
      </c>
      <c r="R294" s="588"/>
    </row>
    <row r="295" spans="1:18" ht="19.95" customHeight="1">
      <c r="A295" s="837" t="s">
        <v>1286</v>
      </c>
      <c r="B295" s="841">
        <v>45342.595590277801</v>
      </c>
      <c r="C295" s="166">
        <v>4.02856666666667</v>
      </c>
      <c r="D295" s="170">
        <v>32586.774256823301</v>
      </c>
      <c r="E295" s="166">
        <v>4.02856666666667</v>
      </c>
      <c r="F295" s="170">
        <v>17437.998500000002</v>
      </c>
      <c r="G295" s="605"/>
      <c r="H295" s="606"/>
      <c r="I295" s="615">
        <f t="shared" si="24"/>
        <v>1.8687221619398178</v>
      </c>
      <c r="J295" s="617">
        <f t="shared" si="25"/>
        <v>1.8687221619398178</v>
      </c>
      <c r="K295" s="613">
        <f t="shared" si="26"/>
        <v>1.8687221619398178</v>
      </c>
      <c r="L295" s="618">
        <f t="shared" si="27"/>
        <v>3.9371566098691961E-2</v>
      </c>
      <c r="M295" s="204"/>
      <c r="N295" s="588" t="str">
        <f t="shared" si="28"/>
        <v>AB3</v>
      </c>
      <c r="O295" s="60">
        <f t="shared" ref="O295:P295" si="32">AVERAGE(K295,K317,K339)</f>
        <v>1.8694909735078431</v>
      </c>
      <c r="P295" s="60">
        <f t="shared" si="32"/>
        <v>3.9387763966991722E-2</v>
      </c>
      <c r="Q295" s="479">
        <f t="shared" si="30"/>
        <v>45342.595590277801</v>
      </c>
      <c r="R295" s="588"/>
    </row>
    <row r="296" spans="1:18" ht="19.95" customHeight="1">
      <c r="A296" s="837" t="s">
        <v>1659</v>
      </c>
      <c r="B296" s="841">
        <v>45342.602569444403</v>
      </c>
      <c r="C296" s="166">
        <v>4.0326333333333304</v>
      </c>
      <c r="D296" s="170">
        <v>8977.5152572666593</v>
      </c>
      <c r="E296" s="166">
        <v>4.0326333333333304</v>
      </c>
      <c r="F296" s="170">
        <v>8476.7890000000098</v>
      </c>
      <c r="G296" s="605"/>
      <c r="H296" s="213">
        <f t="shared" ref="H296:H305" si="33">D296+$E$372</f>
        <v>8944.6380381249564</v>
      </c>
      <c r="I296" s="615">
        <f t="shared" si="24"/>
        <v>1.0590702749905241</v>
      </c>
      <c r="J296" s="617">
        <f>H296/F296</f>
        <v>1.0551917758156946</v>
      </c>
      <c r="K296" s="613">
        <f t="shared" si="26"/>
        <v>1.0571310254031094</v>
      </c>
      <c r="L296" s="618">
        <f t="shared" ref="L296:L307" si="34">SQRT((K296*$J$372)^2+(ABS(J296-I296)/2)^2)</f>
        <v>9.5515145591444171E-3</v>
      </c>
      <c r="M296" s="204"/>
      <c r="N296" s="588" t="str">
        <f t="shared" si="28"/>
        <v>001_A1</v>
      </c>
      <c r="O296" s="60">
        <f t="shared" ref="O296:P296" si="35">AVERAGE(K296,K318,K340)</f>
        <v>1.0577876702390456</v>
      </c>
      <c r="P296" s="60">
        <f t="shared" si="35"/>
        <v>9.5498729479652437E-3</v>
      </c>
      <c r="Q296" s="479">
        <f t="shared" si="30"/>
        <v>45342.602569444403</v>
      </c>
      <c r="R296" s="588"/>
    </row>
    <row r="297" spans="1:18" ht="19.95" customHeight="1">
      <c r="A297" s="837" t="s">
        <v>1660</v>
      </c>
      <c r="B297" s="841">
        <v>45342.609548611101</v>
      </c>
      <c r="C297" s="166">
        <v>4.0305499999999999</v>
      </c>
      <c r="D297" s="170">
        <v>8266.7175000000007</v>
      </c>
      <c r="E297" s="166">
        <v>4.0305499999999999</v>
      </c>
      <c r="F297" s="170">
        <v>8132.93682049171</v>
      </c>
      <c r="G297" s="605"/>
      <c r="H297" s="213">
        <f t="shared" si="33"/>
        <v>8233.8402808582978</v>
      </c>
      <c r="I297" s="615">
        <f t="shared" si="24"/>
        <v>1.0164492461285592</v>
      </c>
      <c r="J297" s="617">
        <f t="shared" ref="J297:J307" si="36">H297/F297</f>
        <v>1.0124067680093558</v>
      </c>
      <c r="K297" s="613">
        <f t="shared" si="26"/>
        <v>1.0144280070689575</v>
      </c>
      <c r="L297" s="618">
        <f t="shared" si="34"/>
        <v>9.199569827994759E-3</v>
      </c>
      <c r="M297" s="204"/>
      <c r="N297" s="588" t="str">
        <f t="shared" si="28"/>
        <v>078_A1</v>
      </c>
      <c r="O297" s="60">
        <f t="shared" ref="O297:P297" si="37">AVERAGE(K297,K319,K341)</f>
        <v>1.0146165576099253</v>
      </c>
      <c r="P297" s="60">
        <f t="shared" si="37"/>
        <v>9.190914395368328E-3</v>
      </c>
      <c r="Q297" s="479">
        <f t="shared" si="30"/>
        <v>45342.609548611101</v>
      </c>
      <c r="R297" s="588"/>
    </row>
    <row r="298" spans="1:18" ht="19.95" customHeight="1">
      <c r="A298" s="837" t="s">
        <v>1661</v>
      </c>
      <c r="B298" s="841">
        <v>45342.616527777798</v>
      </c>
      <c r="C298" s="166">
        <v>4.0264333333333298</v>
      </c>
      <c r="D298" s="170">
        <v>8459.0005000000092</v>
      </c>
      <c r="E298" s="166">
        <v>4.0264333333333298</v>
      </c>
      <c r="F298" s="170">
        <v>8414.8133938747305</v>
      </c>
      <c r="G298" s="605"/>
      <c r="H298" s="213">
        <f t="shared" si="33"/>
        <v>8426.1232808583063</v>
      </c>
      <c r="I298" s="615">
        <f t="shared" si="24"/>
        <v>1.0052511094491345</v>
      </c>
      <c r="J298" s="617">
        <f t="shared" si="36"/>
        <v>1.0013440448949003</v>
      </c>
      <c r="K298" s="613">
        <f t="shared" si="26"/>
        <v>1.0032975771720174</v>
      </c>
      <c r="L298" s="618">
        <f t="shared" si="34"/>
        <v>9.088736247822124E-3</v>
      </c>
      <c r="M298" s="204"/>
      <c r="N298" s="588" t="str">
        <f t="shared" si="28"/>
        <v>155_A1</v>
      </c>
      <c r="O298" s="60">
        <f t="shared" ref="O298:P298" si="38">AVERAGE(K298,K320,K342)</f>
        <v>1.0014848737843731</v>
      </c>
      <c r="P298" s="60">
        <f t="shared" si="38"/>
        <v>9.0628730738540209E-3</v>
      </c>
      <c r="Q298" s="479">
        <f t="shared" si="30"/>
        <v>45342.616527777798</v>
      </c>
      <c r="R298" s="588"/>
    </row>
    <row r="299" spans="1:18" ht="19.95" customHeight="1">
      <c r="A299" s="837" t="s">
        <v>1662</v>
      </c>
      <c r="B299" s="841">
        <v>45342.623506944401</v>
      </c>
      <c r="C299" s="166">
        <v>4.0327000000000002</v>
      </c>
      <c r="D299" s="170">
        <v>8261.2908868939903</v>
      </c>
      <c r="E299" s="166">
        <v>4.0327000000000002</v>
      </c>
      <c r="F299" s="170">
        <v>8247.2732130636705</v>
      </c>
      <c r="G299" s="605"/>
      <c r="H299" s="213">
        <f t="shared" si="33"/>
        <v>8228.4136677522874</v>
      </c>
      <c r="I299" s="615">
        <f t="shared" si="24"/>
        <v>1.001699673754971</v>
      </c>
      <c r="J299" s="617">
        <f t="shared" si="36"/>
        <v>0.9977132386882116</v>
      </c>
      <c r="K299" s="613">
        <f t="shared" si="26"/>
        <v>0.99970645622159138</v>
      </c>
      <c r="L299" s="618">
        <f t="shared" si="34"/>
        <v>9.0663522527432878E-3</v>
      </c>
      <c r="M299" s="204"/>
      <c r="N299" s="588" t="str">
        <f t="shared" si="28"/>
        <v>232_A1</v>
      </c>
      <c r="O299" s="60">
        <f t="shared" ref="O299:P299" si="39">AVERAGE(K299,K321,K343)</f>
        <v>1.0016004202522184</v>
      </c>
      <c r="P299" s="60">
        <f t="shared" si="39"/>
        <v>9.0679072153464612E-3</v>
      </c>
      <c r="Q299" s="479">
        <f t="shared" si="30"/>
        <v>45342.623506944401</v>
      </c>
      <c r="R299" s="588"/>
    </row>
    <row r="300" spans="1:18" ht="19.95" customHeight="1">
      <c r="A300" s="837" t="s">
        <v>1663</v>
      </c>
      <c r="B300" s="841">
        <v>45342.630474537</v>
      </c>
      <c r="C300" s="166">
        <v>4.0286499999999998</v>
      </c>
      <c r="D300" s="170">
        <v>8327.8527512915207</v>
      </c>
      <c r="E300" s="166">
        <v>4.0286499999999998</v>
      </c>
      <c r="F300" s="170">
        <v>8317.2193325373501</v>
      </c>
      <c r="G300" s="605"/>
      <c r="H300" s="213">
        <f t="shared" si="33"/>
        <v>8294.9755321498178</v>
      </c>
      <c r="I300" s="615">
        <f t="shared" si="24"/>
        <v>1.0012784824265211</v>
      </c>
      <c r="J300" s="617">
        <f t="shared" si="36"/>
        <v>0.99732557246620712</v>
      </c>
      <c r="K300" s="613">
        <f t="shared" si="26"/>
        <v>0.99930202744636409</v>
      </c>
      <c r="L300" s="618">
        <f t="shared" si="34"/>
        <v>9.0591899194423786E-3</v>
      </c>
      <c r="M300" s="204"/>
      <c r="N300" s="588" t="str">
        <f t="shared" si="28"/>
        <v>310_A1</v>
      </c>
      <c r="O300" s="60">
        <f t="shared" ref="O300:P300" si="40">AVERAGE(K300,K322,K344)</f>
        <v>1.0003211532458069</v>
      </c>
      <c r="P300" s="60">
        <f t="shared" si="40"/>
        <v>9.0688704882258605E-3</v>
      </c>
      <c r="Q300" s="479">
        <f t="shared" si="30"/>
        <v>45342.630474537</v>
      </c>
      <c r="R300" s="588"/>
    </row>
    <row r="301" spans="1:18" ht="19.95" customHeight="1">
      <c r="A301" s="837" t="s">
        <v>1664</v>
      </c>
      <c r="B301" s="841">
        <v>45342.637430555602</v>
      </c>
      <c r="C301" s="166">
        <v>4.0304833333333301</v>
      </c>
      <c r="D301" s="170">
        <v>8107.0172803423502</v>
      </c>
      <c r="E301" s="166">
        <v>4.0304833333333301</v>
      </c>
      <c r="F301" s="170">
        <v>8064.6640368572398</v>
      </c>
      <c r="G301" s="605"/>
      <c r="H301" s="213">
        <f t="shared" si="33"/>
        <v>8074.1400612006464</v>
      </c>
      <c r="I301" s="615">
        <f t="shared" si="24"/>
        <v>1.0052517058728729</v>
      </c>
      <c r="J301" s="617">
        <f t="shared" si="36"/>
        <v>1.001175005468312</v>
      </c>
      <c r="K301" s="613">
        <f t="shared" si="26"/>
        <v>1.0032133556705924</v>
      </c>
      <c r="L301" s="618">
        <f t="shared" si="34"/>
        <v>9.1066175124628473E-3</v>
      </c>
      <c r="M301" s="204"/>
      <c r="N301" s="588" t="str">
        <f t="shared" si="28"/>
        <v>001_A2</v>
      </c>
      <c r="O301" s="60">
        <f t="shared" ref="O301:P301" si="41">AVERAGE(K301,K323,K345)</f>
        <v>1.0053996499745461</v>
      </c>
      <c r="P301" s="60">
        <f t="shared" si="41"/>
        <v>9.1218828308096082E-3</v>
      </c>
      <c r="Q301" s="479">
        <f t="shared" si="30"/>
        <v>45342.637430555602</v>
      </c>
      <c r="R301" s="588"/>
    </row>
    <row r="302" spans="1:18" ht="19.95" customHeight="1">
      <c r="A302" s="837" t="s">
        <v>1665</v>
      </c>
      <c r="B302" s="841">
        <v>45342.644409722197</v>
      </c>
      <c r="C302" s="166">
        <v>4.0305666666666697</v>
      </c>
      <c r="D302" s="170">
        <v>8471.0005000000092</v>
      </c>
      <c r="E302" s="166">
        <v>4.0305666666666697</v>
      </c>
      <c r="F302" s="170">
        <v>8465.3719988312805</v>
      </c>
      <c r="G302" s="605"/>
      <c r="H302" s="213">
        <f t="shared" si="33"/>
        <v>8438.1232808583063</v>
      </c>
      <c r="I302" s="615">
        <f t="shared" si="24"/>
        <v>1.0006648852725557</v>
      </c>
      <c r="J302" s="617">
        <f t="shared" si="36"/>
        <v>0.99678115527861788</v>
      </c>
      <c r="K302" s="613">
        <f t="shared" si="26"/>
        <v>0.99872302027558679</v>
      </c>
      <c r="L302" s="618">
        <f t="shared" si="34"/>
        <v>9.0467031035494118E-3</v>
      </c>
      <c r="M302" s="204"/>
      <c r="N302" s="588" t="str">
        <f t="shared" si="28"/>
        <v>078_A2</v>
      </c>
      <c r="O302" s="60">
        <f t="shared" ref="O302:P302" si="42">AVERAGE(K302,K324,K346)</f>
        <v>0.99937179842584156</v>
      </c>
      <c r="P302" s="60">
        <f t="shared" si="42"/>
        <v>9.0415896592066815E-3</v>
      </c>
      <c r="Q302" s="479">
        <f t="shared" si="30"/>
        <v>45342.644409722197</v>
      </c>
      <c r="R302" s="588"/>
    </row>
    <row r="303" spans="1:18" ht="19.95" customHeight="1">
      <c r="A303" s="837" t="s">
        <v>1666</v>
      </c>
      <c r="B303" s="841">
        <v>45342.651377314804</v>
      </c>
      <c r="C303" s="166">
        <v>4.02863333333333</v>
      </c>
      <c r="D303" s="170">
        <v>8384.0465000000095</v>
      </c>
      <c r="E303" s="166">
        <v>4.02863333333333</v>
      </c>
      <c r="F303" s="170">
        <v>8311.1918202867892</v>
      </c>
      <c r="G303" s="605"/>
      <c r="H303" s="213">
        <f t="shared" si="33"/>
        <v>8351.1692808583066</v>
      </c>
      <c r="I303" s="615">
        <f t="shared" si="24"/>
        <v>1.0087658522734837</v>
      </c>
      <c r="J303" s="617">
        <f t="shared" si="36"/>
        <v>1.0048100755506493</v>
      </c>
      <c r="K303" s="613">
        <f t="shared" si="26"/>
        <v>1.0067879639120665</v>
      </c>
      <c r="L303" s="618">
        <f t="shared" si="34"/>
        <v>9.1241456294377209E-3</v>
      </c>
      <c r="M303" s="204"/>
      <c r="N303" s="588" t="str">
        <f t="shared" si="28"/>
        <v>155_A2</v>
      </c>
      <c r="O303" s="60">
        <f t="shared" ref="O303:P303" si="43">AVERAGE(K303,K325,K347)</f>
        <v>1.0057869964293236</v>
      </c>
      <c r="P303" s="60">
        <f t="shared" si="43"/>
        <v>9.1044409198190613E-3</v>
      </c>
      <c r="Q303" s="479">
        <f t="shared" si="30"/>
        <v>45342.651377314804</v>
      </c>
      <c r="R303" s="588"/>
    </row>
    <row r="304" spans="1:18" ht="19.95" customHeight="1">
      <c r="A304" s="837" t="s">
        <v>1667</v>
      </c>
      <c r="B304" s="841">
        <v>45342.658356481501</v>
      </c>
      <c r="C304" s="166">
        <v>4.0285166666666701</v>
      </c>
      <c r="D304" s="170">
        <v>8512.6957692307606</v>
      </c>
      <c r="E304" s="166">
        <v>4.0285166666666701</v>
      </c>
      <c r="F304" s="170">
        <v>8482.0318313104708</v>
      </c>
      <c r="G304" s="605"/>
      <c r="H304" s="213">
        <f t="shared" si="33"/>
        <v>8479.8185500890577</v>
      </c>
      <c r="I304" s="615">
        <f t="shared" si="24"/>
        <v>1.0036151642118456</v>
      </c>
      <c r="J304" s="617">
        <f t="shared" si="36"/>
        <v>0.99973906237733712</v>
      </c>
      <c r="K304" s="613">
        <f t="shared" si="26"/>
        <v>1.0016771132945914</v>
      </c>
      <c r="L304" s="618">
        <f t="shared" si="34"/>
        <v>9.071415294726496E-3</v>
      </c>
      <c r="M304" s="204"/>
      <c r="N304" s="588" t="str">
        <f t="shared" si="28"/>
        <v>232_A2</v>
      </c>
      <c r="O304" s="60">
        <f t="shared" ref="O304:P304" si="44">AVERAGE(K304,K326,K348)</f>
        <v>1.0005102906773298</v>
      </c>
      <c r="P304" s="60">
        <f t="shared" si="44"/>
        <v>9.0530804435659876E-3</v>
      </c>
      <c r="Q304" s="479">
        <f t="shared" si="30"/>
        <v>45342.658356481501</v>
      </c>
      <c r="R304" s="588"/>
    </row>
    <row r="305" spans="1:18" ht="19.95" customHeight="1">
      <c r="A305" s="837" t="s">
        <v>1668</v>
      </c>
      <c r="B305" s="841">
        <v>45342.665300925903</v>
      </c>
      <c r="C305" s="166">
        <v>4.0286499999999998</v>
      </c>
      <c r="D305" s="170">
        <v>9064.2431676337892</v>
      </c>
      <c r="E305" s="166">
        <v>4.0286499999999998</v>
      </c>
      <c r="F305" s="170">
        <v>8478.2165000000005</v>
      </c>
      <c r="G305" s="605"/>
      <c r="H305" s="213">
        <f t="shared" si="33"/>
        <v>9031.3659484920863</v>
      </c>
      <c r="I305" s="615">
        <f t="shared" si="24"/>
        <v>1.0691214558667839</v>
      </c>
      <c r="J305" s="617">
        <f t="shared" si="36"/>
        <v>1.0652436097252396</v>
      </c>
      <c r="K305" s="613">
        <f t="shared" si="26"/>
        <v>1.0671825327960116</v>
      </c>
      <c r="L305" s="618">
        <f t="shared" si="34"/>
        <v>9.6385406724320763E-3</v>
      </c>
      <c r="M305" s="204"/>
      <c r="N305" s="588" t="str">
        <f t="shared" si="28"/>
        <v>310_A2</v>
      </c>
      <c r="O305" s="60">
        <f t="shared" ref="O305:P305" si="45">AVERAGE(K305,K327,K349)</f>
        <v>1.0689403518831624</v>
      </c>
      <c r="P305" s="60">
        <f t="shared" si="45"/>
        <v>9.6426582374463405E-3</v>
      </c>
      <c r="Q305" s="479">
        <f t="shared" si="30"/>
        <v>45342.665300925903</v>
      </c>
      <c r="R305" s="588"/>
    </row>
    <row r="306" spans="1:18" ht="19.95" customHeight="1">
      <c r="A306" s="837" t="s">
        <v>1669</v>
      </c>
      <c r="B306" s="841">
        <v>45342.672268518501</v>
      </c>
      <c r="C306" s="166">
        <v>4.0286166666666698</v>
      </c>
      <c r="D306" s="170">
        <v>8883.0776773887901</v>
      </c>
      <c r="E306" s="166">
        <v>4.0306166666666696</v>
      </c>
      <c r="F306" s="170">
        <v>8092.5560290980602</v>
      </c>
      <c r="G306" s="605"/>
      <c r="H306" s="213">
        <f>D306+$E$379</f>
        <v>8848.7871705418529</v>
      </c>
      <c r="I306" s="615">
        <f t="shared" si="24"/>
        <v>1.0976850386266446</v>
      </c>
      <c r="J306" s="617">
        <f t="shared" si="36"/>
        <v>1.0934477486130025</v>
      </c>
      <c r="K306" s="613">
        <f t="shared" si="26"/>
        <v>1.0955663936198237</v>
      </c>
      <c r="L306" s="618">
        <f t="shared" si="34"/>
        <v>9.9214707816668579E-3</v>
      </c>
      <c r="M306" s="204"/>
      <c r="N306" s="588" t="str">
        <f t="shared" si="28"/>
        <v>SALT1_113</v>
      </c>
      <c r="O306" s="60">
        <f t="shared" ref="O306:P306" si="46">AVERAGE(K306,K328,K350)</f>
        <v>1.0972595064099038</v>
      </c>
      <c r="P306" s="60">
        <f t="shared" si="46"/>
        <v>9.9339945278195969E-3</v>
      </c>
      <c r="Q306" s="479">
        <f t="shared" si="30"/>
        <v>45342.672268518501</v>
      </c>
      <c r="R306" s="588"/>
    </row>
    <row r="307" spans="1:18" ht="19.95" customHeight="1">
      <c r="A307" s="837" t="s">
        <v>1670</v>
      </c>
      <c r="B307" s="841">
        <v>45342.679247685199</v>
      </c>
      <c r="C307" s="166">
        <v>4.0325333333333298</v>
      </c>
      <c r="D307" s="170">
        <v>9632.4344999999794</v>
      </c>
      <c r="E307" s="166">
        <v>4.0345500000000003</v>
      </c>
      <c r="F307" s="170">
        <v>7304.3465939253801</v>
      </c>
      <c r="G307" s="605"/>
      <c r="H307" s="213">
        <f>D307+$E$386</f>
        <v>9596.2246473388441</v>
      </c>
      <c r="I307" s="615">
        <f t="shared" si="24"/>
        <v>1.3187263742400643</v>
      </c>
      <c r="J307" s="617">
        <f t="shared" si="36"/>
        <v>1.3137690721466437</v>
      </c>
      <c r="K307" s="613">
        <f t="shared" si="26"/>
        <v>1.316247723193354</v>
      </c>
      <c r="L307" s="618">
        <f t="shared" si="34"/>
        <v>1.190588882572422E-2</v>
      </c>
      <c r="M307" s="204"/>
      <c r="N307" s="588" t="str">
        <f t="shared" si="28"/>
        <v>MOOS3</v>
      </c>
      <c r="O307" s="60">
        <f t="shared" ref="O307:P307" si="47">AVERAGE(K307,K329,K351)</f>
        <v>1.3124087489877065</v>
      </c>
      <c r="P307" s="60">
        <f t="shared" si="47"/>
        <v>1.1853337413363238E-2</v>
      </c>
      <c r="Q307" s="479">
        <f t="shared" si="30"/>
        <v>45342.679247685199</v>
      </c>
      <c r="R307" s="588"/>
    </row>
    <row r="308" spans="1:18" ht="19.95" customHeight="1">
      <c r="A308" s="839" t="s">
        <v>1285</v>
      </c>
      <c r="B308" s="836">
        <v>45342.6861921296</v>
      </c>
      <c r="C308" s="169">
        <v>4.0305166666666699</v>
      </c>
      <c r="D308" s="172">
        <v>16577.112567914701</v>
      </c>
      <c r="E308" s="169">
        <v>4.0305166666666699</v>
      </c>
      <c r="F308" s="172">
        <v>16567.380203249901</v>
      </c>
      <c r="G308" s="607"/>
      <c r="H308" s="608"/>
      <c r="I308" s="616">
        <f t="shared" si="24"/>
        <v>1.0005874413785041</v>
      </c>
      <c r="J308" s="619">
        <f>I308</f>
        <v>1.0005874413785041</v>
      </c>
      <c r="K308" s="614">
        <f t="shared" si="26"/>
        <v>1.0005874413785041</v>
      </c>
      <c r="L308" s="621">
        <f>SQRT((K308*$K$372)^2+(ABS(J308-I308)/2)^2)</f>
        <v>2.1081087059438185E-2</v>
      </c>
      <c r="M308" s="204"/>
      <c r="N308" s="589" t="str">
        <f t="shared" si="28"/>
        <v>AB2C</v>
      </c>
      <c r="O308" s="81">
        <f t="shared" ref="O308:P308" si="48">AVERAGE(K308,K330,K352)</f>
        <v>1.0012279620590183</v>
      </c>
      <c r="P308" s="81">
        <f t="shared" si="48"/>
        <v>2.1094582004178537E-2</v>
      </c>
      <c r="Q308" s="153">
        <f t="shared" si="30"/>
        <v>45342.6861921296</v>
      </c>
      <c r="R308" s="588"/>
    </row>
    <row r="309" spans="1:18" ht="19.95" customHeight="1">
      <c r="A309" s="837" t="s">
        <v>1293</v>
      </c>
      <c r="B309" s="841">
        <v>45342.693148148202</v>
      </c>
      <c r="C309" s="166">
        <v>4.0366666666666697</v>
      </c>
      <c r="D309" s="170">
        <v>5.1792692307692603</v>
      </c>
      <c r="E309" s="166">
        <v>4.0386833333333296</v>
      </c>
      <c r="F309" s="170">
        <v>6.7689999999999797</v>
      </c>
      <c r="G309" s="605"/>
      <c r="H309" s="606"/>
      <c r="I309" s="605"/>
      <c r="J309" s="606"/>
      <c r="K309" s="605"/>
      <c r="L309" s="606"/>
    </row>
    <row r="310" spans="1:18" ht="19.95" customHeight="1">
      <c r="A310" s="837" t="s">
        <v>1671</v>
      </c>
      <c r="B310" s="841">
        <v>45342.700104166703</v>
      </c>
      <c r="C310" s="166">
        <v>4.0284333333333304</v>
      </c>
      <c r="D310" s="170">
        <v>175.24544114983101</v>
      </c>
      <c r="E310" s="166">
        <v>4.0344833333333296</v>
      </c>
      <c r="F310" s="170">
        <v>6.2865000000000002</v>
      </c>
      <c r="G310" s="605"/>
      <c r="H310" s="606"/>
      <c r="I310" s="605"/>
      <c r="J310" s="606"/>
      <c r="K310" s="605"/>
      <c r="L310" s="606"/>
    </row>
    <row r="311" spans="1:18" ht="19.95" customHeight="1">
      <c r="A311" s="837" t="s">
        <v>1672</v>
      </c>
      <c r="B311" s="841">
        <v>45342.707060185203</v>
      </c>
      <c r="C311" s="166">
        <v>4.0285000000000002</v>
      </c>
      <c r="D311" s="170">
        <v>110.649346153846</v>
      </c>
      <c r="E311" s="166" t="s">
        <v>109</v>
      </c>
      <c r="F311" s="170" t="s">
        <v>109</v>
      </c>
      <c r="G311" s="605"/>
      <c r="H311" s="606"/>
      <c r="I311" s="605"/>
      <c r="J311" s="606"/>
      <c r="K311" s="605"/>
      <c r="L311" s="606"/>
    </row>
    <row r="312" spans="1:18" ht="19.95" customHeight="1">
      <c r="A312" s="837" t="s">
        <v>1673</v>
      </c>
      <c r="B312" s="841">
        <v>45342.714039351798</v>
      </c>
      <c r="C312" s="166">
        <v>4.03053333333333</v>
      </c>
      <c r="D312" s="170">
        <v>273.26749999999998</v>
      </c>
      <c r="E312" s="166">
        <v>4.03053333333333</v>
      </c>
      <c r="F312" s="170">
        <v>17786.383999999998</v>
      </c>
      <c r="G312" s="605"/>
      <c r="H312" s="606"/>
      <c r="I312" s="605"/>
      <c r="J312" s="606"/>
      <c r="K312" s="605"/>
      <c r="L312" s="606"/>
    </row>
    <row r="313" spans="1:18" ht="19.95" customHeight="1">
      <c r="A313" s="837" t="s">
        <v>1674</v>
      </c>
      <c r="B313" s="841">
        <v>45342.721018518503</v>
      </c>
      <c r="C313" s="166">
        <v>4.0344833333333296</v>
      </c>
      <c r="D313" s="170">
        <v>718.41815384615302</v>
      </c>
      <c r="E313" s="166">
        <v>4.0344833333333296</v>
      </c>
      <c r="F313" s="170">
        <v>7394.9142419946602</v>
      </c>
      <c r="G313" s="605"/>
      <c r="H313" s="606"/>
      <c r="I313" s="605"/>
      <c r="J313" s="606"/>
      <c r="K313" s="605"/>
      <c r="L313" s="606"/>
    </row>
    <row r="314" spans="1:18" ht="19.95" customHeight="1">
      <c r="A314" s="837" t="s">
        <v>1301</v>
      </c>
      <c r="B314" s="841">
        <v>45342.728009259299</v>
      </c>
      <c r="C314" s="166">
        <v>4.0286833333333298</v>
      </c>
      <c r="D314" s="170">
        <v>8832.2349999999697</v>
      </c>
      <c r="E314" s="166">
        <v>4.0286833333333298</v>
      </c>
      <c r="F314" s="170">
        <v>17899.506554452801</v>
      </c>
      <c r="G314" s="605"/>
      <c r="H314" s="606"/>
      <c r="I314" s="615">
        <f>D314/F314</f>
        <v>0.49343455212751686</v>
      </c>
      <c r="J314" s="617">
        <f>I314</f>
        <v>0.49343455212751686</v>
      </c>
      <c r="K314" s="613">
        <f t="shared" ref="K314:K330" si="49">AVERAGE(I314:J314)</f>
        <v>0.49343455212751686</v>
      </c>
      <c r="L314" s="618">
        <f>SQRT((K314*$K$372)^2+(ABS(J314-I314)/2)^2)</f>
        <v>1.0396029693520941E-2</v>
      </c>
    </row>
    <row r="315" spans="1:18" ht="19.95" customHeight="1">
      <c r="A315" s="837" t="s">
        <v>1302</v>
      </c>
      <c r="B315" s="841">
        <v>45342.734965277799</v>
      </c>
      <c r="C315" s="166">
        <v>4.0345166666666703</v>
      </c>
      <c r="D315" s="170">
        <v>17480.646000000001</v>
      </c>
      <c r="E315" s="166">
        <v>4.0345166666666703</v>
      </c>
      <c r="F315" s="170">
        <v>17702.1315</v>
      </c>
      <c r="G315" s="605"/>
      <c r="H315" s="606"/>
      <c r="I315" s="615">
        <f t="shared" ref="I315:I330" si="50">D315/F315</f>
        <v>0.98748820163266782</v>
      </c>
      <c r="J315" s="617">
        <f t="shared" ref="J315:J317" si="51">I315</f>
        <v>0.98748820163266782</v>
      </c>
      <c r="K315" s="613">
        <f t="shared" si="49"/>
        <v>0.98748820163266782</v>
      </c>
      <c r="L315" s="618">
        <f t="shared" ref="L315:L317" si="52">SQRT((K315*$K$372)^2+(ABS(J315-I315)/2)^2)</f>
        <v>2.0805102970417457E-2</v>
      </c>
    </row>
    <row r="316" spans="1:18" ht="19.95" customHeight="1">
      <c r="A316" s="837" t="s">
        <v>1303</v>
      </c>
      <c r="B316" s="841">
        <v>45342.741932870398</v>
      </c>
      <c r="C316" s="166">
        <v>4.0326333333333304</v>
      </c>
      <c r="D316" s="170">
        <v>16897.535610574501</v>
      </c>
      <c r="E316" s="166">
        <v>4.0326333333333304</v>
      </c>
      <c r="F316" s="170">
        <v>17656.0804393002</v>
      </c>
      <c r="G316" s="605"/>
      <c r="H316" s="606"/>
      <c r="I316" s="615">
        <f t="shared" si="50"/>
        <v>0.95703775640728994</v>
      </c>
      <c r="J316" s="617">
        <f t="shared" si="51"/>
        <v>0.95703775640728994</v>
      </c>
      <c r="K316" s="613">
        <f t="shared" si="49"/>
        <v>0.95703775640728994</v>
      </c>
      <c r="L316" s="618">
        <f t="shared" si="52"/>
        <v>2.0163551357586438E-2</v>
      </c>
    </row>
    <row r="317" spans="1:18" ht="19.95" customHeight="1">
      <c r="A317" s="837" t="s">
        <v>1305</v>
      </c>
      <c r="B317" s="841">
        <v>45342.748900462997</v>
      </c>
      <c r="C317" s="166">
        <v>4.0324833333333299</v>
      </c>
      <c r="D317" s="170">
        <v>32443.399500000101</v>
      </c>
      <c r="E317" s="166">
        <v>4.0324833333333299</v>
      </c>
      <c r="F317" s="170">
        <v>17366.190790424502</v>
      </c>
      <c r="G317" s="605"/>
      <c r="H317" s="606"/>
      <c r="I317" s="615">
        <f t="shared" si="50"/>
        <v>1.8681931974333128</v>
      </c>
      <c r="J317" s="617">
        <f t="shared" si="51"/>
        <v>1.8681931974333128</v>
      </c>
      <c r="K317" s="613">
        <f t="shared" si="49"/>
        <v>1.8681931974333128</v>
      </c>
      <c r="L317" s="618">
        <f t="shared" si="52"/>
        <v>3.9360421498678175E-2</v>
      </c>
    </row>
    <row r="318" spans="1:18" ht="19.95" customHeight="1">
      <c r="A318" s="837" t="s">
        <v>1675</v>
      </c>
      <c r="B318" s="841">
        <v>45342.755868055603</v>
      </c>
      <c r="C318" s="166">
        <v>4.0304833333333301</v>
      </c>
      <c r="D318" s="170">
        <v>9073.5290000000095</v>
      </c>
      <c r="E318" s="166">
        <v>4.0324999999999998</v>
      </c>
      <c r="F318" s="170">
        <v>8535.1224602822094</v>
      </c>
      <c r="G318" s="605"/>
      <c r="H318" s="213">
        <f t="shared" ref="H318:H327" si="53">D318+$E$372</f>
        <v>9040.6517808583067</v>
      </c>
      <c r="I318" s="615">
        <f t="shared" si="50"/>
        <v>1.0630812905407332</v>
      </c>
      <c r="J318" s="617">
        <f>H318/F318</f>
        <v>1.059229299043869</v>
      </c>
      <c r="K318" s="613">
        <f t="shared" si="49"/>
        <v>1.0611552947923011</v>
      </c>
      <c r="L318" s="618">
        <f t="shared" ref="L318:L329" si="54">SQRT((K318*$J$372)^2+(ABS(J318-I318)/2)^2)</f>
        <v>9.5837066445804957E-3</v>
      </c>
    </row>
    <row r="319" spans="1:18" ht="19.95" customHeight="1">
      <c r="A319" s="837" t="s">
        <v>1676</v>
      </c>
      <c r="B319" s="841">
        <v>45342.762847222199</v>
      </c>
      <c r="C319" s="166">
        <v>4.0327000000000002</v>
      </c>
      <c r="D319" s="170">
        <v>8312.7129999999706</v>
      </c>
      <c r="E319" s="166">
        <v>4.0306833333333296</v>
      </c>
      <c r="F319" s="170">
        <v>8175.8181572065196</v>
      </c>
      <c r="G319" s="605"/>
      <c r="H319" s="213">
        <f t="shared" si="53"/>
        <v>8279.8357808582678</v>
      </c>
      <c r="I319" s="615">
        <f t="shared" si="50"/>
        <v>1.0167438707859209</v>
      </c>
      <c r="J319" s="617">
        <f t="shared" ref="J319:J329" si="55">H319/F319</f>
        <v>1.012722595054302</v>
      </c>
      <c r="K319" s="613">
        <f t="shared" si="49"/>
        <v>1.0147332329201113</v>
      </c>
      <c r="L319" s="618">
        <f t="shared" si="54"/>
        <v>9.1998815278779688E-3</v>
      </c>
    </row>
    <row r="320" spans="1:18" ht="19.95" customHeight="1">
      <c r="A320" s="837" t="s">
        <v>1677</v>
      </c>
      <c r="B320" s="841">
        <v>45342.769826388903</v>
      </c>
      <c r="C320" s="166">
        <v>4.02863333333333</v>
      </c>
      <c r="D320" s="170">
        <v>8721.9150000000009</v>
      </c>
      <c r="E320" s="166">
        <v>4.0266166666666701</v>
      </c>
      <c r="F320" s="170">
        <v>8688.3851349194701</v>
      </c>
      <c r="G320" s="605"/>
      <c r="H320" s="213">
        <f t="shared" si="53"/>
        <v>8689.037780858298</v>
      </c>
      <c r="I320" s="615">
        <f t="shared" si="50"/>
        <v>1.0038591596205573</v>
      </c>
      <c r="J320" s="617">
        <f t="shared" si="55"/>
        <v>1.0000751170590039</v>
      </c>
      <c r="K320" s="613">
        <f t="shared" si="49"/>
        <v>1.0019671383397806</v>
      </c>
      <c r="L320" s="618">
        <f t="shared" si="54"/>
        <v>9.0642022756880249E-3</v>
      </c>
    </row>
    <row r="321" spans="1:12" ht="19.95" customHeight="1">
      <c r="A321" s="837" t="s">
        <v>1678</v>
      </c>
      <c r="B321" s="841">
        <v>45342.776805555601</v>
      </c>
      <c r="C321" s="166">
        <v>4.0285833333333301</v>
      </c>
      <c r="D321" s="170">
        <v>8686.76799999998</v>
      </c>
      <c r="E321" s="166">
        <v>4.0285833333333301</v>
      </c>
      <c r="F321" s="170">
        <v>8642.3419341749704</v>
      </c>
      <c r="G321" s="605"/>
      <c r="H321" s="213">
        <f t="shared" si="53"/>
        <v>8653.8907808582771</v>
      </c>
      <c r="I321" s="615">
        <f t="shared" si="50"/>
        <v>1.005140512393907</v>
      </c>
      <c r="J321" s="617">
        <f t="shared" si="55"/>
        <v>1.0013363098534251</v>
      </c>
      <c r="K321" s="613">
        <f t="shared" si="49"/>
        <v>1.0032384111236661</v>
      </c>
      <c r="L321" s="618">
        <f t="shared" si="54"/>
        <v>9.077308804687028E-3</v>
      </c>
    </row>
    <row r="322" spans="1:12" ht="19.95" customHeight="1">
      <c r="A322" s="837" t="s">
        <v>1679</v>
      </c>
      <c r="B322" s="841">
        <v>45342.783784722204</v>
      </c>
      <c r="C322" s="166">
        <v>4.0327166666666701</v>
      </c>
      <c r="D322" s="170">
        <v>8144.8067002302496</v>
      </c>
      <c r="E322" s="166">
        <v>4.0327166666666701</v>
      </c>
      <c r="F322" s="170">
        <v>8133.9135000000097</v>
      </c>
      <c r="G322" s="605"/>
      <c r="H322" s="213">
        <f t="shared" si="53"/>
        <v>8111.9294810885458</v>
      </c>
      <c r="I322" s="615">
        <f t="shared" si="50"/>
        <v>1.0013392323670813</v>
      </c>
      <c r="J322" s="617">
        <f t="shared" si="55"/>
        <v>0.9972972396483607</v>
      </c>
      <c r="K322" s="613">
        <f t="shared" si="49"/>
        <v>0.99931823600772107</v>
      </c>
      <c r="L322" s="618">
        <f t="shared" si="54"/>
        <v>9.069151536263597E-3</v>
      </c>
    </row>
    <row r="323" spans="1:12" ht="19.95" customHeight="1">
      <c r="A323" s="837" t="s">
        <v>1680</v>
      </c>
      <c r="B323" s="841">
        <v>45342.790752314802</v>
      </c>
      <c r="C323" s="166">
        <v>4.02863333333333</v>
      </c>
      <c r="D323" s="170">
        <v>8331.1063450626498</v>
      </c>
      <c r="E323" s="166">
        <v>4.02863333333333</v>
      </c>
      <c r="F323" s="170">
        <v>8265.3725000000104</v>
      </c>
      <c r="G323" s="605"/>
      <c r="H323" s="213">
        <f t="shared" si="53"/>
        <v>8298.2291259209469</v>
      </c>
      <c r="I323" s="615">
        <f t="shared" si="50"/>
        <v>1.0079529198548087</v>
      </c>
      <c r="J323" s="617">
        <f t="shared" si="55"/>
        <v>1.0039752141746712</v>
      </c>
      <c r="K323" s="613">
        <f t="shared" si="49"/>
        <v>1.0059640670147401</v>
      </c>
      <c r="L323" s="618">
        <f t="shared" si="54"/>
        <v>9.1194149277120037E-3</v>
      </c>
    </row>
    <row r="324" spans="1:12" ht="19.95" customHeight="1">
      <c r="A324" s="837" t="s">
        <v>1681</v>
      </c>
      <c r="B324" s="841">
        <v>45342.797743055598</v>
      </c>
      <c r="C324" s="166">
        <v>4.0285500000000001</v>
      </c>
      <c r="D324" s="170">
        <v>8733.6334999999799</v>
      </c>
      <c r="E324" s="166">
        <v>4.0285500000000001</v>
      </c>
      <c r="F324" s="170">
        <v>8700.7342360510393</v>
      </c>
      <c r="G324" s="605"/>
      <c r="H324" s="213">
        <f t="shared" si="53"/>
        <v>8700.756280858277</v>
      </c>
      <c r="I324" s="615">
        <f t="shared" si="50"/>
        <v>1.0037812054771911</v>
      </c>
      <c r="J324" s="617">
        <f t="shared" si="55"/>
        <v>1.0000025336720604</v>
      </c>
      <c r="K324" s="613">
        <f t="shared" si="49"/>
        <v>1.0018918695746257</v>
      </c>
      <c r="L324" s="618">
        <f t="shared" si="54"/>
        <v>9.0629908389014656E-3</v>
      </c>
    </row>
    <row r="325" spans="1:12" ht="19.95" customHeight="1">
      <c r="A325" s="837" t="s">
        <v>1682</v>
      </c>
      <c r="B325" s="841">
        <v>45342.804722222201</v>
      </c>
      <c r="C325" s="166">
        <v>4.0325333333333298</v>
      </c>
      <c r="D325" s="170">
        <v>8353.9675000000207</v>
      </c>
      <c r="E325" s="166">
        <v>4.0325333333333298</v>
      </c>
      <c r="F325" s="170">
        <v>8291.9106118866894</v>
      </c>
      <c r="G325" s="605"/>
      <c r="H325" s="213">
        <f t="shared" si="53"/>
        <v>8321.0902808583178</v>
      </c>
      <c r="I325" s="615">
        <f t="shared" si="50"/>
        <v>1.0074840276286108</v>
      </c>
      <c r="J325" s="617">
        <f t="shared" si="55"/>
        <v>1.0035190525244928</v>
      </c>
      <c r="K325" s="613">
        <f t="shared" si="49"/>
        <v>1.0055015400765517</v>
      </c>
      <c r="L325" s="618">
        <f t="shared" si="54"/>
        <v>9.1140347379496615E-3</v>
      </c>
    </row>
    <row r="326" spans="1:12" ht="19.95" customHeight="1">
      <c r="A326" s="837" t="s">
        <v>1683</v>
      </c>
      <c r="B326" s="841">
        <v>45342.8116898148</v>
      </c>
      <c r="C326" s="166">
        <v>4.0286833333333298</v>
      </c>
      <c r="D326" s="170">
        <v>8710.4708045637399</v>
      </c>
      <c r="E326" s="166">
        <v>4.0286833333333298</v>
      </c>
      <c r="F326" s="170">
        <v>8687.2879999999896</v>
      </c>
      <c r="G326" s="605"/>
      <c r="H326" s="213">
        <f t="shared" si="53"/>
        <v>8677.593585422037</v>
      </c>
      <c r="I326" s="615">
        <f t="shared" si="50"/>
        <v>1.0026685893875915</v>
      </c>
      <c r="J326" s="617">
        <f t="shared" si="55"/>
        <v>0.99888406893175952</v>
      </c>
      <c r="K326" s="613">
        <f t="shared" si="49"/>
        <v>1.0007763291596756</v>
      </c>
      <c r="L326" s="618">
        <f t="shared" si="54"/>
        <v>9.0539493005684334E-3</v>
      </c>
    </row>
    <row r="327" spans="1:12" ht="19.95" customHeight="1">
      <c r="A327" s="837" t="s">
        <v>1684</v>
      </c>
      <c r="B327" s="841">
        <v>45342.818657407399</v>
      </c>
      <c r="C327" s="166">
        <v>4.0285000000000002</v>
      </c>
      <c r="D327" s="170">
        <v>9366.0620000000108</v>
      </c>
      <c r="E327" s="166">
        <v>4.0285000000000002</v>
      </c>
      <c r="F327" s="170">
        <v>8744.4810000000198</v>
      </c>
      <c r="G327" s="605"/>
      <c r="H327" s="213">
        <f t="shared" si="53"/>
        <v>9333.1847808583079</v>
      </c>
      <c r="I327" s="615">
        <f t="shared" si="50"/>
        <v>1.0710826634536674</v>
      </c>
      <c r="J327" s="617">
        <f t="shared" si="55"/>
        <v>1.0673228955335698</v>
      </c>
      <c r="K327" s="613">
        <f t="shared" si="49"/>
        <v>1.0692027794936187</v>
      </c>
      <c r="L327" s="618">
        <f t="shared" si="54"/>
        <v>9.6443678009383669E-3</v>
      </c>
    </row>
    <row r="328" spans="1:12" ht="19.95" customHeight="1">
      <c r="A328" s="837" t="s">
        <v>1685</v>
      </c>
      <c r="B328" s="841">
        <v>45342.825613425899</v>
      </c>
      <c r="C328" s="166">
        <v>4.0326000000000004</v>
      </c>
      <c r="D328" s="170">
        <v>8874.5064999999795</v>
      </c>
      <c r="E328" s="166">
        <v>4.0326000000000004</v>
      </c>
      <c r="F328" s="170">
        <v>8058.9674999999797</v>
      </c>
      <c r="G328" s="605"/>
      <c r="H328" s="213">
        <f>D328+$E$379</f>
        <v>8840.2159931530423</v>
      </c>
      <c r="I328" s="615">
        <f t="shared" si="50"/>
        <v>1.101196462201889</v>
      </c>
      <c r="J328" s="617">
        <f t="shared" si="55"/>
        <v>1.0969415118193571</v>
      </c>
      <c r="K328" s="613">
        <f t="shared" si="49"/>
        <v>1.0990689870106229</v>
      </c>
      <c r="L328" s="618">
        <f t="shared" si="54"/>
        <v>9.9536297394036532E-3</v>
      </c>
    </row>
    <row r="329" spans="1:12" ht="19.95" customHeight="1">
      <c r="A329" s="837" t="s">
        <v>1686</v>
      </c>
      <c r="B329" s="841">
        <v>45342.832592592596</v>
      </c>
      <c r="C329" s="166">
        <v>4.0325833333333296</v>
      </c>
      <c r="D329" s="170">
        <v>10050.267923076901</v>
      </c>
      <c r="E329" s="166">
        <v>4.0325833333333296</v>
      </c>
      <c r="F329" s="170">
        <v>7661.3498621286199</v>
      </c>
      <c r="G329" s="605"/>
      <c r="H329" s="213">
        <f>D329+$E$386</f>
        <v>10014.058070415766</v>
      </c>
      <c r="I329" s="615">
        <f t="shared" si="50"/>
        <v>1.3118142499609784</v>
      </c>
      <c r="J329" s="617">
        <f t="shared" si="55"/>
        <v>1.3070879480281914</v>
      </c>
      <c r="K329" s="613">
        <f t="shared" si="49"/>
        <v>1.3094510989945849</v>
      </c>
      <c r="L329" s="618">
        <f t="shared" si="54"/>
        <v>1.1823456808750106E-2</v>
      </c>
    </row>
    <row r="330" spans="1:12" ht="19.95" customHeight="1">
      <c r="A330" s="839" t="s">
        <v>1304</v>
      </c>
      <c r="B330" s="836">
        <v>45342.839571759301</v>
      </c>
      <c r="C330" s="169">
        <v>4.0345333333333304</v>
      </c>
      <c r="D330" s="172">
        <v>16725.263609110501</v>
      </c>
      <c r="E330" s="169">
        <v>4.0345333333333304</v>
      </c>
      <c r="F330" s="172">
        <v>16719.972725850301</v>
      </c>
      <c r="G330" s="607"/>
      <c r="H330" s="608"/>
      <c r="I330" s="616">
        <f t="shared" si="50"/>
        <v>1.0003164409025633</v>
      </c>
      <c r="J330" s="619">
        <f>I330</f>
        <v>1.0003164409025633</v>
      </c>
      <c r="K330" s="614">
        <f t="shared" si="49"/>
        <v>1.0003164409025633</v>
      </c>
      <c r="L330" s="621">
        <f>SQRT((K330*$K$372)^2+(ABS(J330-I330)/2)^2)</f>
        <v>2.1075377428884972E-2</v>
      </c>
    </row>
    <row r="331" spans="1:12" ht="19.95" customHeight="1">
      <c r="A331" s="837" t="s">
        <v>1312</v>
      </c>
      <c r="B331" s="841">
        <v>45342.846550925897</v>
      </c>
      <c r="C331" s="166">
        <v>4.0366499999999998</v>
      </c>
      <c r="D331" s="170">
        <v>7.0774230769230497</v>
      </c>
      <c r="E331" s="166" t="s">
        <v>109</v>
      </c>
      <c r="F331" s="170" t="s">
        <v>109</v>
      </c>
      <c r="G331" s="605"/>
      <c r="H331" s="606"/>
      <c r="I331" s="605"/>
      <c r="J331" s="606"/>
      <c r="K331" s="605"/>
      <c r="L331" s="606"/>
    </row>
    <row r="332" spans="1:12" ht="19.95" customHeight="1">
      <c r="A332" s="837" t="s">
        <v>1687</v>
      </c>
      <c r="B332" s="841">
        <v>45342.853530092601</v>
      </c>
      <c r="C332" s="166">
        <v>4.0284500000000003</v>
      </c>
      <c r="D332" s="170">
        <v>184.66796153846099</v>
      </c>
      <c r="E332" s="166">
        <v>4.0365166666666701</v>
      </c>
      <c r="F332" s="170">
        <v>6.8909999999999503</v>
      </c>
      <c r="G332" s="605"/>
      <c r="H332" s="606"/>
      <c r="I332" s="605"/>
      <c r="J332" s="606"/>
      <c r="K332" s="605"/>
      <c r="L332" s="606"/>
    </row>
    <row r="333" spans="1:12" ht="19.95" customHeight="1">
      <c r="A333" s="837" t="s">
        <v>1688</v>
      </c>
      <c r="B333" s="841">
        <v>45342.8604976852</v>
      </c>
      <c r="C333" s="166">
        <v>4.0305999999999997</v>
      </c>
      <c r="D333" s="170">
        <v>111.154979735865</v>
      </c>
      <c r="E333" s="166">
        <v>4.0245499999999996</v>
      </c>
      <c r="F333" s="170">
        <v>5.1984999999999904</v>
      </c>
      <c r="G333" s="605"/>
      <c r="H333" s="606"/>
      <c r="I333" s="605"/>
      <c r="J333" s="606"/>
      <c r="K333" s="605"/>
      <c r="L333" s="606"/>
    </row>
    <row r="334" spans="1:12" ht="19.95" customHeight="1">
      <c r="A334" s="837" t="s">
        <v>1689</v>
      </c>
      <c r="B334" s="841">
        <v>45342.867465277799</v>
      </c>
      <c r="C334" s="166">
        <v>4.0327000000000002</v>
      </c>
      <c r="D334" s="170">
        <v>280.52149999999898</v>
      </c>
      <c r="E334" s="166">
        <v>4.0347166666666698</v>
      </c>
      <c r="F334" s="170">
        <v>18105.325048015598</v>
      </c>
      <c r="G334" s="605"/>
      <c r="H334" s="606"/>
      <c r="I334" s="605"/>
      <c r="J334" s="606"/>
      <c r="K334" s="605"/>
      <c r="L334" s="606"/>
    </row>
    <row r="335" spans="1:12" ht="19.95" customHeight="1">
      <c r="A335" s="837" t="s">
        <v>1690</v>
      </c>
      <c r="B335" s="841">
        <v>45342.874432870398</v>
      </c>
      <c r="C335" s="166">
        <v>4.0306333333333297</v>
      </c>
      <c r="D335" s="170">
        <v>753.09196164174705</v>
      </c>
      <c r="E335" s="166">
        <v>4.0326500000000003</v>
      </c>
      <c r="F335" s="170">
        <v>7720.75782370869</v>
      </c>
      <c r="G335" s="605"/>
      <c r="H335" s="606"/>
      <c r="I335" s="605"/>
      <c r="J335" s="606"/>
      <c r="K335" s="605"/>
      <c r="L335" s="606"/>
    </row>
    <row r="336" spans="1:12" ht="19.95" customHeight="1">
      <c r="A336" s="837" t="s">
        <v>1320</v>
      </c>
      <c r="B336" s="841">
        <v>45342.881412037001</v>
      </c>
      <c r="C336" s="166">
        <v>4.0284333333333304</v>
      </c>
      <c r="D336" s="170">
        <v>9085.1699386204109</v>
      </c>
      <c r="E336" s="166">
        <v>4.0284333333333304</v>
      </c>
      <c r="F336" s="170">
        <v>18438.236499999999</v>
      </c>
      <c r="G336" s="605"/>
      <c r="H336" s="606"/>
      <c r="I336" s="615">
        <f>D336/F336</f>
        <v>0.4927352970345299</v>
      </c>
      <c r="J336" s="617">
        <f>I336</f>
        <v>0.4927352970345299</v>
      </c>
      <c r="K336" s="613">
        <f t="shared" ref="K336:K352" si="56">AVERAGE(I336:J336)</f>
        <v>0.4927352970345299</v>
      </c>
      <c r="L336" s="618">
        <f>SQRT((K336*$K$372)^2+(ABS(J336-I336)/2)^2)</f>
        <v>1.0381297290452096E-2</v>
      </c>
    </row>
    <row r="337" spans="1:12" ht="19.95" customHeight="1">
      <c r="A337" s="837" t="s">
        <v>1321</v>
      </c>
      <c r="B337" s="841">
        <v>45342.888391203698</v>
      </c>
      <c r="C337" s="166">
        <v>4.0265666666666702</v>
      </c>
      <c r="D337" s="170">
        <v>18625.2577759138</v>
      </c>
      <c r="E337" s="166">
        <v>4.0265666666666702</v>
      </c>
      <c r="F337" s="170">
        <v>18857.324499999999</v>
      </c>
      <c r="G337" s="605"/>
      <c r="H337" s="606"/>
      <c r="I337" s="615">
        <f t="shared" ref="I337:I352" si="57">D337/F337</f>
        <v>0.98769354984127267</v>
      </c>
      <c r="J337" s="617">
        <f t="shared" ref="J337:J339" si="58">I337</f>
        <v>0.98769354984127267</v>
      </c>
      <c r="K337" s="613">
        <f t="shared" si="56"/>
        <v>0.98769354984127267</v>
      </c>
      <c r="L337" s="618">
        <f t="shared" ref="L337:L339" si="59">SQRT((K337*$K$372)^2+(ABS(J337-I337)/2)^2)</f>
        <v>2.0809429392361287E-2</v>
      </c>
    </row>
    <row r="338" spans="1:12" ht="19.95" customHeight="1">
      <c r="A338" s="837" t="s">
        <v>1322</v>
      </c>
      <c r="B338" s="841">
        <v>45342.895358796297</v>
      </c>
      <c r="C338" s="166">
        <v>4.0345000000000004</v>
      </c>
      <c r="D338" s="170">
        <v>17044.143335665001</v>
      </c>
      <c r="E338" s="166">
        <v>4.0324833333333299</v>
      </c>
      <c r="F338" s="170">
        <v>17815.784</v>
      </c>
      <c r="G338" s="605"/>
      <c r="H338" s="606"/>
      <c r="I338" s="615">
        <f t="shared" si="57"/>
        <v>0.95668780760167516</v>
      </c>
      <c r="J338" s="617">
        <f t="shared" si="58"/>
        <v>0.95668780760167516</v>
      </c>
      <c r="K338" s="613">
        <f t="shared" si="56"/>
        <v>0.95668780760167516</v>
      </c>
      <c r="L338" s="618">
        <f t="shared" si="59"/>
        <v>2.0156178387536614E-2</v>
      </c>
    </row>
    <row r="339" spans="1:12" ht="19.95" customHeight="1">
      <c r="A339" s="837" t="s">
        <v>1324</v>
      </c>
      <c r="B339" s="841">
        <v>45342.902326388903</v>
      </c>
      <c r="C339" s="166">
        <v>4.0326333333333304</v>
      </c>
      <c r="D339" s="170">
        <v>33899.565259447998</v>
      </c>
      <c r="E339" s="166">
        <v>4.0326333333333304</v>
      </c>
      <c r="F339" s="170">
        <v>18113.023057976799</v>
      </c>
      <c r="G339" s="605"/>
      <c r="H339" s="606"/>
      <c r="I339" s="615">
        <f t="shared" si="57"/>
        <v>1.8715575611503987</v>
      </c>
      <c r="J339" s="617">
        <f t="shared" si="58"/>
        <v>1.8715575611503987</v>
      </c>
      <c r="K339" s="613">
        <f t="shared" si="56"/>
        <v>1.8715575611503987</v>
      </c>
      <c r="L339" s="618">
        <f t="shared" si="59"/>
        <v>3.9431304303605037E-2</v>
      </c>
    </row>
    <row r="340" spans="1:12" ht="19.95" customHeight="1">
      <c r="A340" s="837" t="s">
        <v>1691</v>
      </c>
      <c r="B340" s="841">
        <v>45342.909293981502</v>
      </c>
      <c r="C340" s="166">
        <v>4.0286</v>
      </c>
      <c r="D340" s="170">
        <v>9432.7142568474992</v>
      </c>
      <c r="E340" s="166">
        <v>4.0266000000000002</v>
      </c>
      <c r="F340" s="170">
        <v>8924.7309999999907</v>
      </c>
      <c r="G340" s="605"/>
      <c r="H340" s="213">
        <f t="shared" ref="H340:H349" si="60">D340+$E$372</f>
        <v>9399.8370377057963</v>
      </c>
      <c r="I340" s="615">
        <f t="shared" si="57"/>
        <v>1.0569186070535357</v>
      </c>
      <c r="J340" s="617">
        <f>H340/F340</f>
        <v>1.0532347739899171</v>
      </c>
      <c r="K340" s="613">
        <f t="shared" si="56"/>
        <v>1.0550766905217264</v>
      </c>
      <c r="L340" s="618">
        <f t="shared" ref="L340:L351" si="61">SQRT((K340*$J$372)^2+(ABS(J340-I340)/2)^2)</f>
        <v>9.51439764017082E-3</v>
      </c>
    </row>
    <row r="341" spans="1:12" ht="19.95" customHeight="1">
      <c r="A341" s="837" t="s">
        <v>1692</v>
      </c>
      <c r="B341" s="841">
        <v>45342.916261574101</v>
      </c>
      <c r="C341" s="166">
        <v>4.0285500000000001</v>
      </c>
      <c r="D341" s="170">
        <v>8855.3124486511606</v>
      </c>
      <c r="E341" s="166">
        <v>4.0285500000000001</v>
      </c>
      <c r="F341" s="170">
        <v>8710.9240166807904</v>
      </c>
      <c r="G341" s="605"/>
      <c r="H341" s="213">
        <f t="shared" si="60"/>
        <v>8822.4352295094577</v>
      </c>
      <c r="I341" s="615">
        <f t="shared" si="57"/>
        <v>1.0165755586541538</v>
      </c>
      <c r="J341" s="617">
        <f t="shared" ref="J341:J351" si="62">H341/F341</f>
        <v>1.0128013070272603</v>
      </c>
      <c r="K341" s="613">
        <f t="shared" si="56"/>
        <v>1.0146884328407071</v>
      </c>
      <c r="L341" s="618">
        <f t="shared" si="61"/>
        <v>9.173291830232258E-3</v>
      </c>
    </row>
    <row r="342" spans="1:12" ht="19.95" customHeight="1">
      <c r="A342" s="837" t="s">
        <v>1693</v>
      </c>
      <c r="B342" s="841">
        <v>45342.923252314802</v>
      </c>
      <c r="C342" s="166">
        <v>4.0305999999999997</v>
      </c>
      <c r="D342" s="170">
        <v>8797.9879601514003</v>
      </c>
      <c r="E342" s="166">
        <v>4.0305999999999997</v>
      </c>
      <c r="F342" s="170">
        <v>8788.6690000000108</v>
      </c>
      <c r="G342" s="605"/>
      <c r="H342" s="213">
        <f t="shared" si="60"/>
        <v>8765.1107410096974</v>
      </c>
      <c r="I342" s="615">
        <f t="shared" si="57"/>
        <v>1.0010603380502088</v>
      </c>
      <c r="J342" s="617">
        <f t="shared" si="62"/>
        <v>0.99731947363243356</v>
      </c>
      <c r="K342" s="613">
        <f t="shared" si="56"/>
        <v>0.99918990584132117</v>
      </c>
      <c r="L342" s="618">
        <f t="shared" si="61"/>
        <v>9.0356806980519122E-3</v>
      </c>
    </row>
    <row r="343" spans="1:12" ht="19.95" customHeight="1">
      <c r="A343" s="837" t="s">
        <v>1694</v>
      </c>
      <c r="B343" s="841">
        <v>45342.930196759298</v>
      </c>
      <c r="C343" s="166">
        <v>4.0327166666666701</v>
      </c>
      <c r="D343" s="170">
        <v>8791.9585000000097</v>
      </c>
      <c r="E343" s="166">
        <v>4.0327166666666701</v>
      </c>
      <c r="F343" s="170">
        <v>8759.2592592515593</v>
      </c>
      <c r="G343" s="605"/>
      <c r="H343" s="213">
        <f t="shared" si="60"/>
        <v>8759.0812808583069</v>
      </c>
      <c r="I343" s="615">
        <f t="shared" si="57"/>
        <v>1.0037331057091288</v>
      </c>
      <c r="J343" s="617">
        <f t="shared" si="62"/>
        <v>0.99997968111366675</v>
      </c>
      <c r="K343" s="613">
        <f t="shared" si="56"/>
        <v>1.0018563934113978</v>
      </c>
      <c r="L343" s="618">
        <f t="shared" si="61"/>
        <v>9.0600605886090695E-3</v>
      </c>
    </row>
    <row r="344" spans="1:12" ht="19.95" customHeight="1">
      <c r="A344" s="837" t="s">
        <v>1695</v>
      </c>
      <c r="B344" s="841">
        <v>45342.937199074098</v>
      </c>
      <c r="C344" s="166">
        <v>4.0306333333333297</v>
      </c>
      <c r="D344" s="170">
        <v>8495.8784615384502</v>
      </c>
      <c r="E344" s="166">
        <v>4.0326500000000003</v>
      </c>
      <c r="F344" s="170">
        <v>8459.6173081327397</v>
      </c>
      <c r="G344" s="605"/>
      <c r="H344" s="213">
        <f t="shared" si="60"/>
        <v>8463.0012423967473</v>
      </c>
      <c r="I344" s="615">
        <f t="shared" si="57"/>
        <v>1.0042863822422381</v>
      </c>
      <c r="J344" s="617">
        <f t="shared" si="62"/>
        <v>1.0004000103244333</v>
      </c>
      <c r="K344" s="613">
        <f t="shared" si="56"/>
        <v>1.0023431962833356</v>
      </c>
      <c r="L344" s="618">
        <f t="shared" si="61"/>
        <v>9.0782700089716041E-3</v>
      </c>
    </row>
    <row r="345" spans="1:12" ht="19.95" customHeight="1">
      <c r="A345" s="837" t="s">
        <v>1696</v>
      </c>
      <c r="B345" s="841">
        <v>45342.944155092599</v>
      </c>
      <c r="C345" s="166">
        <v>4.0345166666666703</v>
      </c>
      <c r="D345" s="170">
        <v>8134.8925913831799</v>
      </c>
      <c r="E345" s="166">
        <v>4.0345166666666703</v>
      </c>
      <c r="F345" s="170">
        <v>8061.8475000000099</v>
      </c>
      <c r="G345" s="605"/>
      <c r="H345" s="213">
        <f t="shared" si="60"/>
        <v>8102.0153722414761</v>
      </c>
      <c r="I345" s="615">
        <f t="shared" si="57"/>
        <v>1.0090605895712081</v>
      </c>
      <c r="J345" s="617">
        <f t="shared" si="62"/>
        <v>1.0049824649054035</v>
      </c>
      <c r="K345" s="613">
        <f t="shared" si="56"/>
        <v>1.0070215272383058</v>
      </c>
      <c r="L345" s="618">
        <f t="shared" si="61"/>
        <v>9.1396160522539717E-3</v>
      </c>
    </row>
    <row r="346" spans="1:12" ht="19.95" customHeight="1">
      <c r="A346" s="837" t="s">
        <v>1697</v>
      </c>
      <c r="B346" s="841">
        <v>45342.9511458333</v>
      </c>
      <c r="C346" s="166">
        <v>4.0324999999999998</v>
      </c>
      <c r="D346" s="170">
        <v>8921.5670000000191</v>
      </c>
      <c r="E346" s="166">
        <v>4.0345166666666703</v>
      </c>
      <c r="F346" s="170">
        <v>8927.4424844670793</v>
      </c>
      <c r="G346" s="605"/>
      <c r="H346" s="213">
        <f t="shared" si="60"/>
        <v>8888.6897808583162</v>
      </c>
      <c r="I346" s="615">
        <f t="shared" si="57"/>
        <v>0.99934186252364177</v>
      </c>
      <c r="J346" s="617">
        <f t="shared" si="62"/>
        <v>0.99565914833098179</v>
      </c>
      <c r="K346" s="613">
        <f t="shared" si="56"/>
        <v>0.99750050542731183</v>
      </c>
      <c r="L346" s="618">
        <f t="shared" si="61"/>
        <v>9.0150750351691671E-3</v>
      </c>
    </row>
    <row r="347" spans="1:12" ht="19.95" customHeight="1">
      <c r="A347" s="837" t="s">
        <v>1698</v>
      </c>
      <c r="B347" s="841">
        <v>45342.958113425899</v>
      </c>
      <c r="C347" s="166">
        <v>4.0285333333333302</v>
      </c>
      <c r="D347" s="170">
        <v>9124.5865000000103</v>
      </c>
      <c r="E347" s="166">
        <v>4.0285333333333302</v>
      </c>
      <c r="F347" s="170">
        <v>9062.1891314689601</v>
      </c>
      <c r="G347" s="605"/>
      <c r="H347" s="213">
        <f t="shared" si="60"/>
        <v>9091.7092808583075</v>
      </c>
      <c r="I347" s="615">
        <f t="shared" si="57"/>
        <v>1.0068854630626027</v>
      </c>
      <c r="J347" s="617">
        <f t="shared" si="62"/>
        <v>1.0032575075361025</v>
      </c>
      <c r="K347" s="613">
        <f t="shared" si="56"/>
        <v>1.0050714852993528</v>
      </c>
      <c r="L347" s="618">
        <f t="shared" si="61"/>
        <v>9.0751423920697998E-3</v>
      </c>
    </row>
    <row r="348" spans="1:12" ht="19.95" customHeight="1">
      <c r="A348" s="837" t="s">
        <v>1699</v>
      </c>
      <c r="B348" s="841">
        <v>45342.965092592603</v>
      </c>
      <c r="C348" s="166">
        <v>4.0285833333333301</v>
      </c>
      <c r="D348" s="170">
        <v>8815.8895000000102</v>
      </c>
      <c r="E348" s="166">
        <v>4.0285833333333301</v>
      </c>
      <c r="F348" s="170">
        <v>8807.5765000000101</v>
      </c>
      <c r="G348" s="605"/>
      <c r="H348" s="213">
        <f t="shared" si="60"/>
        <v>8783.0122808583073</v>
      </c>
      <c r="I348" s="615">
        <f t="shared" si="57"/>
        <v>1.0009438464712739</v>
      </c>
      <c r="J348" s="617">
        <f t="shared" si="62"/>
        <v>0.99721101268417001</v>
      </c>
      <c r="K348" s="613">
        <f t="shared" si="56"/>
        <v>0.99907742957772194</v>
      </c>
      <c r="L348" s="618">
        <f t="shared" si="61"/>
        <v>9.0338767354030316E-3</v>
      </c>
    </row>
    <row r="349" spans="1:12" ht="19.95" customHeight="1">
      <c r="A349" s="837" t="s">
        <v>1700</v>
      </c>
      <c r="B349" s="841">
        <v>45342.972048611096</v>
      </c>
      <c r="C349" s="166">
        <v>4.0285000000000002</v>
      </c>
      <c r="D349" s="170">
        <v>9643.4358609191095</v>
      </c>
      <c r="E349" s="166">
        <v>4.0285000000000002</v>
      </c>
      <c r="F349" s="170">
        <v>8993.5311961195202</v>
      </c>
      <c r="G349" s="605"/>
      <c r="H349" s="213">
        <f t="shared" si="60"/>
        <v>9610.5586417774066</v>
      </c>
      <c r="I349" s="615">
        <f t="shared" si="57"/>
        <v>1.0722635692952294</v>
      </c>
      <c r="J349" s="617">
        <f t="shared" si="62"/>
        <v>1.0686079174244838</v>
      </c>
      <c r="K349" s="613">
        <f t="shared" si="56"/>
        <v>1.0704357433598566</v>
      </c>
      <c r="L349" s="618">
        <f t="shared" si="61"/>
        <v>9.6450662389685783E-3</v>
      </c>
    </row>
    <row r="350" spans="1:12" ht="19.95" customHeight="1">
      <c r="A350" s="837" t="s">
        <v>1701</v>
      </c>
      <c r="B350" s="841">
        <v>45342.979004629597</v>
      </c>
      <c r="C350" s="166">
        <v>4.0325499999999996</v>
      </c>
      <c r="D350" s="170">
        <v>9061.7708330566802</v>
      </c>
      <c r="E350" s="166">
        <v>4.0325499999999996</v>
      </c>
      <c r="F350" s="170">
        <v>8243.7972416075008</v>
      </c>
      <c r="G350" s="605"/>
      <c r="H350" s="213">
        <f>D350+$E$379</f>
        <v>9027.480326209743</v>
      </c>
      <c r="I350" s="615">
        <f t="shared" si="57"/>
        <v>1.0992229148141541</v>
      </c>
      <c r="J350" s="617">
        <f t="shared" si="62"/>
        <v>1.0950633623843746</v>
      </c>
      <c r="K350" s="613">
        <f t="shared" si="56"/>
        <v>1.0971431385992645</v>
      </c>
      <c r="L350" s="618">
        <f t="shared" si="61"/>
        <v>9.9268830623882812E-3</v>
      </c>
    </row>
    <row r="351" spans="1:12" ht="19.95" customHeight="1">
      <c r="A351" s="837" t="s">
        <v>1702</v>
      </c>
      <c r="B351" s="841">
        <v>45342.985983796301</v>
      </c>
      <c r="C351" s="166">
        <v>4.0326833333333303</v>
      </c>
      <c r="D351" s="170">
        <v>10304.1515</v>
      </c>
      <c r="E351" s="166">
        <v>4.0347</v>
      </c>
      <c r="F351" s="170">
        <v>7842.79945608659</v>
      </c>
      <c r="G351" s="605"/>
      <c r="H351" s="213">
        <f>D351+$E$386</f>
        <v>10267.941647338865</v>
      </c>
      <c r="I351" s="615">
        <f t="shared" si="57"/>
        <v>1.3138359023069524</v>
      </c>
      <c r="J351" s="617">
        <f t="shared" si="62"/>
        <v>1.3092189472434088</v>
      </c>
      <c r="K351" s="613">
        <f t="shared" si="56"/>
        <v>1.3115274247751807</v>
      </c>
      <c r="L351" s="618">
        <f t="shared" si="61"/>
        <v>1.1830666605615386E-2</v>
      </c>
    </row>
    <row r="352" spans="1:12" ht="19.95" customHeight="1">
      <c r="A352" s="839" t="s">
        <v>1323</v>
      </c>
      <c r="B352" s="836">
        <v>45342.992974537003</v>
      </c>
      <c r="C352" s="169">
        <v>4.0305833333333299</v>
      </c>
      <c r="D352" s="172">
        <v>17552.5147823148</v>
      </c>
      <c r="E352" s="169">
        <v>4.0305833333333299</v>
      </c>
      <c r="F352" s="172">
        <v>17503.853999999999</v>
      </c>
      <c r="G352" s="607"/>
      <c r="H352" s="608"/>
      <c r="I352" s="616">
        <f t="shared" si="57"/>
        <v>1.0027800038959878</v>
      </c>
      <c r="J352" s="619">
        <f>I352</f>
        <v>1.0027800038959878</v>
      </c>
      <c r="K352" s="614">
        <f t="shared" si="56"/>
        <v>1.0027800038959878</v>
      </c>
      <c r="L352" s="621">
        <f>SQRT((K352*$K$372)^2+(ABS(J352-I352)/2)^2)</f>
        <v>2.1127281524212452E-2</v>
      </c>
    </row>
    <row r="354" spans="1:11" ht="19.95" customHeight="1">
      <c r="A354" s="220" t="s">
        <v>293</v>
      </c>
      <c r="B354" s="588"/>
      <c r="C354" s="588"/>
      <c r="D354" s="588"/>
      <c r="E354" s="588"/>
      <c r="I354" s="587" t="s">
        <v>262</v>
      </c>
      <c r="J354" s="587" t="s">
        <v>262</v>
      </c>
      <c r="K354" s="587" t="s">
        <v>262</v>
      </c>
    </row>
    <row r="355" spans="1:11" s="588" customFormat="1" ht="19.95" customHeight="1">
      <c r="A355" s="605" t="s">
        <v>2468</v>
      </c>
      <c r="I355" s="161">
        <f t="shared" ref="I355:I371" si="63">STDEV(I292,I314,I336)/AVERAGE(I292,I314,I336)</f>
        <v>9.4912713494260052E-4</v>
      </c>
      <c r="J355" s="955">
        <f>CHAR_HOM!B558*CHAR_HOM!G558</f>
        <v>0.10318793257583568</v>
      </c>
      <c r="K355" s="657">
        <f>CHAR_HOM!B551*CHAR_HOM!H551/CHAR_HOM!G551</f>
        <v>9.8579022280215242E-2</v>
      </c>
    </row>
    <row r="356" spans="1:11" s="588" customFormat="1" ht="19.95" customHeight="1">
      <c r="A356" s="426" t="s">
        <v>2098</v>
      </c>
      <c r="I356" s="161">
        <f t="shared" si="63"/>
        <v>4.0745085497253034E-4</v>
      </c>
      <c r="J356" s="753">
        <f>CHAR_HOM!B559*CHAR_HOM!G559</f>
        <v>9.8926484056984829E-2</v>
      </c>
      <c r="K356" s="657">
        <f>CHAR_HOM!B552*CHAR_HOM!H552/CHAR_HOM!G552</f>
        <v>9.5381893495112516E-2</v>
      </c>
    </row>
    <row r="357" spans="1:11" s="588" customFormat="1" ht="19.95" customHeight="1">
      <c r="A357" s="426" t="s">
        <v>2469</v>
      </c>
      <c r="I357" s="161">
        <f t="shared" si="63"/>
        <v>4.6663973956746551E-4</v>
      </c>
      <c r="J357" s="753">
        <f>CHAR_HOM!B560*CHAR_HOM!G560</f>
        <v>9.7954318525526871E-2</v>
      </c>
      <c r="K357" s="657">
        <f>CHAR_HOM!B554*CHAR_HOM!H554/CHAR_HOM!G554</f>
        <v>9.964399911135037E-2</v>
      </c>
    </row>
    <row r="358" spans="1:11" s="588" customFormat="1" ht="19.95" customHeight="1">
      <c r="A358" s="426" t="s">
        <v>2470</v>
      </c>
      <c r="I358" s="161">
        <f t="shared" si="63"/>
        <v>9.6772560566322791E-4</v>
      </c>
      <c r="J358" s="753">
        <f>CHAR_HOM!B561*CHAR_HOM!G561</f>
        <v>9.767774385903398E-2</v>
      </c>
    </row>
    <row r="359" spans="1:11" s="588" customFormat="1" ht="19.95" customHeight="1">
      <c r="A359" s="426" t="s">
        <v>2471</v>
      </c>
      <c r="I359" s="161">
        <f t="shared" si="63"/>
        <v>2.9515622359349496E-3</v>
      </c>
      <c r="J359" s="753">
        <f>CHAR_HOM!B562*CHAR_HOM!G562</f>
        <v>9.7869705885752722E-2</v>
      </c>
    </row>
    <row r="360" spans="1:11" s="588" customFormat="1" ht="19.95" customHeight="1">
      <c r="A360" s="426" t="s">
        <v>2100</v>
      </c>
      <c r="I360" s="161">
        <f t="shared" si="63"/>
        <v>1.4539832318054928E-4</v>
      </c>
      <c r="J360" s="753">
        <f>CHAR_HOM!B563*CHAR_HOM!G563</f>
        <v>9.8050497857287061E-2</v>
      </c>
    </row>
    <row r="361" spans="1:11" ht="19.95" customHeight="1">
      <c r="A361" s="588"/>
      <c r="B361" s="588"/>
      <c r="C361" s="588"/>
      <c r="D361" s="588"/>
      <c r="E361" s="588"/>
      <c r="I361" s="161">
        <f t="shared" si="63"/>
        <v>2.1271693835901466E-3</v>
      </c>
      <c r="J361" s="753">
        <f>CHAR_HOM!B564*CHAR_HOM!G564</f>
        <v>9.7640675857200335E-2</v>
      </c>
    </row>
    <row r="362" spans="1:11" ht="19.95" customHeight="1">
      <c r="A362" s="210" t="s">
        <v>2467</v>
      </c>
      <c r="B362" s="82">
        <f>AVERAGE(F291/F290,F313/F312,F335/F334)</f>
        <v>0.42318070467025498</v>
      </c>
      <c r="C362" s="162">
        <f>STDEV(F291/F290,F313/F312,F335/F334)/AVERAGE(F291/F290,F313/F312,F335/F334)</f>
        <v>1.5218652137777015E-2</v>
      </c>
      <c r="D362" s="591" t="s">
        <v>2097</v>
      </c>
      <c r="E362" s="211" t="s">
        <v>2099</v>
      </c>
      <c r="I362" s="161">
        <f t="shared" si="63"/>
        <v>1.723809406342047E-3</v>
      </c>
      <c r="J362" s="753">
        <f>CHAR_HOM!B565*CHAR_HOM!G565</f>
        <v>9.857142341958991E-2</v>
      </c>
    </row>
    <row r="363" spans="1:11" ht="19.95" customHeight="1">
      <c r="A363" s="212" t="s">
        <v>277</v>
      </c>
      <c r="B363" s="145">
        <f>MAX(AVERAGE(D288-D289,D310-D311,D332-D333),0)</f>
        <v>67.118722071025005</v>
      </c>
      <c r="C363" s="206">
        <f>IF(B363=0,"n/a",STDEV(D288-D289,D310-D311,D332-D333)/AVERAGE(D288-D289,D310-D311,D332-D333))</f>
        <v>8.3114198858543695E-2</v>
      </c>
      <c r="D363" s="145">
        <f>B363/(1-B362)</f>
        <v>116.36005004419252</v>
      </c>
      <c r="E363" s="213">
        <f>MAX(AVERAGE(D288,D310,D332)-D363,0)</f>
        <v>63.65167809263383</v>
      </c>
      <c r="I363" s="161">
        <f t="shared" si="63"/>
        <v>1.7153953514154364E-3</v>
      </c>
      <c r="J363" s="753">
        <f>CHAR_HOM!B566*CHAR_HOM!G566</f>
        <v>9.804287451239381E-2</v>
      </c>
    </row>
    <row r="364" spans="1:11" ht="19.95" customHeight="1">
      <c r="A364" s="214" t="s">
        <v>278</v>
      </c>
      <c r="B364" s="686">
        <f>MAX(AVERAGE(D290-D291,D312-D313,D334-D335),0)</f>
        <v>0</v>
      </c>
      <c r="C364" s="687" t="str">
        <f>IF(B364=0,"n/a",STDEV(D290-D291,D312-D313,D334-D335)/AVERAGE(D290-D291,D312-D313,D334-D335))</f>
        <v>n/a</v>
      </c>
      <c r="D364" s="686">
        <f>B364/(1-B362)</f>
        <v>0</v>
      </c>
      <c r="E364" s="688">
        <f>MAX(AVERAGE(D290,D312,D334)-D364,0)</f>
        <v>272.78533333333331</v>
      </c>
      <c r="I364" s="161">
        <f t="shared" si="63"/>
        <v>1.9447789648396497E-3</v>
      </c>
      <c r="J364" s="955">
        <f>CHAR_HOM!B567*CHAR_HOM!G567</f>
        <v>0.10466328187615037</v>
      </c>
    </row>
    <row r="365" spans="1:11" ht="19.95" customHeight="1">
      <c r="I365" s="161">
        <f t="shared" si="63"/>
        <v>2.276365627662748E-3</v>
      </c>
      <c r="J365" s="588"/>
    </row>
    <row r="366" spans="1:11" ht="19.95" customHeight="1">
      <c r="A366" s="218" t="s">
        <v>279</v>
      </c>
      <c r="B366" s="184"/>
      <c r="C366" s="184"/>
      <c r="D366" s="184"/>
      <c r="E366" s="223">
        <f>E363</f>
        <v>63.65167809263383</v>
      </c>
      <c r="I366" s="161">
        <f t="shared" si="63"/>
        <v>9.5330930501388291E-4</v>
      </c>
      <c r="J366" s="588"/>
    </row>
    <row r="367" spans="1:11" ht="19.95" customHeight="1">
      <c r="I367" s="161">
        <f t="shared" si="63"/>
        <v>1.3511622743136017E-3</v>
      </c>
      <c r="J367" s="588"/>
    </row>
    <row r="368" spans="1:11" ht="19.95" customHeight="1">
      <c r="A368" s="397" t="s">
        <v>1703</v>
      </c>
      <c r="B368" s="588"/>
      <c r="C368" s="588"/>
      <c r="D368" s="588"/>
      <c r="E368" s="588"/>
      <c r="I368" s="161">
        <f t="shared" si="63"/>
        <v>1.4821528283404553E-3</v>
      </c>
      <c r="J368" s="588"/>
    </row>
    <row r="369" spans="1:11" ht="19.95" customHeight="1">
      <c r="A369" s="588"/>
      <c r="B369" s="588"/>
      <c r="C369" s="588"/>
      <c r="D369" s="588"/>
      <c r="E369" s="588"/>
      <c r="I369" s="161">
        <f t="shared" si="63"/>
        <v>1.6011111574092574E-3</v>
      </c>
      <c r="J369" s="588"/>
    </row>
    <row r="370" spans="1:11" ht="19.95" customHeight="1">
      <c r="A370" s="210" t="s">
        <v>2467</v>
      </c>
      <c r="B370" s="222">
        <f>AVERAGE(F296:F305)/AVERAGE(F292:F295,F308)</f>
        <v>0.48244895051188841</v>
      </c>
      <c r="C370" s="222">
        <f>AVERAGE(F318:F327)/AVERAGE(F314:F317,F330)</f>
        <v>0.48581174537661198</v>
      </c>
      <c r="D370" s="222">
        <f>AVERAGE(F340:F349)/AVERAGE(F336:F339,F352)</f>
        <v>0.48218616771862599</v>
      </c>
      <c r="E370" s="225">
        <f>AVERAGE(B370:D370)</f>
        <v>0.48348228786904213</v>
      </c>
      <c r="I370" s="161">
        <f t="shared" si="63"/>
        <v>2.7030131803365887E-3</v>
      </c>
      <c r="J370" s="588"/>
    </row>
    <row r="371" spans="1:11" ht="19.95" customHeight="1">
      <c r="A371" s="210" t="s">
        <v>280</v>
      </c>
      <c r="B371" s="590"/>
      <c r="C371" s="590"/>
      <c r="D371" s="590"/>
      <c r="E371" s="224">
        <f>E366*E370</f>
        <v>30.774458950930391</v>
      </c>
      <c r="G371" s="166"/>
      <c r="I371" s="202">
        <f t="shared" si="63"/>
        <v>1.3492634761169292E-3</v>
      </c>
      <c r="J371" s="589"/>
      <c r="K371" s="208">
        <f>STDEV(K355:K357)/AVERAGE(K355:K357)</f>
        <v>2.2664723893665036E-2</v>
      </c>
    </row>
    <row r="372" spans="1:11" ht="19.95" customHeight="1">
      <c r="A372" s="219" t="s">
        <v>281</v>
      </c>
      <c r="B372" s="220"/>
      <c r="C372" s="220"/>
      <c r="D372" s="220"/>
      <c r="E372" s="221">
        <f>E371-E366</f>
        <v>-32.877219141703435</v>
      </c>
      <c r="I372" s="620">
        <f>MEDIAN(I355:I371)/SQRT(3)</f>
        <v>8.5572133442252715E-4</v>
      </c>
      <c r="J372" s="620">
        <f>STDEV(J356:J363,J673:J682)/AVERAGE(J356:J363,J673:J682)</f>
        <v>8.8471335852195708E-3</v>
      </c>
      <c r="K372" s="307">
        <f>MEDIAN(K689,K371)</f>
        <v>2.1068710427141563E-2</v>
      </c>
    </row>
    <row r="373" spans="1:11" ht="19.95" customHeight="1">
      <c r="A373" s="214" t="s">
        <v>282</v>
      </c>
      <c r="B373" s="589"/>
      <c r="C373" s="589"/>
      <c r="D373" s="216"/>
      <c r="E373" s="217">
        <f>E372/AVERAGE(D296:D305,D318:D327,D340:D349)</f>
        <v>-3.7894359734372105E-3</v>
      </c>
      <c r="J373" s="382" t="s">
        <v>2699</v>
      </c>
      <c r="K373" s="382" t="s">
        <v>2700</v>
      </c>
    </row>
    <row r="375" spans="1:11" ht="19.95" customHeight="1">
      <c r="A375" s="397" t="s">
        <v>294</v>
      </c>
      <c r="B375" s="588"/>
      <c r="C375" s="588"/>
      <c r="D375" s="588"/>
      <c r="E375" s="588"/>
    </row>
    <row r="376" spans="1:11" ht="19.95" customHeight="1">
      <c r="A376" s="588"/>
      <c r="B376" s="588"/>
      <c r="C376" s="588"/>
      <c r="D376" s="588"/>
      <c r="E376" s="588"/>
    </row>
    <row r="377" spans="1:11" ht="19.95" customHeight="1">
      <c r="A377" s="210" t="s">
        <v>2467</v>
      </c>
      <c r="B377" s="222">
        <f>F306/AVERAGE(F292:F295,F308)</f>
        <v>0.4681881978302081</v>
      </c>
      <c r="C377" s="222">
        <f>F328/AVERAGE(F314:F317,F330)</f>
        <v>0.46133554603599736</v>
      </c>
      <c r="D377" s="222">
        <f>F350/AVERAGE(F336:F339,F352)</f>
        <v>0.45431272952420376</v>
      </c>
      <c r="E377" s="225">
        <f>AVERAGE(B377:D377)</f>
        <v>0.46127882446346974</v>
      </c>
    </row>
    <row r="378" spans="1:11" ht="19.95" customHeight="1">
      <c r="A378" s="210" t="s">
        <v>280</v>
      </c>
      <c r="B378" s="590"/>
      <c r="C378" s="590"/>
      <c r="D378" s="590"/>
      <c r="E378" s="224">
        <f>E366*E377</f>
        <v>29.361171245697324</v>
      </c>
    </row>
    <row r="379" spans="1:11" ht="19.95" customHeight="1">
      <c r="A379" s="219" t="s">
        <v>281</v>
      </c>
      <c r="B379" s="220"/>
      <c r="C379" s="220"/>
      <c r="D379" s="220"/>
      <c r="E379" s="221">
        <f>E378-E366</f>
        <v>-34.290506846936509</v>
      </c>
    </row>
    <row r="380" spans="1:11" ht="19.95" customHeight="1">
      <c r="A380" s="214" t="s">
        <v>282</v>
      </c>
      <c r="B380" s="589"/>
      <c r="C380" s="589"/>
      <c r="D380" s="216"/>
      <c r="E380" s="217">
        <f>E379/AVERAGE(D306,D328,D350)</f>
        <v>-3.8357194086413977E-3</v>
      </c>
    </row>
    <row r="382" spans="1:11" ht="19.95" customHeight="1">
      <c r="A382" s="397" t="s">
        <v>295</v>
      </c>
      <c r="B382" s="588"/>
      <c r="C382" s="588"/>
      <c r="D382" s="588"/>
      <c r="E382" s="588"/>
    </row>
    <row r="383" spans="1:11" ht="19.95" customHeight="1">
      <c r="A383" s="588"/>
      <c r="B383" s="588"/>
      <c r="C383" s="588"/>
      <c r="D383" s="588"/>
      <c r="E383" s="588"/>
    </row>
    <row r="384" spans="1:11" ht="19.95" customHeight="1">
      <c r="A384" s="210" t="s">
        <v>2467</v>
      </c>
      <c r="B384" s="222">
        <f>F307/AVERAGE(F292:F295,F308)</f>
        <v>0.4225869868358873</v>
      </c>
      <c r="C384" s="222">
        <f>F329/AVERAGE(F314:F317,F330)</f>
        <v>0.43857392674904433</v>
      </c>
      <c r="D384" s="222">
        <f>F351/AVERAGE(F336:F339,F352)</f>
        <v>0.43221388440054054</v>
      </c>
      <c r="E384" s="225">
        <f>AVERAGE(B384:D384)</f>
        <v>0.43112493266182406</v>
      </c>
    </row>
    <row r="385" spans="1:13" ht="19.95" customHeight="1">
      <c r="A385" s="210" t="s">
        <v>280</v>
      </c>
      <c r="B385" s="590"/>
      <c r="C385" s="590"/>
      <c r="D385" s="590"/>
      <c r="E385" s="224">
        <f>E366*E384</f>
        <v>27.441825431498863</v>
      </c>
    </row>
    <row r="386" spans="1:13" ht="19.95" customHeight="1">
      <c r="A386" s="219" t="s">
        <v>281</v>
      </c>
      <c r="B386" s="220"/>
      <c r="C386" s="220"/>
      <c r="D386" s="220"/>
      <c r="E386" s="221">
        <f>E385-E366</f>
        <v>-36.209852661134967</v>
      </c>
    </row>
    <row r="387" spans="1:13" ht="19.95" customHeight="1">
      <c r="A387" s="214" t="s">
        <v>282</v>
      </c>
      <c r="B387" s="589"/>
      <c r="C387" s="589"/>
      <c r="D387" s="216"/>
      <c r="E387" s="217">
        <f>E386/AVERAGE(D307,D329,D351)</f>
        <v>-3.6225726867534854E-3</v>
      </c>
    </row>
    <row r="389" spans="1:13" s="149" customFormat="1" ht="19.95" customHeight="1">
      <c r="A389" s="150" t="s">
        <v>2102</v>
      </c>
    </row>
    <row r="391" spans="1:13" ht="19.95" customHeight="1">
      <c r="A391" s="593" t="s">
        <v>100</v>
      </c>
      <c r="B391" s="593"/>
      <c r="C391" s="593" t="s">
        <v>1485</v>
      </c>
      <c r="D391" s="593"/>
      <c r="E391" s="593" t="s">
        <v>1486</v>
      </c>
      <c r="F391" s="593"/>
      <c r="G391" s="601" t="s">
        <v>287</v>
      </c>
      <c r="H391" s="602"/>
    </row>
    <row r="392" spans="1:13" ht="19.95" customHeight="1">
      <c r="A392" s="589" t="s">
        <v>106</v>
      </c>
      <c r="B392" s="589" t="s">
        <v>105</v>
      </c>
      <c r="C392" s="589" t="s">
        <v>107</v>
      </c>
      <c r="D392" s="589" t="s">
        <v>108</v>
      </c>
      <c r="E392" s="589" t="s">
        <v>107</v>
      </c>
      <c r="F392" s="589" t="s">
        <v>108</v>
      </c>
      <c r="G392" s="611" t="s">
        <v>283</v>
      </c>
      <c r="H392" s="612" t="s">
        <v>284</v>
      </c>
    </row>
    <row r="393" spans="1:13" ht="19.95" customHeight="1">
      <c r="A393" s="837" t="s">
        <v>1274</v>
      </c>
      <c r="B393" s="841">
        <v>45343.445543981499</v>
      </c>
      <c r="C393" s="382" t="s">
        <v>109</v>
      </c>
      <c r="D393" s="382" t="s">
        <v>109</v>
      </c>
      <c r="E393" s="382" t="s">
        <v>109</v>
      </c>
      <c r="F393" s="382" t="s">
        <v>109</v>
      </c>
      <c r="G393" s="625"/>
      <c r="H393" s="626"/>
    </row>
    <row r="394" spans="1:13" ht="19.95" customHeight="1">
      <c r="A394" s="837" t="s">
        <v>1705</v>
      </c>
      <c r="B394" s="841">
        <v>45343.454953703702</v>
      </c>
      <c r="C394" s="382" t="s">
        <v>109</v>
      </c>
      <c r="D394" s="382" t="s">
        <v>109</v>
      </c>
      <c r="E394" s="382" t="s">
        <v>109</v>
      </c>
      <c r="F394" s="382" t="s">
        <v>109</v>
      </c>
      <c r="G394" s="605"/>
      <c r="H394" s="606"/>
    </row>
    <row r="395" spans="1:13" ht="19.95" customHeight="1">
      <c r="A395" s="837" t="s">
        <v>1706</v>
      </c>
      <c r="B395" s="841">
        <v>45343.464606481502</v>
      </c>
      <c r="C395" s="382" t="s">
        <v>109</v>
      </c>
      <c r="D395" s="382" t="s">
        <v>109</v>
      </c>
      <c r="E395" s="382" t="s">
        <v>109</v>
      </c>
      <c r="F395" s="382" t="s">
        <v>109</v>
      </c>
      <c r="G395" s="605"/>
      <c r="H395" s="606"/>
    </row>
    <row r="396" spans="1:13" ht="19.95" customHeight="1">
      <c r="A396" s="837" t="s">
        <v>1655</v>
      </c>
      <c r="B396" s="841">
        <v>45343.474224537</v>
      </c>
      <c r="C396" s="166">
        <v>2.4566666666666701</v>
      </c>
      <c r="D396" s="170">
        <v>5.4720009414225999</v>
      </c>
      <c r="E396" s="166" t="s">
        <v>109</v>
      </c>
      <c r="F396" s="170" t="s">
        <v>109</v>
      </c>
      <c r="G396" s="605"/>
      <c r="H396" s="606"/>
    </row>
    <row r="397" spans="1:13" ht="19.95" customHeight="1">
      <c r="A397" s="837" t="s">
        <v>1656</v>
      </c>
      <c r="B397" s="841">
        <v>45343.4838310185</v>
      </c>
      <c r="C397" s="166">
        <v>2.4567999999999999</v>
      </c>
      <c r="D397" s="170">
        <v>60.0865000000001</v>
      </c>
      <c r="E397" s="166" t="s">
        <v>109</v>
      </c>
      <c r="F397" s="170" t="s">
        <v>109</v>
      </c>
      <c r="G397" s="605"/>
      <c r="H397" s="606"/>
    </row>
    <row r="398" spans="1:13" ht="19.95" customHeight="1">
      <c r="A398" s="837" t="s">
        <v>1657</v>
      </c>
      <c r="B398" s="841">
        <v>45343.493437500001</v>
      </c>
      <c r="C398" s="166">
        <v>2.4508333333333301</v>
      </c>
      <c r="D398" s="170">
        <v>36.7922692307693</v>
      </c>
      <c r="E398" s="166">
        <v>2.4508333333333301</v>
      </c>
      <c r="F398" s="170">
        <v>2753.8684126419798</v>
      </c>
      <c r="G398" s="605"/>
      <c r="H398" s="606"/>
    </row>
    <row r="399" spans="1:13" ht="19.95" customHeight="1">
      <c r="A399" s="837" t="s">
        <v>1658</v>
      </c>
      <c r="B399" s="841">
        <v>45343.502997685202</v>
      </c>
      <c r="C399" s="166">
        <v>2.4566333333333299</v>
      </c>
      <c r="D399" s="170">
        <v>107.59699999999999</v>
      </c>
      <c r="E399" s="166">
        <v>2.45865</v>
      </c>
      <c r="F399" s="170">
        <v>2650.9543144344898</v>
      </c>
      <c r="G399" s="605"/>
      <c r="H399" s="606"/>
      <c r="J399" s="587" t="s">
        <v>102</v>
      </c>
      <c r="K399" s="92" t="s">
        <v>283</v>
      </c>
      <c r="L399" s="92" t="s">
        <v>284</v>
      </c>
      <c r="M399" s="195" t="s">
        <v>103</v>
      </c>
    </row>
    <row r="400" spans="1:13" ht="19.95" customHeight="1">
      <c r="A400" s="837" t="s">
        <v>1282</v>
      </c>
      <c r="B400" s="841">
        <v>45343.512673611098</v>
      </c>
      <c r="C400" s="166">
        <v>2.4546333333333301</v>
      </c>
      <c r="D400" s="170">
        <v>1357.5246309317899</v>
      </c>
      <c r="E400" s="166">
        <v>2.4566499999999998</v>
      </c>
      <c r="F400" s="170">
        <v>2772.98641593198</v>
      </c>
      <c r="G400" s="613">
        <f>D400/F400</f>
        <v>0.489553292844219</v>
      </c>
      <c r="H400" s="618">
        <f t="shared" ref="H400:H416" si="64">G400*$G$480</f>
        <v>1.3719187391056816E-3</v>
      </c>
      <c r="J400" s="588" t="str">
        <f>SUBSTITUTE(A400,"_I.D","")</f>
        <v>AB1</v>
      </c>
      <c r="K400" s="60">
        <f>AVERAGE(G400,G422,G444)</f>
        <v>0.49099872919390358</v>
      </c>
      <c r="L400" s="60">
        <f>AVERAGE(H400,H422,H444)</f>
        <v>1.3759694139623367E-3</v>
      </c>
      <c r="M400" s="235">
        <f>B400</f>
        <v>45343.512673611098</v>
      </c>
    </row>
    <row r="401" spans="1:13" ht="19.95" customHeight="1">
      <c r="A401" s="837" t="s">
        <v>1283</v>
      </c>
      <c r="B401" s="841">
        <v>45343.522395833301</v>
      </c>
      <c r="C401" s="166">
        <v>2.4667833333333302</v>
      </c>
      <c r="D401" s="170">
        <v>2624.17450222547</v>
      </c>
      <c r="E401" s="166">
        <v>2.46478333333333</v>
      </c>
      <c r="F401" s="170">
        <v>2713.2168553924698</v>
      </c>
      <c r="G401" s="613">
        <f t="shared" ref="G401:G416" si="65">D401/F401</f>
        <v>0.96718199911296077</v>
      </c>
      <c r="H401" s="618">
        <f t="shared" si="64"/>
        <v>2.7104201485393694E-3</v>
      </c>
      <c r="J401" s="588" t="str">
        <f t="shared" ref="J401:J416" si="66">SUBSTITUTE(A401,"_I.D","")</f>
        <v>AB2A</v>
      </c>
      <c r="K401" s="60">
        <f t="shared" ref="K401:L401" si="67">AVERAGE(G401,G423,G445)</f>
        <v>0.9634985884817463</v>
      </c>
      <c r="L401" s="60">
        <f t="shared" si="67"/>
        <v>2.7000977992821004E-3</v>
      </c>
      <c r="M401" s="235">
        <f t="shared" ref="M401:M416" si="68">B401</f>
        <v>45343.522395833301</v>
      </c>
    </row>
    <row r="402" spans="1:13" ht="19.95" customHeight="1">
      <c r="A402" s="837" t="s">
        <v>1284</v>
      </c>
      <c r="B402" s="841">
        <v>45343.532037037003</v>
      </c>
      <c r="C402" s="166">
        <v>2.4567999999999999</v>
      </c>
      <c r="D402" s="170">
        <v>2747.45280467153</v>
      </c>
      <c r="E402" s="166">
        <v>2.4567999999999999</v>
      </c>
      <c r="F402" s="170">
        <v>2833.1055000000001</v>
      </c>
      <c r="G402" s="613">
        <f t="shared" si="65"/>
        <v>0.96976720587056497</v>
      </c>
      <c r="H402" s="618">
        <f t="shared" si="64"/>
        <v>2.7176649033945851E-3</v>
      </c>
      <c r="J402" s="588" t="str">
        <f t="shared" si="66"/>
        <v>AB2B</v>
      </c>
      <c r="K402" s="60">
        <f t="shared" ref="K402:L402" si="69">AVERAGE(G402,G424,G446)</f>
        <v>0.96821790729723778</v>
      </c>
      <c r="L402" s="60">
        <f t="shared" si="69"/>
        <v>2.7133231661899009E-3</v>
      </c>
      <c r="M402" s="235">
        <f t="shared" si="68"/>
        <v>45343.532037037003</v>
      </c>
    </row>
    <row r="403" spans="1:13" ht="19.95" customHeight="1">
      <c r="A403" s="837" t="s">
        <v>1286</v>
      </c>
      <c r="B403" s="841">
        <v>45343.541655092602</v>
      </c>
      <c r="C403" s="166">
        <v>2.46478333333333</v>
      </c>
      <c r="D403" s="170">
        <v>5326.5344206643904</v>
      </c>
      <c r="E403" s="166">
        <v>2.46478333333333</v>
      </c>
      <c r="F403" s="170">
        <v>2828.1438538280199</v>
      </c>
      <c r="G403" s="613">
        <f t="shared" si="65"/>
        <v>1.8834029299657746</v>
      </c>
      <c r="H403" s="618">
        <f t="shared" si="64"/>
        <v>5.2780275624227258E-3</v>
      </c>
      <c r="J403" s="588" t="str">
        <f t="shared" si="66"/>
        <v>AB3</v>
      </c>
      <c r="K403" s="60">
        <f t="shared" ref="K403:L403" si="70">AVERAGE(G403,G425,G447)</f>
        <v>1.8786670882572905</v>
      </c>
      <c r="L403" s="60">
        <f t="shared" si="70"/>
        <v>5.2647558919421524E-3</v>
      </c>
      <c r="M403" s="235">
        <f t="shared" si="68"/>
        <v>45343.541655092602</v>
      </c>
    </row>
    <row r="404" spans="1:13" ht="19.95" customHeight="1">
      <c r="A404" s="837" t="s">
        <v>1659</v>
      </c>
      <c r="B404" s="841">
        <v>45343.551331018498</v>
      </c>
      <c r="C404" s="166">
        <v>2.46078333333333</v>
      </c>
      <c r="D404" s="170">
        <v>2313.6411607619998</v>
      </c>
      <c r="E404" s="166">
        <v>2.4628000000000001</v>
      </c>
      <c r="F404" s="170">
        <v>2474.3454999999999</v>
      </c>
      <c r="G404" s="613">
        <f t="shared" si="65"/>
        <v>0.93505177864691891</v>
      </c>
      <c r="H404" s="618">
        <f t="shared" si="64"/>
        <v>2.6203787736915726E-3</v>
      </c>
      <c r="J404" s="588" t="str">
        <f t="shared" si="66"/>
        <v>001_A1</v>
      </c>
      <c r="K404" s="60">
        <f t="shared" ref="K404:L404" si="71">AVERAGE(G404,G426,G448)</f>
        <v>0.93543963024645971</v>
      </c>
      <c r="L404" s="60">
        <f t="shared" si="71"/>
        <v>2.6214656847290026E-3</v>
      </c>
      <c r="M404" s="235">
        <f t="shared" si="68"/>
        <v>45343.551331018498</v>
      </c>
    </row>
    <row r="405" spans="1:13" ht="19.95" customHeight="1">
      <c r="A405" s="837" t="s">
        <v>1660</v>
      </c>
      <c r="B405" s="841">
        <v>45343.5609722222</v>
      </c>
      <c r="C405" s="166">
        <v>2.46078333333333</v>
      </c>
      <c r="D405" s="170">
        <v>2289.0585595918701</v>
      </c>
      <c r="E405" s="166">
        <v>2.4628000000000001</v>
      </c>
      <c r="F405" s="170">
        <v>2449.1820000000198</v>
      </c>
      <c r="G405" s="613">
        <f t="shared" si="65"/>
        <v>0.93462166535269797</v>
      </c>
      <c r="H405" s="618">
        <f t="shared" si="64"/>
        <v>2.6191734289478944E-3</v>
      </c>
      <c r="J405" s="588" t="str">
        <f t="shared" si="66"/>
        <v>078_A1</v>
      </c>
      <c r="K405" s="60">
        <f t="shared" ref="K405:L405" si="72">AVERAGE(G405,G427,G449)</f>
        <v>0.93368799016152249</v>
      </c>
      <c r="L405" s="60">
        <f t="shared" si="72"/>
        <v>2.6165569079077233E-3</v>
      </c>
      <c r="M405" s="235">
        <f t="shared" si="68"/>
        <v>45343.5609722222</v>
      </c>
    </row>
    <row r="406" spans="1:13" ht="19.95" customHeight="1">
      <c r="A406" s="837" t="s">
        <v>1661</v>
      </c>
      <c r="B406" s="841">
        <v>45343.5706712963</v>
      </c>
      <c r="C406" s="166">
        <v>2.4487666666666699</v>
      </c>
      <c r="D406" s="170">
        <v>2428.4960800732001</v>
      </c>
      <c r="E406" s="166">
        <v>2.4507833333333302</v>
      </c>
      <c r="F406" s="170">
        <v>2628.9189999999999</v>
      </c>
      <c r="G406" s="613">
        <f t="shared" si="65"/>
        <v>0.92376223081547981</v>
      </c>
      <c r="H406" s="618">
        <f t="shared" si="64"/>
        <v>2.5887410695797351E-3</v>
      </c>
      <c r="J406" s="588" t="str">
        <f t="shared" si="66"/>
        <v>155_A1</v>
      </c>
      <c r="K406" s="60">
        <f t="shared" ref="K406:L406" si="73">AVERAGE(G406,G428,G450)</f>
        <v>0.92497038621648364</v>
      </c>
      <c r="L406" s="60">
        <f t="shared" si="73"/>
        <v>2.5921267909273724E-3</v>
      </c>
      <c r="M406" s="235">
        <f t="shared" si="68"/>
        <v>45343.5706712963</v>
      </c>
    </row>
    <row r="407" spans="1:13" ht="19.95" customHeight="1">
      <c r="A407" s="837" t="s">
        <v>1662</v>
      </c>
      <c r="B407" s="841">
        <v>45343.580266203702</v>
      </c>
      <c r="C407" s="166">
        <v>2.4649666666666699</v>
      </c>
      <c r="D407" s="170">
        <v>2269.0477569737</v>
      </c>
      <c r="E407" s="166">
        <v>2.4649666666666699</v>
      </c>
      <c r="F407" s="170">
        <v>2438.15199999998</v>
      </c>
      <c r="G407" s="613">
        <f t="shared" si="65"/>
        <v>0.93064245255165323</v>
      </c>
      <c r="H407" s="618">
        <f t="shared" si="64"/>
        <v>2.6080221269580216E-3</v>
      </c>
      <c r="J407" s="588" t="str">
        <f t="shared" si="66"/>
        <v>232_A1</v>
      </c>
      <c r="K407" s="60">
        <f t="shared" ref="K407:L407" si="74">AVERAGE(G407,G429,G451)</f>
        <v>0.93335569584341371</v>
      </c>
      <c r="L407" s="60">
        <f t="shared" si="74"/>
        <v>2.6156256899819625E-3</v>
      </c>
      <c r="M407" s="235">
        <f t="shared" si="68"/>
        <v>45343.580266203702</v>
      </c>
    </row>
    <row r="408" spans="1:13" ht="19.95" customHeight="1">
      <c r="A408" s="837" t="s">
        <v>1663</v>
      </c>
      <c r="B408" s="841">
        <v>45343.589884259301</v>
      </c>
      <c r="C408" s="166">
        <v>2.45465</v>
      </c>
      <c r="D408" s="170">
        <v>2458.61665221161</v>
      </c>
      <c r="E408" s="166">
        <v>2.45868333333333</v>
      </c>
      <c r="F408" s="170">
        <v>2652.1824999999999</v>
      </c>
      <c r="G408" s="613">
        <f t="shared" si="65"/>
        <v>0.92701639205130493</v>
      </c>
      <c r="H408" s="618">
        <f t="shared" si="64"/>
        <v>2.5978604950738669E-3</v>
      </c>
      <c r="J408" s="588" t="str">
        <f t="shared" si="66"/>
        <v>310_A1</v>
      </c>
      <c r="K408" s="60">
        <f t="shared" ref="K408:L408" si="75">AVERAGE(G408,G430,G452)</f>
        <v>0.92930858677249972</v>
      </c>
      <c r="L408" s="60">
        <f t="shared" si="75"/>
        <v>2.6042841162355508E-3</v>
      </c>
      <c r="M408" s="235">
        <f t="shared" si="68"/>
        <v>45343.589884259301</v>
      </c>
    </row>
    <row r="409" spans="1:13" ht="19.95" customHeight="1">
      <c r="A409" s="837" t="s">
        <v>1664</v>
      </c>
      <c r="B409" s="841">
        <v>45343.599571759303</v>
      </c>
      <c r="C409" s="166">
        <v>2.4507166666666702</v>
      </c>
      <c r="D409" s="170">
        <v>2373.4033589855999</v>
      </c>
      <c r="E409" s="166">
        <v>2.4487000000000001</v>
      </c>
      <c r="F409" s="170">
        <v>2545.0079999999798</v>
      </c>
      <c r="G409" s="613">
        <f t="shared" si="65"/>
        <v>0.9325720622432695</v>
      </c>
      <c r="H409" s="618">
        <f t="shared" si="64"/>
        <v>2.6134296438387848E-3</v>
      </c>
      <c r="J409" s="588" t="str">
        <f t="shared" si="66"/>
        <v>001_A2</v>
      </c>
      <c r="K409" s="60">
        <f t="shared" ref="K409:L409" si="76">AVERAGE(G409,G431,G453)</f>
        <v>0.92897413088051106</v>
      </c>
      <c r="L409" s="60">
        <f t="shared" si="76"/>
        <v>2.6033468407390312E-3</v>
      </c>
      <c r="M409" s="235">
        <f t="shared" si="68"/>
        <v>45343.599571759303</v>
      </c>
    </row>
    <row r="410" spans="1:13" ht="19.95" customHeight="1">
      <c r="A410" s="837" t="s">
        <v>1665</v>
      </c>
      <c r="B410" s="841">
        <v>45343.609212962998</v>
      </c>
      <c r="C410" s="166">
        <v>2.4486333333333299</v>
      </c>
      <c r="D410" s="170">
        <v>2380.7468123592998</v>
      </c>
      <c r="E410" s="166">
        <v>2.4486333333333299</v>
      </c>
      <c r="F410" s="170">
        <v>2567.511</v>
      </c>
      <c r="G410" s="613">
        <f t="shared" si="65"/>
        <v>0.927258661154441</v>
      </c>
      <c r="H410" s="618">
        <f t="shared" si="64"/>
        <v>2.5985394273318192E-3</v>
      </c>
      <c r="J410" s="588" t="str">
        <f t="shared" si="66"/>
        <v>078_A2</v>
      </c>
      <c r="K410" s="60">
        <f t="shared" ref="K410:L410" si="77">AVERAGE(G410,G432,G454)</f>
        <v>0.92849532973506588</v>
      </c>
      <c r="L410" s="60">
        <f t="shared" si="77"/>
        <v>2.6020050536990033E-3</v>
      </c>
      <c r="M410" s="235">
        <f t="shared" si="68"/>
        <v>45343.609212962998</v>
      </c>
    </row>
    <row r="411" spans="1:13" ht="19.95" customHeight="1">
      <c r="A411" s="837" t="s">
        <v>1666</v>
      </c>
      <c r="B411" s="841">
        <v>45343.618888888901</v>
      </c>
      <c r="C411" s="166">
        <v>2.45061666666667</v>
      </c>
      <c r="D411" s="170">
        <v>2377.6589951640899</v>
      </c>
      <c r="E411" s="166">
        <v>2.45061666666667</v>
      </c>
      <c r="F411" s="170">
        <v>2557.5989999999902</v>
      </c>
      <c r="G411" s="613">
        <f t="shared" si="65"/>
        <v>0.92964495026941252</v>
      </c>
      <c r="H411" s="618">
        <f t="shared" si="64"/>
        <v>2.6052267375830341E-3</v>
      </c>
      <c r="J411" s="588" t="str">
        <f t="shared" si="66"/>
        <v>155_A2</v>
      </c>
      <c r="K411" s="60">
        <f t="shared" ref="K411:L411" si="78">AVERAGE(G411,G433,G455)</f>
        <v>0.92998918960558463</v>
      </c>
      <c r="L411" s="60">
        <f t="shared" si="78"/>
        <v>2.6061914300954427E-3</v>
      </c>
      <c r="M411" s="235">
        <f t="shared" si="68"/>
        <v>45343.618888888901</v>
      </c>
    </row>
    <row r="412" spans="1:13" ht="19.95" customHeight="1">
      <c r="A412" s="837" t="s">
        <v>1667</v>
      </c>
      <c r="B412" s="841">
        <v>45343.628472222197</v>
      </c>
      <c r="C412" s="166">
        <v>2.46475</v>
      </c>
      <c r="D412" s="170">
        <v>2271.1221923076901</v>
      </c>
      <c r="E412" s="166">
        <v>2.46475</v>
      </c>
      <c r="F412" s="170">
        <v>2464.52040079873</v>
      </c>
      <c r="G412" s="613">
        <f t="shared" si="65"/>
        <v>0.92152704094948401</v>
      </c>
      <c r="H412" s="618">
        <f t="shared" si="64"/>
        <v>2.5824771981944501E-3</v>
      </c>
      <c r="J412" s="588" t="str">
        <f t="shared" si="66"/>
        <v>232_A2</v>
      </c>
      <c r="K412" s="60">
        <f t="shared" ref="K412:L412" si="79">AVERAGE(G412,G434,G456)</f>
        <v>0.92416918762425748</v>
      </c>
      <c r="L412" s="60">
        <f t="shared" si="79"/>
        <v>2.5898815208444483E-3</v>
      </c>
      <c r="M412" s="235">
        <f t="shared" si="68"/>
        <v>45343.628472222197</v>
      </c>
    </row>
    <row r="413" spans="1:13" ht="19.95" customHeight="1">
      <c r="A413" s="837" t="s">
        <v>1668</v>
      </c>
      <c r="B413" s="841">
        <v>45343.6381944444</v>
      </c>
      <c r="C413" s="166">
        <v>2.4667500000000002</v>
      </c>
      <c r="D413" s="170">
        <v>2170.4083200349701</v>
      </c>
      <c r="E413" s="166">
        <v>2.4647333333333301</v>
      </c>
      <c r="F413" s="170">
        <v>2338.30464555767</v>
      </c>
      <c r="G413" s="613">
        <f t="shared" si="65"/>
        <v>0.92819741181215598</v>
      </c>
      <c r="H413" s="618">
        <f t="shared" si="64"/>
        <v>2.6011701718033444E-3</v>
      </c>
      <c r="J413" s="588" t="str">
        <f t="shared" si="66"/>
        <v>310_A2</v>
      </c>
      <c r="K413" s="60">
        <f t="shared" ref="K413:L413" si="80">AVERAGE(G413,G435,G457)</f>
        <v>0.92699306257169489</v>
      </c>
      <c r="L413" s="60">
        <f t="shared" si="80"/>
        <v>2.5977951167979597E-3</v>
      </c>
      <c r="M413" s="235">
        <f t="shared" si="68"/>
        <v>45343.6381944444</v>
      </c>
    </row>
    <row r="414" spans="1:13" ht="19.95" customHeight="1">
      <c r="A414" s="837" t="s">
        <v>1285</v>
      </c>
      <c r="B414" s="841">
        <v>45343.647870370398</v>
      </c>
      <c r="C414" s="166">
        <v>2.4548666666666699</v>
      </c>
      <c r="D414" s="170">
        <v>2593.0737979119299</v>
      </c>
      <c r="E414" s="166">
        <v>2.4588999999999999</v>
      </c>
      <c r="F414" s="170">
        <v>2685.4315000000001</v>
      </c>
      <c r="G414" s="613">
        <f t="shared" si="65"/>
        <v>0.96560787266848169</v>
      </c>
      <c r="H414" s="618">
        <f t="shared" si="64"/>
        <v>2.7060088339828769E-3</v>
      </c>
      <c r="J414" s="588" t="str">
        <f t="shared" si="66"/>
        <v>AB2C</v>
      </c>
      <c r="K414" s="60">
        <f t="shared" ref="K414:L414" si="81">AVERAGE(G414,G436,G458)</f>
        <v>0.96740105253243136</v>
      </c>
      <c r="L414" s="60">
        <f t="shared" si="81"/>
        <v>2.7110340214219126E-3</v>
      </c>
      <c r="M414" s="235">
        <f t="shared" si="68"/>
        <v>45343.647870370398</v>
      </c>
    </row>
    <row r="415" spans="1:13" ht="19.95" customHeight="1">
      <c r="A415" s="842" t="s">
        <v>1670</v>
      </c>
      <c r="B415" s="841">
        <v>45343.657500000001</v>
      </c>
      <c r="C415" s="56">
        <v>2.4608500000000002</v>
      </c>
      <c r="D415" s="171">
        <v>4257.6869798550897</v>
      </c>
      <c r="E415" s="56">
        <v>2.4608500000000002</v>
      </c>
      <c r="F415" s="171">
        <v>2317.636</v>
      </c>
      <c r="G415" s="613">
        <f t="shared" si="65"/>
        <v>1.8370818281451833</v>
      </c>
      <c r="H415" s="618">
        <f t="shared" si="64"/>
        <v>5.1482178184529027E-3</v>
      </c>
      <c r="J415" s="588" t="str">
        <f t="shared" si="66"/>
        <v>MOOS3</v>
      </c>
      <c r="K415" s="60">
        <f t="shared" ref="K415:L415" si="82">AVERAGE(G415,G437,G459)</f>
        <v>1.8423017325241136</v>
      </c>
      <c r="L415" s="60">
        <f t="shared" si="82"/>
        <v>5.1628460208130349E-3</v>
      </c>
      <c r="M415" s="235">
        <f t="shared" si="68"/>
        <v>45343.657500000001</v>
      </c>
    </row>
    <row r="416" spans="1:13" ht="19.95" customHeight="1">
      <c r="A416" s="839" t="s">
        <v>1707</v>
      </c>
      <c r="B416" s="836">
        <v>45343.6671180556</v>
      </c>
      <c r="C416" s="169">
        <v>2.4547166666666702</v>
      </c>
      <c r="D416" s="172">
        <v>8551.9483334715005</v>
      </c>
      <c r="E416" s="169">
        <v>2.4547166666666702</v>
      </c>
      <c r="F416" s="172">
        <v>2991.10921319201</v>
      </c>
      <c r="G416" s="614">
        <f t="shared" si="65"/>
        <v>2.8591227280347788</v>
      </c>
      <c r="H416" s="621">
        <f t="shared" si="64"/>
        <v>8.012373944427836E-3</v>
      </c>
      <c r="J416" s="589" t="str">
        <f t="shared" si="66"/>
        <v>AB4</v>
      </c>
      <c r="K416" s="81">
        <f t="shared" ref="K416:L416" si="83">AVERAGE(G416,G438,G460)</f>
        <v>2.8466837019668318</v>
      </c>
      <c r="L416" s="81">
        <f t="shared" si="83"/>
        <v>7.9775149552058586E-3</v>
      </c>
      <c r="M416" s="236">
        <f t="shared" si="68"/>
        <v>45343.6671180556</v>
      </c>
    </row>
    <row r="417" spans="1:8" ht="19.95" customHeight="1">
      <c r="A417" s="837" t="s">
        <v>1293</v>
      </c>
      <c r="B417" s="841">
        <v>45343.676828703698</v>
      </c>
      <c r="C417" s="166" t="s">
        <v>109</v>
      </c>
      <c r="D417" s="170" t="s">
        <v>109</v>
      </c>
      <c r="E417" s="166" t="s">
        <v>109</v>
      </c>
      <c r="F417" s="170" t="s">
        <v>109</v>
      </c>
      <c r="G417" s="627"/>
      <c r="H417" s="628"/>
    </row>
    <row r="418" spans="1:8" ht="19.95" customHeight="1">
      <c r="A418" s="837" t="s">
        <v>1671</v>
      </c>
      <c r="B418" s="841">
        <v>45343.686527777798</v>
      </c>
      <c r="C418" s="166">
        <v>2.4567333333333301</v>
      </c>
      <c r="D418" s="170">
        <v>10.297138305092499</v>
      </c>
      <c r="E418" s="166" t="s">
        <v>109</v>
      </c>
      <c r="F418" s="170" t="s">
        <v>109</v>
      </c>
      <c r="G418" s="613"/>
      <c r="H418" s="618"/>
    </row>
    <row r="419" spans="1:8" ht="19.95" customHeight="1">
      <c r="A419" s="837" t="s">
        <v>1672</v>
      </c>
      <c r="B419" s="841">
        <v>45343.696203703701</v>
      </c>
      <c r="C419" s="166">
        <v>2.4548000000000001</v>
      </c>
      <c r="D419" s="170">
        <v>13.4486346358871</v>
      </c>
      <c r="E419" s="166" t="s">
        <v>109</v>
      </c>
      <c r="F419" s="170" t="s">
        <v>109</v>
      </c>
      <c r="G419" s="613"/>
      <c r="H419" s="618"/>
    </row>
    <row r="420" spans="1:8" ht="19.95" customHeight="1">
      <c r="A420" s="837" t="s">
        <v>1673</v>
      </c>
      <c r="B420" s="841">
        <v>45343.705833333297</v>
      </c>
      <c r="C420" s="166">
        <v>2.4589333333333299</v>
      </c>
      <c r="D420" s="170">
        <v>34.181676751387101</v>
      </c>
      <c r="E420" s="166">
        <v>2.4629500000000002</v>
      </c>
      <c r="F420" s="170">
        <v>2225.877</v>
      </c>
      <c r="G420" s="613"/>
      <c r="H420" s="618"/>
    </row>
    <row r="421" spans="1:8" ht="19.95" customHeight="1">
      <c r="A421" s="837" t="s">
        <v>1674</v>
      </c>
      <c r="B421" s="841">
        <v>45343.715497685203</v>
      </c>
      <c r="C421" s="166">
        <v>2.4486333333333299</v>
      </c>
      <c r="D421" s="170">
        <v>121.50380071145899</v>
      </c>
      <c r="E421" s="166">
        <v>2.4486333333333299</v>
      </c>
      <c r="F421" s="170">
        <v>2752.0004999999901</v>
      </c>
      <c r="G421" s="613"/>
      <c r="H421" s="618"/>
    </row>
    <row r="422" spans="1:8" ht="19.95" customHeight="1">
      <c r="A422" s="837" t="s">
        <v>1301</v>
      </c>
      <c r="B422" s="841">
        <v>45343.725150462997</v>
      </c>
      <c r="C422" s="166">
        <v>2.4547166666666702</v>
      </c>
      <c r="D422" s="170">
        <v>1306.0184999999999</v>
      </c>
      <c r="E422" s="166">
        <v>2.4547166666666702</v>
      </c>
      <c r="F422" s="170">
        <v>2657.4315000000001</v>
      </c>
      <c r="G422" s="613">
        <f>D422/F422</f>
        <v>0.4914589519993271</v>
      </c>
      <c r="H422" s="618">
        <f t="shared" ref="H422:H438" si="84">G422*$G$480</f>
        <v>1.3772591372675483E-3</v>
      </c>
    </row>
    <row r="423" spans="1:8" ht="19.95" customHeight="1">
      <c r="A423" s="837" t="s">
        <v>1302</v>
      </c>
      <c r="B423" s="841">
        <v>45343.734814814801</v>
      </c>
      <c r="C423" s="166">
        <v>2.4587333333333299</v>
      </c>
      <c r="D423" s="170">
        <v>2628.9562494644902</v>
      </c>
      <c r="E423" s="166">
        <v>2.46075</v>
      </c>
      <c r="F423" s="170">
        <v>2727.8482402305099</v>
      </c>
      <c r="G423" s="613">
        <f t="shared" ref="G423:G438" si="85">D423/F423</f>
        <v>0.96374725349176205</v>
      </c>
      <c r="H423" s="618">
        <f t="shared" si="84"/>
        <v>2.7007946553588283E-3</v>
      </c>
    </row>
    <row r="424" spans="1:8" ht="19.95" customHeight="1">
      <c r="A424" s="837" t="s">
        <v>1303</v>
      </c>
      <c r="B424" s="841">
        <v>45343.744444444397</v>
      </c>
      <c r="C424" s="166">
        <v>2.4568500000000002</v>
      </c>
      <c r="D424" s="170">
        <v>2656.8306547114098</v>
      </c>
      <c r="E424" s="166">
        <v>2.4568500000000002</v>
      </c>
      <c r="F424" s="170">
        <v>2738.54789436688</v>
      </c>
      <c r="G424" s="613">
        <f t="shared" si="85"/>
        <v>0.97016037593369819</v>
      </c>
      <c r="H424" s="618">
        <f t="shared" si="84"/>
        <v>2.7187667188356252E-3</v>
      </c>
    </row>
    <row r="425" spans="1:8" ht="19.95" customHeight="1">
      <c r="A425" s="837" t="s">
        <v>1305</v>
      </c>
      <c r="B425" s="841">
        <v>45343.753993055601</v>
      </c>
      <c r="C425" s="166">
        <v>2.4566333333333299</v>
      </c>
      <c r="D425" s="170">
        <v>5483.29896590933</v>
      </c>
      <c r="E425" s="166">
        <v>2.4566333333333299</v>
      </c>
      <c r="F425" s="170">
        <v>2923.1659999999802</v>
      </c>
      <c r="G425" s="613">
        <f t="shared" si="85"/>
        <v>1.8758082729168879</v>
      </c>
      <c r="H425" s="618">
        <f t="shared" si="84"/>
        <v>5.2567443794174296E-3</v>
      </c>
    </row>
    <row r="426" spans="1:8" ht="19.95" customHeight="1">
      <c r="A426" s="837" t="s">
        <v>1675</v>
      </c>
      <c r="B426" s="841">
        <v>45343.763761574097</v>
      </c>
      <c r="C426" s="166">
        <v>2.4588666666666699</v>
      </c>
      <c r="D426" s="170">
        <v>2309.3627424052802</v>
      </c>
      <c r="E426" s="166">
        <v>2.4608833333333302</v>
      </c>
      <c r="F426" s="170">
        <v>2476.451</v>
      </c>
      <c r="G426" s="613">
        <f t="shared" si="85"/>
        <v>0.93252914852960145</v>
      </c>
      <c r="H426" s="618">
        <f t="shared" si="84"/>
        <v>2.6133093829217276E-3</v>
      </c>
    </row>
    <row r="427" spans="1:8" ht="19.95" customHeight="1">
      <c r="A427" s="837" t="s">
        <v>1676</v>
      </c>
      <c r="B427" s="841">
        <v>45343.7734375</v>
      </c>
      <c r="C427" s="166">
        <v>2.4607333333333301</v>
      </c>
      <c r="D427" s="170">
        <v>2292.6486185987701</v>
      </c>
      <c r="E427" s="166">
        <v>2.4627500000000002</v>
      </c>
      <c r="F427" s="170">
        <v>2450.1709999999898</v>
      </c>
      <c r="G427" s="613">
        <f t="shared" si="85"/>
        <v>0.93570963765336368</v>
      </c>
      <c r="H427" s="618">
        <f t="shared" si="84"/>
        <v>2.6222223505029704E-3</v>
      </c>
    </row>
    <row r="428" spans="1:8" ht="19.95" customHeight="1">
      <c r="A428" s="837" t="s">
        <v>1677</v>
      </c>
      <c r="B428" s="841">
        <v>45343.783125000002</v>
      </c>
      <c r="C428" s="166">
        <v>2.4629500000000002</v>
      </c>
      <c r="D428" s="170">
        <v>2301.9676566554999</v>
      </c>
      <c r="E428" s="166">
        <v>2.4649666666666699</v>
      </c>
      <c r="F428" s="170">
        <v>2487.1660000000002</v>
      </c>
      <c r="G428" s="613">
        <f t="shared" si="85"/>
        <v>0.92553840662645748</v>
      </c>
      <c r="H428" s="618">
        <f t="shared" si="84"/>
        <v>2.593718605048589E-3</v>
      </c>
    </row>
    <row r="429" spans="1:8" ht="19.95" customHeight="1">
      <c r="A429" s="837" t="s">
        <v>1678</v>
      </c>
      <c r="B429" s="841">
        <v>45343.792754629598</v>
      </c>
      <c r="C429" s="166">
        <v>2.45065</v>
      </c>
      <c r="D429" s="170">
        <v>2394.7682448977098</v>
      </c>
      <c r="E429" s="166">
        <v>2.4526666666666701</v>
      </c>
      <c r="F429" s="170">
        <v>2562.4204999999902</v>
      </c>
      <c r="G429" s="613">
        <f t="shared" si="85"/>
        <v>0.93457269987409131</v>
      </c>
      <c r="H429" s="618">
        <f t="shared" si="84"/>
        <v>2.6190362086316353E-3</v>
      </c>
    </row>
    <row r="430" spans="1:8" ht="19.95" customHeight="1">
      <c r="A430" s="837" t="s">
        <v>1679</v>
      </c>
      <c r="B430" s="841">
        <v>45343.802337963003</v>
      </c>
      <c r="C430" s="166">
        <v>2.4485999999999999</v>
      </c>
      <c r="D430" s="170">
        <v>2419.9530673745599</v>
      </c>
      <c r="E430" s="166">
        <v>2.4485999999999999</v>
      </c>
      <c r="F430" s="170">
        <v>2604.502</v>
      </c>
      <c r="G430" s="613">
        <f t="shared" si="85"/>
        <v>0.92914233407175728</v>
      </c>
      <c r="H430" s="618">
        <f t="shared" si="84"/>
        <v>2.6038182115038101E-3</v>
      </c>
    </row>
    <row r="431" spans="1:8" ht="19.95" customHeight="1">
      <c r="A431" s="837" t="s">
        <v>1680</v>
      </c>
      <c r="B431" s="841">
        <v>45343.812164351897</v>
      </c>
      <c r="C431" s="166">
        <v>2.4467333333333299</v>
      </c>
      <c r="D431" s="170">
        <v>2333.6787856262599</v>
      </c>
      <c r="E431" s="166">
        <v>2.4487333333333301</v>
      </c>
      <c r="F431" s="170">
        <v>2536.9035000000099</v>
      </c>
      <c r="G431" s="613">
        <f t="shared" si="85"/>
        <v>0.91989261145575729</v>
      </c>
      <c r="H431" s="618">
        <f t="shared" si="84"/>
        <v>2.5778968910389957E-3</v>
      </c>
    </row>
    <row r="432" spans="1:8" ht="19.95" customHeight="1">
      <c r="A432" s="837" t="s">
        <v>1681</v>
      </c>
      <c r="B432" s="841">
        <v>45343.8218402778</v>
      </c>
      <c r="C432" s="166">
        <v>2.4649000000000001</v>
      </c>
      <c r="D432" s="170">
        <v>2189.3900627327598</v>
      </c>
      <c r="E432" s="166">
        <v>2.4669166666666702</v>
      </c>
      <c r="F432" s="170">
        <v>2348.7705359287002</v>
      </c>
      <c r="G432" s="613">
        <f t="shared" si="85"/>
        <v>0.93214302088776779</v>
      </c>
      <c r="H432" s="618">
        <f t="shared" si="84"/>
        <v>2.6122273030843302E-3</v>
      </c>
    </row>
    <row r="433" spans="1:8" ht="19.95" customHeight="1">
      <c r="A433" s="837" t="s">
        <v>1682</v>
      </c>
      <c r="B433" s="841">
        <v>45343.831516203703</v>
      </c>
      <c r="C433" s="166">
        <v>2.46495</v>
      </c>
      <c r="D433" s="170">
        <v>2229.9902347580401</v>
      </c>
      <c r="E433" s="166">
        <v>2.46495</v>
      </c>
      <c r="F433" s="170">
        <v>2397.598</v>
      </c>
      <c r="G433" s="613">
        <f t="shared" si="85"/>
        <v>0.93009346636009882</v>
      </c>
      <c r="H433" s="618">
        <f t="shared" si="84"/>
        <v>2.6064836541202065E-3</v>
      </c>
    </row>
    <row r="434" spans="1:8" ht="19.95" customHeight="1">
      <c r="A434" s="837" t="s">
        <v>1683</v>
      </c>
      <c r="B434" s="841">
        <v>45343.841157407398</v>
      </c>
      <c r="C434" s="166">
        <v>2.45671666666667</v>
      </c>
      <c r="D434" s="170">
        <v>2358.6623768682002</v>
      </c>
      <c r="E434" s="166">
        <v>2.4587333333333299</v>
      </c>
      <c r="F434" s="170">
        <v>2543.3719999999998</v>
      </c>
      <c r="G434" s="613">
        <f t="shared" si="85"/>
        <v>0.92737608846374042</v>
      </c>
      <c r="H434" s="618">
        <f t="shared" si="84"/>
        <v>2.5988685043260205E-3</v>
      </c>
    </row>
    <row r="435" spans="1:8" ht="19.95" customHeight="1">
      <c r="A435" s="837" t="s">
        <v>1684</v>
      </c>
      <c r="B435" s="841">
        <v>45343.850717592599</v>
      </c>
      <c r="C435" s="166">
        <v>2.4607000000000001</v>
      </c>
      <c r="D435" s="170">
        <v>2223.2960318330602</v>
      </c>
      <c r="E435" s="166">
        <v>2.45868333333333</v>
      </c>
      <c r="F435" s="170">
        <v>2391.4054999999898</v>
      </c>
      <c r="G435" s="613">
        <f t="shared" si="85"/>
        <v>0.92970265052625733</v>
      </c>
      <c r="H435" s="618">
        <f t="shared" si="84"/>
        <v>2.6053884361453231E-3</v>
      </c>
    </row>
    <row r="436" spans="1:8" ht="19.95" customHeight="1">
      <c r="A436" s="837" t="s">
        <v>1304</v>
      </c>
      <c r="B436" s="841">
        <v>45343.860381944403</v>
      </c>
      <c r="C436" s="166">
        <v>2.4547333333333299</v>
      </c>
      <c r="D436" s="170">
        <v>2596.70301969605</v>
      </c>
      <c r="E436" s="166">
        <v>2.4547333333333299</v>
      </c>
      <c r="F436" s="170">
        <v>2685.2999999999702</v>
      </c>
      <c r="G436" s="613">
        <f t="shared" si="85"/>
        <v>0.96700667325664869</v>
      </c>
      <c r="H436" s="618">
        <f t="shared" si="84"/>
        <v>2.7099288172967037E-3</v>
      </c>
    </row>
    <row r="437" spans="1:8" ht="19.95" customHeight="1">
      <c r="A437" s="837" t="s">
        <v>1686</v>
      </c>
      <c r="B437" s="841">
        <v>45343.870127314804</v>
      </c>
      <c r="C437" s="166">
        <v>2.4608666666666701</v>
      </c>
      <c r="D437" s="170">
        <v>4286.0516927756498</v>
      </c>
      <c r="E437" s="166">
        <v>2.4608666666666701</v>
      </c>
      <c r="F437" s="170">
        <v>2324.9929999999999</v>
      </c>
      <c r="G437" s="613">
        <f t="shared" si="85"/>
        <v>1.8434686438951213</v>
      </c>
      <c r="H437" s="618">
        <f t="shared" si="84"/>
        <v>5.1661161603466909E-3</v>
      </c>
    </row>
    <row r="438" spans="1:8" ht="19.95" customHeight="1">
      <c r="A438" s="837" t="s">
        <v>1708</v>
      </c>
      <c r="B438" s="841">
        <v>45343.879780092597</v>
      </c>
      <c r="C438" s="166">
        <v>2.4647999999999999</v>
      </c>
      <c r="D438" s="170">
        <v>8107.17007231754</v>
      </c>
      <c r="E438" s="166">
        <v>2.4647999999999999</v>
      </c>
      <c r="F438" s="170">
        <v>2861.078</v>
      </c>
      <c r="G438" s="614">
        <f t="shared" si="85"/>
        <v>2.8336067986673346</v>
      </c>
      <c r="H438" s="621">
        <f t="shared" si="84"/>
        <v>7.9408683858776807E-3</v>
      </c>
    </row>
    <row r="439" spans="1:8" ht="19.95" customHeight="1">
      <c r="A439" s="837" t="s">
        <v>1312</v>
      </c>
      <c r="B439" s="841">
        <v>45343.889421296299</v>
      </c>
      <c r="C439" s="166" t="s">
        <v>109</v>
      </c>
      <c r="D439" s="170" t="s">
        <v>109</v>
      </c>
      <c r="E439" s="166" t="s">
        <v>109</v>
      </c>
      <c r="F439" s="170" t="s">
        <v>109</v>
      </c>
      <c r="G439" s="627"/>
      <c r="H439" s="628"/>
    </row>
    <row r="440" spans="1:8" ht="19.95" customHeight="1">
      <c r="A440" s="837" t="s">
        <v>1687</v>
      </c>
      <c r="B440" s="841">
        <v>45343.899074074099</v>
      </c>
      <c r="C440" s="166">
        <v>2.4548666666666699</v>
      </c>
      <c r="D440" s="170">
        <v>8.7035000000000196</v>
      </c>
      <c r="E440" s="166" t="s">
        <v>109</v>
      </c>
      <c r="F440" s="170" t="s">
        <v>109</v>
      </c>
      <c r="G440" s="613"/>
      <c r="H440" s="618"/>
    </row>
    <row r="441" spans="1:8" ht="19.95" customHeight="1">
      <c r="A441" s="837" t="s">
        <v>1688</v>
      </c>
      <c r="B441" s="841">
        <v>45343.908668981501</v>
      </c>
      <c r="C441" s="166">
        <v>2.4508333333333301</v>
      </c>
      <c r="D441" s="170">
        <v>5.5594999999999999</v>
      </c>
      <c r="E441" s="166" t="s">
        <v>109</v>
      </c>
      <c r="F441" s="170" t="s">
        <v>109</v>
      </c>
      <c r="G441" s="613"/>
      <c r="H441" s="618"/>
    </row>
    <row r="442" spans="1:8" ht="19.95" customHeight="1">
      <c r="A442" s="837" t="s">
        <v>1689</v>
      </c>
      <c r="B442" s="841">
        <v>45343.918298611097</v>
      </c>
      <c r="C442" s="166">
        <v>2.4446333333333299</v>
      </c>
      <c r="D442" s="170">
        <v>36.450500000000197</v>
      </c>
      <c r="E442" s="166">
        <v>2.45671666666667</v>
      </c>
      <c r="F442" s="170">
        <v>2268.7195000000002</v>
      </c>
      <c r="G442" s="613"/>
      <c r="H442" s="618"/>
    </row>
    <row r="443" spans="1:8" ht="19.95" customHeight="1">
      <c r="A443" s="837" t="s">
        <v>1690</v>
      </c>
      <c r="B443" s="841">
        <v>45343.928043981497</v>
      </c>
      <c r="C443" s="166">
        <v>2.4588666666666699</v>
      </c>
      <c r="D443" s="170">
        <v>111.71250000000001</v>
      </c>
      <c r="E443" s="166">
        <v>2.4588666666666699</v>
      </c>
      <c r="F443" s="170">
        <v>2659.4185000000102</v>
      </c>
      <c r="G443" s="613"/>
      <c r="H443" s="618"/>
    </row>
    <row r="444" spans="1:8" ht="19.95" customHeight="1">
      <c r="A444" s="837" t="s">
        <v>1320</v>
      </c>
      <c r="B444" s="841">
        <v>45343.937673611101</v>
      </c>
      <c r="C444" s="166">
        <v>2.45488333333333</v>
      </c>
      <c r="D444" s="170">
        <v>1308.1493889129599</v>
      </c>
      <c r="E444" s="166">
        <v>2.45488333333333</v>
      </c>
      <c r="F444" s="170">
        <v>2658.9270000000001</v>
      </c>
      <c r="G444" s="613">
        <f>D444/F444</f>
        <v>0.49198394273816465</v>
      </c>
      <c r="H444" s="618">
        <f t="shared" ref="H444:H460" si="86">G444*$G$480</f>
        <v>1.3787303655137802E-3</v>
      </c>
    </row>
    <row r="445" spans="1:8" ht="19.95" customHeight="1">
      <c r="A445" s="837" t="s">
        <v>1321</v>
      </c>
      <c r="B445" s="841">
        <v>45343.947326388901</v>
      </c>
      <c r="C445" s="166">
        <v>2.4648333333333299</v>
      </c>
      <c r="D445" s="170">
        <v>2560.8882307692302</v>
      </c>
      <c r="E445" s="166">
        <v>2.4648333333333299</v>
      </c>
      <c r="F445" s="170">
        <v>2668.797</v>
      </c>
      <c r="G445" s="613">
        <f t="shared" ref="G445:G460" si="87">D445/F445</f>
        <v>0.95956651284051586</v>
      </c>
      <c r="H445" s="618">
        <f t="shared" si="86"/>
        <v>2.6890785939481031E-3</v>
      </c>
    </row>
    <row r="446" spans="1:8" ht="19.95" customHeight="1">
      <c r="A446" s="837" t="s">
        <v>1322</v>
      </c>
      <c r="B446" s="841">
        <v>45343.956979166702</v>
      </c>
      <c r="C446" s="166">
        <v>2.4526500000000002</v>
      </c>
      <c r="D446" s="170">
        <v>2706.7441903201102</v>
      </c>
      <c r="E446" s="166">
        <v>2.4506333333333301</v>
      </c>
      <c r="F446" s="170">
        <v>2805.7125000000001</v>
      </c>
      <c r="G446" s="613">
        <f t="shared" si="87"/>
        <v>0.96472614008745017</v>
      </c>
      <c r="H446" s="618">
        <f t="shared" si="86"/>
        <v>2.7035378763394929E-3</v>
      </c>
    </row>
    <row r="447" spans="1:8" ht="19.95" customHeight="1">
      <c r="A447" s="837" t="s">
        <v>1324</v>
      </c>
      <c r="B447" s="841">
        <v>45343.966585648202</v>
      </c>
      <c r="C447" s="166">
        <v>2.4586666666666699</v>
      </c>
      <c r="D447" s="170">
        <v>5437.8068333426199</v>
      </c>
      <c r="E447" s="166">
        <v>2.4586666666666699</v>
      </c>
      <c r="F447" s="170">
        <v>2897.39749999999</v>
      </c>
      <c r="G447" s="613">
        <f t="shared" si="87"/>
        <v>1.8767900618892088</v>
      </c>
      <c r="H447" s="618">
        <f t="shared" si="86"/>
        <v>5.2594957339863035E-3</v>
      </c>
    </row>
    <row r="448" spans="1:8" ht="19.95" customHeight="1">
      <c r="A448" s="837" t="s">
        <v>1691</v>
      </c>
      <c r="B448" s="841">
        <v>45343.9761574074</v>
      </c>
      <c r="C448" s="166">
        <v>2.4507166666666702</v>
      </c>
      <c r="D448" s="170">
        <v>2265.4070437231799</v>
      </c>
      <c r="E448" s="166">
        <v>2.4507166666666702</v>
      </c>
      <c r="F448" s="170">
        <v>2413.24750000002</v>
      </c>
      <c r="G448" s="613">
        <f t="shared" si="87"/>
        <v>0.93873796356285921</v>
      </c>
      <c r="H448" s="618">
        <f t="shared" si="86"/>
        <v>2.6307088975737062E-3</v>
      </c>
    </row>
    <row r="449" spans="1:8" ht="19.95" customHeight="1">
      <c r="A449" s="837" t="s">
        <v>1692</v>
      </c>
      <c r="B449" s="841">
        <v>45343.985891203702</v>
      </c>
      <c r="C449" s="166">
        <v>2.45481666666667</v>
      </c>
      <c r="D449" s="170">
        <v>2233.8924274525298</v>
      </c>
      <c r="E449" s="166">
        <v>2.45481666666667</v>
      </c>
      <c r="F449" s="170">
        <v>2400.1439999999998</v>
      </c>
      <c r="G449" s="613">
        <f t="shared" si="87"/>
        <v>0.93073266747850547</v>
      </c>
      <c r="H449" s="618">
        <f t="shared" si="86"/>
        <v>2.6082749442723051E-3</v>
      </c>
    </row>
    <row r="450" spans="1:8" ht="19.95" customHeight="1">
      <c r="A450" s="837" t="s">
        <v>1693</v>
      </c>
      <c r="B450" s="841">
        <v>45343.995590277802</v>
      </c>
      <c r="C450" s="166">
        <v>2.4508666666666699</v>
      </c>
      <c r="D450" s="170">
        <v>2319.2666469845999</v>
      </c>
      <c r="E450" s="166">
        <v>2.4508666666666699</v>
      </c>
      <c r="F450" s="170">
        <v>2505.6615000000002</v>
      </c>
      <c r="G450" s="613">
        <f t="shared" si="87"/>
        <v>0.92561052120751341</v>
      </c>
      <c r="H450" s="618">
        <f t="shared" si="86"/>
        <v>2.5939206981537926E-3</v>
      </c>
    </row>
    <row r="451" spans="1:8" ht="19.95" customHeight="1">
      <c r="A451" s="837" t="s">
        <v>1694</v>
      </c>
      <c r="B451" s="841">
        <v>45344.005219907398</v>
      </c>
      <c r="C451" s="166">
        <v>2.4486833333333302</v>
      </c>
      <c r="D451" s="170">
        <v>2280.3020583301</v>
      </c>
      <c r="E451" s="166">
        <v>2.4506999999999999</v>
      </c>
      <c r="F451" s="170">
        <v>2439.21199999999</v>
      </c>
      <c r="G451" s="613">
        <f t="shared" si="87"/>
        <v>0.9348519351044966</v>
      </c>
      <c r="H451" s="618">
        <f t="shared" si="86"/>
        <v>2.6198187343562315E-3</v>
      </c>
    </row>
    <row r="452" spans="1:8" ht="19.95" customHeight="1">
      <c r="A452" s="837" t="s">
        <v>1695</v>
      </c>
      <c r="B452" s="841">
        <v>45344.0149074074</v>
      </c>
      <c r="C452" s="166">
        <v>2.45885</v>
      </c>
      <c r="D452" s="170">
        <v>2238.9914583515902</v>
      </c>
      <c r="E452" s="166">
        <v>2.45885</v>
      </c>
      <c r="F452" s="170">
        <v>2402.9520000000002</v>
      </c>
      <c r="G452" s="613">
        <f t="shared" si="87"/>
        <v>0.93176703419443663</v>
      </c>
      <c r="H452" s="618">
        <f t="shared" si="86"/>
        <v>2.611173642128975E-3</v>
      </c>
    </row>
    <row r="453" spans="1:8" ht="19.95" customHeight="1">
      <c r="A453" s="837" t="s">
        <v>1696</v>
      </c>
      <c r="B453" s="841">
        <v>45344.024583333303</v>
      </c>
      <c r="C453" s="166">
        <v>2.44878333333333</v>
      </c>
      <c r="D453" s="170">
        <v>2243.7806275005701</v>
      </c>
      <c r="E453" s="166">
        <v>2.4508000000000001</v>
      </c>
      <c r="F453" s="170">
        <v>2401.1580000000199</v>
      </c>
      <c r="G453" s="613">
        <f t="shared" si="87"/>
        <v>0.93445771894250673</v>
      </c>
      <c r="H453" s="618">
        <f t="shared" si="86"/>
        <v>2.6187139873393131E-3</v>
      </c>
    </row>
    <row r="454" spans="1:8" ht="19.95" customHeight="1">
      <c r="A454" s="837" t="s">
        <v>1697</v>
      </c>
      <c r="B454" s="841">
        <v>45344.034178240698</v>
      </c>
      <c r="C454" s="166">
        <v>2.4507833333333302</v>
      </c>
      <c r="D454" s="170">
        <v>2201.23062659262</v>
      </c>
      <c r="E454" s="166">
        <v>2.4507833333333302</v>
      </c>
      <c r="F454" s="170">
        <v>2376.9225000000001</v>
      </c>
      <c r="G454" s="613">
        <f t="shared" si="87"/>
        <v>0.92608430716298906</v>
      </c>
      <c r="H454" s="618">
        <f t="shared" si="86"/>
        <v>2.5952484306808596E-3</v>
      </c>
    </row>
    <row r="455" spans="1:8" ht="19.95" customHeight="1">
      <c r="A455" s="837" t="s">
        <v>1698</v>
      </c>
      <c r="B455" s="841">
        <v>45344.043831018498</v>
      </c>
      <c r="C455" s="166">
        <v>2.4507833333333302</v>
      </c>
      <c r="D455" s="170">
        <v>2290.8125426237498</v>
      </c>
      <c r="E455" s="166">
        <v>2.4527999999999999</v>
      </c>
      <c r="F455" s="170">
        <v>2462.6325000000002</v>
      </c>
      <c r="G455" s="613">
        <f t="shared" si="87"/>
        <v>0.93022915218724256</v>
      </c>
      <c r="H455" s="618">
        <f t="shared" si="86"/>
        <v>2.6068638985830882E-3</v>
      </c>
    </row>
    <row r="456" spans="1:8" ht="19.95" customHeight="1">
      <c r="A456" s="837" t="s">
        <v>1699</v>
      </c>
      <c r="B456" s="841">
        <v>45344.053657407399</v>
      </c>
      <c r="C456" s="166">
        <v>2.4567999999999999</v>
      </c>
      <c r="D456" s="170">
        <v>2263.8833092278201</v>
      </c>
      <c r="E456" s="166">
        <v>2.4608333333333299</v>
      </c>
      <c r="F456" s="170">
        <v>2451.1395000000002</v>
      </c>
      <c r="G456" s="613">
        <f t="shared" si="87"/>
        <v>0.92360443345954801</v>
      </c>
      <c r="H456" s="618">
        <f t="shared" si="86"/>
        <v>2.5882988600128736E-3</v>
      </c>
    </row>
    <row r="457" spans="1:8" ht="19.95" customHeight="1">
      <c r="A457" s="837" t="s">
        <v>1700</v>
      </c>
      <c r="B457" s="841">
        <v>45344.063321759299</v>
      </c>
      <c r="C457" s="166">
        <v>2.4586999999999999</v>
      </c>
      <c r="D457" s="170">
        <v>2113.8585817455801</v>
      </c>
      <c r="E457" s="166">
        <v>2.46071666666667</v>
      </c>
      <c r="F457" s="170">
        <v>2290.0079999999998</v>
      </c>
      <c r="G457" s="613">
        <f t="shared" si="87"/>
        <v>0.92307912537667125</v>
      </c>
      <c r="H457" s="618">
        <f t="shared" si="86"/>
        <v>2.5868267424452125E-3</v>
      </c>
    </row>
    <row r="458" spans="1:8" ht="19.95" customHeight="1">
      <c r="A458" s="837" t="s">
        <v>1323</v>
      </c>
      <c r="B458" s="841">
        <v>45344.072974536997</v>
      </c>
      <c r="C458" s="166">
        <v>2.4567666666666699</v>
      </c>
      <c r="D458" s="170">
        <v>2631.6116153846201</v>
      </c>
      <c r="E458" s="166">
        <v>2.4587833333333302</v>
      </c>
      <c r="F458" s="170">
        <v>2714.15276923077</v>
      </c>
      <c r="G458" s="613">
        <f t="shared" si="87"/>
        <v>0.96958861167216348</v>
      </c>
      <c r="H458" s="618">
        <f t="shared" si="86"/>
        <v>2.7171644129861576E-3</v>
      </c>
    </row>
    <row r="459" spans="1:8" ht="19.95" customHeight="1">
      <c r="A459" s="842" t="s">
        <v>1702</v>
      </c>
      <c r="B459" s="841">
        <v>45344.082627314798</v>
      </c>
      <c r="C459" s="56">
        <v>2.4507333333333299</v>
      </c>
      <c r="D459" s="171">
        <v>4438.9497173050104</v>
      </c>
      <c r="E459" s="56">
        <v>2.4507333333333299</v>
      </c>
      <c r="F459" s="171">
        <v>2404.16950000001</v>
      </c>
      <c r="G459" s="613">
        <f t="shared" si="87"/>
        <v>1.8463547255320358</v>
      </c>
      <c r="H459" s="618">
        <f t="shared" si="86"/>
        <v>5.1742040836395111E-3</v>
      </c>
    </row>
    <row r="460" spans="1:8" ht="19.95" customHeight="1">
      <c r="A460" s="839" t="s">
        <v>1709</v>
      </c>
      <c r="B460" s="836">
        <v>45344.0922685185</v>
      </c>
      <c r="C460" s="169">
        <v>2.4608166666666702</v>
      </c>
      <c r="D460" s="172">
        <v>8348.2218070849194</v>
      </c>
      <c r="E460" s="169">
        <v>2.4608166666666702</v>
      </c>
      <c r="F460" s="172">
        <v>2931.9560769230802</v>
      </c>
      <c r="G460" s="614">
        <f t="shared" si="87"/>
        <v>2.8473215791983826</v>
      </c>
      <c r="H460" s="621">
        <f t="shared" si="86"/>
        <v>7.9793025353120575E-3</v>
      </c>
    </row>
    <row r="462" spans="1:8" ht="19.95" customHeight="1">
      <c r="A462" s="480" t="s">
        <v>1710</v>
      </c>
      <c r="G462" s="587" t="s">
        <v>262</v>
      </c>
      <c r="H462" s="587" t="s">
        <v>262</v>
      </c>
    </row>
    <row r="463" spans="1:8" ht="19.95" customHeight="1">
      <c r="A463" s="161">
        <f>D396/AVERAGE(D404:D413)</f>
        <v>2.3452571843120894E-3</v>
      </c>
      <c r="G463" s="161">
        <f t="shared" ref="G463:G479" si="88">STDEV(G400,G422,G444)/AVERAGE(G400,G422,G444)</f>
        <v>2.6049166207151686E-3</v>
      </c>
      <c r="H463" s="82">
        <f>CHAR_HOM!G593*CHAR_HOM!B593</f>
        <v>9.1252795065027328E-2</v>
      </c>
    </row>
    <row r="464" spans="1:8" ht="19.95" customHeight="1">
      <c r="G464" s="161">
        <f t="shared" si="88"/>
        <v>3.9583119053411848E-3</v>
      </c>
      <c r="H464" s="80">
        <f>CHAR_HOM!G594*CHAR_HOM!B594</f>
        <v>9.1035839480576308E-2</v>
      </c>
    </row>
    <row r="465" spans="1:8" ht="19.95" customHeight="1">
      <c r="A465" s="522"/>
      <c r="G465" s="161">
        <f t="shared" si="88"/>
        <v>3.1298143336149103E-3</v>
      </c>
      <c r="H465" s="80">
        <f>CHAR_HOM!G595*CHAR_HOM!B595</f>
        <v>9.0470506554687039E-2</v>
      </c>
    </row>
    <row r="466" spans="1:8" ht="19.95" customHeight="1">
      <c r="G466" s="161">
        <f t="shared" si="88"/>
        <v>2.1987038221758619E-3</v>
      </c>
      <c r="H466" s="80">
        <f>CHAR_HOM!G596*CHAR_HOM!B596</f>
        <v>9.1022404488414518E-2</v>
      </c>
    </row>
    <row r="467" spans="1:8" ht="19.95" customHeight="1">
      <c r="G467" s="161">
        <f t="shared" si="88"/>
        <v>3.338030320598847E-3</v>
      </c>
      <c r="H467" s="80">
        <f>CHAR_HOM!G597*CHAR_HOM!B597</f>
        <v>9.0921958182543616E-2</v>
      </c>
    </row>
    <row r="468" spans="1:8" ht="19.95" customHeight="1">
      <c r="G468" s="161">
        <f t="shared" si="88"/>
        <v>2.8023889516401242E-3</v>
      </c>
      <c r="H468" s="80">
        <f>CHAR_HOM!G598*CHAR_HOM!B598</f>
        <v>9.0597182952749891E-2</v>
      </c>
    </row>
    <row r="469" spans="1:8" ht="19.95" customHeight="1">
      <c r="G469" s="161">
        <f t="shared" si="88"/>
        <v>1.131835572500312E-3</v>
      </c>
      <c r="H469" s="80">
        <f>CHAR_HOM!G599*CHAR_HOM!B599</f>
        <v>9.0715899396387925E-2</v>
      </c>
    </row>
    <row r="470" spans="1:8" ht="19.95" customHeight="1">
      <c r="G470" s="161">
        <f t="shared" si="88"/>
        <v>2.5219558843045577E-3</v>
      </c>
      <c r="H470" s="80">
        <f>CHAR_HOM!G600*CHAR_HOM!B600</f>
        <v>9.1142914463693825E-2</v>
      </c>
    </row>
    <row r="471" spans="1:8" ht="19.95" customHeight="1">
      <c r="G471" s="161">
        <f t="shared" si="88"/>
        <v>2.5607002012553379E-3</v>
      </c>
      <c r="H471" s="80">
        <f>CHAR_HOM!G601*CHAR_HOM!B601</f>
        <v>9.056199075086542E-2</v>
      </c>
    </row>
    <row r="472" spans="1:8" ht="19.95" customHeight="1">
      <c r="G472" s="161">
        <f t="shared" si="88"/>
        <v>8.5267580461540152E-3</v>
      </c>
      <c r="H472" s="80">
        <f>CHAR_HOM!G602*CHAR_HOM!B602</f>
        <v>9.0764780311878374E-2</v>
      </c>
    </row>
    <row r="473" spans="1:8" ht="19.95" customHeight="1">
      <c r="G473" s="161">
        <f t="shared" si="88"/>
        <v>3.4605456877263622E-3</v>
      </c>
      <c r="H473" s="80"/>
    </row>
    <row r="474" spans="1:8" ht="19.95" customHeight="1">
      <c r="G474" s="161">
        <f t="shared" si="88"/>
        <v>3.2875871435978694E-4</v>
      </c>
      <c r="H474" s="80"/>
    </row>
    <row r="475" spans="1:8" ht="19.95" customHeight="1">
      <c r="G475" s="161">
        <f t="shared" si="88"/>
        <v>3.2084374825797975E-3</v>
      </c>
      <c r="H475" s="80"/>
    </row>
    <row r="476" spans="1:8" ht="19.95" customHeight="1">
      <c r="G476" s="161">
        <f t="shared" si="88"/>
        <v>3.7455723138464089E-3</v>
      </c>
      <c r="H476" s="80"/>
    </row>
    <row r="477" spans="1:8" ht="19.95" customHeight="1">
      <c r="G477" s="161">
        <f t="shared" si="88"/>
        <v>2.0875115002650692E-3</v>
      </c>
      <c r="H477" s="80"/>
    </row>
    <row r="478" spans="1:8" ht="19.95" customHeight="1">
      <c r="G478" s="161">
        <f t="shared" si="88"/>
        <v>2.5757479157334008E-3</v>
      </c>
      <c r="H478" s="80"/>
    </row>
    <row r="479" spans="1:8" ht="19.95" customHeight="1">
      <c r="G479" s="202">
        <f t="shared" si="88"/>
        <v>4.4858931389757462E-3</v>
      </c>
      <c r="H479" s="81"/>
    </row>
    <row r="480" spans="1:8" ht="19.95" customHeight="1">
      <c r="G480" s="637">
        <f>MEDIAN(G463:G479)</f>
        <v>2.8023889516401242E-3</v>
      </c>
      <c r="H480" s="417">
        <f>STDEV(H463:H472)/AVERAGE(H463:H472)</f>
        <v>2.9205444732622278E-3</v>
      </c>
    </row>
    <row r="482" spans="1:5" s="149" customFormat="1" ht="19.95" customHeight="1">
      <c r="A482" s="150" t="s">
        <v>2103</v>
      </c>
    </row>
    <row r="484" spans="1:5" ht="19.95" customHeight="1">
      <c r="A484" s="587" t="s">
        <v>102</v>
      </c>
      <c r="B484" s="587" t="s">
        <v>2</v>
      </c>
      <c r="C484" s="587" t="s">
        <v>1083</v>
      </c>
      <c r="D484" s="480"/>
      <c r="E484" s="480"/>
    </row>
    <row r="485" spans="1:5" ht="19.95" customHeight="1">
      <c r="A485" s="588" t="s">
        <v>1712</v>
      </c>
      <c r="B485" s="840" t="s">
        <v>1713</v>
      </c>
      <c r="C485" s="588">
        <v>-2.52E-4</v>
      </c>
      <c r="D485" s="588"/>
    </row>
    <row r="486" spans="1:5" ht="19.95" customHeight="1">
      <c r="A486" s="588" t="s">
        <v>1714</v>
      </c>
      <c r="B486" s="840" t="s">
        <v>1715</v>
      </c>
      <c r="C486" s="588">
        <v>-4.17E-4</v>
      </c>
      <c r="D486" s="588"/>
    </row>
    <row r="487" spans="1:5" ht="19.95" customHeight="1">
      <c r="A487" s="588" t="s">
        <v>1593</v>
      </c>
      <c r="B487" s="840" t="s">
        <v>1716</v>
      </c>
      <c r="C487" s="588">
        <v>-4.17E-4</v>
      </c>
      <c r="D487" s="588"/>
    </row>
    <row r="488" spans="1:5" ht="19.95" customHeight="1">
      <c r="A488" s="588" t="s">
        <v>1595</v>
      </c>
      <c r="B488" s="840" t="s">
        <v>1717</v>
      </c>
      <c r="C488" s="588">
        <v>-3.77E-4</v>
      </c>
      <c r="D488" s="588"/>
    </row>
    <row r="489" spans="1:5" ht="19.95" customHeight="1">
      <c r="A489" s="588" t="s">
        <v>1596</v>
      </c>
      <c r="B489" s="840" t="s">
        <v>1718</v>
      </c>
      <c r="C489" s="588">
        <v>-2.1800000000000001E-4</v>
      </c>
      <c r="D489" s="588"/>
    </row>
    <row r="490" spans="1:5" ht="19.95" customHeight="1">
      <c r="A490" s="588" t="s">
        <v>1597</v>
      </c>
      <c r="B490" s="840" t="s">
        <v>1719</v>
      </c>
      <c r="C490" s="588">
        <v>2.3E-5</v>
      </c>
      <c r="D490" s="588"/>
    </row>
    <row r="491" spans="1:5" ht="19.95" customHeight="1">
      <c r="A491" s="588" t="s">
        <v>1468</v>
      </c>
      <c r="B491" s="840" t="s">
        <v>1720</v>
      </c>
      <c r="C491" s="588">
        <v>4.5523000000000001E-2</v>
      </c>
      <c r="D491" s="588"/>
    </row>
    <row r="492" spans="1:5" ht="19.95" customHeight="1">
      <c r="A492" s="588" t="s">
        <v>1473</v>
      </c>
      <c r="B492" s="840" t="s">
        <v>1721</v>
      </c>
      <c r="C492" s="588">
        <v>6.4782999999999993E-2</v>
      </c>
      <c r="D492" s="588"/>
    </row>
    <row r="493" spans="1:5" ht="19.95" customHeight="1">
      <c r="A493" s="588" t="s">
        <v>1475</v>
      </c>
      <c r="B493" s="840" t="s">
        <v>1722</v>
      </c>
      <c r="C493" s="588">
        <v>8.6985000000000007E-2</v>
      </c>
      <c r="D493" s="588"/>
    </row>
    <row r="494" spans="1:5" ht="19.95" customHeight="1">
      <c r="A494" s="588" t="s">
        <v>1476</v>
      </c>
      <c r="B494" s="840" t="s">
        <v>1723</v>
      </c>
      <c r="C494" s="588">
        <v>0.12709799999999999</v>
      </c>
      <c r="D494" s="588"/>
    </row>
    <row r="495" spans="1:5" ht="19.95" customHeight="1">
      <c r="A495" s="588" t="s">
        <v>1477</v>
      </c>
      <c r="B495" s="840" t="s">
        <v>1724</v>
      </c>
      <c r="C495" s="588">
        <v>0.171653</v>
      </c>
      <c r="D495" s="588"/>
    </row>
    <row r="496" spans="1:5" ht="19.95" customHeight="1">
      <c r="A496" s="588" t="s">
        <v>1604</v>
      </c>
      <c r="B496" s="840" t="s">
        <v>1725</v>
      </c>
      <c r="C496" s="588">
        <v>8.3904999999999993E-2</v>
      </c>
      <c r="D496" s="588"/>
    </row>
    <row r="497" spans="1:4" ht="19.95" customHeight="1">
      <c r="A497" s="588" t="s">
        <v>1605</v>
      </c>
      <c r="B497" s="840" t="s">
        <v>1726</v>
      </c>
      <c r="C497" s="588">
        <v>8.3474999999999994E-2</v>
      </c>
      <c r="D497" s="588"/>
    </row>
    <row r="498" spans="1:4" ht="19.95" customHeight="1">
      <c r="A498" s="588" t="s">
        <v>1606</v>
      </c>
      <c r="B498" s="840" t="s">
        <v>1727</v>
      </c>
      <c r="C498" s="588">
        <v>8.3304000000000003E-2</v>
      </c>
      <c r="D498" s="588"/>
    </row>
    <row r="499" spans="1:4" ht="19.95" customHeight="1">
      <c r="A499" s="588" t="s">
        <v>1607</v>
      </c>
      <c r="B499" s="840" t="s">
        <v>1728</v>
      </c>
      <c r="C499" s="588">
        <v>8.3228999999999997E-2</v>
      </c>
      <c r="D499" s="588"/>
    </row>
    <row r="500" spans="1:4" ht="19.95" customHeight="1">
      <c r="A500" s="588" t="s">
        <v>1608</v>
      </c>
      <c r="B500" s="840" t="s">
        <v>1729</v>
      </c>
      <c r="C500" s="588">
        <v>8.4108000000000002E-2</v>
      </c>
      <c r="D500" s="588"/>
    </row>
    <row r="501" spans="1:4" ht="19.95" customHeight="1">
      <c r="A501" s="588" t="s">
        <v>1609</v>
      </c>
      <c r="B501" s="840" t="s">
        <v>1730</v>
      </c>
      <c r="C501" s="588">
        <v>8.3171999999999996E-2</v>
      </c>
      <c r="D501" s="588"/>
    </row>
    <row r="502" spans="1:4" ht="19.95" customHeight="1">
      <c r="A502" s="588" t="s">
        <v>1610</v>
      </c>
      <c r="B502" s="840" t="s">
        <v>1731</v>
      </c>
      <c r="C502" s="588">
        <v>8.3875000000000005E-2</v>
      </c>
      <c r="D502" s="588"/>
    </row>
    <row r="503" spans="1:4" ht="19.95" customHeight="1">
      <c r="A503" s="588" t="s">
        <v>1611</v>
      </c>
      <c r="B503" s="840" t="s">
        <v>1732</v>
      </c>
      <c r="C503" s="588">
        <v>8.3345000000000002E-2</v>
      </c>
      <c r="D503" s="588"/>
    </row>
    <row r="504" spans="1:4" ht="19.95" customHeight="1">
      <c r="A504" s="588" t="s">
        <v>1612</v>
      </c>
      <c r="B504" s="840" t="s">
        <v>1733</v>
      </c>
      <c r="C504" s="588">
        <v>8.3099999999999993E-2</v>
      </c>
      <c r="D504" s="588"/>
    </row>
    <row r="505" spans="1:4" ht="19.95" customHeight="1">
      <c r="A505" s="588" t="s">
        <v>1613</v>
      </c>
      <c r="B505" s="840" t="s">
        <v>1734</v>
      </c>
      <c r="C505" s="588">
        <v>8.3043000000000006E-2</v>
      </c>
      <c r="D505" s="588"/>
    </row>
    <row r="506" spans="1:4" ht="19.95" customHeight="1">
      <c r="A506" s="589" t="s">
        <v>193</v>
      </c>
      <c r="B506" s="771" t="s">
        <v>1735</v>
      </c>
      <c r="C506" s="589">
        <v>0.16339899999999999</v>
      </c>
      <c r="D506" s="588"/>
    </row>
    <row r="508" spans="1:4" s="149" customFormat="1" ht="19.95" customHeight="1">
      <c r="A508" s="150" t="s">
        <v>2104</v>
      </c>
    </row>
    <row r="510" spans="1:4" ht="19.95" customHeight="1">
      <c r="A510" s="587" t="s">
        <v>102</v>
      </c>
      <c r="B510" s="587" t="s">
        <v>2</v>
      </c>
      <c r="C510" s="587" t="s">
        <v>104</v>
      </c>
    </row>
    <row r="511" spans="1:4" ht="19.95" customHeight="1">
      <c r="A511" s="382" t="s">
        <v>1712</v>
      </c>
      <c r="B511" s="840" t="s">
        <v>1739</v>
      </c>
      <c r="C511" s="382">
        <v>-5.9400000000000002E-4</v>
      </c>
    </row>
    <row r="512" spans="1:4" ht="19.95" customHeight="1">
      <c r="A512" s="382" t="s">
        <v>1714</v>
      </c>
      <c r="B512" s="840" t="s">
        <v>1740</v>
      </c>
      <c r="C512" s="382">
        <v>-2.6199999999999999E-3</v>
      </c>
    </row>
    <row r="513" spans="1:3" ht="19.95" customHeight="1">
      <c r="A513" s="382" t="s">
        <v>1593</v>
      </c>
      <c r="B513" s="840" t="s">
        <v>1741</v>
      </c>
      <c r="C513" s="382">
        <v>-1.9550000000000001E-3</v>
      </c>
    </row>
    <row r="514" spans="1:3" ht="19.95" customHeight="1">
      <c r="A514" s="382" t="s">
        <v>1594</v>
      </c>
      <c r="B514" s="840" t="s">
        <v>1742</v>
      </c>
      <c r="C514" s="382">
        <v>1.9699999999999999E-4</v>
      </c>
    </row>
    <row r="515" spans="1:3" ht="19.95" customHeight="1">
      <c r="A515" s="382" t="s">
        <v>1595</v>
      </c>
      <c r="B515" s="840" t="s">
        <v>1743</v>
      </c>
      <c r="C515" s="382">
        <v>-2.503E-3</v>
      </c>
    </row>
    <row r="516" spans="1:3" ht="19.95" customHeight="1">
      <c r="A516" s="382" t="s">
        <v>1596</v>
      </c>
      <c r="B516" s="840" t="s">
        <v>1744</v>
      </c>
      <c r="C516" s="382">
        <v>-6.0499999999999996E-4</v>
      </c>
    </row>
    <row r="517" spans="1:3" ht="19.95" customHeight="1">
      <c r="A517" s="382" t="s">
        <v>1597</v>
      </c>
      <c r="B517" s="840" t="s">
        <v>1745</v>
      </c>
      <c r="C517" s="382">
        <v>-2.1919999999999999E-3</v>
      </c>
    </row>
    <row r="518" spans="1:3" ht="19.95" customHeight="1">
      <c r="A518" s="382" t="s">
        <v>1468</v>
      </c>
      <c r="B518" s="840" t="s">
        <v>1746</v>
      </c>
      <c r="C518" s="382">
        <v>0.13370000000000001</v>
      </c>
    </row>
    <row r="519" spans="1:3" ht="19.95" customHeight="1">
      <c r="A519" s="382" t="s">
        <v>1473</v>
      </c>
      <c r="B519" s="840" t="s">
        <v>1747</v>
      </c>
      <c r="C519" s="382">
        <v>0.20197599999999999</v>
      </c>
    </row>
    <row r="520" spans="1:3" ht="19.95" customHeight="1">
      <c r="A520" s="382" t="s">
        <v>1475</v>
      </c>
      <c r="B520" s="840" t="s">
        <v>1748</v>
      </c>
      <c r="C520" s="382">
        <v>0.266789</v>
      </c>
    </row>
    <row r="521" spans="1:3" ht="19.95" customHeight="1">
      <c r="A521" s="382" t="s">
        <v>1476</v>
      </c>
      <c r="B521" s="840" t="s">
        <v>1749</v>
      </c>
      <c r="C521" s="382">
        <v>0.39080199999999998</v>
      </c>
    </row>
    <row r="522" spans="1:3" ht="19.95" customHeight="1">
      <c r="A522" s="382" t="s">
        <v>1477</v>
      </c>
      <c r="B522" s="840" t="s">
        <v>1750</v>
      </c>
      <c r="C522" s="382">
        <v>0.53540699999999997</v>
      </c>
    </row>
    <row r="523" spans="1:3" ht="19.95" customHeight="1">
      <c r="A523" s="382" t="s">
        <v>1604</v>
      </c>
      <c r="B523" s="840" t="s">
        <v>1751</v>
      </c>
      <c r="C523" s="382">
        <v>0.27373399999999998</v>
      </c>
    </row>
    <row r="524" spans="1:3" ht="19.95" customHeight="1">
      <c r="A524" s="382" t="s">
        <v>1605</v>
      </c>
      <c r="B524" s="840" t="s">
        <v>1752</v>
      </c>
      <c r="C524" s="382">
        <v>0.27548800000000001</v>
      </c>
    </row>
    <row r="525" spans="1:3" ht="19.95" customHeight="1">
      <c r="A525" s="382" t="s">
        <v>1606</v>
      </c>
      <c r="B525" s="840" t="s">
        <v>1753</v>
      </c>
      <c r="C525" s="382">
        <v>0.27477600000000002</v>
      </c>
    </row>
    <row r="526" spans="1:3" ht="19.95" customHeight="1">
      <c r="A526" s="382" t="s">
        <v>1607</v>
      </c>
      <c r="B526" s="840" t="s">
        <v>1754</v>
      </c>
      <c r="C526" s="382">
        <v>0.27464899999999998</v>
      </c>
    </row>
    <row r="527" spans="1:3" ht="19.95" customHeight="1">
      <c r="A527" s="382" t="s">
        <v>1608</v>
      </c>
      <c r="B527" s="840" t="s">
        <v>1755</v>
      </c>
      <c r="C527" s="382">
        <v>0.27584199999999998</v>
      </c>
    </row>
    <row r="528" spans="1:3" ht="19.95" customHeight="1">
      <c r="A528" s="382" t="s">
        <v>1609</v>
      </c>
      <c r="B528" s="840" t="s">
        <v>1756</v>
      </c>
      <c r="C528" s="382">
        <v>0.27459499999999998</v>
      </c>
    </row>
    <row r="529" spans="1:3" ht="19.95" customHeight="1">
      <c r="A529" s="382" t="s">
        <v>1610</v>
      </c>
      <c r="B529" s="840" t="s">
        <v>1757</v>
      </c>
      <c r="C529" s="382">
        <v>0.275476</v>
      </c>
    </row>
    <row r="530" spans="1:3" ht="19.95" customHeight="1">
      <c r="A530" s="382" t="s">
        <v>1611</v>
      </c>
      <c r="B530" s="840" t="s">
        <v>1758</v>
      </c>
      <c r="C530" s="382">
        <v>0.274698</v>
      </c>
    </row>
    <row r="531" spans="1:3" ht="19.95" customHeight="1">
      <c r="A531" s="382" t="s">
        <v>1612</v>
      </c>
      <c r="B531" s="840" t="s">
        <v>1759</v>
      </c>
      <c r="C531" s="382">
        <v>0.274563</v>
      </c>
    </row>
    <row r="532" spans="1:3" ht="19.95" customHeight="1">
      <c r="A532" s="382" t="s">
        <v>1613</v>
      </c>
      <c r="B532" s="840" t="s">
        <v>1760</v>
      </c>
      <c r="C532" s="382">
        <v>0.271957</v>
      </c>
    </row>
    <row r="533" spans="1:3" ht="19.95" customHeight="1">
      <c r="A533" s="593" t="s">
        <v>1761</v>
      </c>
      <c r="B533" s="770" t="s">
        <v>1762</v>
      </c>
      <c r="C533" s="593">
        <v>0.15677199999999999</v>
      </c>
    </row>
    <row r="534" spans="1:3" ht="19.95" customHeight="1">
      <c r="A534" s="589" t="s">
        <v>193</v>
      </c>
      <c r="B534" s="771" t="s">
        <v>1763</v>
      </c>
      <c r="C534" s="589">
        <v>0.15339</v>
      </c>
    </row>
    <row r="536" spans="1:3" s="149" customFormat="1" ht="19.95" customHeight="1">
      <c r="A536" s="150" t="s">
        <v>2105</v>
      </c>
    </row>
    <row r="538" spans="1:3" ht="19.95" customHeight="1">
      <c r="A538" s="587" t="s">
        <v>102</v>
      </c>
      <c r="B538" s="587" t="s">
        <v>2</v>
      </c>
      <c r="C538" s="587" t="s">
        <v>1142</v>
      </c>
    </row>
    <row r="539" spans="1:3" ht="19.95" customHeight="1">
      <c r="A539" s="382" t="s">
        <v>1712</v>
      </c>
      <c r="B539" s="840" t="s">
        <v>1765</v>
      </c>
      <c r="C539" s="382">
        <v>8.2799999999999996E-4</v>
      </c>
    </row>
    <row r="540" spans="1:3" ht="19.95" customHeight="1">
      <c r="A540" s="382" t="s">
        <v>1714</v>
      </c>
      <c r="B540" s="840" t="s">
        <v>1766</v>
      </c>
      <c r="C540" s="382">
        <v>-2.8200000000000002E-4</v>
      </c>
    </row>
    <row r="541" spans="1:3" ht="19.95" customHeight="1">
      <c r="A541" s="382" t="s">
        <v>1593</v>
      </c>
      <c r="B541" s="840" t="s">
        <v>1767</v>
      </c>
      <c r="C541" s="382">
        <v>-2.34E-4</v>
      </c>
    </row>
    <row r="542" spans="1:3" ht="19.95" customHeight="1">
      <c r="A542" s="382" t="s">
        <v>1594</v>
      </c>
      <c r="B542" s="840" t="s">
        <v>1768</v>
      </c>
      <c r="C542" s="382">
        <v>6.0000000000000002E-6</v>
      </c>
    </row>
    <row r="543" spans="1:3" ht="19.95" customHeight="1">
      <c r="A543" s="382" t="s">
        <v>1595</v>
      </c>
      <c r="B543" s="840" t="s">
        <v>1769</v>
      </c>
      <c r="C543" s="382">
        <v>3.8000000000000002E-5</v>
      </c>
    </row>
    <row r="544" spans="1:3" ht="19.95" customHeight="1">
      <c r="A544" s="382" t="s">
        <v>1596</v>
      </c>
      <c r="B544" s="840" t="s">
        <v>1770</v>
      </c>
      <c r="C544" s="382">
        <v>2.1699999999999999E-4</v>
      </c>
    </row>
    <row r="545" spans="1:3" ht="19.95" customHeight="1">
      <c r="A545" s="382" t="s">
        <v>1597</v>
      </c>
      <c r="B545" s="840" t="s">
        <v>1771</v>
      </c>
      <c r="C545" s="382">
        <v>1.1604E-2</v>
      </c>
    </row>
    <row r="546" spans="1:3" ht="19.95" customHeight="1">
      <c r="A546" s="382" t="s">
        <v>1468</v>
      </c>
      <c r="B546" s="840" t="s">
        <v>1772</v>
      </c>
      <c r="C546" s="382">
        <v>7.1960999999999997E-2</v>
      </c>
    </row>
    <row r="547" spans="1:3" ht="19.95" customHeight="1">
      <c r="A547" s="382" t="s">
        <v>1473</v>
      </c>
      <c r="B547" s="840" t="s">
        <v>1773</v>
      </c>
      <c r="C547" s="382">
        <v>0.100088</v>
      </c>
    </row>
    <row r="548" spans="1:3" ht="19.95" customHeight="1">
      <c r="A548" s="382" t="s">
        <v>1475</v>
      </c>
      <c r="B548" s="840" t="s">
        <v>1774</v>
      </c>
      <c r="C548" s="382">
        <v>0.12858900000000001</v>
      </c>
    </row>
    <row r="549" spans="1:3" ht="19.95" customHeight="1">
      <c r="A549" s="382" t="s">
        <v>1476</v>
      </c>
      <c r="B549" s="840" t="s">
        <v>1775</v>
      </c>
      <c r="C549" s="382">
        <v>0.187859</v>
      </c>
    </row>
    <row r="550" spans="1:3" ht="19.95" customHeight="1">
      <c r="A550" s="382" t="s">
        <v>1477</v>
      </c>
      <c r="B550" s="840" t="s">
        <v>1776</v>
      </c>
      <c r="C550" s="382">
        <v>0.24243500000000001</v>
      </c>
    </row>
    <row r="551" spans="1:3" ht="19.95" customHeight="1">
      <c r="A551" s="382" t="s">
        <v>1604</v>
      </c>
      <c r="B551" s="840" t="s">
        <v>1777</v>
      </c>
      <c r="C551" s="382">
        <v>0.11763999999999999</v>
      </c>
    </row>
    <row r="552" spans="1:3" ht="19.95" customHeight="1">
      <c r="A552" s="382" t="s">
        <v>1605</v>
      </c>
      <c r="B552" s="840" t="s">
        <v>1778</v>
      </c>
      <c r="C552" s="382">
        <v>0.118191</v>
      </c>
    </row>
    <row r="553" spans="1:3" ht="19.95" customHeight="1">
      <c r="A553" s="382" t="s">
        <v>1606</v>
      </c>
      <c r="B553" s="840" t="s">
        <v>1779</v>
      </c>
      <c r="C553" s="382">
        <v>0.11924</v>
      </c>
    </row>
    <row r="554" spans="1:3" ht="19.95" customHeight="1">
      <c r="A554" s="382" t="s">
        <v>1607</v>
      </c>
      <c r="B554" s="840" t="s">
        <v>1780</v>
      </c>
      <c r="C554" s="382">
        <v>0.11856</v>
      </c>
    </row>
    <row r="555" spans="1:3" ht="19.95" customHeight="1">
      <c r="A555" s="382" t="s">
        <v>1608</v>
      </c>
      <c r="B555" s="840" t="s">
        <v>1781</v>
      </c>
      <c r="C555" s="382">
        <v>0.119785</v>
      </c>
    </row>
    <row r="556" spans="1:3" ht="19.95" customHeight="1">
      <c r="A556" s="382" t="s">
        <v>1609</v>
      </c>
      <c r="B556" s="840" t="s">
        <v>1782</v>
      </c>
      <c r="C556" s="382">
        <v>0.11821</v>
      </c>
    </row>
    <row r="557" spans="1:3" ht="19.95" customHeight="1">
      <c r="A557" s="382" t="s">
        <v>1610</v>
      </c>
      <c r="B557" s="840" t="s">
        <v>1783</v>
      </c>
      <c r="C557" s="382">
        <v>0.119827</v>
      </c>
    </row>
    <row r="558" spans="1:3" ht="19.95" customHeight="1">
      <c r="A558" s="382" t="s">
        <v>1611</v>
      </c>
      <c r="B558" s="840" t="s">
        <v>1784</v>
      </c>
      <c r="C558" s="382">
        <v>0.118369</v>
      </c>
    </row>
    <row r="559" spans="1:3" ht="19.95" customHeight="1">
      <c r="A559" s="382" t="s">
        <v>1612</v>
      </c>
      <c r="B559" s="840" t="s">
        <v>1785</v>
      </c>
      <c r="C559" s="382">
        <v>0.119736</v>
      </c>
    </row>
    <row r="560" spans="1:3" ht="19.95" customHeight="1">
      <c r="A560" s="382" t="s">
        <v>1613</v>
      </c>
      <c r="B560" s="840" t="s">
        <v>1786</v>
      </c>
      <c r="C560" s="382">
        <v>0.119271</v>
      </c>
    </row>
    <row r="561" spans="1:3" ht="19.95" customHeight="1">
      <c r="A561" s="382" t="s">
        <v>1761</v>
      </c>
      <c r="B561" s="840" t="s">
        <v>1787</v>
      </c>
      <c r="C561" s="382">
        <v>0.14979899999999999</v>
      </c>
    </row>
    <row r="562" spans="1:3" ht="19.95" customHeight="1">
      <c r="A562" s="382" t="s">
        <v>193</v>
      </c>
      <c r="B562" s="840" t="s">
        <v>1788</v>
      </c>
      <c r="C562" s="382">
        <v>0.49205100000000002</v>
      </c>
    </row>
    <row r="563" spans="1:3" ht="19.95" customHeight="1">
      <c r="A563" s="589" t="s">
        <v>1789</v>
      </c>
      <c r="B563" s="771" t="s">
        <v>1790</v>
      </c>
      <c r="C563" s="589">
        <v>0.66192700000000004</v>
      </c>
    </row>
    <row r="565" spans="1:3" s="149" customFormat="1" ht="19.95" customHeight="1">
      <c r="A565" s="150" t="s">
        <v>2106</v>
      </c>
    </row>
    <row r="567" spans="1:3" ht="19.95" customHeight="1">
      <c r="A567" s="587" t="s">
        <v>102</v>
      </c>
      <c r="B567" s="587" t="s">
        <v>2</v>
      </c>
      <c r="C567" s="587" t="s">
        <v>1083</v>
      </c>
    </row>
    <row r="568" spans="1:3" ht="19.95" customHeight="1">
      <c r="A568" s="382" t="s">
        <v>1712</v>
      </c>
      <c r="B568" s="840" t="s">
        <v>1795</v>
      </c>
      <c r="C568" s="382">
        <v>1.2E-5</v>
      </c>
    </row>
    <row r="569" spans="1:3" ht="19.95" customHeight="1">
      <c r="A569" s="382" t="s">
        <v>1714</v>
      </c>
      <c r="B569" s="840" t="s">
        <v>1796</v>
      </c>
      <c r="C569" s="382">
        <v>-8.7000000000000001E-5</v>
      </c>
    </row>
    <row r="570" spans="1:3" ht="19.95" customHeight="1">
      <c r="A570" s="382" t="s">
        <v>1593</v>
      </c>
      <c r="B570" s="840" t="s">
        <v>1797</v>
      </c>
      <c r="C570" s="382">
        <v>-1.5799999999999999E-4</v>
      </c>
    </row>
    <row r="571" spans="1:3" ht="19.95" customHeight="1">
      <c r="A571" s="382" t="s">
        <v>1595</v>
      </c>
      <c r="B571" s="840" t="s">
        <v>1798</v>
      </c>
      <c r="C571" s="382">
        <v>4.3000000000000002E-5</v>
      </c>
    </row>
    <row r="572" spans="1:3" ht="19.95" customHeight="1">
      <c r="A572" s="382" t="s">
        <v>1596</v>
      </c>
      <c r="B572" s="840" t="s">
        <v>1799</v>
      </c>
      <c r="C572" s="382">
        <v>9.1000000000000003E-5</v>
      </c>
    </row>
    <row r="573" spans="1:3" ht="19.95" customHeight="1">
      <c r="A573" s="382" t="s">
        <v>1597</v>
      </c>
      <c r="B573" s="840" t="s">
        <v>1800</v>
      </c>
      <c r="C573" s="382">
        <v>5.0000000000000004E-6</v>
      </c>
    </row>
    <row r="574" spans="1:3" ht="19.95" customHeight="1">
      <c r="A574" s="382" t="s">
        <v>1468</v>
      </c>
      <c r="B574" s="840" t="s">
        <v>1801</v>
      </c>
      <c r="C574" s="382">
        <v>4.4309000000000001E-2</v>
      </c>
    </row>
    <row r="575" spans="1:3" ht="19.95" customHeight="1">
      <c r="A575" s="382" t="s">
        <v>1473</v>
      </c>
      <c r="B575" s="840" t="s">
        <v>1802</v>
      </c>
      <c r="C575" s="382">
        <v>6.5183000000000005E-2</v>
      </c>
    </row>
    <row r="576" spans="1:3" ht="19.95" customHeight="1">
      <c r="A576" s="382" t="s">
        <v>1475</v>
      </c>
      <c r="B576" s="840" t="s">
        <v>1803</v>
      </c>
      <c r="C576" s="382">
        <v>8.7085999999999997E-2</v>
      </c>
    </row>
    <row r="577" spans="1:12" ht="19.95" customHeight="1">
      <c r="A577" s="382" t="s">
        <v>1476</v>
      </c>
      <c r="B577" s="840" t="s">
        <v>1804</v>
      </c>
      <c r="C577" s="382">
        <v>0.13109499999999999</v>
      </c>
    </row>
    <row r="578" spans="1:12" ht="19.95" customHeight="1">
      <c r="A578" s="382" t="s">
        <v>1477</v>
      </c>
      <c r="B578" s="840" t="s">
        <v>1805</v>
      </c>
      <c r="C578" s="382">
        <v>0.200797</v>
      </c>
    </row>
    <row r="579" spans="1:12" ht="19.95" customHeight="1">
      <c r="A579" s="382" t="s">
        <v>1604</v>
      </c>
      <c r="B579" s="840" t="s">
        <v>1806</v>
      </c>
      <c r="C579" s="382">
        <v>8.4116999999999997E-2</v>
      </c>
    </row>
    <row r="580" spans="1:12" ht="19.95" customHeight="1">
      <c r="A580" s="382" t="s">
        <v>1605</v>
      </c>
      <c r="B580" s="840" t="s">
        <v>1807</v>
      </c>
      <c r="C580" s="382">
        <v>8.412E-2</v>
      </c>
    </row>
    <row r="581" spans="1:12" ht="19.95" customHeight="1">
      <c r="A581" s="382" t="s">
        <v>1606</v>
      </c>
      <c r="B581" s="840" t="s">
        <v>1808</v>
      </c>
      <c r="C581" s="382">
        <v>8.4168000000000007E-2</v>
      </c>
    </row>
    <row r="582" spans="1:12" ht="19.95" customHeight="1">
      <c r="A582" s="382" t="s">
        <v>1607</v>
      </c>
      <c r="B582" s="840" t="s">
        <v>1809</v>
      </c>
      <c r="C582" s="382">
        <v>8.4109000000000003E-2</v>
      </c>
    </row>
    <row r="583" spans="1:12" ht="19.95" customHeight="1">
      <c r="A583" s="382" t="s">
        <v>1608</v>
      </c>
      <c r="B583" s="840" t="s">
        <v>1810</v>
      </c>
      <c r="C583" s="382">
        <v>8.3852999999999997E-2</v>
      </c>
    </row>
    <row r="584" spans="1:12" ht="19.95" customHeight="1">
      <c r="A584" s="589" t="s">
        <v>193</v>
      </c>
      <c r="B584" s="771" t="s">
        <v>1811</v>
      </c>
      <c r="C584" s="589">
        <v>0.16705</v>
      </c>
    </row>
    <row r="586" spans="1:12" s="149" customFormat="1" ht="19.95" customHeight="1">
      <c r="A586" s="150" t="s">
        <v>2107</v>
      </c>
    </row>
    <row r="588" spans="1:12" ht="19.95" customHeight="1">
      <c r="A588" s="592" t="s">
        <v>100</v>
      </c>
      <c r="B588" s="592"/>
      <c r="C588" s="592" t="s">
        <v>111</v>
      </c>
      <c r="D588" s="592"/>
      <c r="E588" s="592" t="s">
        <v>112</v>
      </c>
      <c r="F588" s="592"/>
      <c r="G588" s="601" t="s">
        <v>1704</v>
      </c>
      <c r="H588" s="602"/>
      <c r="I588" s="609" t="s">
        <v>285</v>
      </c>
      <c r="J588" s="610" t="s">
        <v>286</v>
      </c>
      <c r="K588" s="601" t="s">
        <v>287</v>
      </c>
      <c r="L588" s="602"/>
    </row>
    <row r="589" spans="1:12" ht="19.95" customHeight="1">
      <c r="A589" s="589" t="s">
        <v>106</v>
      </c>
      <c r="B589" s="589" t="s">
        <v>105</v>
      </c>
      <c r="C589" s="589" t="s">
        <v>107</v>
      </c>
      <c r="D589" s="589" t="s">
        <v>108</v>
      </c>
      <c r="E589" s="589" t="s">
        <v>107</v>
      </c>
      <c r="F589" s="589" t="s">
        <v>108</v>
      </c>
      <c r="G589" s="633" t="s">
        <v>107</v>
      </c>
      <c r="H589" s="634" t="s">
        <v>108</v>
      </c>
      <c r="I589" s="635" t="s">
        <v>283</v>
      </c>
      <c r="J589" s="636" t="s">
        <v>283</v>
      </c>
      <c r="K589" s="635" t="s">
        <v>283</v>
      </c>
      <c r="L589" s="636" t="s">
        <v>284</v>
      </c>
    </row>
    <row r="590" spans="1:12" ht="19.95" customHeight="1">
      <c r="A590" s="837" t="s">
        <v>1274</v>
      </c>
      <c r="B590" s="841">
        <v>45356.498530092598</v>
      </c>
      <c r="C590" s="166" t="s">
        <v>109</v>
      </c>
      <c r="D590" s="170" t="s">
        <v>109</v>
      </c>
      <c r="E590" s="166" t="s">
        <v>109</v>
      </c>
      <c r="F590" s="170" t="s">
        <v>109</v>
      </c>
      <c r="G590" s="625"/>
      <c r="H590" s="590"/>
      <c r="I590" s="625"/>
      <c r="J590" s="590"/>
      <c r="K590" s="625"/>
      <c r="L590" s="626"/>
    </row>
    <row r="591" spans="1:12" ht="19.95" customHeight="1">
      <c r="A591" s="837" t="s">
        <v>1860</v>
      </c>
      <c r="B591" s="841">
        <v>45356.505497685197</v>
      </c>
      <c r="C591" s="166" t="s">
        <v>109</v>
      </c>
      <c r="D591" s="170">
        <v>0</v>
      </c>
      <c r="E591" s="166" t="s">
        <v>109</v>
      </c>
      <c r="F591" s="170" t="s">
        <v>109</v>
      </c>
      <c r="G591" s="605"/>
      <c r="H591" s="593"/>
      <c r="I591" s="605"/>
      <c r="J591" s="593"/>
      <c r="K591" s="605"/>
      <c r="L591" s="606"/>
    </row>
    <row r="592" spans="1:12" ht="19.95" customHeight="1">
      <c r="A592" s="837" t="s">
        <v>1655</v>
      </c>
      <c r="B592" s="841">
        <v>45356.512465277803</v>
      </c>
      <c r="C592" s="166">
        <v>4.0346833333333301</v>
      </c>
      <c r="D592" s="170">
        <v>20.142807692307699</v>
      </c>
      <c r="E592" s="166" t="s">
        <v>109</v>
      </c>
      <c r="F592" s="170" t="s">
        <v>109</v>
      </c>
      <c r="G592" s="605"/>
      <c r="H592" s="593"/>
      <c r="I592" s="605"/>
      <c r="J592" s="593"/>
      <c r="K592" s="605"/>
      <c r="L592" s="606"/>
    </row>
    <row r="593" spans="1:18" ht="19.95" customHeight="1">
      <c r="A593" s="837" t="s">
        <v>1656</v>
      </c>
      <c r="B593" s="841">
        <v>45356.519421296303</v>
      </c>
      <c r="C593" s="166">
        <v>4.0345000000000004</v>
      </c>
      <c r="D593" s="170">
        <v>66.851500000000101</v>
      </c>
      <c r="E593" s="166" t="s">
        <v>109</v>
      </c>
      <c r="F593" s="170" t="s">
        <v>109</v>
      </c>
      <c r="G593" s="605"/>
      <c r="H593" s="593"/>
      <c r="I593" s="605"/>
      <c r="J593" s="593"/>
      <c r="K593" s="605"/>
      <c r="L593" s="606"/>
    </row>
    <row r="594" spans="1:18" ht="19.95" customHeight="1">
      <c r="A594" s="837" t="s">
        <v>1657</v>
      </c>
      <c r="B594" s="841">
        <v>45356.526377314804</v>
      </c>
      <c r="C594" s="166">
        <v>4.0305</v>
      </c>
      <c r="D594" s="170">
        <v>483.07596153846299</v>
      </c>
      <c r="E594" s="166">
        <v>4.0305</v>
      </c>
      <c r="F594" s="170">
        <v>18184.725506211002</v>
      </c>
      <c r="G594" s="605"/>
      <c r="H594" s="593"/>
      <c r="I594" s="605"/>
      <c r="J594" s="593"/>
      <c r="K594" s="605"/>
      <c r="L594" s="606"/>
    </row>
    <row r="595" spans="1:18" ht="19.95" customHeight="1">
      <c r="A595" s="837" t="s">
        <v>1658</v>
      </c>
      <c r="B595" s="841">
        <v>45356.533344907402</v>
      </c>
      <c r="C595" s="166">
        <v>4.0347499999999998</v>
      </c>
      <c r="D595" s="170">
        <v>137.97209351300401</v>
      </c>
      <c r="E595" s="166">
        <v>4.0327333333333302</v>
      </c>
      <c r="F595" s="170">
        <v>7788.9872572292797</v>
      </c>
      <c r="G595" s="605"/>
      <c r="H595" s="593"/>
      <c r="I595" s="615"/>
      <c r="J595" s="197"/>
      <c r="K595" s="613"/>
      <c r="L595" s="618"/>
      <c r="N595" s="587" t="s">
        <v>102</v>
      </c>
      <c r="O595" s="92" t="s">
        <v>283</v>
      </c>
      <c r="P595" s="92" t="s">
        <v>284</v>
      </c>
      <c r="Q595" s="195" t="s">
        <v>103</v>
      </c>
    </row>
    <row r="596" spans="1:18" ht="19.95" customHeight="1">
      <c r="A596" s="837" t="s">
        <v>1282</v>
      </c>
      <c r="B596" s="841">
        <v>45356.5403240741</v>
      </c>
      <c r="C596" s="166">
        <v>4.0326166666666703</v>
      </c>
      <c r="D596" s="170">
        <v>9368.3375997037601</v>
      </c>
      <c r="E596" s="166">
        <v>4.0326166666666703</v>
      </c>
      <c r="F596" s="170">
        <v>17759.546292786399</v>
      </c>
      <c r="G596" s="605"/>
      <c r="H596" s="593"/>
      <c r="I596" s="615">
        <f>D596/F596</f>
        <v>0.52750996254386329</v>
      </c>
      <c r="J596" s="197">
        <f>I596</f>
        <v>0.52750996254386329</v>
      </c>
      <c r="K596" s="613">
        <f t="shared" ref="K596:K612" si="89">AVERAGE(I596:J596)</f>
        <v>0.52750996254386329</v>
      </c>
      <c r="L596" s="618">
        <f>SQRT((K596*$K$690)^2+(ABS(J596-I596)/2)^2)</f>
        <v>1.1113954648268948E-2</v>
      </c>
      <c r="N596" s="588" t="str">
        <f>SUBSTITUTE(A596,"_I.D","")</f>
        <v>AB1</v>
      </c>
      <c r="O596" s="60">
        <f>AVERAGE(K596,K618,K640)</f>
        <v>0.52770303843655852</v>
      </c>
      <c r="P596" s="60">
        <f>AVERAGE(L596,L618,L640)</f>
        <v>1.1118022508342604E-2</v>
      </c>
      <c r="Q596" s="479">
        <f>B596</f>
        <v>45356.5403240741</v>
      </c>
    </row>
    <row r="597" spans="1:18" ht="19.95" customHeight="1">
      <c r="A597" s="837" t="s">
        <v>1283</v>
      </c>
      <c r="B597" s="841">
        <v>45356.547291666699</v>
      </c>
      <c r="C597" s="166">
        <v>4.0347499999999998</v>
      </c>
      <c r="D597" s="170">
        <v>17065.9359615385</v>
      </c>
      <c r="E597" s="166">
        <v>4.0347499999999998</v>
      </c>
      <c r="F597" s="170">
        <v>17300.699749028001</v>
      </c>
      <c r="G597" s="605"/>
      <c r="H597" s="593"/>
      <c r="I597" s="615">
        <f t="shared" ref="I597:I612" si="90">D597/F597</f>
        <v>0.98643038773603997</v>
      </c>
      <c r="J597" s="197">
        <f t="shared" ref="J597:J599" si="91">I597</f>
        <v>0.98643038773603997</v>
      </c>
      <c r="K597" s="613">
        <f t="shared" si="89"/>
        <v>0.98643038773603997</v>
      </c>
      <c r="L597" s="618">
        <f t="shared" ref="L597:L599" si="92">SQRT((K597*$K$690)^2+(ABS(J597-I597)/2)^2)</f>
        <v>2.0782816195743601E-2</v>
      </c>
      <c r="N597" s="588" t="str">
        <f t="shared" ref="N597:N612" si="93">SUBSTITUTE(A597,"_I.D","")</f>
        <v>AB2A</v>
      </c>
      <c r="O597" s="60">
        <f t="shared" ref="O597:O612" si="94">AVERAGE(K597,K619,K641)</f>
        <v>0.9861397453428532</v>
      </c>
      <c r="P597" s="60">
        <f t="shared" ref="P597:P612" si="95">AVERAGE(L597,L619,L641)</f>
        <v>2.0776692735323697E-2</v>
      </c>
      <c r="Q597" s="479">
        <f t="shared" ref="Q597:Q612" si="96">B597</f>
        <v>45356.547291666699</v>
      </c>
      <c r="R597" s="588"/>
    </row>
    <row r="598" spans="1:18" ht="19.95" customHeight="1">
      <c r="A598" s="837" t="s">
        <v>1284</v>
      </c>
      <c r="B598" s="841">
        <v>45356.554270833301</v>
      </c>
      <c r="C598" s="166">
        <v>4.0306499999999996</v>
      </c>
      <c r="D598" s="170">
        <v>17454.8886839765</v>
      </c>
      <c r="E598" s="166">
        <v>4.0306499999999996</v>
      </c>
      <c r="F598" s="170">
        <v>17550.6675</v>
      </c>
      <c r="G598" s="605"/>
      <c r="H598" s="593"/>
      <c r="I598" s="615">
        <f t="shared" si="90"/>
        <v>0.99454272516851572</v>
      </c>
      <c r="J598" s="197">
        <f t="shared" si="91"/>
        <v>0.99454272516851572</v>
      </c>
      <c r="K598" s="613">
        <f t="shared" si="89"/>
        <v>0.99454272516851572</v>
      </c>
      <c r="L598" s="618">
        <f t="shared" si="92"/>
        <v>2.0953732683995693E-2</v>
      </c>
      <c r="N598" s="588" t="str">
        <f t="shared" si="93"/>
        <v>AB2B</v>
      </c>
      <c r="O598" s="60">
        <f t="shared" si="94"/>
        <v>0.99424162736015698</v>
      </c>
      <c r="P598" s="60">
        <f t="shared" si="95"/>
        <v>2.0947388941461132E-2</v>
      </c>
      <c r="Q598" s="479">
        <f t="shared" si="96"/>
        <v>45356.554270833301</v>
      </c>
      <c r="R598" s="588"/>
    </row>
    <row r="599" spans="1:18" ht="19.95" customHeight="1">
      <c r="A599" s="837" t="s">
        <v>1286</v>
      </c>
      <c r="B599" s="841">
        <v>45356.561226851903</v>
      </c>
      <c r="C599" s="166">
        <v>4.0306166666666696</v>
      </c>
      <c r="D599" s="170">
        <v>33779.918141911003</v>
      </c>
      <c r="E599" s="166">
        <v>4.0306166666666696</v>
      </c>
      <c r="F599" s="170">
        <v>17404.316999999999</v>
      </c>
      <c r="G599" s="605"/>
      <c r="H599" s="171"/>
      <c r="I599" s="615">
        <f t="shared" si="90"/>
        <v>1.9408930635951416</v>
      </c>
      <c r="J599" s="197">
        <f t="shared" si="91"/>
        <v>1.9408930635951416</v>
      </c>
      <c r="K599" s="613">
        <f t="shared" si="89"/>
        <v>1.9408930635951416</v>
      </c>
      <c r="L599" s="618">
        <f t="shared" si="92"/>
        <v>4.089211392693369E-2</v>
      </c>
      <c r="N599" s="588" t="str">
        <f t="shared" si="93"/>
        <v>AB3</v>
      </c>
      <c r="O599" s="60">
        <f t="shared" si="94"/>
        <v>1.943166417299568</v>
      </c>
      <c r="P599" s="60">
        <f t="shared" si="95"/>
        <v>4.0940010557830718E-2</v>
      </c>
      <c r="Q599" s="479">
        <f t="shared" si="96"/>
        <v>45356.561226851903</v>
      </c>
      <c r="R599" s="588"/>
    </row>
    <row r="600" spans="1:18" ht="19.95" customHeight="1">
      <c r="A600" s="837" t="s">
        <v>1861</v>
      </c>
      <c r="B600" s="841">
        <v>45356.5681944444</v>
      </c>
      <c r="C600" s="166">
        <v>4.0346166666666701</v>
      </c>
      <c r="D600" s="170">
        <v>8515.9152389741503</v>
      </c>
      <c r="E600" s="166">
        <v>4.0346166666666701</v>
      </c>
      <c r="F600" s="170">
        <v>8356.2010051061206</v>
      </c>
      <c r="G600" s="605"/>
      <c r="H600" s="171">
        <f t="shared" ref="H600:H609" si="97">D600+$E$690</f>
        <v>8503.5283896293622</v>
      </c>
      <c r="I600" s="615">
        <f t="shared" si="90"/>
        <v>1.0191132589762304</v>
      </c>
      <c r="J600" s="197">
        <f>H600/F600</f>
        <v>1.0176309048134693</v>
      </c>
      <c r="K600" s="613">
        <f t="shared" si="89"/>
        <v>1.0183720818948498</v>
      </c>
      <c r="L600" s="618">
        <f t="shared" ref="L600:L611" si="98">SQRT((K600*$J$690)^2+(ABS(J600-I600)/2)^2)</f>
        <v>9.040108755594304E-3</v>
      </c>
      <c r="N600" s="588" t="str">
        <f t="shared" si="93"/>
        <v>052_A1</v>
      </c>
      <c r="O600" s="60">
        <f t="shared" si="94"/>
        <v>1.0189323966847652</v>
      </c>
      <c r="P600" s="60">
        <f t="shared" si="95"/>
        <v>9.044380283181561E-3</v>
      </c>
      <c r="Q600" s="479">
        <f t="shared" si="96"/>
        <v>45356.5681944444</v>
      </c>
      <c r="R600" s="588"/>
    </row>
    <row r="601" spans="1:18" ht="19.95" customHeight="1">
      <c r="A601" s="837" t="s">
        <v>1862</v>
      </c>
      <c r="B601" s="841">
        <v>45356.575173611098</v>
      </c>
      <c r="C601" s="166">
        <v>4.0285833333333301</v>
      </c>
      <c r="D601" s="170">
        <v>9276.1209135296795</v>
      </c>
      <c r="E601" s="166">
        <v>4.0285833333333301</v>
      </c>
      <c r="F601" s="170">
        <v>9241.1170286923607</v>
      </c>
      <c r="G601" s="605"/>
      <c r="H601" s="171">
        <f t="shared" si="97"/>
        <v>9263.7340641848914</v>
      </c>
      <c r="I601" s="615">
        <f t="shared" si="90"/>
        <v>1.0037878413105945</v>
      </c>
      <c r="J601" s="197">
        <f t="shared" ref="J601:J611" si="99">H601/F601</f>
        <v>1.0024474352421151</v>
      </c>
      <c r="K601" s="613">
        <f t="shared" si="89"/>
        <v>1.0031176382763549</v>
      </c>
      <c r="L601" s="618">
        <f t="shared" si="98"/>
        <v>8.8999860509103683E-3</v>
      </c>
      <c r="N601" s="588" t="str">
        <f t="shared" si="93"/>
        <v>130_A1</v>
      </c>
      <c r="O601" s="60">
        <f t="shared" si="94"/>
        <v>1.0022611474233596</v>
      </c>
      <c r="P601" s="60">
        <f t="shared" si="95"/>
        <v>8.8959147800597924E-3</v>
      </c>
      <c r="Q601" s="479">
        <f t="shared" si="96"/>
        <v>45356.575173611098</v>
      </c>
      <c r="R601" s="588"/>
    </row>
    <row r="602" spans="1:18" ht="19.95" customHeight="1">
      <c r="A602" s="837" t="s">
        <v>1863</v>
      </c>
      <c r="B602" s="841">
        <v>45356.582141203697</v>
      </c>
      <c r="C602" s="166">
        <v>4.0327333333333302</v>
      </c>
      <c r="D602" s="170">
        <v>8269.5835000000097</v>
      </c>
      <c r="E602" s="166">
        <v>4.0327333333333302</v>
      </c>
      <c r="F602" s="170">
        <v>8328.4577321676497</v>
      </c>
      <c r="G602" s="605"/>
      <c r="H602" s="171">
        <f t="shared" si="97"/>
        <v>8257.1966506552217</v>
      </c>
      <c r="I602" s="615">
        <f t="shared" si="90"/>
        <v>0.99293095623932326</v>
      </c>
      <c r="J602" s="197">
        <f t="shared" si="99"/>
        <v>0.99144366414478025</v>
      </c>
      <c r="K602" s="613">
        <f t="shared" si="89"/>
        <v>0.99218731019205175</v>
      </c>
      <c r="L602" s="618">
        <f t="shared" si="98"/>
        <v>8.8094570501877929E-3</v>
      </c>
      <c r="N602" s="588" t="str">
        <f t="shared" si="93"/>
        <v>207_A1</v>
      </c>
      <c r="O602" s="60">
        <f t="shared" si="94"/>
        <v>0.99548881601584915</v>
      </c>
      <c r="P602" s="60">
        <f t="shared" si="95"/>
        <v>8.837741547704692E-3</v>
      </c>
      <c r="Q602" s="479">
        <f t="shared" si="96"/>
        <v>45356.582141203697</v>
      </c>
      <c r="R602" s="588"/>
    </row>
    <row r="603" spans="1:18" ht="19.95" customHeight="1">
      <c r="A603" s="837" t="s">
        <v>1864</v>
      </c>
      <c r="B603" s="841">
        <v>45356.589120370401</v>
      </c>
      <c r="C603" s="166">
        <v>4.0286666666666697</v>
      </c>
      <c r="D603" s="170">
        <v>8555.0499500193891</v>
      </c>
      <c r="E603" s="166">
        <v>4.0286666666666697</v>
      </c>
      <c r="F603" s="170">
        <v>8438.3380498951792</v>
      </c>
      <c r="G603" s="605"/>
      <c r="H603" s="171">
        <f t="shared" si="97"/>
        <v>8542.6631006746011</v>
      </c>
      <c r="I603" s="615">
        <f t="shared" si="90"/>
        <v>1.0138311477253106</v>
      </c>
      <c r="J603" s="197">
        <f t="shared" si="99"/>
        <v>1.0123632224926942</v>
      </c>
      <c r="K603" s="613">
        <f t="shared" si="89"/>
        <v>1.0130971851090025</v>
      </c>
      <c r="L603" s="618">
        <f t="shared" si="98"/>
        <v>8.9930072853797709E-3</v>
      </c>
      <c r="N603" s="588" t="str">
        <f t="shared" si="93"/>
        <v>284_A1</v>
      </c>
      <c r="O603" s="60">
        <f t="shared" si="94"/>
        <v>1.0112980485636711</v>
      </c>
      <c r="P603" s="60">
        <f t="shared" si="95"/>
        <v>8.9771829642378217E-3</v>
      </c>
      <c r="Q603" s="479">
        <f t="shared" si="96"/>
        <v>45356.589120370401</v>
      </c>
      <c r="R603" s="588"/>
    </row>
    <row r="604" spans="1:18" ht="19.95" customHeight="1">
      <c r="A604" s="837" t="s">
        <v>1865</v>
      </c>
      <c r="B604" s="841">
        <v>45356.596111111103</v>
      </c>
      <c r="C604" s="166">
        <v>4.0286166666666698</v>
      </c>
      <c r="D604" s="170">
        <v>8291.04900000001</v>
      </c>
      <c r="E604" s="166">
        <v>4.0306166666666696</v>
      </c>
      <c r="F604" s="170">
        <v>8278.7795000000096</v>
      </c>
      <c r="G604" s="605"/>
      <c r="H604" s="171">
        <f t="shared" si="97"/>
        <v>8278.6621506552219</v>
      </c>
      <c r="I604" s="615">
        <f t="shared" si="90"/>
        <v>1.0014820421295192</v>
      </c>
      <c r="J604" s="197">
        <f t="shared" si="99"/>
        <v>0.99998582528441693</v>
      </c>
      <c r="K604" s="613">
        <f t="shared" si="89"/>
        <v>1.0007339337069681</v>
      </c>
      <c r="L604" s="618">
        <f t="shared" si="98"/>
        <v>8.8851771863549516E-3</v>
      </c>
      <c r="N604" s="588" t="str">
        <f t="shared" si="93"/>
        <v>360_A1</v>
      </c>
      <c r="O604" s="60">
        <f t="shared" si="94"/>
        <v>1.0014817556245947</v>
      </c>
      <c r="P604" s="60">
        <f t="shared" si="95"/>
        <v>8.8915500953782572E-3</v>
      </c>
      <c r="Q604" s="479">
        <f t="shared" si="96"/>
        <v>45356.596111111103</v>
      </c>
      <c r="R604" s="588"/>
    </row>
    <row r="605" spans="1:18" ht="19.95" customHeight="1">
      <c r="A605" s="837" t="s">
        <v>1866</v>
      </c>
      <c r="B605" s="841">
        <v>45356.603113425903</v>
      </c>
      <c r="C605" s="166">
        <v>4.0326166666666703</v>
      </c>
      <c r="D605" s="170">
        <v>8490.5817352539707</v>
      </c>
      <c r="E605" s="166">
        <v>4.0326166666666703</v>
      </c>
      <c r="F605" s="170">
        <v>8327.3685000000096</v>
      </c>
      <c r="G605" s="605"/>
      <c r="H605" s="171">
        <f t="shared" si="97"/>
        <v>8478.1948859091826</v>
      </c>
      <c r="I605" s="615">
        <f t="shared" si="90"/>
        <v>1.0195996172445065</v>
      </c>
      <c r="J605" s="197">
        <f t="shared" si="99"/>
        <v>1.0181121306099488</v>
      </c>
      <c r="K605" s="613">
        <f t="shared" si="89"/>
        <v>1.0188558739272278</v>
      </c>
      <c r="L605" s="618">
        <f t="shared" si="98"/>
        <v>9.0445851872624824E-3</v>
      </c>
      <c r="N605" s="588" t="str">
        <f t="shared" si="93"/>
        <v>052_A2</v>
      </c>
      <c r="O605" s="60">
        <f t="shared" si="94"/>
        <v>1.0211821973563751</v>
      </c>
      <c r="P605" s="60">
        <f t="shared" si="95"/>
        <v>9.0646758712687181E-3</v>
      </c>
      <c r="Q605" s="479">
        <f t="shared" si="96"/>
        <v>45356.603113425903</v>
      </c>
      <c r="R605" s="588"/>
    </row>
    <row r="606" spans="1:18" ht="19.95" customHeight="1">
      <c r="A606" s="837" t="s">
        <v>1867</v>
      </c>
      <c r="B606" s="841">
        <v>45356.610069444403</v>
      </c>
      <c r="C606" s="166">
        <v>4.0326000000000004</v>
      </c>
      <c r="D606" s="170">
        <v>8438.7690000000002</v>
      </c>
      <c r="E606" s="166">
        <v>4.0326000000000004</v>
      </c>
      <c r="F606" s="170">
        <v>8233.5745000000006</v>
      </c>
      <c r="G606" s="605"/>
      <c r="H606" s="171">
        <f t="shared" si="97"/>
        <v>8426.3821506552122</v>
      </c>
      <c r="I606" s="615">
        <f t="shared" si="90"/>
        <v>1.0249216789135751</v>
      </c>
      <c r="J606" s="197">
        <f t="shared" si="99"/>
        <v>1.0234172473517076</v>
      </c>
      <c r="K606" s="613">
        <f t="shared" si="89"/>
        <v>1.0241694631326412</v>
      </c>
      <c r="L606" s="618">
        <f t="shared" si="98"/>
        <v>9.0921338624803793E-3</v>
      </c>
      <c r="N606" s="588" t="str">
        <f t="shared" si="93"/>
        <v>130_A2</v>
      </c>
      <c r="O606" s="60">
        <f t="shared" si="94"/>
        <v>1.0254104142924427</v>
      </c>
      <c r="P606" s="60">
        <f t="shared" si="95"/>
        <v>9.1022090673947061E-3</v>
      </c>
      <c r="Q606" s="479">
        <f t="shared" si="96"/>
        <v>45356.610069444403</v>
      </c>
      <c r="R606" s="588"/>
    </row>
    <row r="607" spans="1:18" ht="19.95" customHeight="1">
      <c r="A607" s="837" t="s">
        <v>1868</v>
      </c>
      <c r="B607" s="841">
        <v>45356.617037037002</v>
      </c>
      <c r="C607" s="166">
        <v>4.0347166666666698</v>
      </c>
      <c r="D607" s="170">
        <v>8399.1764999999705</v>
      </c>
      <c r="E607" s="166">
        <v>4.0347166666666698</v>
      </c>
      <c r="F607" s="170">
        <v>8318.0753358458096</v>
      </c>
      <c r="G607" s="605"/>
      <c r="H607" s="171">
        <f t="shared" si="97"/>
        <v>8386.7896506551824</v>
      </c>
      <c r="I607" s="615">
        <f t="shared" si="90"/>
        <v>1.0097499915400698</v>
      </c>
      <c r="J607" s="197">
        <f t="shared" si="99"/>
        <v>1.008260843047821</v>
      </c>
      <c r="K607" s="613">
        <f t="shared" si="89"/>
        <v>1.0090054172939453</v>
      </c>
      <c r="L607" s="618">
        <f t="shared" si="98"/>
        <v>8.957803920689629E-3</v>
      </c>
      <c r="N607" s="588" t="str">
        <f t="shared" si="93"/>
        <v>207_A2</v>
      </c>
      <c r="O607" s="60">
        <f t="shared" si="94"/>
        <v>1.0089676591245682</v>
      </c>
      <c r="P607" s="60">
        <f t="shared" si="95"/>
        <v>8.9556294584493702E-3</v>
      </c>
      <c r="Q607" s="479">
        <f t="shared" si="96"/>
        <v>45356.617037037002</v>
      </c>
      <c r="R607" s="588"/>
    </row>
    <row r="608" spans="1:18" ht="19.95" customHeight="1">
      <c r="A608" s="837" t="s">
        <v>1869</v>
      </c>
      <c r="B608" s="841">
        <v>45356.624004629601</v>
      </c>
      <c r="C608" s="166">
        <v>4.0325499999999996</v>
      </c>
      <c r="D608" s="170">
        <v>8413.3935000000092</v>
      </c>
      <c r="E608" s="166">
        <v>4.03053333333333</v>
      </c>
      <c r="F608" s="170">
        <v>8455.0871017448899</v>
      </c>
      <c r="G608" s="605"/>
      <c r="H608" s="171">
        <f t="shared" si="97"/>
        <v>8401.0066506552212</v>
      </c>
      <c r="I608" s="615">
        <f t="shared" si="90"/>
        <v>0.99506881463867158</v>
      </c>
      <c r="J608" s="197">
        <f t="shared" si="99"/>
        <v>0.99360379728335291</v>
      </c>
      <c r="K608" s="613">
        <f t="shared" si="89"/>
        <v>0.99433630596101219</v>
      </c>
      <c r="L608" s="618">
        <f t="shared" si="98"/>
        <v>8.8274706258503477E-3</v>
      </c>
      <c r="N608" s="588" t="str">
        <f t="shared" si="93"/>
        <v>284_A2</v>
      </c>
      <c r="O608" s="60">
        <f t="shared" si="94"/>
        <v>0.99370133784399961</v>
      </c>
      <c r="P608" s="60">
        <f t="shared" si="95"/>
        <v>8.820096591524931E-3</v>
      </c>
      <c r="Q608" s="479">
        <f t="shared" si="96"/>
        <v>45356.624004629601</v>
      </c>
      <c r="R608" s="588"/>
    </row>
    <row r="609" spans="1:18" ht="19.95" customHeight="1">
      <c r="A609" s="837" t="s">
        <v>1870</v>
      </c>
      <c r="B609" s="841">
        <v>45356.630960648101</v>
      </c>
      <c r="C609" s="166">
        <v>4.02856666666667</v>
      </c>
      <c r="D609" s="170">
        <v>8266.9629999999997</v>
      </c>
      <c r="E609" s="166">
        <v>4.0305833333333299</v>
      </c>
      <c r="F609" s="170">
        <v>8270.0721745839001</v>
      </c>
      <c r="G609" s="605"/>
      <c r="H609" s="171">
        <f t="shared" si="97"/>
        <v>8254.5761506552117</v>
      </c>
      <c r="I609" s="615">
        <f t="shared" si="90"/>
        <v>0.99962404504842706</v>
      </c>
      <c r="J609" s="197">
        <f t="shared" si="99"/>
        <v>0.99812625287886703</v>
      </c>
      <c r="K609" s="613">
        <f t="shared" si="89"/>
        <v>0.99887514896364704</v>
      </c>
      <c r="L609" s="618">
        <f t="shared" si="98"/>
        <v>8.8688572481339465E-3</v>
      </c>
      <c r="N609" s="588" t="str">
        <f t="shared" si="93"/>
        <v>360_A2</v>
      </c>
      <c r="O609" s="60">
        <f t="shared" si="94"/>
        <v>0.99698748908524204</v>
      </c>
      <c r="P609" s="60">
        <f t="shared" si="95"/>
        <v>8.8513170907188934E-3</v>
      </c>
      <c r="Q609" s="479">
        <f t="shared" si="96"/>
        <v>45356.630960648101</v>
      </c>
      <c r="R609" s="588"/>
    </row>
    <row r="610" spans="1:18" ht="19.95" customHeight="1">
      <c r="A610" s="837" t="s">
        <v>1871</v>
      </c>
      <c r="B610" s="841">
        <v>45356.637951388897</v>
      </c>
      <c r="C610" s="166">
        <v>4.0306333333333297</v>
      </c>
      <c r="D610" s="170">
        <v>8740.08629661339</v>
      </c>
      <c r="E610" s="166">
        <v>4.0326500000000003</v>
      </c>
      <c r="F610" s="170">
        <v>7750.5370111659104</v>
      </c>
      <c r="G610" s="605"/>
      <c r="H610" s="171">
        <f>D610+$E$697</f>
        <v>8726.8696990050739</v>
      </c>
      <c r="I610" s="615">
        <f t="shared" si="90"/>
        <v>1.1276749319462473</v>
      </c>
      <c r="J610" s="197">
        <f t="shared" si="99"/>
        <v>1.1259696826726455</v>
      </c>
      <c r="K610" s="613">
        <f t="shared" si="89"/>
        <v>1.1268223073094465</v>
      </c>
      <c r="L610" s="618">
        <f t="shared" si="98"/>
        <v>1.0005541976361746E-2</v>
      </c>
      <c r="N610" s="588" t="str">
        <f t="shared" si="93"/>
        <v>SALT1_309</v>
      </c>
      <c r="O610" s="60">
        <f>AVERAGE(K610,K632,K654)</f>
        <v>1.1249389396847236</v>
      </c>
      <c r="P610" s="60">
        <f t="shared" si="95"/>
        <v>9.9878422886797349E-3</v>
      </c>
      <c r="Q610" s="479">
        <f t="shared" si="96"/>
        <v>45356.637951388897</v>
      </c>
      <c r="R610" s="588"/>
    </row>
    <row r="611" spans="1:18" ht="19.95" customHeight="1">
      <c r="A611" s="837" t="s">
        <v>1670</v>
      </c>
      <c r="B611" s="841">
        <v>45356.644918981503</v>
      </c>
      <c r="C611" s="166">
        <v>4.0325166666666696</v>
      </c>
      <c r="D611" s="170">
        <v>10688.541999999999</v>
      </c>
      <c r="E611" s="166">
        <v>4.0325166666666696</v>
      </c>
      <c r="F611" s="170">
        <v>8008.5015000000003</v>
      </c>
      <c r="G611" s="605"/>
      <c r="H611" s="171">
        <f>D611+$E$704</f>
        <v>10675.414527198611</v>
      </c>
      <c r="I611" s="615">
        <f t="shared" si="90"/>
        <v>1.3346494347288316</v>
      </c>
      <c r="J611" s="197">
        <f t="shared" si="99"/>
        <v>1.3330102425776671</v>
      </c>
      <c r="K611" s="613">
        <f t="shared" si="89"/>
        <v>1.3338298386532492</v>
      </c>
      <c r="L611" s="618">
        <f t="shared" si="98"/>
        <v>1.1828998607163866E-2</v>
      </c>
      <c r="N611" s="588" t="str">
        <f t="shared" si="93"/>
        <v>MOOS3</v>
      </c>
      <c r="O611" s="60">
        <f t="shared" si="94"/>
        <v>1.3327383637558581</v>
      </c>
      <c r="P611" s="60">
        <f t="shared" si="95"/>
        <v>1.1819885083281896E-2</v>
      </c>
      <c r="Q611" s="479">
        <f t="shared" si="96"/>
        <v>45356.644918981503</v>
      </c>
      <c r="R611" s="588"/>
    </row>
    <row r="612" spans="1:18" ht="19.95" customHeight="1">
      <c r="A612" s="839" t="s">
        <v>1285</v>
      </c>
      <c r="B612" s="836">
        <v>45356.651898148099</v>
      </c>
      <c r="C612" s="169">
        <v>4.0346833333333301</v>
      </c>
      <c r="D612" s="172">
        <v>17665.498</v>
      </c>
      <c r="E612" s="169">
        <v>4.0346833333333301</v>
      </c>
      <c r="F612" s="172">
        <v>17211.6165410024</v>
      </c>
      <c r="G612" s="607"/>
      <c r="H612" s="589"/>
      <c r="I612" s="616">
        <f t="shared" si="90"/>
        <v>1.026370646703425</v>
      </c>
      <c r="J612" s="143">
        <f>I612</f>
        <v>1.026370646703425</v>
      </c>
      <c r="K612" s="614">
        <f t="shared" si="89"/>
        <v>1.026370646703425</v>
      </c>
      <c r="L612" s="621">
        <f>SQRT((K612*$K$690)^2+(ABS(J612-I612)/2)^2)</f>
        <v>2.162430594631248E-2</v>
      </c>
      <c r="N612" s="589" t="str">
        <f t="shared" si="93"/>
        <v>AB2C</v>
      </c>
      <c r="O612" s="81">
        <f t="shared" si="94"/>
        <v>1.027178880670047</v>
      </c>
      <c r="P612" s="81">
        <f t="shared" si="95"/>
        <v>2.164133439371262E-2</v>
      </c>
      <c r="Q612" s="153">
        <f t="shared" si="96"/>
        <v>45356.651898148099</v>
      </c>
      <c r="R612" s="588"/>
    </row>
    <row r="613" spans="1:18" ht="19.95" customHeight="1">
      <c r="A613" s="837" t="s">
        <v>1293</v>
      </c>
      <c r="B613" s="841">
        <v>45356.658865740697</v>
      </c>
      <c r="C613" s="166">
        <v>4.0367333333333297</v>
      </c>
      <c r="D613" s="170">
        <v>8.3410000000000704</v>
      </c>
      <c r="E613" s="166" t="s">
        <v>109</v>
      </c>
      <c r="F613" s="170" t="s">
        <v>109</v>
      </c>
      <c r="G613" s="625"/>
      <c r="H613" s="590"/>
      <c r="I613" s="625"/>
      <c r="J613" s="590"/>
      <c r="K613" s="625"/>
      <c r="L613" s="626"/>
    </row>
    <row r="614" spans="1:18" ht="19.95" customHeight="1">
      <c r="A614" s="837" t="s">
        <v>1671</v>
      </c>
      <c r="B614" s="841">
        <v>45356.665844907402</v>
      </c>
      <c r="C614" s="166">
        <v>4.0327333333333302</v>
      </c>
      <c r="D614" s="170">
        <v>25.750499999999999</v>
      </c>
      <c r="E614" s="166" t="s">
        <v>109</v>
      </c>
      <c r="F614" s="170" t="s">
        <v>109</v>
      </c>
      <c r="G614" s="605"/>
      <c r="H614" s="593"/>
      <c r="I614" s="605"/>
      <c r="J614" s="593"/>
      <c r="K614" s="605"/>
      <c r="L614" s="606"/>
    </row>
    <row r="615" spans="1:18" ht="19.95" customHeight="1">
      <c r="A615" s="837" t="s">
        <v>1672</v>
      </c>
      <c r="B615" s="841">
        <v>45356.672835648104</v>
      </c>
      <c r="C615" s="166">
        <v>4.0264833333333296</v>
      </c>
      <c r="D615" s="170">
        <v>66.971999999999994</v>
      </c>
      <c r="E615" s="166" t="s">
        <v>109</v>
      </c>
      <c r="F615" s="170" t="s">
        <v>109</v>
      </c>
      <c r="G615" s="605"/>
      <c r="H615" s="593"/>
      <c r="I615" s="605"/>
      <c r="J615" s="593"/>
      <c r="K615" s="605"/>
      <c r="L615" s="606"/>
    </row>
    <row r="616" spans="1:18" ht="19.95" customHeight="1">
      <c r="A616" s="837" t="s">
        <v>1673</v>
      </c>
      <c r="B616" s="841">
        <v>45356.679803240702</v>
      </c>
      <c r="C616" s="166">
        <v>4.0366499999999998</v>
      </c>
      <c r="D616" s="170">
        <v>470.07900000000001</v>
      </c>
      <c r="E616" s="166">
        <v>4.0346333333333302</v>
      </c>
      <c r="F616" s="170">
        <v>17319.098527760802</v>
      </c>
      <c r="G616" s="605"/>
      <c r="H616" s="593"/>
      <c r="I616" s="605"/>
      <c r="J616" s="593"/>
      <c r="K616" s="605"/>
      <c r="L616" s="606"/>
    </row>
    <row r="617" spans="1:18" ht="19.95" customHeight="1">
      <c r="A617" s="837" t="s">
        <v>1674</v>
      </c>
      <c r="B617" s="841">
        <v>45356.686770833301</v>
      </c>
      <c r="C617" s="166">
        <v>4.0346833333333301</v>
      </c>
      <c r="D617" s="170">
        <v>144.5865</v>
      </c>
      <c r="E617" s="166">
        <v>4.0346833333333301</v>
      </c>
      <c r="F617" s="170">
        <v>7771.6199426677904</v>
      </c>
      <c r="G617" s="605"/>
      <c r="H617" s="593"/>
      <c r="I617" s="615"/>
      <c r="J617" s="197"/>
      <c r="K617" s="613"/>
      <c r="L617" s="618"/>
    </row>
    <row r="618" spans="1:18" ht="19.95" customHeight="1">
      <c r="A618" s="837" t="s">
        <v>1301</v>
      </c>
      <c r="B618" s="841">
        <v>45356.693749999999</v>
      </c>
      <c r="C618" s="166">
        <v>4.0347166666666698</v>
      </c>
      <c r="D618" s="170">
        <v>9210.5560000000005</v>
      </c>
      <c r="E618" s="166">
        <v>4.0347166666666698</v>
      </c>
      <c r="F618" s="170">
        <v>17453.750504776501</v>
      </c>
      <c r="G618" s="605"/>
      <c r="H618" s="593"/>
      <c r="I618" s="615">
        <f>D618/F618</f>
        <v>0.52771213828680452</v>
      </c>
      <c r="J618" s="197">
        <f>I618</f>
        <v>0.52771213828680452</v>
      </c>
      <c r="K618" s="613">
        <f t="shared" ref="K618:K634" si="100">AVERAGE(I618:J618)</f>
        <v>0.52771213828680452</v>
      </c>
      <c r="L618" s="618">
        <f>SQRT((K618*$K$690)^2+(ABS(J618-I618)/2)^2)</f>
        <v>1.1118214230452369E-2</v>
      </c>
    </row>
    <row r="619" spans="1:18" ht="19.95" customHeight="1">
      <c r="A619" s="837" t="s">
        <v>1302</v>
      </c>
      <c r="B619" s="841">
        <v>45356.700729166703</v>
      </c>
      <c r="C619" s="166">
        <v>4.0285166666666701</v>
      </c>
      <c r="D619" s="170">
        <v>17321.018254249699</v>
      </c>
      <c r="E619" s="166">
        <v>4.0285166666666701</v>
      </c>
      <c r="F619" s="170">
        <v>17563.4248058097</v>
      </c>
      <c r="G619" s="605"/>
      <c r="H619" s="593"/>
      <c r="I619" s="615">
        <f t="shared" ref="I619:I634" si="101">D619/F619</f>
        <v>0.98619821850008338</v>
      </c>
      <c r="J619" s="197">
        <f t="shared" ref="J619:J621" si="102">I619</f>
        <v>0.98619821850008338</v>
      </c>
      <c r="K619" s="613">
        <f t="shared" si="100"/>
        <v>0.98619821850008338</v>
      </c>
      <c r="L619" s="618">
        <f t="shared" ref="L619:L621" si="103">SQRT((K619*$K$690)^2+(ABS(J619-I619)/2)^2)</f>
        <v>2.0777924689341139E-2</v>
      </c>
    </row>
    <row r="620" spans="1:18" ht="19.95" customHeight="1">
      <c r="A620" s="837" t="s">
        <v>1303</v>
      </c>
      <c r="B620" s="841">
        <v>45356.707708333299</v>
      </c>
      <c r="C620" s="166">
        <v>4.0327166666666701</v>
      </c>
      <c r="D620" s="170">
        <v>17448.881000000001</v>
      </c>
      <c r="E620" s="166">
        <v>4.0327166666666701</v>
      </c>
      <c r="F620" s="170">
        <v>17535.401155745902</v>
      </c>
      <c r="G620" s="605"/>
      <c r="H620" s="593"/>
      <c r="I620" s="615">
        <f t="shared" si="101"/>
        <v>0.99506597225934867</v>
      </c>
      <c r="J620" s="197">
        <f t="shared" si="102"/>
        <v>0.99506597225934867</v>
      </c>
      <c r="K620" s="613">
        <f t="shared" si="100"/>
        <v>0.99506597225934867</v>
      </c>
      <c r="L620" s="618">
        <f t="shared" si="103"/>
        <v>2.0964756825434295E-2</v>
      </c>
    </row>
    <row r="621" spans="1:18" ht="19.95" customHeight="1">
      <c r="A621" s="837" t="s">
        <v>1305</v>
      </c>
      <c r="B621" s="841">
        <v>45356.714664351799</v>
      </c>
      <c r="C621" s="166">
        <v>4.0324833333333299</v>
      </c>
      <c r="D621" s="170">
        <v>34043.456500000102</v>
      </c>
      <c r="E621" s="166">
        <v>4.0324833333333299</v>
      </c>
      <c r="F621" s="170">
        <v>17501.820480809401</v>
      </c>
      <c r="G621" s="605"/>
      <c r="H621" s="171"/>
      <c r="I621" s="615">
        <f t="shared" si="101"/>
        <v>1.9451380236317968</v>
      </c>
      <c r="J621" s="197">
        <f t="shared" si="102"/>
        <v>1.9451380236317968</v>
      </c>
      <c r="K621" s="613">
        <f t="shared" si="100"/>
        <v>1.9451380236317968</v>
      </c>
      <c r="L621" s="618">
        <f t="shared" si="103"/>
        <v>4.098154976072077E-2</v>
      </c>
    </row>
    <row r="622" spans="1:18" ht="19.95" customHeight="1">
      <c r="A622" s="837" t="s">
        <v>1872</v>
      </c>
      <c r="B622" s="841">
        <v>45356.721620370401</v>
      </c>
      <c r="C622" s="166">
        <v>4.0346500000000001</v>
      </c>
      <c r="D622" s="170">
        <v>8670.5168870915095</v>
      </c>
      <c r="E622" s="166">
        <v>4.0346500000000001</v>
      </c>
      <c r="F622" s="170">
        <v>8505.9769999999899</v>
      </c>
      <c r="G622" s="605"/>
      <c r="H622" s="171">
        <f t="shared" ref="H622:H631" si="104">D622+$E$690</f>
        <v>8658.1300377467214</v>
      </c>
      <c r="I622" s="615">
        <f t="shared" si="101"/>
        <v>1.0193440315076705</v>
      </c>
      <c r="J622" s="197">
        <f>H622/F622</f>
        <v>1.0178877791165826</v>
      </c>
      <c r="K622" s="613">
        <f t="shared" si="100"/>
        <v>1.0186159053121266</v>
      </c>
      <c r="L622" s="618">
        <f t="shared" ref="L622:L633" si="105">SQRT((K622*$J$690)^2+(ABS(J622-I622)/2)^2)</f>
        <v>9.0411982326867677E-3</v>
      </c>
    </row>
    <row r="623" spans="1:18" ht="19.95" customHeight="1">
      <c r="A623" s="837" t="s">
        <v>1873</v>
      </c>
      <c r="B623" s="841">
        <v>45356.728599536997</v>
      </c>
      <c r="C623" s="166">
        <v>4.0286999999999997</v>
      </c>
      <c r="D623" s="170">
        <v>8779.4429999999902</v>
      </c>
      <c r="E623" s="166">
        <v>4.0307166666666703</v>
      </c>
      <c r="F623" s="170">
        <v>8745.5924999999806</v>
      </c>
      <c r="G623" s="605"/>
      <c r="H623" s="171">
        <f t="shared" si="104"/>
        <v>8767.0561506552021</v>
      </c>
      <c r="I623" s="615">
        <f t="shared" si="101"/>
        <v>1.0038705782369817</v>
      </c>
      <c r="J623" s="197">
        <f t="shared" ref="J623:J633" si="106">H623/F623</f>
        <v>1.0024542248744406</v>
      </c>
      <c r="K623" s="613">
        <f t="shared" si="100"/>
        <v>1.003162401555711</v>
      </c>
      <c r="L623" s="618">
        <f t="shared" si="105"/>
        <v>8.903320909471114E-3</v>
      </c>
    </row>
    <row r="624" spans="1:18" ht="19.95" customHeight="1">
      <c r="A624" s="837" t="s">
        <v>1874</v>
      </c>
      <c r="B624" s="841">
        <v>45356.735578703701</v>
      </c>
      <c r="C624" s="166">
        <v>4.0305499999999999</v>
      </c>
      <c r="D624" s="170">
        <v>8437.9869999999992</v>
      </c>
      <c r="E624" s="166">
        <v>4.0305499999999999</v>
      </c>
      <c r="F624" s="170">
        <v>8452.9472964910892</v>
      </c>
      <c r="G624" s="605"/>
      <c r="H624" s="171">
        <f t="shared" si="104"/>
        <v>8425.6001506552111</v>
      </c>
      <c r="I624" s="615">
        <f t="shared" si="101"/>
        <v>0.99823016801520814</v>
      </c>
      <c r="J624" s="197">
        <f t="shared" si="106"/>
        <v>0.99676477980085954</v>
      </c>
      <c r="K624" s="613">
        <f t="shared" si="100"/>
        <v>0.99749747390803378</v>
      </c>
      <c r="L624" s="618">
        <f t="shared" si="105"/>
        <v>8.8553570910680588E-3</v>
      </c>
    </row>
    <row r="625" spans="1:12" ht="19.95" customHeight="1">
      <c r="A625" s="837" t="s">
        <v>1875</v>
      </c>
      <c r="B625" s="841">
        <v>45356.7425462963</v>
      </c>
      <c r="C625" s="166">
        <v>4.0365166666666701</v>
      </c>
      <c r="D625" s="170">
        <v>8474.7310934686702</v>
      </c>
      <c r="E625" s="166">
        <v>4.0365166666666701</v>
      </c>
      <c r="F625" s="170">
        <v>8390.5895000000091</v>
      </c>
      <c r="G625" s="605"/>
      <c r="H625" s="171">
        <f t="shared" si="104"/>
        <v>8462.3442441238822</v>
      </c>
      <c r="I625" s="615">
        <f t="shared" si="101"/>
        <v>1.0100280908115766</v>
      </c>
      <c r="J625" s="197">
        <f t="shared" si="106"/>
        <v>1.0085518120179604</v>
      </c>
      <c r="K625" s="613">
        <f t="shared" si="100"/>
        <v>1.0092899514147686</v>
      </c>
      <c r="L625" s="618">
        <f t="shared" si="105"/>
        <v>8.959780102138196E-3</v>
      </c>
    </row>
    <row r="626" spans="1:12" ht="19.95" customHeight="1">
      <c r="A626" s="837" t="s">
        <v>1876</v>
      </c>
      <c r="B626" s="841">
        <v>45356.749537037002</v>
      </c>
      <c r="C626" s="166">
        <v>4.0347166666666698</v>
      </c>
      <c r="D626" s="170">
        <v>8179.7604999999803</v>
      </c>
      <c r="E626" s="166">
        <v>4.0347166666666698</v>
      </c>
      <c r="F626" s="170">
        <v>8141.7254999999896</v>
      </c>
      <c r="G626" s="605"/>
      <c r="H626" s="171">
        <f t="shared" si="104"/>
        <v>8167.3736506551923</v>
      </c>
      <c r="I626" s="615">
        <f t="shared" si="101"/>
        <v>1.0046716141437084</v>
      </c>
      <c r="J626" s="197">
        <f t="shared" si="106"/>
        <v>1.0031502106838659</v>
      </c>
      <c r="K626" s="613">
        <f t="shared" si="100"/>
        <v>1.003910912413787</v>
      </c>
      <c r="L626" s="618">
        <f t="shared" si="105"/>
        <v>8.914250673873754E-3</v>
      </c>
    </row>
    <row r="627" spans="1:12" ht="19.95" customHeight="1">
      <c r="A627" s="837" t="s">
        <v>1877</v>
      </c>
      <c r="B627" s="841">
        <v>45356.7565046296</v>
      </c>
      <c r="C627" s="166">
        <v>4.0326166666666703</v>
      </c>
      <c r="D627" s="170">
        <v>8466.0830000000096</v>
      </c>
      <c r="E627" s="166">
        <v>4.0326166666666703</v>
      </c>
      <c r="F627" s="170">
        <v>8271.3035</v>
      </c>
      <c r="G627" s="605"/>
      <c r="H627" s="171">
        <f t="shared" si="104"/>
        <v>8453.6961506552216</v>
      </c>
      <c r="I627" s="615">
        <f t="shared" si="101"/>
        <v>1.0235488275820142</v>
      </c>
      <c r="J627" s="197">
        <f t="shared" si="106"/>
        <v>1.0220512583845123</v>
      </c>
      <c r="K627" s="613">
        <f t="shared" si="100"/>
        <v>1.0228000429832633</v>
      </c>
      <c r="L627" s="618">
        <f t="shared" si="105"/>
        <v>9.0797764049831819E-3</v>
      </c>
    </row>
    <row r="628" spans="1:12" ht="19.95" customHeight="1">
      <c r="A628" s="837" t="s">
        <v>1878</v>
      </c>
      <c r="B628" s="841">
        <v>45356.763483796298</v>
      </c>
      <c r="C628" s="166">
        <v>4.0345000000000004</v>
      </c>
      <c r="D628" s="170">
        <v>8488.5020000000004</v>
      </c>
      <c r="E628" s="166">
        <v>4.0324833333333299</v>
      </c>
      <c r="F628" s="170">
        <v>8266.9014999999999</v>
      </c>
      <c r="G628" s="605"/>
      <c r="H628" s="171">
        <f t="shared" si="104"/>
        <v>8476.1151506552123</v>
      </c>
      <c r="I628" s="615">
        <f t="shared" si="101"/>
        <v>1.0268057506188988</v>
      </c>
      <c r="J628" s="197">
        <f t="shared" si="106"/>
        <v>1.0253073839884523</v>
      </c>
      <c r="K628" s="613">
        <f t="shared" si="100"/>
        <v>1.0260565673036757</v>
      </c>
      <c r="L628" s="618">
        <f t="shared" si="105"/>
        <v>9.1085222701090453E-3</v>
      </c>
    </row>
    <row r="629" spans="1:12" ht="19.95" customHeight="1">
      <c r="A629" s="837" t="s">
        <v>1879</v>
      </c>
      <c r="B629" s="841">
        <v>45356.770474536999</v>
      </c>
      <c r="C629" s="166">
        <v>4.0284833333333303</v>
      </c>
      <c r="D629" s="170">
        <v>8622.4970000000103</v>
      </c>
      <c r="E629" s="166">
        <v>4.0305</v>
      </c>
      <c r="F629" s="170">
        <v>8534.6583116758302</v>
      </c>
      <c r="G629" s="605"/>
      <c r="H629" s="171">
        <f t="shared" si="104"/>
        <v>8610.1101506552222</v>
      </c>
      <c r="I629" s="615">
        <f t="shared" si="101"/>
        <v>1.0102919982401652</v>
      </c>
      <c r="J629" s="197">
        <f t="shared" si="106"/>
        <v>1.0088406396863212</v>
      </c>
      <c r="K629" s="613">
        <f t="shared" si="100"/>
        <v>1.0095663189632433</v>
      </c>
      <c r="L629" s="618">
        <f t="shared" si="105"/>
        <v>8.9611992262763878E-3</v>
      </c>
    </row>
    <row r="630" spans="1:12" ht="19.95" customHeight="1">
      <c r="A630" s="837" t="s">
        <v>1880</v>
      </c>
      <c r="B630" s="841">
        <v>45356.777442129598</v>
      </c>
      <c r="C630" s="166">
        <v>4.02856666666667</v>
      </c>
      <c r="D630" s="170">
        <v>8717.1465000000208</v>
      </c>
      <c r="E630" s="166">
        <v>4.02856666666667</v>
      </c>
      <c r="F630" s="170">
        <v>8752.4331168095905</v>
      </c>
      <c r="G630" s="605"/>
      <c r="H630" s="171">
        <f t="shared" si="104"/>
        <v>8704.7596506552327</v>
      </c>
      <c r="I630" s="615">
        <f t="shared" si="101"/>
        <v>0.99596836487195772</v>
      </c>
      <c r="J630" s="197">
        <f t="shared" si="106"/>
        <v>0.99455311848509897</v>
      </c>
      <c r="K630" s="613">
        <f t="shared" si="100"/>
        <v>0.9952607416785284</v>
      </c>
      <c r="L630" s="618">
        <f t="shared" si="105"/>
        <v>8.8335927564731232E-3</v>
      </c>
    </row>
    <row r="631" spans="1:12" ht="19.95" customHeight="1">
      <c r="A631" s="837" t="s">
        <v>1881</v>
      </c>
      <c r="B631" s="841">
        <v>45356.784421296303</v>
      </c>
      <c r="C631" s="166">
        <v>4.0324666666666698</v>
      </c>
      <c r="D631" s="170">
        <v>8339.2585818697407</v>
      </c>
      <c r="E631" s="166">
        <v>4.0324666666666698</v>
      </c>
      <c r="F631" s="170">
        <v>8385.5130000000008</v>
      </c>
      <c r="G631" s="605"/>
      <c r="H631" s="171">
        <f t="shared" si="104"/>
        <v>8326.8717325249527</v>
      </c>
      <c r="I631" s="615">
        <f t="shared" si="101"/>
        <v>0.99448400853588081</v>
      </c>
      <c r="J631" s="197">
        <f t="shared" si="106"/>
        <v>0.99300683601885198</v>
      </c>
      <c r="K631" s="613">
        <f t="shared" si="100"/>
        <v>0.9937454222773664</v>
      </c>
      <c r="L631" s="618">
        <f t="shared" si="105"/>
        <v>8.822767736725981E-3</v>
      </c>
    </row>
    <row r="632" spans="1:12" ht="19.95" customHeight="1">
      <c r="A632" s="837" t="s">
        <v>1882</v>
      </c>
      <c r="B632" s="841">
        <v>45356.791388888902</v>
      </c>
      <c r="C632" s="166">
        <v>4.0286666666666697</v>
      </c>
      <c r="D632" s="170">
        <v>8826.2739999999994</v>
      </c>
      <c r="E632" s="166">
        <v>4.0286666666666697</v>
      </c>
      <c r="F632" s="170">
        <v>7837.17850000001</v>
      </c>
      <c r="G632" s="605"/>
      <c r="H632" s="171">
        <f>D632+$E$697</f>
        <v>8813.0574023916834</v>
      </c>
      <c r="I632" s="615">
        <f t="shared" si="101"/>
        <v>1.1262055598197729</v>
      </c>
      <c r="J632" s="197">
        <f t="shared" si="106"/>
        <v>1.1245191623990283</v>
      </c>
      <c r="K632" s="613">
        <f t="shared" si="100"/>
        <v>1.1253623611094006</v>
      </c>
      <c r="L632" s="618">
        <f t="shared" si="105"/>
        <v>9.9918728268775393E-3</v>
      </c>
    </row>
    <row r="633" spans="1:12" ht="19.95" customHeight="1">
      <c r="A633" s="842" t="s">
        <v>1686</v>
      </c>
      <c r="B633" s="841">
        <v>45356.7983564815</v>
      </c>
      <c r="C633" s="56">
        <v>4.0346333333333302</v>
      </c>
      <c r="D633" s="171">
        <v>10462.808000000001</v>
      </c>
      <c r="E633" s="56">
        <v>4.0346333333333302</v>
      </c>
      <c r="F633" s="171">
        <v>7846.6440000000102</v>
      </c>
      <c r="G633" s="605"/>
      <c r="H633" s="171">
        <f>D633+$E$704</f>
        <v>10449.680527198612</v>
      </c>
      <c r="I633" s="615">
        <f t="shared" si="101"/>
        <v>1.333411838233006</v>
      </c>
      <c r="J633" s="197">
        <f t="shared" si="106"/>
        <v>1.3317388334679894</v>
      </c>
      <c r="K633" s="613">
        <f t="shared" si="100"/>
        <v>1.3325753358504977</v>
      </c>
      <c r="L633" s="618">
        <f t="shared" si="105"/>
        <v>1.1819111069721167E-2</v>
      </c>
    </row>
    <row r="634" spans="1:12" ht="19.95" customHeight="1">
      <c r="A634" s="839" t="s">
        <v>1304</v>
      </c>
      <c r="B634" s="836">
        <v>45356.805347222202</v>
      </c>
      <c r="C634" s="169">
        <v>4.0306499999999996</v>
      </c>
      <c r="D634" s="172">
        <v>17953.815500000001</v>
      </c>
      <c r="E634" s="169">
        <v>4.0306499999999996</v>
      </c>
      <c r="F634" s="172">
        <v>17463.8979568305</v>
      </c>
      <c r="G634" s="607"/>
      <c r="H634" s="589"/>
      <c r="I634" s="616">
        <f t="shared" si="101"/>
        <v>1.0280531611201886</v>
      </c>
      <c r="J634" s="143">
        <f>I634</f>
        <v>1.0280531611201886</v>
      </c>
      <c r="K634" s="614">
        <f t="shared" si="100"/>
        <v>1.0280531611201886</v>
      </c>
      <c r="L634" s="621">
        <f>SQRT((K634*$K$690)^2+(ABS(J634-I634)/2)^2)</f>
        <v>2.1659754355348764E-2</v>
      </c>
    </row>
    <row r="635" spans="1:12" ht="19.95" customHeight="1">
      <c r="A635" s="837" t="s">
        <v>1312</v>
      </c>
      <c r="B635" s="841">
        <v>45356.812326388899</v>
      </c>
      <c r="C635" s="166">
        <v>4.0385833333333299</v>
      </c>
      <c r="D635" s="170">
        <v>10.191653846153899</v>
      </c>
      <c r="E635" s="166" t="s">
        <v>109</v>
      </c>
      <c r="F635" s="170" t="s">
        <v>109</v>
      </c>
      <c r="G635" s="625"/>
      <c r="H635" s="590"/>
      <c r="I635" s="625"/>
      <c r="J635" s="590"/>
      <c r="K635" s="625"/>
      <c r="L635" s="626"/>
    </row>
    <row r="636" spans="1:12" ht="19.95" customHeight="1">
      <c r="A636" s="837" t="s">
        <v>1687</v>
      </c>
      <c r="B636" s="841">
        <v>45356.819317129601</v>
      </c>
      <c r="C636" s="166">
        <v>4.0305166666666699</v>
      </c>
      <c r="D636" s="170">
        <v>26.1131538461538</v>
      </c>
      <c r="E636" s="166" t="s">
        <v>109</v>
      </c>
      <c r="F636" s="170" t="s">
        <v>109</v>
      </c>
      <c r="G636" s="605"/>
      <c r="H636" s="593"/>
      <c r="I636" s="605"/>
      <c r="J636" s="593"/>
      <c r="K636" s="605"/>
      <c r="L636" s="606"/>
    </row>
    <row r="637" spans="1:12" ht="19.95" customHeight="1">
      <c r="A637" s="837" t="s">
        <v>1688</v>
      </c>
      <c r="B637" s="841">
        <v>45356.826284722199</v>
      </c>
      <c r="C637" s="166">
        <v>4.0327000000000002</v>
      </c>
      <c r="D637" s="170">
        <v>67.334999999999994</v>
      </c>
      <c r="E637" s="166" t="s">
        <v>109</v>
      </c>
      <c r="F637" s="170" t="s">
        <v>109</v>
      </c>
      <c r="G637" s="605"/>
      <c r="H637" s="593"/>
      <c r="I637" s="605"/>
      <c r="J637" s="593"/>
      <c r="K637" s="605"/>
      <c r="L637" s="606"/>
    </row>
    <row r="638" spans="1:12" ht="19.95" customHeight="1">
      <c r="A638" s="837" t="s">
        <v>1689</v>
      </c>
      <c r="B638" s="841">
        <v>45356.833263888897</v>
      </c>
      <c r="C638" s="166">
        <v>4.0366999999999997</v>
      </c>
      <c r="D638" s="170">
        <v>485.495</v>
      </c>
      <c r="E638" s="166">
        <v>4.0346833333333301</v>
      </c>
      <c r="F638" s="170">
        <v>17753.107393068902</v>
      </c>
      <c r="G638" s="605"/>
      <c r="H638" s="593"/>
      <c r="I638" s="605"/>
      <c r="J638" s="593"/>
      <c r="K638" s="605"/>
      <c r="L638" s="606"/>
    </row>
    <row r="639" spans="1:12" ht="19.95" customHeight="1">
      <c r="A639" s="837" t="s">
        <v>1690</v>
      </c>
      <c r="B639" s="841">
        <v>45356.840219907397</v>
      </c>
      <c r="C639" s="166">
        <v>4.0285166666666701</v>
      </c>
      <c r="D639" s="170">
        <v>147.368961538462</v>
      </c>
      <c r="E639" s="166">
        <v>4.03053333333333</v>
      </c>
      <c r="F639" s="170">
        <v>8036.1880000000101</v>
      </c>
      <c r="G639" s="605"/>
      <c r="H639" s="593"/>
      <c r="I639" s="615"/>
      <c r="J639" s="197"/>
      <c r="K639" s="613"/>
      <c r="L639" s="618"/>
    </row>
    <row r="640" spans="1:12" ht="19.95" customHeight="1">
      <c r="A640" s="837" t="s">
        <v>1320</v>
      </c>
      <c r="B640" s="841">
        <v>45356.847199074102</v>
      </c>
      <c r="C640" s="166">
        <v>4.0346166666666701</v>
      </c>
      <c r="D640" s="170">
        <v>9252.3969999999699</v>
      </c>
      <c r="E640" s="166">
        <v>4.0346166666666701</v>
      </c>
      <c r="F640" s="170">
        <v>17527.229778765301</v>
      </c>
      <c r="G640" s="605"/>
      <c r="H640" s="593"/>
      <c r="I640" s="615">
        <f>D640/F640</f>
        <v>0.52788701447900754</v>
      </c>
      <c r="J640" s="197">
        <f>I640</f>
        <v>0.52788701447900754</v>
      </c>
      <c r="K640" s="613">
        <f t="shared" ref="K640:K656" si="107">AVERAGE(I640:J640)</f>
        <v>0.52788701447900754</v>
      </c>
      <c r="L640" s="618">
        <f>SQRT((K640*$K$690)^2+(ABS(J640-I640)/2)^2)</f>
        <v>1.1121898646306496E-2</v>
      </c>
    </row>
    <row r="641" spans="1:14" ht="19.95" customHeight="1">
      <c r="A641" s="837" t="s">
        <v>1321</v>
      </c>
      <c r="B641" s="841">
        <v>45356.854155092602</v>
      </c>
      <c r="C641" s="166">
        <v>4.03053333333333</v>
      </c>
      <c r="D641" s="170">
        <v>17113.584500000001</v>
      </c>
      <c r="E641" s="166">
        <v>4.03053333333333</v>
      </c>
      <c r="F641" s="170">
        <v>17360.262902482002</v>
      </c>
      <c r="G641" s="605"/>
      <c r="H641" s="593"/>
      <c r="I641" s="615">
        <f t="shared" ref="I641:I656" si="108">D641/F641</f>
        <v>0.98579062979243637</v>
      </c>
      <c r="J641" s="197">
        <f t="shared" ref="J641:J643" si="109">I641</f>
        <v>0.98579062979243637</v>
      </c>
      <c r="K641" s="613">
        <f t="shared" si="107"/>
        <v>0.98579062979243637</v>
      </c>
      <c r="L641" s="618">
        <f t="shared" ref="L641:L643" si="110">SQRT((K641*$K$690)^2+(ABS(J641-I641)/2)^2)</f>
        <v>2.0769337320886351E-2</v>
      </c>
    </row>
    <row r="642" spans="1:14" ht="19.95" customHeight="1">
      <c r="A642" s="837" t="s">
        <v>1322</v>
      </c>
      <c r="B642" s="841">
        <v>45356.861134259299</v>
      </c>
      <c r="C642" s="166">
        <v>4.0346000000000002</v>
      </c>
      <c r="D642" s="170">
        <v>17179.549407430699</v>
      </c>
      <c r="E642" s="166">
        <v>4.0346000000000002</v>
      </c>
      <c r="F642" s="170">
        <v>17298.629981989601</v>
      </c>
      <c r="G642" s="605"/>
      <c r="H642" s="593"/>
      <c r="I642" s="615">
        <f t="shared" si="108"/>
        <v>0.99311618465260643</v>
      </c>
      <c r="J642" s="197">
        <f t="shared" si="109"/>
        <v>0.99311618465260643</v>
      </c>
      <c r="K642" s="613">
        <f t="shared" si="107"/>
        <v>0.99311618465260643</v>
      </c>
      <c r="L642" s="618">
        <f t="shared" si="110"/>
        <v>2.0923677314953416E-2</v>
      </c>
      <c r="N642" s="588"/>
    </row>
    <row r="643" spans="1:14" ht="19.95" customHeight="1">
      <c r="A643" s="837" t="s">
        <v>1324</v>
      </c>
      <c r="B643" s="841">
        <v>45356.8680902778</v>
      </c>
      <c r="C643" s="166">
        <v>4.0304833333333301</v>
      </c>
      <c r="D643" s="170">
        <v>35625.010499999997</v>
      </c>
      <c r="E643" s="166">
        <v>4.0304833333333301</v>
      </c>
      <c r="F643" s="170">
        <v>18330.637541478201</v>
      </c>
      <c r="G643" s="605"/>
      <c r="H643" s="171"/>
      <c r="I643" s="615">
        <f t="shared" si="108"/>
        <v>1.9434681646717651</v>
      </c>
      <c r="J643" s="197">
        <f t="shared" si="109"/>
        <v>1.9434681646717651</v>
      </c>
      <c r="K643" s="613">
        <f t="shared" si="107"/>
        <v>1.9434681646717651</v>
      </c>
      <c r="L643" s="618">
        <f t="shared" si="110"/>
        <v>4.0946367985837694E-2</v>
      </c>
    </row>
    <row r="644" spans="1:14" ht="19.95" customHeight="1">
      <c r="A644" s="837" t="s">
        <v>1883</v>
      </c>
      <c r="B644" s="841">
        <v>45356.875069444402</v>
      </c>
      <c r="C644" s="166">
        <v>4.0305666666666697</v>
      </c>
      <c r="D644" s="170">
        <v>8664.0360000000092</v>
      </c>
      <c r="E644" s="166">
        <v>4.0305666666666697</v>
      </c>
      <c r="F644" s="170">
        <v>8489.6690000000199</v>
      </c>
      <c r="G644" s="605"/>
      <c r="H644" s="171">
        <f t="shared" ref="H644:H653" si="111">D644+$E$690</f>
        <v>8651.6491506552211</v>
      </c>
      <c r="I644" s="615">
        <f t="shared" si="108"/>
        <v>1.0205387277171807</v>
      </c>
      <c r="J644" s="197">
        <f>H644/F644</f>
        <v>1.0190796779774571</v>
      </c>
      <c r="K644" s="613">
        <f t="shared" si="107"/>
        <v>1.0198092028473189</v>
      </c>
      <c r="L644" s="618">
        <f t="shared" ref="L644:L655" si="112">SQRT((K644*$J$690)^2+(ABS(J644-I644)/2)^2)</f>
        <v>9.051833861263613E-3</v>
      </c>
    </row>
    <row r="645" spans="1:14" ht="19.95" customHeight="1">
      <c r="A645" s="837" t="s">
        <v>1884</v>
      </c>
      <c r="B645" s="841">
        <v>45356.882060185198</v>
      </c>
      <c r="C645" s="166">
        <v>4.0326666666666702</v>
      </c>
      <c r="D645" s="170">
        <v>8124.2629890776097</v>
      </c>
      <c r="E645" s="166">
        <v>4.0326666666666702</v>
      </c>
      <c r="F645" s="170">
        <v>8113.9849645920403</v>
      </c>
      <c r="G645" s="605"/>
      <c r="H645" s="171">
        <f t="shared" si="111"/>
        <v>8111.8761397328217</v>
      </c>
      <c r="I645" s="615">
        <f t="shared" si="108"/>
        <v>1.0012667048965977</v>
      </c>
      <c r="J645" s="197">
        <f t="shared" ref="J645:J655" si="113">H645/F645</f>
        <v>0.99974009997942792</v>
      </c>
      <c r="K645" s="613">
        <f t="shared" si="107"/>
        <v>1.0005034024380128</v>
      </c>
      <c r="L645" s="618">
        <f t="shared" si="112"/>
        <v>8.8844373797978965E-3</v>
      </c>
    </row>
    <row r="646" spans="1:14" ht="19.95" customHeight="1">
      <c r="A646" s="837" t="s">
        <v>1885</v>
      </c>
      <c r="B646" s="841">
        <v>45356.8890509259</v>
      </c>
      <c r="C646" s="166">
        <v>4.0307166666666703</v>
      </c>
      <c r="D646" s="170">
        <v>8521.5999999999694</v>
      </c>
      <c r="E646" s="166">
        <v>4.0307166666666703</v>
      </c>
      <c r="F646" s="170">
        <v>8542.9004999999706</v>
      </c>
      <c r="G646" s="605"/>
      <c r="H646" s="171">
        <f t="shared" si="111"/>
        <v>8509.2131506551814</v>
      </c>
      <c r="I646" s="615">
        <f t="shared" si="108"/>
        <v>0.99750664308919423</v>
      </c>
      <c r="J646" s="197">
        <f t="shared" si="113"/>
        <v>0.99605668480572973</v>
      </c>
      <c r="K646" s="613">
        <f t="shared" si="107"/>
        <v>0.99678166394746204</v>
      </c>
      <c r="L646" s="618">
        <f t="shared" si="112"/>
        <v>8.8484105018582226E-3</v>
      </c>
    </row>
    <row r="647" spans="1:14" ht="19.95" customHeight="1">
      <c r="A647" s="837" t="s">
        <v>1886</v>
      </c>
      <c r="B647" s="841">
        <v>45356.896030092597</v>
      </c>
      <c r="C647" s="166">
        <v>4.0305</v>
      </c>
      <c r="D647" s="170">
        <v>8573.7200000000103</v>
      </c>
      <c r="E647" s="166">
        <v>4.0305</v>
      </c>
      <c r="F647" s="170">
        <v>8470.0615000000107</v>
      </c>
      <c r="G647" s="605"/>
      <c r="H647" s="171">
        <f t="shared" si="111"/>
        <v>8561.3331506552222</v>
      </c>
      <c r="I647" s="615">
        <f t="shared" si="108"/>
        <v>1.0122382228275437</v>
      </c>
      <c r="J647" s="197">
        <f t="shared" si="113"/>
        <v>1.0107757955069407</v>
      </c>
      <c r="K647" s="613">
        <f t="shared" si="107"/>
        <v>1.0115070091672422</v>
      </c>
      <c r="L647" s="618">
        <f t="shared" si="112"/>
        <v>8.9787615051954983E-3</v>
      </c>
    </row>
    <row r="648" spans="1:14" ht="19.95" customHeight="1">
      <c r="A648" s="837" t="s">
        <v>1887</v>
      </c>
      <c r="B648" s="841">
        <v>45356.903020833299</v>
      </c>
      <c r="C648" s="166">
        <v>4.0306833333333296</v>
      </c>
      <c r="D648" s="170">
        <v>8519.5309999999699</v>
      </c>
      <c r="E648" s="166">
        <v>4.0306833333333296</v>
      </c>
      <c r="F648" s="170">
        <v>8515.0369999999693</v>
      </c>
      <c r="G648" s="605"/>
      <c r="H648" s="171">
        <f t="shared" si="111"/>
        <v>8507.1441506551819</v>
      </c>
      <c r="I648" s="615">
        <f t="shared" si="108"/>
        <v>1.0005277722222465</v>
      </c>
      <c r="J648" s="197">
        <f t="shared" si="113"/>
        <v>0.99907306928381079</v>
      </c>
      <c r="K648" s="613">
        <f t="shared" si="107"/>
        <v>0.99980042075302866</v>
      </c>
      <c r="L648" s="618">
        <f t="shared" si="112"/>
        <v>8.8752224259060659E-3</v>
      </c>
    </row>
    <row r="649" spans="1:14" ht="19.95" customHeight="1">
      <c r="A649" s="837" t="s">
        <v>1888</v>
      </c>
      <c r="B649" s="841">
        <v>45356.910011574102</v>
      </c>
      <c r="C649" s="166">
        <v>4.0325499999999996</v>
      </c>
      <c r="D649" s="170">
        <v>8760.0998212645009</v>
      </c>
      <c r="E649" s="166">
        <v>4.0325499999999996</v>
      </c>
      <c r="F649" s="170">
        <v>8566.3824999999997</v>
      </c>
      <c r="G649" s="605"/>
      <c r="H649" s="171">
        <f t="shared" si="111"/>
        <v>8747.7129719197128</v>
      </c>
      <c r="I649" s="615">
        <f t="shared" si="108"/>
        <v>1.0226136670017363</v>
      </c>
      <c r="J649" s="197">
        <f t="shared" si="113"/>
        <v>1.0211676833155316</v>
      </c>
      <c r="K649" s="613">
        <f t="shared" si="107"/>
        <v>1.0218906751586339</v>
      </c>
      <c r="L649" s="618">
        <f t="shared" si="112"/>
        <v>9.06966602156049E-3</v>
      </c>
    </row>
    <row r="650" spans="1:14" ht="19.95" customHeight="1">
      <c r="A650" s="837" t="s">
        <v>1889</v>
      </c>
      <c r="B650" s="841">
        <v>45356.916979166701</v>
      </c>
      <c r="C650" s="166">
        <v>4.0307000000000004</v>
      </c>
      <c r="D650" s="170">
        <v>8792.5050000000101</v>
      </c>
      <c r="E650" s="166">
        <v>4.0307000000000004</v>
      </c>
      <c r="F650" s="170">
        <v>8563.6130000000103</v>
      </c>
      <c r="G650" s="605"/>
      <c r="H650" s="171">
        <f t="shared" si="111"/>
        <v>8780.1181506552221</v>
      </c>
      <c r="I650" s="615">
        <f t="shared" si="108"/>
        <v>1.0267284381020021</v>
      </c>
      <c r="J650" s="197">
        <f t="shared" si="113"/>
        <v>1.0252819867800205</v>
      </c>
      <c r="K650" s="613">
        <f t="shared" si="107"/>
        <v>1.0260052124410113</v>
      </c>
      <c r="L650" s="618">
        <f t="shared" si="112"/>
        <v>9.1059710695946955E-3</v>
      </c>
    </row>
    <row r="651" spans="1:14" ht="19.95" customHeight="1">
      <c r="A651" s="837" t="s">
        <v>1890</v>
      </c>
      <c r="B651" s="841">
        <v>45356.923958333296</v>
      </c>
      <c r="C651" s="166">
        <v>4.0306166666666696</v>
      </c>
      <c r="D651" s="170">
        <v>8989.8160000000007</v>
      </c>
      <c r="E651" s="166">
        <v>4.0306166666666696</v>
      </c>
      <c r="F651" s="170">
        <v>8909.3962469913404</v>
      </c>
      <c r="G651" s="605"/>
      <c r="H651" s="171">
        <f t="shared" si="111"/>
        <v>8977.4291506552127</v>
      </c>
      <c r="I651" s="615">
        <f t="shared" si="108"/>
        <v>1.0090263976120513</v>
      </c>
      <c r="J651" s="197">
        <f t="shared" si="113"/>
        <v>1.0076360846209806</v>
      </c>
      <c r="K651" s="613">
        <f t="shared" si="107"/>
        <v>1.008331241116516</v>
      </c>
      <c r="L651" s="618">
        <f t="shared" si="112"/>
        <v>8.9478852283820954E-3</v>
      </c>
    </row>
    <row r="652" spans="1:14" ht="19.95" customHeight="1">
      <c r="A652" s="837" t="s">
        <v>1891</v>
      </c>
      <c r="B652" s="841">
        <v>45356.9309490741</v>
      </c>
      <c r="C652" s="166">
        <v>4.0285500000000001</v>
      </c>
      <c r="D652" s="170">
        <v>8883.6257603628801</v>
      </c>
      <c r="E652" s="166">
        <v>4.0285500000000001</v>
      </c>
      <c r="F652" s="170">
        <v>8953.4744999999893</v>
      </c>
      <c r="G652" s="605"/>
      <c r="H652" s="171">
        <f t="shared" si="111"/>
        <v>8871.238911018092</v>
      </c>
      <c r="I652" s="615">
        <f t="shared" si="108"/>
        <v>0.99219870010942579</v>
      </c>
      <c r="J652" s="197">
        <f t="shared" si="113"/>
        <v>0.99081523167549124</v>
      </c>
      <c r="K652" s="613">
        <f t="shared" si="107"/>
        <v>0.99150696589245846</v>
      </c>
      <c r="L652" s="618">
        <f t="shared" si="112"/>
        <v>8.7992263922513202E-3</v>
      </c>
    </row>
    <row r="653" spans="1:14" ht="19.95" customHeight="1">
      <c r="A653" s="837" t="s">
        <v>1892</v>
      </c>
      <c r="B653" s="841">
        <v>45356.937916666699</v>
      </c>
      <c r="C653" s="166">
        <v>4.0326666666666702</v>
      </c>
      <c r="D653" s="170">
        <v>8512.2206225406808</v>
      </c>
      <c r="E653" s="166">
        <v>4.0326666666666702</v>
      </c>
      <c r="F653" s="170">
        <v>8520.1545000000006</v>
      </c>
      <c r="G653" s="605"/>
      <c r="H653" s="171">
        <f t="shared" si="111"/>
        <v>8499.8337731958927</v>
      </c>
      <c r="I653" s="615">
        <f t="shared" si="108"/>
        <v>0.99906881061143671</v>
      </c>
      <c r="J653" s="197">
        <f t="shared" si="113"/>
        <v>0.99761498141798866</v>
      </c>
      <c r="K653" s="613">
        <f t="shared" si="107"/>
        <v>0.99834189601471268</v>
      </c>
      <c r="L653" s="618">
        <f t="shared" si="112"/>
        <v>8.8623262872967543E-3</v>
      </c>
    </row>
    <row r="654" spans="1:14" ht="19.95" customHeight="1">
      <c r="A654" s="837" t="s">
        <v>1893</v>
      </c>
      <c r="B654" s="841">
        <v>45356.944884259297</v>
      </c>
      <c r="C654" s="166">
        <v>4.02856666666667</v>
      </c>
      <c r="D654" s="170">
        <v>9021.3766053440104</v>
      </c>
      <c r="E654" s="166">
        <v>4.02856666666667</v>
      </c>
      <c r="F654" s="170">
        <v>8030.0286264188899</v>
      </c>
      <c r="G654" s="605"/>
      <c r="H654" s="171">
        <f>D654+$E$697</f>
        <v>9008.1600077356943</v>
      </c>
      <c r="I654" s="615">
        <f t="shared" si="108"/>
        <v>1.1234550989847749</v>
      </c>
      <c r="J654" s="197">
        <f t="shared" si="113"/>
        <v>1.1218092022858723</v>
      </c>
      <c r="K654" s="613">
        <f t="shared" si="107"/>
        <v>1.1226321506353236</v>
      </c>
      <c r="L654" s="618">
        <f t="shared" si="112"/>
        <v>9.9661120627999155E-3</v>
      </c>
    </row>
    <row r="655" spans="1:14" ht="19.95" customHeight="1">
      <c r="A655" s="837" t="s">
        <v>1702</v>
      </c>
      <c r="B655" s="841">
        <v>45356.951874999999</v>
      </c>
      <c r="C655" s="166">
        <v>4.0305666666666697</v>
      </c>
      <c r="D655" s="170">
        <v>10602.823</v>
      </c>
      <c r="E655" s="166">
        <v>4.0305666666666697</v>
      </c>
      <c r="F655" s="170">
        <v>7956.2850000000099</v>
      </c>
      <c r="G655" s="605"/>
      <c r="H655" s="171">
        <f>D655+$E$704</f>
        <v>10589.695527198612</v>
      </c>
      <c r="I655" s="615">
        <f t="shared" si="108"/>
        <v>1.3326348917868058</v>
      </c>
      <c r="J655" s="197">
        <f t="shared" si="113"/>
        <v>1.3309849417408499</v>
      </c>
      <c r="K655" s="613">
        <f t="shared" si="107"/>
        <v>1.3318099167638278</v>
      </c>
      <c r="L655" s="618">
        <f t="shared" si="112"/>
        <v>1.1811545572960653E-2</v>
      </c>
    </row>
    <row r="656" spans="1:14" ht="19.95" customHeight="1">
      <c r="A656" s="839" t="s">
        <v>1323</v>
      </c>
      <c r="B656" s="836">
        <v>45356.9588657407</v>
      </c>
      <c r="C656" s="169">
        <v>4.0305166666666699</v>
      </c>
      <c r="D656" s="172">
        <v>17996.496999999999</v>
      </c>
      <c r="E656" s="169">
        <v>4.0305166666666699</v>
      </c>
      <c r="F656" s="172">
        <v>17521.4410734661</v>
      </c>
      <c r="G656" s="607"/>
      <c r="H656" s="589"/>
      <c r="I656" s="616">
        <f t="shared" si="108"/>
        <v>1.0271128341865277</v>
      </c>
      <c r="J656" s="143">
        <f>I656</f>
        <v>1.0271128341865277</v>
      </c>
      <c r="K656" s="614">
        <f t="shared" si="107"/>
        <v>1.0271128341865277</v>
      </c>
      <c r="L656" s="621">
        <f>SQRT((K656*$K$690)^2+(ABS(J656-I656)/2)^2)</f>
        <v>2.1639942879476619E-2</v>
      </c>
    </row>
    <row r="657" spans="1:12" ht="19.95" customHeight="1">
      <c r="A657" s="837" t="s">
        <v>1894</v>
      </c>
      <c r="B657" s="841">
        <v>45356.965856481504</v>
      </c>
      <c r="C657" s="166">
        <v>4.0345666666666702</v>
      </c>
      <c r="D657" s="170">
        <v>20240.397307692299</v>
      </c>
      <c r="E657" s="166">
        <v>4.0365833333333301</v>
      </c>
      <c r="F657" s="170">
        <v>253.8895</v>
      </c>
      <c r="G657" s="625"/>
      <c r="H657" s="626"/>
      <c r="I657" s="625"/>
      <c r="J657" s="626"/>
      <c r="K657" s="845">
        <f>D657/F657</f>
        <v>79.721285471405082</v>
      </c>
      <c r="L657" s="626"/>
    </row>
    <row r="658" spans="1:12" ht="19.95" customHeight="1">
      <c r="A658" s="837" t="s">
        <v>1895</v>
      </c>
      <c r="B658" s="841">
        <v>45356.972847222198</v>
      </c>
      <c r="C658" s="166">
        <v>4.0366</v>
      </c>
      <c r="D658" s="170">
        <v>9427.4549230769007</v>
      </c>
      <c r="E658" s="166">
        <v>4.0366</v>
      </c>
      <c r="F658" s="170">
        <v>119.919</v>
      </c>
      <c r="G658" s="605"/>
      <c r="H658" s="606"/>
      <c r="I658" s="605"/>
      <c r="J658" s="606"/>
      <c r="K658" s="846">
        <f t="shared" ref="K658:K670" si="114">D658/F658</f>
        <v>78.615189611962251</v>
      </c>
      <c r="L658" s="606"/>
    </row>
    <row r="659" spans="1:12" ht="19.95" customHeight="1">
      <c r="A659" s="837" t="s">
        <v>1896</v>
      </c>
      <c r="B659" s="841">
        <v>45356.979837963001</v>
      </c>
      <c r="C659" s="166">
        <v>4.0324666666666698</v>
      </c>
      <c r="D659" s="170">
        <v>22271.569069075202</v>
      </c>
      <c r="E659" s="166">
        <v>4.0304500000000001</v>
      </c>
      <c r="F659" s="170">
        <v>271.27650000000102</v>
      </c>
      <c r="G659" s="605"/>
      <c r="H659" s="606"/>
      <c r="I659" s="605"/>
      <c r="J659" s="606"/>
      <c r="K659" s="846">
        <f t="shared" si="114"/>
        <v>82.099146328838358</v>
      </c>
      <c r="L659" s="606"/>
    </row>
    <row r="660" spans="1:12" ht="19.95" customHeight="1">
      <c r="A660" s="837" t="s">
        <v>1897</v>
      </c>
      <c r="B660" s="841">
        <v>45356.986793981501</v>
      </c>
      <c r="C660" s="166">
        <v>4.0304833333333301</v>
      </c>
      <c r="D660" s="170">
        <v>10294.880999999999</v>
      </c>
      <c r="E660" s="166">
        <v>4.0324833333333299</v>
      </c>
      <c r="F660" s="170">
        <v>126.57299999999999</v>
      </c>
      <c r="G660" s="605"/>
      <c r="H660" s="606"/>
      <c r="I660" s="605"/>
      <c r="J660" s="606"/>
      <c r="K660" s="846">
        <f t="shared" si="114"/>
        <v>81.335521793747475</v>
      </c>
      <c r="L660" s="606"/>
    </row>
    <row r="661" spans="1:12" ht="19.95" customHeight="1">
      <c r="A661" s="837" t="s">
        <v>1898</v>
      </c>
      <c r="B661" s="841">
        <v>45356.9937615741</v>
      </c>
      <c r="C661" s="166">
        <v>4.0345500000000003</v>
      </c>
      <c r="D661" s="170">
        <v>23408.5557696</v>
      </c>
      <c r="E661" s="166">
        <v>4.0325499999999996</v>
      </c>
      <c r="F661" s="170">
        <v>284.56299999999999</v>
      </c>
      <c r="G661" s="605"/>
      <c r="H661" s="606"/>
      <c r="I661" s="605"/>
      <c r="J661" s="606"/>
      <c r="K661" s="846">
        <f t="shared" si="114"/>
        <v>82.261417575721367</v>
      </c>
      <c r="L661" s="606"/>
    </row>
    <row r="662" spans="1:12" ht="19.95" customHeight="1">
      <c r="A662" s="837" t="s">
        <v>1899</v>
      </c>
      <c r="B662" s="841">
        <v>45357.000740740703</v>
      </c>
      <c r="C662" s="166">
        <v>4.03046666666667</v>
      </c>
      <c r="D662" s="170">
        <v>10629.9735</v>
      </c>
      <c r="E662" s="166">
        <v>4.0284500000000003</v>
      </c>
      <c r="F662" s="170">
        <v>128.68199999999999</v>
      </c>
      <c r="G662" s="605"/>
      <c r="H662" s="606"/>
      <c r="I662" s="605"/>
      <c r="J662" s="606"/>
      <c r="K662" s="846">
        <f t="shared" si="114"/>
        <v>82.606530050822968</v>
      </c>
      <c r="L662" s="606"/>
    </row>
    <row r="663" spans="1:12" ht="19.95" customHeight="1">
      <c r="A663" s="837" t="s">
        <v>1900</v>
      </c>
      <c r="B663" s="841">
        <v>45357.0077199074</v>
      </c>
      <c r="C663" s="166">
        <v>4.02863333333333</v>
      </c>
      <c r="D663" s="170">
        <v>24944.830999999998</v>
      </c>
      <c r="E663" s="166">
        <v>4.02863333333333</v>
      </c>
      <c r="F663" s="170">
        <v>301.74</v>
      </c>
      <c r="G663" s="605"/>
      <c r="H663" s="606"/>
      <c r="I663" s="605"/>
      <c r="J663" s="606"/>
      <c r="K663" s="846">
        <f t="shared" si="114"/>
        <v>82.669950951149985</v>
      </c>
      <c r="L663" s="606"/>
    </row>
    <row r="664" spans="1:12" ht="19.95" customHeight="1">
      <c r="A664" s="837" t="s">
        <v>1901</v>
      </c>
      <c r="B664" s="841">
        <v>45357.014699074098</v>
      </c>
      <c r="C664" s="166">
        <v>4.0326333333333304</v>
      </c>
      <c r="D664" s="170">
        <v>11109.473</v>
      </c>
      <c r="E664" s="166">
        <v>4.0346500000000001</v>
      </c>
      <c r="F664" s="170">
        <v>135.63800000000001</v>
      </c>
      <c r="G664" s="605"/>
      <c r="H664" s="606"/>
      <c r="I664" s="605"/>
      <c r="J664" s="606"/>
      <c r="K664" s="846">
        <f t="shared" si="114"/>
        <v>81.905314145003615</v>
      </c>
      <c r="L664" s="606"/>
    </row>
    <row r="665" spans="1:12" ht="19.95" customHeight="1">
      <c r="A665" s="837" t="s">
        <v>1902</v>
      </c>
      <c r="B665" s="841">
        <v>45357.021678240701</v>
      </c>
      <c r="C665" s="166">
        <v>4.0287166666666696</v>
      </c>
      <c r="D665" s="170">
        <v>25719.859</v>
      </c>
      <c r="E665" s="166">
        <v>4.0287166666666696</v>
      </c>
      <c r="F665" s="170">
        <v>314.31000000000103</v>
      </c>
      <c r="G665" s="605"/>
      <c r="H665" s="606"/>
      <c r="I665" s="605"/>
      <c r="J665" s="606"/>
      <c r="K665" s="846">
        <f t="shared" si="114"/>
        <v>81.829591804269398</v>
      </c>
      <c r="L665" s="606"/>
    </row>
    <row r="666" spans="1:12" ht="19.95" customHeight="1">
      <c r="A666" s="837" t="s">
        <v>1903</v>
      </c>
      <c r="B666" s="841">
        <v>45357.028657407398</v>
      </c>
      <c r="C666" s="166">
        <v>4.03053333333333</v>
      </c>
      <c r="D666" s="170">
        <v>11958.7675</v>
      </c>
      <c r="E666" s="166">
        <v>4.03053333333333</v>
      </c>
      <c r="F666" s="170">
        <v>143.9205</v>
      </c>
      <c r="G666" s="605"/>
      <c r="H666" s="606"/>
      <c r="I666" s="605"/>
      <c r="J666" s="606"/>
      <c r="K666" s="846">
        <f t="shared" si="114"/>
        <v>83.092870716819348</v>
      </c>
      <c r="L666" s="606"/>
    </row>
    <row r="667" spans="1:12" ht="19.95" customHeight="1">
      <c r="A667" s="837" t="s">
        <v>1904</v>
      </c>
      <c r="B667" s="841">
        <v>45357.035648148201</v>
      </c>
      <c r="C667" s="166">
        <v>4.0306499999999996</v>
      </c>
      <c r="D667" s="170">
        <v>25068.968320344102</v>
      </c>
      <c r="E667" s="166">
        <v>4.02863333333333</v>
      </c>
      <c r="F667" s="170">
        <v>304.5145</v>
      </c>
      <c r="G667" s="605"/>
      <c r="H667" s="606"/>
      <c r="I667" s="605"/>
      <c r="J667" s="606"/>
      <c r="K667" s="846">
        <f t="shared" si="114"/>
        <v>82.324382977966906</v>
      </c>
      <c r="L667" s="606"/>
    </row>
    <row r="668" spans="1:12" ht="19.95" customHeight="1">
      <c r="A668" s="837" t="s">
        <v>1905</v>
      </c>
      <c r="B668" s="841">
        <v>45357.042627314797</v>
      </c>
      <c r="C668" s="166">
        <v>4.03466666666667</v>
      </c>
      <c r="D668" s="170">
        <v>11772.674000000001</v>
      </c>
      <c r="E668" s="166">
        <v>4.03466666666667</v>
      </c>
      <c r="F668" s="170">
        <v>143.6695</v>
      </c>
      <c r="G668" s="605"/>
      <c r="H668" s="606"/>
      <c r="I668" s="605"/>
      <c r="J668" s="606"/>
      <c r="K668" s="846">
        <f t="shared" si="114"/>
        <v>81.942750549003094</v>
      </c>
      <c r="L668" s="606"/>
    </row>
    <row r="669" spans="1:12" ht="19.95" customHeight="1">
      <c r="A669" s="837" t="s">
        <v>1906</v>
      </c>
      <c r="B669" s="841">
        <v>45357.049606481502</v>
      </c>
      <c r="C669" s="166">
        <v>4.0327000000000002</v>
      </c>
      <c r="D669" s="170">
        <v>24459.358612537399</v>
      </c>
      <c r="E669" s="166">
        <v>4.0306833333333296</v>
      </c>
      <c r="F669" s="170">
        <v>299.50749999999999</v>
      </c>
      <c r="G669" s="605"/>
      <c r="H669" s="606"/>
      <c r="I669" s="605"/>
      <c r="J669" s="606"/>
      <c r="K669" s="846">
        <f t="shared" si="114"/>
        <v>81.665262514419169</v>
      </c>
      <c r="L669" s="606"/>
    </row>
    <row r="670" spans="1:12" ht="19.95" customHeight="1">
      <c r="A670" s="839" t="s">
        <v>1907</v>
      </c>
      <c r="B670" s="836">
        <v>45357.0565740741</v>
      </c>
      <c r="C670" s="169">
        <v>4.0346000000000002</v>
      </c>
      <c r="D670" s="172">
        <v>11657.9305</v>
      </c>
      <c r="E670" s="169">
        <v>4.0325833333333296</v>
      </c>
      <c r="F670" s="172">
        <v>143.2535</v>
      </c>
      <c r="G670" s="607"/>
      <c r="H670" s="608"/>
      <c r="I670" s="607"/>
      <c r="J670" s="608"/>
      <c r="K670" s="847">
        <f t="shared" si="114"/>
        <v>81.37972545173416</v>
      </c>
      <c r="L670" s="608"/>
    </row>
    <row r="672" spans="1:12" ht="19.95" customHeight="1">
      <c r="A672" s="220" t="s">
        <v>293</v>
      </c>
      <c r="B672" s="588"/>
      <c r="C672" s="588"/>
      <c r="D672" s="588"/>
      <c r="E672" s="588"/>
      <c r="I672" s="587" t="s">
        <v>262</v>
      </c>
      <c r="J672" s="587" t="s">
        <v>262</v>
      </c>
      <c r="K672" s="587" t="s">
        <v>262</v>
      </c>
    </row>
    <row r="673" spans="1:11" s="588" customFormat="1" ht="19.95" customHeight="1">
      <c r="A673" s="605" t="s">
        <v>2468</v>
      </c>
      <c r="I673" s="161">
        <f t="shared" ref="I673:I689" si="115">STDEV(I596,I618,I640)/AVERAGE(I596,I618,I640)</f>
        <v>3.5756968446929241E-4</v>
      </c>
      <c r="J673" s="60">
        <f>CHAR_HOM!G940*CHAR_HOM!B940</f>
        <v>9.8924690590110942E-2</v>
      </c>
      <c r="K673" s="154">
        <f>CHAR_HOM!B933*CHAR_HOM!H933/CHAR_HOM!G933</f>
        <v>9.830103578542683E-2</v>
      </c>
    </row>
    <row r="674" spans="1:11" s="588" customFormat="1" ht="19.95" customHeight="1">
      <c r="A674" s="426" t="s">
        <v>2098</v>
      </c>
      <c r="I674" s="161">
        <f t="shared" si="115"/>
        <v>3.2841436079318522E-4</v>
      </c>
      <c r="J674" s="60">
        <f>CHAR_HOM!G941*CHAR_HOM!B941</f>
        <v>9.7844938069055906E-2</v>
      </c>
      <c r="K674" s="154">
        <f>CHAR_HOM!B934*CHAR_HOM!H934/CHAR_HOM!G934</f>
        <v>9.8582109794672051E-2</v>
      </c>
    </row>
    <row r="675" spans="1:11" s="588" customFormat="1" ht="19.95" customHeight="1">
      <c r="A675" s="426" t="s">
        <v>2469</v>
      </c>
      <c r="I675" s="161">
        <f t="shared" si="115"/>
        <v>1.0150092307508599E-3</v>
      </c>
      <c r="J675" s="60">
        <f>CHAR_HOM!G942*CHAR_HOM!B942</f>
        <v>9.7616530270945259E-2</v>
      </c>
      <c r="K675" s="154">
        <f>CHAR_HOM!B936*CHAR_HOM!H936/CHAR_HOM!G936</f>
        <v>0.1017905978145017</v>
      </c>
    </row>
    <row r="676" spans="1:11" s="588" customFormat="1" ht="19.95" customHeight="1">
      <c r="A676" s="426" t="s">
        <v>2470</v>
      </c>
      <c r="I676" s="161">
        <f t="shared" si="115"/>
        <v>1.1005266854574689E-3</v>
      </c>
      <c r="J676" s="60">
        <f>CHAR_HOM!G943*CHAR_HOM!B943</f>
        <v>9.9123547737144241E-2</v>
      </c>
    </row>
    <row r="677" spans="1:11" s="588" customFormat="1" ht="19.95" customHeight="1">
      <c r="A677" s="426" t="s">
        <v>2471</v>
      </c>
      <c r="I677" s="161">
        <f t="shared" si="115"/>
        <v>7.5037072344706027E-4</v>
      </c>
      <c r="J677" s="60">
        <f>CHAR_HOM!G944*CHAR_HOM!B944</f>
        <v>9.7855883444443709E-2</v>
      </c>
    </row>
    <row r="678" spans="1:11" s="588" customFormat="1" ht="19.95" customHeight="1">
      <c r="A678" s="426" t="s">
        <v>2100</v>
      </c>
      <c r="I678" s="161">
        <f t="shared" si="115"/>
        <v>1.4756510132609591E-3</v>
      </c>
      <c r="J678" s="60">
        <f>CHAR_HOM!G945*CHAR_HOM!B945</f>
        <v>9.9900855906318101E-2</v>
      </c>
    </row>
    <row r="679" spans="1:11" ht="19.95" customHeight="1">
      <c r="A679" s="588"/>
      <c r="B679" s="588"/>
      <c r="C679" s="588"/>
      <c r="D679" s="588"/>
      <c r="E679" s="588"/>
      <c r="I679" s="161">
        <f t="shared" si="115"/>
        <v>2.8843964324584727E-3</v>
      </c>
      <c r="J679" s="60">
        <f>CHAR_HOM!G946*CHAR_HOM!B946</f>
        <v>0.1006926415434021</v>
      </c>
    </row>
    <row r="680" spans="1:11" ht="19.95" customHeight="1">
      <c r="A680" s="210" t="s">
        <v>2467</v>
      </c>
      <c r="B680" s="82">
        <f>AVERAGE(F595/F594,F617/F616,F639/F638)</f>
        <v>0.44324025123738081</v>
      </c>
      <c r="C680" s="162">
        <f>STDEV(F595/F594,F617/F616,F639/F638)/AVERAGE(F595/F594,F617/F616,F639/F638)</f>
        <v>2.9476323740196247E-2</v>
      </c>
      <c r="D680" s="591" t="s">
        <v>2097</v>
      </c>
      <c r="E680" s="211" t="s">
        <v>2099</v>
      </c>
      <c r="I680" s="161">
        <f t="shared" si="115"/>
        <v>1.8871504357809157E-3</v>
      </c>
      <c r="J680" s="60">
        <f>CHAR_HOM!G947*CHAR_HOM!B947</f>
        <v>9.8851498095836279E-2</v>
      </c>
    </row>
    <row r="681" spans="1:11" ht="19.95" customHeight="1">
      <c r="A681" s="212" t="s">
        <v>277</v>
      </c>
      <c r="B681" s="145">
        <f>MAX(AVERAGE(D592-D593,D614-D615,D636-D637),0)</f>
        <v>0</v>
      </c>
      <c r="C681" s="206" t="str">
        <f>IF(B681=0,"n/a",STDEV(D592-D593,D614-D615,D636-D637)/AVERAGE(D592-D593,D614-D615,D636-D637))</f>
        <v>n/a</v>
      </c>
      <c r="D681" s="145">
        <f>B681/(1-B680)</f>
        <v>0</v>
      </c>
      <c r="E681" s="213">
        <f>MAX(AVERAGE(D592,D614,D636)-D681,0)</f>
        <v>24.002153846153835</v>
      </c>
      <c r="I681" s="161">
        <f t="shared" si="115"/>
        <v>2.1652554902332512E-3</v>
      </c>
      <c r="J681" s="60">
        <f>CHAR_HOM!G948*CHAR_HOM!B948</f>
        <v>9.777609165804603E-2</v>
      </c>
    </row>
    <row r="682" spans="1:11" ht="19.95" customHeight="1">
      <c r="A682" s="214" t="s">
        <v>278</v>
      </c>
      <c r="B682" s="146">
        <f>MAX(AVERAGE(D594-D595,D616-D617,D638-D639),0)</f>
        <v>336.24080216233233</v>
      </c>
      <c r="C682" s="203">
        <f>IF(B682=0,"n/a",STDEV(D594-D595,D616-D617,D638-D639)/AVERAGE(D594-D595,D616-D617,D638-D639))</f>
        <v>2.9564155389467436E-2</v>
      </c>
      <c r="D682" s="146">
        <f>B682/(1-B680)</f>
        <v>603.92440888483191</v>
      </c>
      <c r="E682" s="215">
        <f>MAX(AVERAGE(D594,D616,D638)-D682,0)</f>
        <v>0</v>
      </c>
      <c r="I682" s="161">
        <f t="shared" si="115"/>
        <v>2.0195170717315749E-3</v>
      </c>
      <c r="J682" s="60">
        <f>CHAR_HOM!G949*CHAR_HOM!B949</f>
        <v>9.7605662671299248E-2</v>
      </c>
    </row>
    <row r="683" spans="1:11" ht="19.95" customHeight="1">
      <c r="A683" s="588"/>
      <c r="B683" s="588"/>
      <c r="C683" s="588"/>
      <c r="D683" s="588"/>
      <c r="E683" s="588"/>
      <c r="I683" s="161">
        <f t="shared" si="115"/>
        <v>1.038980750870904E-3</v>
      </c>
      <c r="J683" s="588"/>
    </row>
    <row r="684" spans="1:11" ht="19.95" customHeight="1">
      <c r="A684" s="218" t="s">
        <v>279</v>
      </c>
      <c r="B684" s="184"/>
      <c r="C684" s="184"/>
      <c r="D684" s="184"/>
      <c r="E684" s="223">
        <f>E681</f>
        <v>24.002153846153835</v>
      </c>
      <c r="I684" s="161">
        <f t="shared" si="115"/>
        <v>6.2887431226404673E-4</v>
      </c>
      <c r="J684" s="588"/>
    </row>
    <row r="685" spans="1:11" ht="19.95" customHeight="1">
      <c r="I685" s="161">
        <f t="shared" si="115"/>
        <v>1.979866954313E-3</v>
      </c>
      <c r="J685" s="588"/>
    </row>
    <row r="686" spans="1:11" ht="19.95" customHeight="1">
      <c r="A686" s="397" t="s">
        <v>1703</v>
      </c>
      <c r="B686" s="588"/>
      <c r="C686" s="588"/>
      <c r="D686" s="588"/>
      <c r="E686" s="588"/>
      <c r="I686" s="161">
        <f t="shared" si="115"/>
        <v>2.8274432221903484E-3</v>
      </c>
    </row>
    <row r="687" spans="1:11" ht="19.95" customHeight="1">
      <c r="A687" s="588"/>
      <c r="B687" s="588"/>
      <c r="C687" s="588"/>
      <c r="D687" s="588"/>
      <c r="E687" s="588"/>
      <c r="I687" s="161">
        <f t="shared" si="115"/>
        <v>1.9027557056214535E-3</v>
      </c>
    </row>
    <row r="688" spans="1:11" ht="19.95" customHeight="1">
      <c r="A688" s="210" t="s">
        <v>2467</v>
      </c>
      <c r="B688" s="222">
        <f>AVERAGE(F600:F609)/AVERAGE(F596:F599,F612)</f>
        <v>0.48291938632178388</v>
      </c>
      <c r="C688" s="222">
        <f>AVERAGE(F622:F631)/AVERAGE(F618:F621,F634)</f>
        <v>0.4824570755042431</v>
      </c>
      <c r="D688" s="222">
        <f>AVERAGE(F644:F653)/AVERAGE(F640:F643,F656)</f>
        <v>0.48640631264696782</v>
      </c>
      <c r="E688" s="225">
        <f>AVERAGE(B688:D688)</f>
        <v>0.48392759149099823</v>
      </c>
      <c r="I688" s="161">
        <f t="shared" si="115"/>
        <v>7.6187589946044305E-4</v>
      </c>
    </row>
    <row r="689" spans="1:11" ht="19.95" customHeight="1">
      <c r="A689" s="210" t="s">
        <v>280</v>
      </c>
      <c r="B689" s="590"/>
      <c r="C689" s="590"/>
      <c r="D689" s="590"/>
      <c r="E689" s="224">
        <f>E684*E688</f>
        <v>11.615304501365625</v>
      </c>
      <c r="I689" s="202">
        <f t="shared" si="115"/>
        <v>8.2088860566963465E-4</v>
      </c>
      <c r="J689" s="589"/>
      <c r="K689" s="208">
        <f>STDEV(K673:K675)/AVERAGE(K673:K675)</f>
        <v>1.9472696960618093E-2</v>
      </c>
    </row>
    <row r="690" spans="1:11" ht="19.95" customHeight="1">
      <c r="A690" s="219" t="s">
        <v>281</v>
      </c>
      <c r="B690" s="220"/>
      <c r="C690" s="220"/>
      <c r="D690" s="220"/>
      <c r="E690" s="221">
        <f>E689-E684</f>
        <v>-12.38684934478821</v>
      </c>
      <c r="I690" s="620">
        <f>MEDIAN(I673:I689)/SQRT(3)</f>
        <v>6.3538937809923626E-4</v>
      </c>
      <c r="J690" s="417">
        <f>J372</f>
        <v>8.8471335852195708E-3</v>
      </c>
      <c r="K690" s="307">
        <f>MEDIAN(K689,K371)</f>
        <v>2.1068710427141563E-2</v>
      </c>
    </row>
    <row r="691" spans="1:11" ht="19.95" customHeight="1">
      <c r="A691" s="214" t="s">
        <v>282</v>
      </c>
      <c r="B691" s="589"/>
      <c r="C691" s="589"/>
      <c r="D691" s="216"/>
      <c r="E691" s="217">
        <f>E690/AVERAGE(D600:D609,D622:D631,D644:D653)</f>
        <v>-1.4491274944439254E-3</v>
      </c>
      <c r="J691" s="382" t="s">
        <v>2699</v>
      </c>
      <c r="K691" s="382" t="s">
        <v>2700</v>
      </c>
    </row>
    <row r="692" spans="1:11" ht="19.95" customHeight="1">
      <c r="A692" s="588"/>
      <c r="B692" s="588"/>
      <c r="C692" s="588"/>
      <c r="D692" s="588"/>
      <c r="E692" s="588"/>
    </row>
    <row r="693" spans="1:11" ht="19.95" customHeight="1">
      <c r="A693" s="397" t="s">
        <v>294</v>
      </c>
      <c r="B693" s="588"/>
      <c r="C693" s="588"/>
      <c r="D693" s="588"/>
      <c r="E693" s="588"/>
    </row>
    <row r="694" spans="1:11" ht="19.95" customHeight="1">
      <c r="A694" s="588"/>
      <c r="B694" s="588"/>
      <c r="C694" s="588"/>
      <c r="D694" s="588"/>
      <c r="E694" s="588"/>
    </row>
    <row r="695" spans="1:11" ht="19.95" customHeight="1">
      <c r="A695" s="210" t="s">
        <v>2467</v>
      </c>
      <c r="B695" s="222">
        <f>F610/AVERAGE(F596:F599,F612)</f>
        <v>0.44427474283274443</v>
      </c>
      <c r="C695" s="222">
        <f>F632/AVERAGE(F618:F621,F634)</f>
        <v>0.44774515480444532</v>
      </c>
      <c r="D695" s="222">
        <f>F654/AVERAGE(F640:F643,F656)</f>
        <v>0.45605365113297697</v>
      </c>
      <c r="E695" s="225">
        <f>AVERAGE(B695:D695)</f>
        <v>0.44935784959005559</v>
      </c>
    </row>
    <row r="696" spans="1:11" ht="19.95" customHeight="1">
      <c r="A696" s="210" t="s">
        <v>280</v>
      </c>
      <c r="B696" s="590"/>
      <c r="C696" s="590"/>
      <c r="D696" s="590"/>
      <c r="E696" s="224">
        <f>E684*E695</f>
        <v>10.785556237837369</v>
      </c>
    </row>
    <row r="697" spans="1:11" ht="19.95" customHeight="1">
      <c r="A697" s="219" t="s">
        <v>281</v>
      </c>
      <c r="B697" s="220"/>
      <c r="C697" s="220"/>
      <c r="D697" s="220"/>
      <c r="E697" s="221">
        <f>E696-E684</f>
        <v>-13.216597608316466</v>
      </c>
    </row>
    <row r="698" spans="1:11" ht="19.95" customHeight="1">
      <c r="A698" s="214" t="s">
        <v>282</v>
      </c>
      <c r="B698" s="589"/>
      <c r="C698" s="589"/>
      <c r="D698" s="216"/>
      <c r="E698" s="217">
        <f>E697/AVERAGE(D610,D632,D654)</f>
        <v>-1.4912812237896924E-3</v>
      </c>
    </row>
    <row r="699" spans="1:11" ht="19.95" customHeight="1">
      <c r="A699" s="588"/>
      <c r="B699" s="588"/>
      <c r="C699" s="588"/>
      <c r="D699" s="588"/>
      <c r="E699" s="588"/>
    </row>
    <row r="700" spans="1:11" ht="19.95" customHeight="1">
      <c r="A700" s="397" t="s">
        <v>295</v>
      </c>
      <c r="B700" s="588"/>
      <c r="C700" s="588"/>
      <c r="D700" s="588"/>
      <c r="E700" s="588"/>
    </row>
    <row r="701" spans="1:11" ht="19.95" customHeight="1">
      <c r="A701" s="588"/>
      <c r="B701" s="588"/>
      <c r="C701" s="588"/>
      <c r="D701" s="588"/>
      <c r="E701" s="588"/>
    </row>
    <row r="702" spans="1:11" ht="19.95" customHeight="1">
      <c r="A702" s="210" t="s">
        <v>2467</v>
      </c>
      <c r="B702" s="222">
        <f>F611/AVERAGE(F596:F599,F612)</f>
        <v>0.45906173201447925</v>
      </c>
      <c r="C702" s="222">
        <f>F633/AVERAGE(F618:F621,F634)</f>
        <v>0.44828592745148937</v>
      </c>
      <c r="D702" s="222">
        <f>F655/AVERAGE(F640:F643,F656)</f>
        <v>0.45186549046248198</v>
      </c>
      <c r="E702" s="225">
        <f>AVERAGE(B702:D702)</f>
        <v>0.45307104997615016</v>
      </c>
    </row>
    <row r="703" spans="1:11" ht="19.95" customHeight="1">
      <c r="A703" s="210" t="s">
        <v>280</v>
      </c>
      <c r="B703" s="590"/>
      <c r="C703" s="590"/>
      <c r="D703" s="590"/>
      <c r="E703" s="224">
        <f>E684*E702</f>
        <v>10.874681044766008</v>
      </c>
    </row>
    <row r="704" spans="1:11" ht="19.95" customHeight="1">
      <c r="A704" s="219" t="s">
        <v>281</v>
      </c>
      <c r="B704" s="220"/>
      <c r="C704" s="220"/>
      <c r="D704" s="220"/>
      <c r="E704" s="221">
        <f>E703-E684</f>
        <v>-13.127472801387826</v>
      </c>
    </row>
    <row r="705" spans="1:5" ht="19.95" customHeight="1">
      <c r="A705" s="214" t="s">
        <v>282</v>
      </c>
      <c r="B705" s="589"/>
      <c r="C705" s="589"/>
      <c r="D705" s="216"/>
      <c r="E705" s="217">
        <f>E704/AVERAGE(D611,D633,D655)</f>
        <v>-1.2402281238489026E-3</v>
      </c>
    </row>
    <row r="707" spans="1:5" s="149" customFormat="1" ht="19.95" customHeight="1">
      <c r="A707" s="150" t="s">
        <v>2108</v>
      </c>
    </row>
    <row r="709" spans="1:5" ht="19.95" customHeight="1">
      <c r="A709" s="587" t="s">
        <v>102</v>
      </c>
      <c r="B709" s="587" t="s">
        <v>2</v>
      </c>
      <c r="C709" s="587" t="s">
        <v>104</v>
      </c>
    </row>
    <row r="710" spans="1:5" ht="19.95" customHeight="1">
      <c r="A710" s="382" t="s">
        <v>1712</v>
      </c>
      <c r="B710" s="840" t="s">
        <v>1911</v>
      </c>
      <c r="C710" s="382">
        <v>-8.5899999999999995E-4</v>
      </c>
    </row>
    <row r="711" spans="1:5" ht="19.95" customHeight="1">
      <c r="A711" s="382" t="s">
        <v>1714</v>
      </c>
      <c r="B711" s="840" t="s">
        <v>1912</v>
      </c>
      <c r="C711" s="382">
        <v>-1.9580000000000001E-3</v>
      </c>
    </row>
    <row r="712" spans="1:5" ht="19.95" customHeight="1">
      <c r="A712" s="382" t="s">
        <v>1593</v>
      </c>
      <c r="B712" s="840" t="s">
        <v>1913</v>
      </c>
      <c r="C712" s="382">
        <v>-1.6410000000000001E-3</v>
      </c>
    </row>
    <row r="713" spans="1:5" ht="19.95" customHeight="1">
      <c r="A713" s="382" t="s">
        <v>1594</v>
      </c>
      <c r="B713" s="840" t="s">
        <v>1914</v>
      </c>
      <c r="C713" s="382">
        <v>1.4799999999999999E-4</v>
      </c>
    </row>
    <row r="714" spans="1:5" ht="19.95" customHeight="1">
      <c r="A714" s="382" t="s">
        <v>1595</v>
      </c>
      <c r="B714" s="840" t="s">
        <v>1915</v>
      </c>
      <c r="C714" s="382">
        <v>-2.5010000000000002E-3</v>
      </c>
    </row>
    <row r="715" spans="1:5" ht="19.95" customHeight="1">
      <c r="A715" s="382" t="s">
        <v>1596</v>
      </c>
      <c r="B715" s="840" t="s">
        <v>1916</v>
      </c>
      <c r="C715" s="382">
        <v>-3.3700000000000001E-4</v>
      </c>
    </row>
    <row r="716" spans="1:5" ht="19.95" customHeight="1">
      <c r="A716" s="382" t="s">
        <v>1597</v>
      </c>
      <c r="B716" s="840" t="s">
        <v>1917</v>
      </c>
      <c r="C716" s="382">
        <v>-2.2269999999999998E-3</v>
      </c>
    </row>
    <row r="717" spans="1:5" ht="19.95" customHeight="1">
      <c r="A717" s="382" t="s">
        <v>1468</v>
      </c>
      <c r="B717" s="840" t="s">
        <v>1918</v>
      </c>
      <c r="C717" s="382">
        <v>0.13287399999999999</v>
      </c>
    </row>
    <row r="718" spans="1:5" ht="19.95" customHeight="1">
      <c r="A718" s="382" t="s">
        <v>1473</v>
      </c>
      <c r="B718" s="840" t="s">
        <v>1919</v>
      </c>
      <c r="C718" s="382">
        <v>0.203345</v>
      </c>
    </row>
    <row r="719" spans="1:5" ht="19.95" customHeight="1">
      <c r="A719" s="382" t="s">
        <v>1475</v>
      </c>
      <c r="B719" s="840" t="s">
        <v>1920</v>
      </c>
      <c r="C719" s="382">
        <v>0.26915299999999998</v>
      </c>
    </row>
    <row r="720" spans="1:5" ht="19.95" customHeight="1">
      <c r="A720" s="382" t="s">
        <v>1476</v>
      </c>
      <c r="B720" s="840" t="s">
        <v>1921</v>
      </c>
      <c r="C720" s="382">
        <v>0.40546500000000002</v>
      </c>
    </row>
    <row r="721" spans="1:3" ht="19.95" customHeight="1">
      <c r="A721" s="382" t="s">
        <v>1477</v>
      </c>
      <c r="B721" s="840" t="s">
        <v>1922</v>
      </c>
      <c r="C721" s="382">
        <v>0.53436300000000003</v>
      </c>
    </row>
    <row r="722" spans="1:3" ht="19.95" customHeight="1">
      <c r="A722" s="382" t="s">
        <v>1838</v>
      </c>
      <c r="B722" s="840" t="s">
        <v>1923</v>
      </c>
      <c r="C722" s="382">
        <v>0.27287299999999998</v>
      </c>
    </row>
    <row r="723" spans="1:3" ht="19.95" customHeight="1">
      <c r="A723" s="382" t="s">
        <v>1839</v>
      </c>
      <c r="B723" s="840" t="s">
        <v>1924</v>
      </c>
      <c r="C723" s="382">
        <v>0.27442100000000003</v>
      </c>
    </row>
    <row r="724" spans="1:3" ht="19.95" customHeight="1">
      <c r="A724" s="382" t="s">
        <v>1840</v>
      </c>
      <c r="B724" s="840" t="s">
        <v>1925</v>
      </c>
      <c r="C724" s="382">
        <v>0.27326699999999998</v>
      </c>
    </row>
    <row r="725" spans="1:3" ht="19.95" customHeight="1">
      <c r="A725" s="382" t="s">
        <v>1841</v>
      </c>
      <c r="B725" s="840" t="s">
        <v>1926</v>
      </c>
      <c r="C725" s="382">
        <v>0.273507</v>
      </c>
    </row>
    <row r="726" spans="1:3" ht="19.95" customHeight="1">
      <c r="A726" s="382" t="s">
        <v>1842</v>
      </c>
      <c r="B726" s="840" t="s">
        <v>1927</v>
      </c>
      <c r="C726" s="382">
        <v>0.27404299999999998</v>
      </c>
    </row>
    <row r="727" spans="1:3" ht="19.95" customHeight="1">
      <c r="A727" s="382" t="s">
        <v>1843</v>
      </c>
      <c r="B727" s="840" t="s">
        <v>1928</v>
      </c>
      <c r="C727" s="382">
        <v>0.27305800000000002</v>
      </c>
    </row>
    <row r="728" spans="1:3" ht="19.95" customHeight="1">
      <c r="A728" s="382" t="s">
        <v>1844</v>
      </c>
      <c r="B728" s="840" t="s">
        <v>1929</v>
      </c>
      <c r="C728" s="382">
        <v>0.27565299999999998</v>
      </c>
    </row>
    <row r="729" spans="1:3" ht="19.95" customHeight="1">
      <c r="A729" s="382" t="s">
        <v>1845</v>
      </c>
      <c r="B729" s="840" t="s">
        <v>1930</v>
      </c>
      <c r="C729" s="382">
        <v>0.27206999999999998</v>
      </c>
    </row>
    <row r="730" spans="1:3" ht="19.95" customHeight="1">
      <c r="A730" s="382" t="s">
        <v>1856</v>
      </c>
      <c r="B730" s="840" t="s">
        <v>1931</v>
      </c>
      <c r="C730" s="382">
        <v>0.27345399999999997</v>
      </c>
    </row>
    <row r="731" spans="1:3" ht="19.95" customHeight="1">
      <c r="A731" s="382" t="s">
        <v>1846</v>
      </c>
      <c r="B731" s="840" t="s">
        <v>1932</v>
      </c>
      <c r="C731" s="382">
        <v>0.27408500000000002</v>
      </c>
    </row>
    <row r="732" spans="1:3" ht="19.95" customHeight="1">
      <c r="A732" s="593" t="s">
        <v>1854</v>
      </c>
      <c r="B732" s="770" t="s">
        <v>1933</v>
      </c>
      <c r="C732" s="593">
        <v>0.15690399999999999</v>
      </c>
    </row>
    <row r="733" spans="1:3" ht="19.95" customHeight="1">
      <c r="A733" s="589" t="s">
        <v>193</v>
      </c>
      <c r="B733" s="771" t="s">
        <v>1934</v>
      </c>
      <c r="C733" s="589">
        <v>0.16153400000000001</v>
      </c>
    </row>
    <row r="735" spans="1:3" s="149" customFormat="1" ht="19.95" customHeight="1">
      <c r="A735" s="150" t="s">
        <v>2109</v>
      </c>
    </row>
    <row r="737" spans="1:15" ht="19.95" customHeight="1">
      <c r="A737" s="592" t="s">
        <v>100</v>
      </c>
      <c r="B737" s="592"/>
      <c r="C737" s="592" t="s">
        <v>1485</v>
      </c>
      <c r="D737" s="592"/>
      <c r="E737" s="592" t="s">
        <v>1486</v>
      </c>
      <c r="F737" s="592"/>
      <c r="G737" s="601" t="s">
        <v>287</v>
      </c>
      <c r="H737" s="602"/>
    </row>
    <row r="738" spans="1:15" ht="19.95" customHeight="1">
      <c r="A738" s="589" t="s">
        <v>106</v>
      </c>
      <c r="B738" s="589" t="s">
        <v>105</v>
      </c>
      <c r="C738" s="589" t="s">
        <v>107</v>
      </c>
      <c r="D738" s="589" t="s">
        <v>108</v>
      </c>
      <c r="E738" s="589" t="s">
        <v>107</v>
      </c>
      <c r="F738" s="589" t="s">
        <v>108</v>
      </c>
      <c r="G738" s="611" t="s">
        <v>283</v>
      </c>
      <c r="H738" s="612" t="s">
        <v>284</v>
      </c>
    </row>
    <row r="739" spans="1:15" ht="19.95" customHeight="1">
      <c r="A739" s="837" t="s">
        <v>1274</v>
      </c>
      <c r="B739" s="841">
        <v>45357.439606481501</v>
      </c>
      <c r="C739" s="166" t="s">
        <v>109</v>
      </c>
      <c r="D739" s="170" t="s">
        <v>109</v>
      </c>
      <c r="E739" s="166" t="s">
        <v>109</v>
      </c>
      <c r="F739" s="170" t="s">
        <v>109</v>
      </c>
      <c r="G739" s="625"/>
      <c r="H739" s="626"/>
    </row>
    <row r="740" spans="1:15" ht="19.95" customHeight="1">
      <c r="A740" s="837" t="s">
        <v>1860</v>
      </c>
      <c r="B740" s="841">
        <v>45357.449178240699</v>
      </c>
      <c r="C740" s="166" t="s">
        <v>109</v>
      </c>
      <c r="D740" s="170">
        <v>0</v>
      </c>
      <c r="E740" s="166" t="s">
        <v>109</v>
      </c>
      <c r="F740" s="170" t="s">
        <v>109</v>
      </c>
      <c r="G740" s="605"/>
      <c r="H740" s="606"/>
    </row>
    <row r="741" spans="1:15" ht="19.95" customHeight="1">
      <c r="A741" s="837" t="s">
        <v>1655</v>
      </c>
      <c r="B741" s="841">
        <v>45357.458912037</v>
      </c>
      <c r="C741" s="166">
        <v>2.4627166666666702</v>
      </c>
      <c r="D741" s="170">
        <v>3.95030769230774</v>
      </c>
      <c r="E741" s="166" t="s">
        <v>109</v>
      </c>
      <c r="F741" s="170" t="s">
        <v>109</v>
      </c>
      <c r="G741" s="605"/>
      <c r="H741" s="606"/>
    </row>
    <row r="742" spans="1:15" ht="19.95" customHeight="1">
      <c r="A742" s="837" t="s">
        <v>1656</v>
      </c>
      <c r="B742" s="841">
        <v>45357.46875</v>
      </c>
      <c r="C742" s="166">
        <v>2.4607666666666699</v>
      </c>
      <c r="D742" s="170">
        <v>95.4059962440936</v>
      </c>
      <c r="E742" s="166" t="s">
        <v>109</v>
      </c>
      <c r="F742" s="170" t="s">
        <v>109</v>
      </c>
      <c r="G742" s="605"/>
      <c r="H742" s="606"/>
    </row>
    <row r="743" spans="1:15" ht="19.95" customHeight="1">
      <c r="A743" s="837" t="s">
        <v>1657</v>
      </c>
      <c r="B743" s="841">
        <v>45357.4784953704</v>
      </c>
      <c r="C743" s="166">
        <v>2.4566666666666701</v>
      </c>
      <c r="D743" s="170">
        <v>44.7020384615384</v>
      </c>
      <c r="E743" s="166">
        <v>2.4566666666666701</v>
      </c>
      <c r="F743" s="170">
        <v>2976.04376102269</v>
      </c>
      <c r="G743" s="605"/>
      <c r="H743" s="606"/>
    </row>
    <row r="744" spans="1:15" ht="19.95" customHeight="1">
      <c r="A744" s="837" t="s">
        <v>1658</v>
      </c>
      <c r="B744" s="841">
        <v>45357.488298611097</v>
      </c>
      <c r="C744" s="166">
        <v>2.4629500000000002</v>
      </c>
      <c r="D744" s="170">
        <v>124.05085356951</v>
      </c>
      <c r="E744" s="166">
        <v>2.4649666666666699</v>
      </c>
      <c r="F744" s="170">
        <v>2841.3794101510998</v>
      </c>
      <c r="G744" s="605"/>
      <c r="H744" s="606"/>
      <c r="J744" s="587" t="s">
        <v>102</v>
      </c>
      <c r="K744" s="92" t="s">
        <v>283</v>
      </c>
      <c r="L744" s="92" t="s">
        <v>284</v>
      </c>
      <c r="M744" s="195" t="s">
        <v>103</v>
      </c>
      <c r="O744" s="592"/>
    </row>
    <row r="745" spans="1:15" ht="19.95" customHeight="1">
      <c r="A745" s="837" t="s">
        <v>1282</v>
      </c>
      <c r="B745" s="841">
        <v>45357.498101851903</v>
      </c>
      <c r="C745" s="166">
        <v>2.46495</v>
      </c>
      <c r="D745" s="170">
        <v>1393.9090000000001</v>
      </c>
      <c r="E745" s="166">
        <v>2.4669666666666701</v>
      </c>
      <c r="F745" s="170">
        <v>2885.1459122690098</v>
      </c>
      <c r="G745" s="613">
        <f>D745/F745</f>
        <v>0.48313293066823326</v>
      </c>
      <c r="H745" s="618">
        <f>G745*$G$839</f>
        <v>1.4427707565788221E-3</v>
      </c>
      <c r="J745" s="588" t="str">
        <f>SUBSTITUTE(A745,"_I.D","")</f>
        <v>AB1</v>
      </c>
      <c r="K745" s="60">
        <f>AVERAGE(G745,G767,G789)</f>
        <v>0.48329486166307661</v>
      </c>
      <c r="L745" s="60">
        <f>AVERAGE(H745,H767,H789)</f>
        <v>1.4432543280539039E-3</v>
      </c>
      <c r="M745" s="235">
        <f>B745</f>
        <v>45357.498101851903</v>
      </c>
      <c r="O745" s="200"/>
    </row>
    <row r="746" spans="1:15" ht="19.95" customHeight="1">
      <c r="A746" s="837" t="s">
        <v>1283</v>
      </c>
      <c r="B746" s="841">
        <v>45357.508055555598</v>
      </c>
      <c r="C746" s="166">
        <v>2.4587833333333302</v>
      </c>
      <c r="D746" s="170">
        <v>2932.0292019270501</v>
      </c>
      <c r="E746" s="166">
        <v>2.4628000000000001</v>
      </c>
      <c r="F746" s="170">
        <v>3110.4966614428299</v>
      </c>
      <c r="G746" s="613">
        <f t="shared" ref="G746:G761" si="116">D746/F746</f>
        <v>0.94262412761022019</v>
      </c>
      <c r="H746" s="618">
        <f t="shared" ref="H746:H761" si="117">G746*$G$839</f>
        <v>2.8149406497309393E-3</v>
      </c>
      <c r="J746" s="588" t="str">
        <f t="shared" ref="J746:J761" si="118">SUBSTITUTE(A746,"_I.D","")</f>
        <v>AB2A</v>
      </c>
      <c r="K746" s="60">
        <f t="shared" ref="K746:K761" si="119">AVERAGE(G746,G768,G790)</f>
        <v>0.94403220347205818</v>
      </c>
      <c r="L746" s="60">
        <f t="shared" ref="L746:L761" si="120">AVERAGE(H746,H768,H790)</f>
        <v>2.819145560113874E-3</v>
      </c>
      <c r="M746" s="235">
        <f t="shared" ref="M746:M761" si="121">B746</f>
        <v>45357.508055555598</v>
      </c>
      <c r="O746" s="200"/>
    </row>
    <row r="747" spans="1:15" ht="19.95" customHeight="1">
      <c r="A747" s="837" t="s">
        <v>1284</v>
      </c>
      <c r="B747" s="841">
        <v>45357.5179166667</v>
      </c>
      <c r="C747" s="166">
        <v>2.46078333333333</v>
      </c>
      <c r="D747" s="170">
        <v>2882.3253076923102</v>
      </c>
      <c r="E747" s="166">
        <v>2.4648166666666702</v>
      </c>
      <c r="F747" s="170">
        <v>3027.2641507263002</v>
      </c>
      <c r="G747" s="613">
        <f t="shared" si="116"/>
        <v>0.952122168460517</v>
      </c>
      <c r="H747" s="618">
        <f t="shared" si="117"/>
        <v>2.8433044699421712E-3</v>
      </c>
      <c r="J747" s="588" t="str">
        <f t="shared" si="118"/>
        <v>AB2B</v>
      </c>
      <c r="K747" s="60">
        <f t="shared" si="119"/>
        <v>0.94991825580834577</v>
      </c>
      <c r="L747" s="60">
        <f t="shared" si="120"/>
        <v>2.8367229671656807E-3</v>
      </c>
      <c r="M747" s="235">
        <f t="shared" si="121"/>
        <v>45357.5179166667</v>
      </c>
      <c r="O747" s="200"/>
    </row>
    <row r="748" spans="1:15" ht="19.95" customHeight="1">
      <c r="A748" s="837" t="s">
        <v>1286</v>
      </c>
      <c r="B748" s="841">
        <v>45357.527754629598</v>
      </c>
      <c r="C748" s="166">
        <v>2.4626999999999999</v>
      </c>
      <c r="D748" s="170">
        <v>5840.5196871555299</v>
      </c>
      <c r="E748" s="166">
        <v>2.4626999999999999</v>
      </c>
      <c r="F748" s="170">
        <v>3149.5442393470198</v>
      </c>
      <c r="G748" s="613">
        <f t="shared" si="116"/>
        <v>1.8544015398133977</v>
      </c>
      <c r="H748" s="618">
        <f t="shared" si="117"/>
        <v>5.5377643351633889E-3</v>
      </c>
      <c r="J748" s="588" t="str">
        <f t="shared" si="118"/>
        <v>AB3</v>
      </c>
      <c r="K748" s="60">
        <f t="shared" si="119"/>
        <v>1.8522915648289231</v>
      </c>
      <c r="L748" s="60">
        <f t="shared" si="120"/>
        <v>5.5314633566718131E-3</v>
      </c>
      <c r="M748" s="235">
        <f t="shared" si="121"/>
        <v>45357.527754629598</v>
      </c>
      <c r="O748" s="200"/>
    </row>
    <row r="749" spans="1:15" ht="19.95" customHeight="1">
      <c r="A749" s="837" t="s">
        <v>1861</v>
      </c>
      <c r="B749" s="841">
        <v>45357.537650462997</v>
      </c>
      <c r="C749" s="166">
        <v>2.4526666666666701</v>
      </c>
      <c r="D749" s="170">
        <v>2617.7566854258298</v>
      </c>
      <c r="E749" s="166">
        <v>2.45468333333333</v>
      </c>
      <c r="F749" s="170">
        <v>2783.8824829382602</v>
      </c>
      <c r="G749" s="613">
        <f t="shared" si="116"/>
        <v>0.94032585839000926</v>
      </c>
      <c r="H749" s="618">
        <f t="shared" si="117"/>
        <v>2.8080773717153438E-3</v>
      </c>
      <c r="J749" s="588" t="str">
        <f t="shared" si="118"/>
        <v>052_A1</v>
      </c>
      <c r="K749" s="60">
        <f t="shared" si="119"/>
        <v>0.93791040605560416</v>
      </c>
      <c r="L749" s="60">
        <f t="shared" si="120"/>
        <v>2.8008641519764832E-3</v>
      </c>
      <c r="M749" s="235">
        <f t="shared" si="121"/>
        <v>45357.537650462997</v>
      </c>
      <c r="O749" s="200"/>
    </row>
    <row r="750" spans="1:15" ht="19.95" customHeight="1">
      <c r="A750" s="837" t="s">
        <v>1862</v>
      </c>
      <c r="B750" s="841">
        <v>45357.547523148103</v>
      </c>
      <c r="C750" s="166">
        <v>2.4607000000000001</v>
      </c>
      <c r="D750" s="170">
        <v>2454.4622143137999</v>
      </c>
      <c r="E750" s="166">
        <v>2.4627166666666702</v>
      </c>
      <c r="F750" s="170">
        <v>2630.22301299948</v>
      </c>
      <c r="G750" s="613">
        <f t="shared" si="116"/>
        <v>0.93317646533506515</v>
      </c>
      <c r="H750" s="618">
        <f t="shared" si="117"/>
        <v>2.7867272741082644E-3</v>
      </c>
      <c r="J750" s="588" t="str">
        <f t="shared" si="118"/>
        <v>130_A1</v>
      </c>
      <c r="K750" s="60">
        <f t="shared" si="119"/>
        <v>0.93257447533495696</v>
      </c>
      <c r="L750" s="60">
        <f t="shared" si="120"/>
        <v>2.7849295627274495E-3</v>
      </c>
      <c r="M750" s="235">
        <f t="shared" si="121"/>
        <v>45357.547523148103</v>
      </c>
      <c r="O750" s="200"/>
    </row>
    <row r="751" spans="1:15" ht="19.95" customHeight="1">
      <c r="A751" s="837" t="s">
        <v>1863</v>
      </c>
      <c r="B751" s="841">
        <v>45357.557372685202</v>
      </c>
      <c r="C751" s="166">
        <v>2.44685</v>
      </c>
      <c r="D751" s="170">
        <v>2621.3855462903398</v>
      </c>
      <c r="E751" s="166">
        <v>2.45088333333333</v>
      </c>
      <c r="F751" s="170">
        <v>2819.6675122568699</v>
      </c>
      <c r="G751" s="613">
        <f t="shared" si="116"/>
        <v>0.92967895501699604</v>
      </c>
      <c r="H751" s="618">
        <f t="shared" si="117"/>
        <v>2.7762827250257514E-3</v>
      </c>
      <c r="J751" s="588" t="str">
        <f t="shared" si="118"/>
        <v>207_A1</v>
      </c>
      <c r="K751" s="60">
        <f t="shared" si="119"/>
        <v>0.92738280112434135</v>
      </c>
      <c r="L751" s="60">
        <f t="shared" si="120"/>
        <v>2.7694257639729312E-3</v>
      </c>
      <c r="M751" s="235">
        <f t="shared" si="121"/>
        <v>45357.557372685202</v>
      </c>
      <c r="O751" s="200"/>
    </row>
    <row r="752" spans="1:15" ht="19.95" customHeight="1">
      <c r="A752" s="837" t="s">
        <v>1864</v>
      </c>
      <c r="B752" s="841">
        <v>45357.567233796297</v>
      </c>
      <c r="C752" s="166">
        <v>2.4568833333333302</v>
      </c>
      <c r="D752" s="170">
        <v>2660.9755415456102</v>
      </c>
      <c r="E752" s="166">
        <v>2.4588999999999999</v>
      </c>
      <c r="F752" s="170">
        <v>2857.0000447552402</v>
      </c>
      <c r="G752" s="613">
        <f t="shared" si="116"/>
        <v>0.93138799435110842</v>
      </c>
      <c r="H752" s="618">
        <f t="shared" si="117"/>
        <v>2.7813863969482796E-3</v>
      </c>
      <c r="J752" s="588" t="str">
        <f t="shared" si="118"/>
        <v>284_A1</v>
      </c>
      <c r="K752" s="60">
        <f t="shared" si="119"/>
        <v>0.93207656561002594</v>
      </c>
      <c r="L752" s="60">
        <f t="shared" si="120"/>
        <v>2.7834426643089266E-3</v>
      </c>
      <c r="M752" s="235">
        <f t="shared" si="121"/>
        <v>45357.567233796297</v>
      </c>
      <c r="O752" s="200"/>
    </row>
    <row r="753" spans="1:15" ht="19.95" customHeight="1">
      <c r="A753" s="837" t="s">
        <v>1865</v>
      </c>
      <c r="B753" s="841">
        <v>45357.577129629601</v>
      </c>
      <c r="C753" s="166">
        <v>2.45678333333333</v>
      </c>
      <c r="D753" s="170">
        <v>2555.1228777909801</v>
      </c>
      <c r="E753" s="166">
        <v>2.4547666666666701</v>
      </c>
      <c r="F753" s="170">
        <v>2745.8442464771301</v>
      </c>
      <c r="G753" s="613">
        <f t="shared" si="116"/>
        <v>0.93054181098187116</v>
      </c>
      <c r="H753" s="618">
        <f t="shared" si="117"/>
        <v>2.7788594555159282E-3</v>
      </c>
      <c r="J753" s="588" t="str">
        <f t="shared" si="118"/>
        <v>360_A1</v>
      </c>
      <c r="K753" s="60">
        <f t="shared" si="119"/>
        <v>0.93056937315217469</v>
      </c>
      <c r="L753" s="60">
        <f t="shared" si="120"/>
        <v>2.7789417639051471E-3</v>
      </c>
      <c r="M753" s="235">
        <f t="shared" si="121"/>
        <v>45357.577129629601</v>
      </c>
      <c r="O753" s="200"/>
    </row>
    <row r="754" spans="1:15" ht="19.95" customHeight="1">
      <c r="A754" s="837" t="s">
        <v>1866</v>
      </c>
      <c r="B754" s="841">
        <v>45357.586967592601</v>
      </c>
      <c r="C754" s="166">
        <v>2.4627833333333302</v>
      </c>
      <c r="D754" s="170">
        <v>2531.9780179378499</v>
      </c>
      <c r="E754" s="166">
        <v>2.4627833333333302</v>
      </c>
      <c r="F754" s="170">
        <v>2722.5631556654098</v>
      </c>
      <c r="G754" s="613">
        <f t="shared" si="116"/>
        <v>0.92999790020261996</v>
      </c>
      <c r="H754" s="618">
        <f t="shared" si="117"/>
        <v>2.7772351850166967E-3</v>
      </c>
      <c r="J754" s="588" t="str">
        <f t="shared" si="118"/>
        <v>052_A2</v>
      </c>
      <c r="K754" s="60">
        <f t="shared" si="119"/>
        <v>0.93151437682135274</v>
      </c>
      <c r="L754" s="60">
        <f t="shared" si="120"/>
        <v>2.7817638105349721E-3</v>
      </c>
      <c r="M754" s="235">
        <f t="shared" si="121"/>
        <v>45357.586967592601</v>
      </c>
      <c r="O754" s="200"/>
    </row>
    <row r="755" spans="1:15" ht="19.95" customHeight="1">
      <c r="A755" s="837" t="s">
        <v>1867</v>
      </c>
      <c r="B755" s="841">
        <v>45357.596817129597</v>
      </c>
      <c r="C755" s="166">
        <v>2.4587166666666702</v>
      </c>
      <c r="D755" s="170">
        <v>2499.5221778589698</v>
      </c>
      <c r="E755" s="166">
        <v>2.4607333333333301</v>
      </c>
      <c r="F755" s="170">
        <v>2684.4605030849898</v>
      </c>
      <c r="G755" s="613">
        <f t="shared" si="116"/>
        <v>0.93110782408104409</v>
      </c>
      <c r="H755" s="618">
        <f t="shared" si="117"/>
        <v>2.7805497297561828E-3</v>
      </c>
      <c r="J755" s="588" t="str">
        <f t="shared" si="118"/>
        <v>130_A2</v>
      </c>
      <c r="K755" s="60">
        <f t="shared" si="119"/>
        <v>0.92811522545329461</v>
      </c>
      <c r="L755" s="60">
        <f t="shared" si="120"/>
        <v>2.7716129889293409E-3</v>
      </c>
      <c r="M755" s="235">
        <f t="shared" si="121"/>
        <v>45357.596817129597</v>
      </c>
      <c r="O755" s="200"/>
    </row>
    <row r="756" spans="1:15" ht="19.95" customHeight="1">
      <c r="A756" s="837" t="s">
        <v>1868</v>
      </c>
      <c r="B756" s="841">
        <v>45357.606643518498</v>
      </c>
      <c r="C756" s="166">
        <v>2.45085</v>
      </c>
      <c r="D756" s="170">
        <v>2594.4671839625398</v>
      </c>
      <c r="E756" s="166">
        <v>2.45085</v>
      </c>
      <c r="F756" s="170">
        <v>2795.6744999999901</v>
      </c>
      <c r="G756" s="613">
        <f t="shared" si="116"/>
        <v>0.92802906202512092</v>
      </c>
      <c r="H756" s="618">
        <f t="shared" si="117"/>
        <v>2.7713556807092534E-3</v>
      </c>
      <c r="J756" s="588" t="str">
        <f t="shared" si="118"/>
        <v>207_A2</v>
      </c>
      <c r="K756" s="60">
        <f t="shared" si="119"/>
        <v>0.92816201549343447</v>
      </c>
      <c r="L756" s="60">
        <f t="shared" si="120"/>
        <v>2.7717527171435188E-3</v>
      </c>
      <c r="M756" s="235">
        <f t="shared" si="121"/>
        <v>45357.606643518498</v>
      </c>
      <c r="O756" s="200"/>
    </row>
    <row r="757" spans="1:15" ht="19.95" customHeight="1">
      <c r="A757" s="837" t="s">
        <v>1869</v>
      </c>
      <c r="B757" s="841">
        <v>45357.616550925901</v>
      </c>
      <c r="C757" s="166">
        <v>2.4528333333333299</v>
      </c>
      <c r="D757" s="170">
        <v>2568.2673215303098</v>
      </c>
      <c r="E757" s="166">
        <v>2.4528333333333299</v>
      </c>
      <c r="F757" s="170">
        <v>2798.40564985842</v>
      </c>
      <c r="G757" s="613">
        <f t="shared" si="116"/>
        <v>0.91776091206085375</v>
      </c>
      <c r="H757" s="618">
        <f t="shared" si="117"/>
        <v>2.7406920981790377E-3</v>
      </c>
      <c r="J757" s="588" t="str">
        <f t="shared" si="118"/>
        <v>284_A2</v>
      </c>
      <c r="K757" s="60">
        <f t="shared" si="119"/>
        <v>0.92370596247234271</v>
      </c>
      <c r="L757" s="60">
        <f t="shared" si="120"/>
        <v>2.7584456900698238E-3</v>
      </c>
      <c r="M757" s="235">
        <f t="shared" si="121"/>
        <v>45357.616550925901</v>
      </c>
      <c r="O757" s="200"/>
    </row>
    <row r="758" spans="1:15" ht="19.95" customHeight="1">
      <c r="A758" s="837" t="s">
        <v>1870</v>
      </c>
      <c r="B758" s="841">
        <v>45357.626493055599</v>
      </c>
      <c r="C758" s="166">
        <v>2.45691666666667</v>
      </c>
      <c r="D758" s="170">
        <v>2550.4294277305298</v>
      </c>
      <c r="E758" s="166">
        <v>2.45691666666667</v>
      </c>
      <c r="F758" s="170">
        <v>2750.30122368709</v>
      </c>
      <c r="G758" s="613">
        <f t="shared" si="116"/>
        <v>0.9273273071926974</v>
      </c>
      <c r="H758" s="618">
        <f t="shared" si="117"/>
        <v>2.7692600434917531E-3</v>
      </c>
      <c r="J758" s="588" t="str">
        <f t="shared" si="118"/>
        <v>360_A2</v>
      </c>
      <c r="K758" s="60">
        <f t="shared" si="119"/>
        <v>0.93031539692986287</v>
      </c>
      <c r="L758" s="60">
        <f t="shared" si="120"/>
        <v>2.7781833195037048E-3</v>
      </c>
      <c r="M758" s="235">
        <f t="shared" si="121"/>
        <v>45357.626493055599</v>
      </c>
      <c r="O758" s="200"/>
    </row>
    <row r="759" spans="1:15" ht="19.95" customHeight="1">
      <c r="A759" s="837" t="s">
        <v>1285</v>
      </c>
      <c r="B759" s="841">
        <v>45357.636412036998</v>
      </c>
      <c r="C759" s="166">
        <v>2.45461666666667</v>
      </c>
      <c r="D759" s="170">
        <v>2849.9921177584201</v>
      </c>
      <c r="E759" s="166">
        <v>2.4526166666666702</v>
      </c>
      <c r="F759" s="170">
        <v>3006.1216112326301</v>
      </c>
      <c r="G759" s="613">
        <f t="shared" si="116"/>
        <v>0.94806281525976233</v>
      </c>
      <c r="H759" s="618">
        <f t="shared" si="117"/>
        <v>2.8311821000582284E-3</v>
      </c>
      <c r="J759" s="588" t="str">
        <f t="shared" si="118"/>
        <v>AB2C</v>
      </c>
      <c r="K759" s="60">
        <f t="shared" si="119"/>
        <v>0.94856001508868137</v>
      </c>
      <c r="L759" s="60">
        <f t="shared" si="120"/>
        <v>2.8326668785276826E-3</v>
      </c>
      <c r="M759" s="235">
        <f t="shared" si="121"/>
        <v>45357.636412036998</v>
      </c>
      <c r="O759" s="200"/>
    </row>
    <row r="760" spans="1:15" ht="19.95" customHeight="1">
      <c r="A760" s="837" t="s">
        <v>1670</v>
      </c>
      <c r="B760" s="841">
        <v>45357.646249999998</v>
      </c>
      <c r="C760" s="166">
        <v>2.4506333333333301</v>
      </c>
      <c r="D760" s="170">
        <v>4969.0686688655096</v>
      </c>
      <c r="E760" s="166">
        <v>2.4506333333333301</v>
      </c>
      <c r="F760" s="170">
        <v>2636.7845000000202</v>
      </c>
      <c r="G760" s="613">
        <f t="shared" si="116"/>
        <v>1.8845183096553668</v>
      </c>
      <c r="H760" s="618">
        <f t="shared" si="117"/>
        <v>5.6277014767912815E-3</v>
      </c>
      <c r="J760" s="588" t="str">
        <f t="shared" si="118"/>
        <v>MOOS3</v>
      </c>
      <c r="K760" s="60">
        <f t="shared" si="119"/>
        <v>1.8899182302420092</v>
      </c>
      <c r="L760" s="60">
        <f t="shared" si="120"/>
        <v>5.6438271577699721E-3</v>
      </c>
      <c r="M760" s="235">
        <f t="shared" si="121"/>
        <v>45357.646249999998</v>
      </c>
      <c r="O760" s="200"/>
    </row>
    <row r="761" spans="1:15" ht="19.95" customHeight="1">
      <c r="A761" s="839" t="s">
        <v>1707</v>
      </c>
      <c r="B761" s="836">
        <v>45357.656099537002</v>
      </c>
      <c r="C761" s="169">
        <v>2.4566833333333302</v>
      </c>
      <c r="D761" s="172">
        <v>8781.8993782866091</v>
      </c>
      <c r="E761" s="169">
        <v>2.4586999999999999</v>
      </c>
      <c r="F761" s="172">
        <v>3167.0175051507799</v>
      </c>
      <c r="G761" s="614">
        <f t="shared" si="116"/>
        <v>2.7729241672974294</v>
      </c>
      <c r="H761" s="621">
        <f t="shared" si="117"/>
        <v>8.2807311297409432E-3</v>
      </c>
      <c r="J761" s="589" t="str">
        <f t="shared" si="118"/>
        <v>AB4</v>
      </c>
      <c r="K761" s="81">
        <f t="shared" si="119"/>
        <v>2.762551338589089</v>
      </c>
      <c r="L761" s="81">
        <f t="shared" si="120"/>
        <v>8.2497549470520615E-3</v>
      </c>
      <c r="M761" s="236">
        <f t="shared" si="121"/>
        <v>45357.656099537002</v>
      </c>
      <c r="O761" s="200"/>
    </row>
    <row r="762" spans="1:15" ht="19.95" customHeight="1">
      <c r="A762" s="837" t="s">
        <v>1293</v>
      </c>
      <c r="B762" s="841">
        <v>45357.666006944397</v>
      </c>
      <c r="C762" s="166" t="s">
        <v>109</v>
      </c>
      <c r="D762" s="170" t="s">
        <v>109</v>
      </c>
      <c r="E762" s="166" t="s">
        <v>109</v>
      </c>
      <c r="F762" s="170" t="s">
        <v>109</v>
      </c>
      <c r="G762" s="627"/>
      <c r="H762" s="628"/>
    </row>
    <row r="763" spans="1:15" ht="19.95" customHeight="1">
      <c r="A763" s="837" t="s">
        <v>1671</v>
      </c>
      <c r="B763" s="841">
        <v>45357.675925925898</v>
      </c>
      <c r="C763" s="166">
        <v>2.4649000000000001</v>
      </c>
      <c r="D763" s="170">
        <v>8.0667397978349697</v>
      </c>
      <c r="E763" s="166" t="s">
        <v>109</v>
      </c>
      <c r="F763" s="170" t="s">
        <v>109</v>
      </c>
      <c r="G763" s="613"/>
      <c r="H763" s="618"/>
    </row>
    <row r="764" spans="1:15" ht="19.95" customHeight="1">
      <c r="A764" s="837" t="s">
        <v>1672</v>
      </c>
      <c r="B764" s="841">
        <v>45357.685717592598</v>
      </c>
      <c r="C764" s="166">
        <v>2.4647999999999999</v>
      </c>
      <c r="D764" s="170">
        <v>67.759955390507201</v>
      </c>
      <c r="E764" s="166" t="s">
        <v>109</v>
      </c>
      <c r="F764" s="170" t="s">
        <v>109</v>
      </c>
      <c r="G764" s="613"/>
      <c r="H764" s="618"/>
    </row>
    <row r="765" spans="1:15" ht="19.95" customHeight="1">
      <c r="A765" s="837" t="s">
        <v>1673</v>
      </c>
      <c r="B765" s="841">
        <v>45357.695486111101</v>
      </c>
      <c r="C765" s="166">
        <v>2.45671666666667</v>
      </c>
      <c r="D765" s="170">
        <v>38.9147307692308</v>
      </c>
      <c r="E765" s="166">
        <v>2.4587333333333299</v>
      </c>
      <c r="F765" s="170">
        <v>2496.84118570295</v>
      </c>
      <c r="G765" s="613"/>
      <c r="H765" s="618"/>
    </row>
    <row r="766" spans="1:15" ht="19.95" customHeight="1">
      <c r="A766" s="837" t="s">
        <v>1674</v>
      </c>
      <c r="B766" s="841">
        <v>45357.705266203702</v>
      </c>
      <c r="C766" s="166">
        <v>2.4548333333333301</v>
      </c>
      <c r="D766" s="170">
        <v>126.556269230769</v>
      </c>
      <c r="E766" s="166">
        <v>2.4528166666666702</v>
      </c>
      <c r="F766" s="170">
        <v>2923.7444999999998</v>
      </c>
      <c r="G766" s="613"/>
      <c r="H766" s="618"/>
    </row>
    <row r="767" spans="1:15" ht="19.95" customHeight="1">
      <c r="A767" s="837" t="s">
        <v>1301</v>
      </c>
      <c r="B767" s="841">
        <v>45357.715092592603</v>
      </c>
      <c r="C767" s="166">
        <v>2.4688333333333299</v>
      </c>
      <c r="D767" s="170">
        <v>1287.9545000000001</v>
      </c>
      <c r="E767" s="166">
        <v>2.4688333333333299</v>
      </c>
      <c r="F767" s="170">
        <v>2659.64956999382</v>
      </c>
      <c r="G767" s="613">
        <f>D767/F767</f>
        <v>0.48425721739085831</v>
      </c>
      <c r="H767" s="618">
        <f>G767*$G$839</f>
        <v>1.4461281928089911E-3</v>
      </c>
    </row>
    <row r="768" spans="1:15" ht="19.95" customHeight="1">
      <c r="A768" s="837" t="s">
        <v>1302</v>
      </c>
      <c r="B768" s="841">
        <v>45357.724884259304</v>
      </c>
      <c r="C768" s="166">
        <v>2.4589166666666702</v>
      </c>
      <c r="D768" s="170">
        <v>2836.0704999999998</v>
      </c>
      <c r="E768" s="166">
        <v>2.4629500000000002</v>
      </c>
      <c r="F768" s="170">
        <v>3004.6248671082199</v>
      </c>
      <c r="G768" s="613">
        <f t="shared" ref="G768:G783" si="122">D768/F768</f>
        <v>0.94390169336831586</v>
      </c>
      <c r="H768" s="618">
        <f t="shared" ref="H768:H783" si="123">G768*$G$839</f>
        <v>2.8187558202531337E-3</v>
      </c>
    </row>
    <row r="769" spans="1:8" ht="19.95" customHeight="1">
      <c r="A769" s="837" t="s">
        <v>1303</v>
      </c>
      <c r="B769" s="841">
        <v>45357.734594907401</v>
      </c>
      <c r="C769" s="166">
        <v>2.4607666666666699</v>
      </c>
      <c r="D769" s="170">
        <v>2859.5729999999999</v>
      </c>
      <c r="E769" s="166">
        <v>2.4627833333333302</v>
      </c>
      <c r="F769" s="170">
        <v>2988.1855897554401</v>
      </c>
      <c r="G769" s="613">
        <f t="shared" si="122"/>
        <v>0.95695963791661076</v>
      </c>
      <c r="H769" s="618">
        <f t="shared" si="123"/>
        <v>2.8577505137203133E-3</v>
      </c>
    </row>
    <row r="770" spans="1:8" ht="19.95" customHeight="1">
      <c r="A770" s="837" t="s">
        <v>1305</v>
      </c>
      <c r="B770" s="841">
        <v>45357.7443055556</v>
      </c>
      <c r="C770" s="166">
        <v>2.4608666666666701</v>
      </c>
      <c r="D770" s="170">
        <v>5677.6305000000002</v>
      </c>
      <c r="E770" s="166">
        <v>2.4628666666666699</v>
      </c>
      <c r="F770" s="170">
        <v>3077.4070000000002</v>
      </c>
      <c r="G770" s="613">
        <f t="shared" si="122"/>
        <v>1.8449397496008815</v>
      </c>
      <c r="H770" s="618">
        <f t="shared" si="123"/>
        <v>5.5095087695478948E-3</v>
      </c>
    </row>
    <row r="771" spans="1:8" ht="19.95" customHeight="1">
      <c r="A771" s="837" t="s">
        <v>1872</v>
      </c>
      <c r="B771" s="841">
        <v>45357.754062499997</v>
      </c>
      <c r="C771" s="166">
        <v>2.46095</v>
      </c>
      <c r="D771" s="170">
        <v>2453.3873612089301</v>
      </c>
      <c r="E771" s="166">
        <v>2.4629666666666701</v>
      </c>
      <c r="F771" s="170">
        <v>2609.10911538461</v>
      </c>
      <c r="G771" s="613">
        <f t="shared" si="122"/>
        <v>0.9403161204499012</v>
      </c>
      <c r="H771" s="618">
        <f t="shared" si="123"/>
        <v>2.8080482914885048E-3</v>
      </c>
    </row>
    <row r="772" spans="1:8" ht="19.95" customHeight="1">
      <c r="A772" s="837" t="s">
        <v>1873</v>
      </c>
      <c r="B772" s="841">
        <v>45357.763819444401</v>
      </c>
      <c r="C772" s="166">
        <v>2.4567333333333301</v>
      </c>
      <c r="D772" s="170">
        <v>2467.74599804743</v>
      </c>
      <c r="E772" s="166">
        <v>2.4567333333333301</v>
      </c>
      <c r="F772" s="170">
        <v>2641.5875000000001</v>
      </c>
      <c r="G772" s="613">
        <f t="shared" si="122"/>
        <v>0.93419051916600526</v>
      </c>
      <c r="H772" s="618">
        <f t="shared" si="123"/>
        <v>2.7897555239335321E-3</v>
      </c>
    </row>
    <row r="773" spans="1:8" ht="19.95" customHeight="1">
      <c r="A773" s="837" t="s">
        <v>1874</v>
      </c>
      <c r="B773" s="841">
        <v>45357.773518518501</v>
      </c>
      <c r="C773" s="166">
        <v>2.4627500000000002</v>
      </c>
      <c r="D773" s="170">
        <v>2432.1462762692399</v>
      </c>
      <c r="E773" s="166">
        <v>2.4627500000000002</v>
      </c>
      <c r="F773" s="170">
        <v>2634.3637329090602</v>
      </c>
      <c r="G773" s="613">
        <f t="shared" si="122"/>
        <v>0.92323859681422327</v>
      </c>
      <c r="H773" s="618">
        <f t="shared" si="123"/>
        <v>2.7570500048218084E-3</v>
      </c>
    </row>
    <row r="774" spans="1:8" ht="19.95" customHeight="1">
      <c r="A774" s="837" t="s">
        <v>1875</v>
      </c>
      <c r="B774" s="841">
        <v>45357.783148148097</v>
      </c>
      <c r="C774" s="166">
        <v>2.46071666666667</v>
      </c>
      <c r="D774" s="170">
        <v>2542.7922883272099</v>
      </c>
      <c r="E774" s="166">
        <v>2.46475</v>
      </c>
      <c r="F774" s="170">
        <v>2733.9946566045301</v>
      </c>
      <c r="G774" s="613">
        <f t="shared" si="122"/>
        <v>0.93006483468596723</v>
      </c>
      <c r="H774" s="618">
        <f t="shared" si="123"/>
        <v>2.7774350702016014E-3</v>
      </c>
    </row>
    <row r="775" spans="1:8" ht="19.95" customHeight="1">
      <c r="A775" s="837" t="s">
        <v>1876</v>
      </c>
      <c r="B775" s="841">
        <v>45357.792777777802</v>
      </c>
      <c r="C775" s="166">
        <v>2.4666666666666699</v>
      </c>
      <c r="D775" s="170">
        <v>2349.61273076923</v>
      </c>
      <c r="E775" s="166">
        <v>2.4646499999999998</v>
      </c>
      <c r="F775" s="170">
        <v>2537.143</v>
      </c>
      <c r="G775" s="613">
        <f t="shared" si="122"/>
        <v>0.92608604669473893</v>
      </c>
      <c r="H775" s="618">
        <f t="shared" si="123"/>
        <v>2.7655532906830094E-3</v>
      </c>
    </row>
    <row r="776" spans="1:8" ht="19.95" customHeight="1">
      <c r="A776" s="837" t="s">
        <v>1877</v>
      </c>
      <c r="B776" s="841">
        <v>45357.802418981497</v>
      </c>
      <c r="C776" s="166">
        <v>2.4587833333333302</v>
      </c>
      <c r="D776" s="170">
        <v>2497.9659967825601</v>
      </c>
      <c r="E776" s="166">
        <v>2.4607999999999999</v>
      </c>
      <c r="F776" s="170">
        <v>2679.4740384615402</v>
      </c>
      <c r="G776" s="613">
        <f t="shared" si="122"/>
        <v>0.93225982447540501</v>
      </c>
      <c r="H776" s="618">
        <f t="shared" si="123"/>
        <v>2.78398992680144E-3</v>
      </c>
    </row>
    <row r="777" spans="1:8" ht="19.95" customHeight="1">
      <c r="A777" s="837" t="s">
        <v>1878</v>
      </c>
      <c r="B777" s="841">
        <v>45357.812152777798</v>
      </c>
      <c r="C777" s="166">
        <v>2.4486833333333302</v>
      </c>
      <c r="D777" s="170">
        <v>2470.3639617521299</v>
      </c>
      <c r="E777" s="166">
        <v>2.4486833333333302</v>
      </c>
      <c r="F777" s="170">
        <v>2661.8983330042302</v>
      </c>
      <c r="G777" s="613">
        <f t="shared" si="122"/>
        <v>0.92804594793222861</v>
      </c>
      <c r="H777" s="618">
        <f t="shared" si="123"/>
        <v>2.7714061067750976E-3</v>
      </c>
    </row>
    <row r="778" spans="1:8" ht="19.95" customHeight="1">
      <c r="A778" s="837" t="s">
        <v>1879</v>
      </c>
      <c r="B778" s="841">
        <v>45357.821828703702</v>
      </c>
      <c r="C778" s="166">
        <v>2.4548000000000001</v>
      </c>
      <c r="D778" s="170">
        <v>2498.63392317845</v>
      </c>
      <c r="E778" s="166">
        <v>2.4548000000000001</v>
      </c>
      <c r="F778" s="170">
        <v>2697.6120769230802</v>
      </c>
      <c r="G778" s="613">
        <f t="shared" si="122"/>
        <v>0.92623915223141118</v>
      </c>
      <c r="H778" s="618">
        <f t="shared" si="123"/>
        <v>2.7660105068588463E-3</v>
      </c>
    </row>
    <row r="779" spans="1:8" ht="19.95" customHeight="1">
      <c r="A779" s="837" t="s">
        <v>1880</v>
      </c>
      <c r="B779" s="841">
        <v>45357.831435185202</v>
      </c>
      <c r="C779" s="166">
        <v>2.4486333333333299</v>
      </c>
      <c r="D779" s="170">
        <v>2474.2794139140101</v>
      </c>
      <c r="E779" s="166">
        <v>2.4526666666666701</v>
      </c>
      <c r="F779" s="170">
        <v>2677.2787307692302</v>
      </c>
      <c r="G779" s="613">
        <f t="shared" si="122"/>
        <v>0.92417699564778044</v>
      </c>
      <c r="H779" s="618">
        <f t="shared" si="123"/>
        <v>2.7598523275556186E-3</v>
      </c>
    </row>
    <row r="780" spans="1:8" ht="19.95" customHeight="1">
      <c r="A780" s="837" t="s">
        <v>1881</v>
      </c>
      <c r="B780" s="841">
        <v>45357.840995370403</v>
      </c>
      <c r="C780" s="166">
        <v>2.45278333333333</v>
      </c>
      <c r="D780" s="170">
        <v>2540.5773711054298</v>
      </c>
      <c r="E780" s="166">
        <v>2.45278333333333</v>
      </c>
      <c r="F780" s="170">
        <v>2728.5501923076899</v>
      </c>
      <c r="G780" s="613">
        <f t="shared" si="122"/>
        <v>0.9311089010815371</v>
      </c>
      <c r="H780" s="618">
        <f t="shared" si="123"/>
        <v>2.7805529459824377E-3</v>
      </c>
    </row>
    <row r="781" spans="1:8" ht="19.95" customHeight="1">
      <c r="A781" s="837" t="s">
        <v>1304</v>
      </c>
      <c r="B781" s="841">
        <v>45357.850613425901</v>
      </c>
      <c r="C781" s="166">
        <v>2.45488333333333</v>
      </c>
      <c r="D781" s="170">
        <v>2808.4389999999999</v>
      </c>
      <c r="E781" s="166">
        <v>2.45488333333333</v>
      </c>
      <c r="F781" s="170">
        <v>2964.3442692307699</v>
      </c>
      <c r="G781" s="613">
        <f t="shared" si="122"/>
        <v>0.94740649024843981</v>
      </c>
      <c r="H781" s="618">
        <f t="shared" si="123"/>
        <v>2.8292221290584507E-3</v>
      </c>
    </row>
    <row r="782" spans="1:8" ht="19.95" customHeight="1">
      <c r="A782" s="837" t="s">
        <v>1686</v>
      </c>
      <c r="B782" s="841">
        <v>45357.8602314815</v>
      </c>
      <c r="C782" s="166">
        <v>2.46091666666667</v>
      </c>
      <c r="D782" s="170">
        <v>4765.1156626791699</v>
      </c>
      <c r="E782" s="166">
        <v>2.46091666666667</v>
      </c>
      <c r="F782" s="170">
        <v>2521.94773076923</v>
      </c>
      <c r="G782" s="613">
        <f t="shared" si="122"/>
        <v>1.8894585341884709</v>
      </c>
      <c r="H782" s="618">
        <f t="shared" si="123"/>
        <v>5.6424543761174305E-3</v>
      </c>
    </row>
    <row r="783" spans="1:8" ht="19.95" customHeight="1">
      <c r="A783" s="839" t="s">
        <v>1708</v>
      </c>
      <c r="B783" s="836">
        <v>45357.869861111103</v>
      </c>
      <c r="C783" s="169">
        <v>2.4546999999999999</v>
      </c>
      <c r="D783" s="172">
        <v>8781.6359060310406</v>
      </c>
      <c r="E783" s="169">
        <v>2.4546999999999999</v>
      </c>
      <c r="F783" s="172">
        <v>3183.4865</v>
      </c>
      <c r="G783" s="614">
        <f t="shared" si="122"/>
        <v>2.7584963548710011</v>
      </c>
      <c r="H783" s="621">
        <f t="shared" si="123"/>
        <v>8.2376456256717748E-3</v>
      </c>
    </row>
    <row r="784" spans="1:8" ht="19.95" customHeight="1">
      <c r="A784" s="837" t="s">
        <v>1312</v>
      </c>
      <c r="B784" s="841">
        <v>45357.879525463002</v>
      </c>
      <c r="C784" s="166" t="s">
        <v>109</v>
      </c>
      <c r="D784" s="170" t="s">
        <v>109</v>
      </c>
      <c r="E784" s="166" t="s">
        <v>109</v>
      </c>
      <c r="F784" s="170" t="s">
        <v>109</v>
      </c>
      <c r="G784" s="627"/>
      <c r="H784" s="628"/>
    </row>
    <row r="785" spans="1:8" ht="19.95" customHeight="1">
      <c r="A785" s="837" t="s">
        <v>1687</v>
      </c>
      <c r="B785" s="841">
        <v>45357.889108796298</v>
      </c>
      <c r="C785" s="166">
        <v>2.4548000000000001</v>
      </c>
      <c r="D785" s="170">
        <v>7.0709999999999997</v>
      </c>
      <c r="E785" s="166" t="s">
        <v>109</v>
      </c>
      <c r="F785" s="170" t="s">
        <v>109</v>
      </c>
      <c r="G785" s="613"/>
      <c r="H785" s="618"/>
    </row>
    <row r="786" spans="1:8" ht="19.95" customHeight="1">
      <c r="A786" s="837" t="s">
        <v>1688</v>
      </c>
      <c r="B786" s="841">
        <v>45357.898657407401</v>
      </c>
      <c r="C786" s="166">
        <v>2.45271666666667</v>
      </c>
      <c r="D786" s="170">
        <v>72.6701093961358</v>
      </c>
      <c r="E786" s="166" t="s">
        <v>109</v>
      </c>
      <c r="F786" s="170" t="s">
        <v>109</v>
      </c>
      <c r="G786" s="613"/>
      <c r="H786" s="618"/>
    </row>
    <row r="787" spans="1:8" ht="19.95" customHeight="1">
      <c r="A787" s="837" t="s">
        <v>1689</v>
      </c>
      <c r="B787" s="841">
        <v>45357.908217592601</v>
      </c>
      <c r="C787" s="166">
        <v>2.4648166666666702</v>
      </c>
      <c r="D787" s="170">
        <v>42.374961538461598</v>
      </c>
      <c r="E787" s="166">
        <v>2.46078333333333</v>
      </c>
      <c r="F787" s="170">
        <v>2456.0149230769198</v>
      </c>
      <c r="G787" s="613"/>
      <c r="H787" s="618"/>
    </row>
    <row r="788" spans="1:8" ht="19.95" customHeight="1">
      <c r="A788" s="837" t="s">
        <v>1690</v>
      </c>
      <c r="B788" s="841">
        <v>45357.917789351799</v>
      </c>
      <c r="C788" s="166">
        <v>2.45271666666667</v>
      </c>
      <c r="D788" s="170">
        <v>134.79720383485201</v>
      </c>
      <c r="E788" s="166">
        <v>2.45675</v>
      </c>
      <c r="F788" s="170">
        <v>2857.9169999999999</v>
      </c>
      <c r="G788" s="613"/>
      <c r="H788" s="618"/>
    </row>
    <row r="789" spans="1:8" ht="19.95" customHeight="1">
      <c r="A789" s="837" t="s">
        <v>1320</v>
      </c>
      <c r="B789" s="841">
        <v>45357.927384259303</v>
      </c>
      <c r="C789" s="166">
        <v>2.4507666666666701</v>
      </c>
      <c r="D789" s="170">
        <v>1371.5448846153799</v>
      </c>
      <c r="E789" s="166">
        <v>2.4487666666666699</v>
      </c>
      <c r="F789" s="170">
        <v>2842.6128461538501</v>
      </c>
      <c r="G789" s="613">
        <f>D789/F789</f>
        <v>0.48249443693013838</v>
      </c>
      <c r="H789" s="618">
        <f>G789*$G$839</f>
        <v>1.440864034773898E-3</v>
      </c>
    </row>
    <row r="790" spans="1:8" ht="19.95" customHeight="1">
      <c r="A790" s="837" t="s">
        <v>1321</v>
      </c>
      <c r="B790" s="841">
        <v>45357.937025462998</v>
      </c>
      <c r="C790" s="166">
        <v>2.47081666666667</v>
      </c>
      <c r="D790" s="170">
        <v>2662.8825034398401</v>
      </c>
      <c r="E790" s="166">
        <v>2.4687999999999999</v>
      </c>
      <c r="F790" s="170">
        <v>2816.1640917688901</v>
      </c>
      <c r="G790" s="613">
        <f t="shared" ref="G790:G805" si="124">D790/F790</f>
        <v>0.94557078943763861</v>
      </c>
      <c r="H790" s="618">
        <f t="shared" ref="H790:H805" si="125">G790*$G$839</f>
        <v>2.8237402103575486E-3</v>
      </c>
    </row>
    <row r="791" spans="1:8" ht="19.95" customHeight="1">
      <c r="A791" s="837" t="s">
        <v>1322</v>
      </c>
      <c r="B791" s="841">
        <v>45357.946643518502</v>
      </c>
      <c r="C791" s="166">
        <v>2.4607000000000001</v>
      </c>
      <c r="D791" s="170">
        <v>2769.5702511910599</v>
      </c>
      <c r="E791" s="166">
        <v>2.4607000000000001</v>
      </c>
      <c r="F791" s="170">
        <v>2944.2435</v>
      </c>
      <c r="G791" s="613">
        <f t="shared" si="124"/>
        <v>0.94067296104790921</v>
      </c>
      <c r="H791" s="618">
        <f t="shared" si="125"/>
        <v>2.8091139178345582E-3</v>
      </c>
    </row>
    <row r="792" spans="1:8" ht="19.95" customHeight="1">
      <c r="A792" s="837" t="s">
        <v>1324</v>
      </c>
      <c r="B792" s="841">
        <v>45357.956215277802</v>
      </c>
      <c r="C792" s="166">
        <v>2.4527333333333301</v>
      </c>
      <c r="D792" s="170">
        <v>5822.9769999999999</v>
      </c>
      <c r="E792" s="166">
        <v>2.4547500000000002</v>
      </c>
      <c r="F792" s="170">
        <v>3134.7899230769199</v>
      </c>
      <c r="G792" s="613">
        <f t="shared" si="124"/>
        <v>1.8575334050724899</v>
      </c>
      <c r="H792" s="618">
        <f t="shared" si="125"/>
        <v>5.5471169653041521E-3</v>
      </c>
    </row>
    <row r="793" spans="1:8" ht="19.95" customHeight="1">
      <c r="A793" s="837" t="s">
        <v>1883</v>
      </c>
      <c r="B793" s="841">
        <v>45357.965740740699</v>
      </c>
      <c r="C793" s="166">
        <v>2.4647333333333301</v>
      </c>
      <c r="D793" s="170">
        <v>2332.1473822565899</v>
      </c>
      <c r="E793" s="166">
        <v>2.4667333333333299</v>
      </c>
      <c r="F793" s="170">
        <v>2499.3829999999998</v>
      </c>
      <c r="G793" s="613">
        <f t="shared" si="124"/>
        <v>0.93308923932690191</v>
      </c>
      <c r="H793" s="618">
        <f t="shared" si="125"/>
        <v>2.7864667927256005E-3</v>
      </c>
    </row>
    <row r="794" spans="1:8" ht="19.95" customHeight="1">
      <c r="A794" s="837" t="s">
        <v>1884</v>
      </c>
      <c r="B794" s="841">
        <v>45357.975277777798</v>
      </c>
      <c r="C794" s="166">
        <v>2.4628666666666699</v>
      </c>
      <c r="D794" s="170">
        <v>2257.0193927666601</v>
      </c>
      <c r="E794" s="166">
        <v>2.4648833333333302</v>
      </c>
      <c r="F794" s="170">
        <v>2425.9727692307702</v>
      </c>
      <c r="G794" s="613">
        <f t="shared" si="124"/>
        <v>0.93035644150380059</v>
      </c>
      <c r="H794" s="618">
        <f t="shared" si="125"/>
        <v>2.7783058901405511E-3</v>
      </c>
    </row>
    <row r="795" spans="1:8" ht="19.95" customHeight="1">
      <c r="A795" s="837" t="s">
        <v>1885</v>
      </c>
      <c r="B795" s="841">
        <v>45357.984849537002</v>
      </c>
      <c r="C795" s="166">
        <v>2.4627333333333299</v>
      </c>
      <c r="D795" s="170">
        <v>2289.65090814215</v>
      </c>
      <c r="E795" s="166">
        <v>2.4627333333333299</v>
      </c>
      <c r="F795" s="170">
        <v>2464.0280769230799</v>
      </c>
      <c r="G795" s="613">
        <f t="shared" si="124"/>
        <v>0.92923085154180507</v>
      </c>
      <c r="H795" s="618">
        <f t="shared" si="125"/>
        <v>2.7749445620712356E-3</v>
      </c>
    </row>
    <row r="796" spans="1:8" ht="19.95" customHeight="1">
      <c r="A796" s="837" t="s">
        <v>1886</v>
      </c>
      <c r="B796" s="841">
        <v>45357.994467592602</v>
      </c>
      <c r="C796" s="166">
        <v>2.4486666666666701</v>
      </c>
      <c r="D796" s="170">
        <v>2498.2369832433201</v>
      </c>
      <c r="E796" s="166">
        <v>2.45068333333333</v>
      </c>
      <c r="F796" s="170">
        <v>2672.549</v>
      </c>
      <c r="G796" s="613">
        <f t="shared" si="124"/>
        <v>0.93477686779300218</v>
      </c>
      <c r="H796" s="618">
        <f t="shared" si="125"/>
        <v>2.791506525776899E-3</v>
      </c>
    </row>
    <row r="797" spans="1:8" ht="19.95" customHeight="1">
      <c r="A797" s="837" t="s">
        <v>1887</v>
      </c>
      <c r="B797" s="841">
        <v>45358.004074074102</v>
      </c>
      <c r="C797" s="166">
        <v>2.4505333333333299</v>
      </c>
      <c r="D797" s="170">
        <v>2443.1889289416999</v>
      </c>
      <c r="E797" s="166">
        <v>2.4505333333333299</v>
      </c>
      <c r="F797" s="170">
        <v>2612.8119999999999</v>
      </c>
      <c r="G797" s="613">
        <f t="shared" si="124"/>
        <v>0.93508026177991377</v>
      </c>
      <c r="H797" s="618">
        <f t="shared" si="125"/>
        <v>2.7924125455165024E-3</v>
      </c>
    </row>
    <row r="798" spans="1:8" ht="19.95" customHeight="1">
      <c r="A798" s="837" t="s">
        <v>1888</v>
      </c>
      <c r="B798" s="841">
        <v>45358.013668981497</v>
      </c>
      <c r="C798" s="166">
        <v>2.4526166666666702</v>
      </c>
      <c r="D798" s="170">
        <v>2442.7149125459</v>
      </c>
      <c r="E798" s="166">
        <v>2.4526166666666702</v>
      </c>
      <c r="F798" s="170">
        <v>2620.1363846153799</v>
      </c>
      <c r="G798" s="613">
        <f t="shared" si="124"/>
        <v>0.93228540578603336</v>
      </c>
      <c r="H798" s="618">
        <f t="shared" si="125"/>
        <v>2.7840663197867795E-3</v>
      </c>
    </row>
    <row r="799" spans="1:8" ht="19.95" customHeight="1">
      <c r="A799" s="837" t="s">
        <v>1889</v>
      </c>
      <c r="B799" s="841">
        <v>45358.023206018501</v>
      </c>
      <c r="C799" s="166">
        <v>2.4465833333333298</v>
      </c>
      <c r="D799" s="170">
        <v>2362.2790740855799</v>
      </c>
      <c r="E799" s="166">
        <v>2.4485999999999999</v>
      </c>
      <c r="F799" s="170">
        <v>2553.28549999999</v>
      </c>
      <c r="G799" s="613">
        <f t="shared" si="124"/>
        <v>0.92519190434661114</v>
      </c>
      <c r="H799" s="618">
        <f t="shared" si="125"/>
        <v>2.762883130256741E-3</v>
      </c>
    </row>
    <row r="800" spans="1:8" ht="19.95" customHeight="1">
      <c r="A800" s="837" t="s">
        <v>1890</v>
      </c>
      <c r="B800" s="841">
        <v>45358.0327314815</v>
      </c>
      <c r="C800" s="166">
        <v>2.4568833333333302</v>
      </c>
      <c r="D800" s="170">
        <v>2372.6378600888102</v>
      </c>
      <c r="E800" s="166">
        <v>2.4568833333333302</v>
      </c>
      <c r="F800" s="170">
        <v>2550.6260769230798</v>
      </c>
      <c r="G800" s="613">
        <f t="shared" si="124"/>
        <v>0.93021783222377152</v>
      </c>
      <c r="H800" s="618">
        <f t="shared" si="125"/>
        <v>2.7778919638624566E-3</v>
      </c>
    </row>
    <row r="801" spans="1:8" ht="19.95" customHeight="1">
      <c r="A801" s="837" t="s">
        <v>1891</v>
      </c>
      <c r="B801" s="841">
        <v>45358.042268518497</v>
      </c>
      <c r="C801" s="166">
        <v>2.4487999999999999</v>
      </c>
      <c r="D801" s="170">
        <v>2387.9385481986701</v>
      </c>
      <c r="E801" s="166">
        <v>2.4487999999999999</v>
      </c>
      <c r="F801" s="170">
        <v>2569.9418846153799</v>
      </c>
      <c r="G801" s="613">
        <f t="shared" si="124"/>
        <v>0.92917997970839383</v>
      </c>
      <c r="H801" s="618">
        <f t="shared" si="125"/>
        <v>2.7747926444748137E-3</v>
      </c>
    </row>
    <row r="802" spans="1:8" ht="19.95" customHeight="1">
      <c r="A802" s="837" t="s">
        <v>1892</v>
      </c>
      <c r="B802" s="841">
        <v>45358.051840277803</v>
      </c>
      <c r="C802" s="166">
        <v>2.4507500000000002</v>
      </c>
      <c r="D802" s="170">
        <v>2440.7672298450102</v>
      </c>
      <c r="E802" s="166">
        <v>2.4507500000000002</v>
      </c>
      <c r="F802" s="170">
        <v>2617.4167307692301</v>
      </c>
      <c r="G802" s="613">
        <f t="shared" si="124"/>
        <v>0.93250998251535422</v>
      </c>
      <c r="H802" s="618">
        <f t="shared" si="125"/>
        <v>2.7847369690369226E-3</v>
      </c>
    </row>
    <row r="803" spans="1:8" ht="19.95" customHeight="1">
      <c r="A803" s="837" t="s">
        <v>1323</v>
      </c>
      <c r="B803" s="841">
        <v>45358.0614236111</v>
      </c>
      <c r="C803" s="166">
        <v>2.4486333333333299</v>
      </c>
      <c r="D803" s="170">
        <v>2831.6251538461502</v>
      </c>
      <c r="E803" s="166">
        <v>2.4486333333333299</v>
      </c>
      <c r="F803" s="170">
        <v>2979.9969999999998</v>
      </c>
      <c r="G803" s="613">
        <f t="shared" si="124"/>
        <v>0.95021073975784209</v>
      </c>
      <c r="H803" s="618">
        <f t="shared" si="125"/>
        <v>2.8375964064663688E-3</v>
      </c>
    </row>
    <row r="804" spans="1:8" ht="19.95" customHeight="1">
      <c r="A804" s="837" t="s">
        <v>1702</v>
      </c>
      <c r="B804" s="841">
        <v>45358.071018518502</v>
      </c>
      <c r="C804" s="166">
        <v>2.4626999999999999</v>
      </c>
      <c r="D804" s="170">
        <v>4516.8909435032501</v>
      </c>
      <c r="E804" s="166">
        <v>2.46471666666667</v>
      </c>
      <c r="F804" s="170">
        <v>2382.6056153846098</v>
      </c>
      <c r="G804" s="613">
        <f t="shared" si="124"/>
        <v>1.8957778468821898</v>
      </c>
      <c r="H804" s="618">
        <f t="shared" si="125"/>
        <v>5.6613256204012027E-3</v>
      </c>
    </row>
    <row r="805" spans="1:8" ht="19.95" customHeight="1">
      <c r="A805" s="839" t="s">
        <v>1709</v>
      </c>
      <c r="B805" s="836">
        <v>45358.080625000002</v>
      </c>
      <c r="C805" s="169">
        <v>2.4526166666666702</v>
      </c>
      <c r="D805" s="172">
        <v>8664.8315172556104</v>
      </c>
      <c r="E805" s="169">
        <v>2.4546333333333301</v>
      </c>
      <c r="F805" s="172">
        <v>3143.7218716698299</v>
      </c>
      <c r="G805" s="614">
        <f t="shared" si="124"/>
        <v>2.7562334935988373</v>
      </c>
      <c r="H805" s="621">
        <f t="shared" si="125"/>
        <v>8.2308880857434631E-3</v>
      </c>
    </row>
    <row r="806" spans="1:8" ht="19.95" customHeight="1">
      <c r="A806" s="837" t="s">
        <v>1894</v>
      </c>
      <c r="B806" s="841">
        <v>45358.090150463002</v>
      </c>
      <c r="C806" s="166">
        <v>2.46681666666667</v>
      </c>
      <c r="D806" s="170">
        <v>2143.2893465675402</v>
      </c>
      <c r="E806" s="166">
        <v>2.4708333333333301</v>
      </c>
      <c r="F806" s="170">
        <v>13.4739615384615</v>
      </c>
      <c r="G806" s="848">
        <f>D806/F806</f>
        <v>159.06898208440839</v>
      </c>
      <c r="H806" s="628"/>
    </row>
    <row r="807" spans="1:8" ht="19.95" customHeight="1">
      <c r="A807" s="837" t="s">
        <v>1895</v>
      </c>
      <c r="B807" s="841">
        <v>45358.099710648101</v>
      </c>
      <c r="C807" s="166">
        <v>2.4546333333333301</v>
      </c>
      <c r="D807" s="170">
        <v>2199.5480702501</v>
      </c>
      <c r="E807" s="166">
        <v>2.4546333333333301</v>
      </c>
      <c r="F807" s="170">
        <v>13.055846153846099</v>
      </c>
      <c r="G807" s="849">
        <f t="shared" ref="G807:G819" si="126">D807/F807</f>
        <v>168.4722724464809</v>
      </c>
      <c r="H807" s="606"/>
    </row>
    <row r="808" spans="1:8" ht="19.95" customHeight="1">
      <c r="A808" s="837" t="s">
        <v>1896</v>
      </c>
      <c r="B808" s="841">
        <v>45358.109247685199</v>
      </c>
      <c r="C808" s="166">
        <v>2.46471666666667</v>
      </c>
      <c r="D808" s="170">
        <v>2312.61942569241</v>
      </c>
      <c r="E808" s="166">
        <v>2.4606833333333298</v>
      </c>
      <c r="F808" s="170">
        <v>14.1960384615384</v>
      </c>
      <c r="G808" s="849">
        <f t="shared" si="126"/>
        <v>162.90597070147663</v>
      </c>
      <c r="H808" s="606"/>
    </row>
    <row r="809" spans="1:8" ht="19.95" customHeight="1">
      <c r="A809" s="837" t="s">
        <v>1897</v>
      </c>
      <c r="B809" s="841">
        <v>45358.118819444397</v>
      </c>
      <c r="C809" s="166">
        <v>2.4566499999999998</v>
      </c>
      <c r="D809" s="170">
        <v>2283.80941715988</v>
      </c>
      <c r="E809" s="166">
        <v>2.4586666666666699</v>
      </c>
      <c r="F809" s="170">
        <v>14.7329230769231</v>
      </c>
      <c r="G809" s="849">
        <f t="shared" si="126"/>
        <v>155.01400538343424</v>
      </c>
      <c r="H809" s="606"/>
    </row>
    <row r="810" spans="1:8" ht="19.95" customHeight="1">
      <c r="A810" s="837" t="s">
        <v>1898</v>
      </c>
      <c r="B810" s="841">
        <v>45358.128414351799</v>
      </c>
      <c r="C810" s="166">
        <v>2.4568166666666702</v>
      </c>
      <c r="D810" s="170">
        <v>2518.5120769230798</v>
      </c>
      <c r="E810" s="166">
        <v>2.46891666666667</v>
      </c>
      <c r="F810" s="170">
        <v>14.805000000000099</v>
      </c>
      <c r="G810" s="849">
        <f t="shared" si="126"/>
        <v>170.11226456758277</v>
      </c>
      <c r="H810" s="606"/>
    </row>
    <row r="811" spans="1:8" ht="19.95" customHeight="1">
      <c r="A811" s="837" t="s">
        <v>1899</v>
      </c>
      <c r="B811" s="841">
        <v>45358.138020833299</v>
      </c>
      <c r="C811" s="166">
        <v>2.4485999999999999</v>
      </c>
      <c r="D811" s="170">
        <v>2401.2047959013298</v>
      </c>
      <c r="E811" s="166">
        <v>2.4485999999999999</v>
      </c>
      <c r="F811" s="170">
        <v>17.5275</v>
      </c>
      <c r="G811" s="849">
        <f t="shared" si="126"/>
        <v>136.99642253038539</v>
      </c>
      <c r="H811" s="606"/>
    </row>
    <row r="812" spans="1:8" ht="19.95" customHeight="1">
      <c r="A812" s="837" t="s">
        <v>1900</v>
      </c>
      <c r="B812" s="841">
        <v>45358.147662037001</v>
      </c>
      <c r="C812" s="166">
        <v>2.4586999999999999</v>
      </c>
      <c r="D812" s="170">
        <v>2658.91830769231</v>
      </c>
      <c r="E812" s="166">
        <v>2.4627166666666702</v>
      </c>
      <c r="F812" s="170">
        <v>15.0185</v>
      </c>
      <c r="G812" s="849">
        <f t="shared" si="126"/>
        <v>177.04286764272797</v>
      </c>
      <c r="H812" s="606"/>
    </row>
    <row r="813" spans="1:8" ht="19.95" customHeight="1">
      <c r="A813" s="837" t="s">
        <v>1901</v>
      </c>
      <c r="B813" s="841">
        <v>45358.157199074099</v>
      </c>
      <c r="C813" s="166">
        <v>2.4547166666666702</v>
      </c>
      <c r="D813" s="170">
        <v>2506.7605497587601</v>
      </c>
      <c r="E813" s="166">
        <v>2.4607666666666699</v>
      </c>
      <c r="F813" s="170">
        <v>15.715730769230801</v>
      </c>
      <c r="G813" s="849">
        <f t="shared" si="126"/>
        <v>159.50645799218233</v>
      </c>
      <c r="H813" s="606"/>
    </row>
    <row r="814" spans="1:8" ht="19.95" customHeight="1">
      <c r="A814" s="837" t="s">
        <v>1902</v>
      </c>
      <c r="B814" s="841">
        <v>45358.166724536997</v>
      </c>
      <c r="C814" s="166">
        <v>2.4488333333333299</v>
      </c>
      <c r="D814" s="170">
        <v>2474.3839291888098</v>
      </c>
      <c r="E814" s="166">
        <v>2.45488333333333</v>
      </c>
      <c r="F814" s="170">
        <v>15.241692307692301</v>
      </c>
      <c r="G814" s="849">
        <f t="shared" si="126"/>
        <v>162.34312301003595</v>
      </c>
      <c r="H814" s="606"/>
    </row>
    <row r="815" spans="1:8" ht="19.95" customHeight="1">
      <c r="A815" s="837" t="s">
        <v>1903</v>
      </c>
      <c r="B815" s="841">
        <v>45358.176273148201</v>
      </c>
      <c r="C815" s="166">
        <v>2.4607666666666699</v>
      </c>
      <c r="D815" s="170">
        <v>2442.8663360212599</v>
      </c>
      <c r="E815" s="166">
        <v>2.4587500000000002</v>
      </c>
      <c r="F815" s="170">
        <v>15.342307692307701</v>
      </c>
      <c r="G815" s="849">
        <f t="shared" si="126"/>
        <v>159.22417833179423</v>
      </c>
      <c r="H815" s="606"/>
    </row>
    <row r="816" spans="1:8" ht="19.95" customHeight="1">
      <c r="A816" s="837" t="s">
        <v>1904</v>
      </c>
      <c r="B816" s="841">
        <v>45358.185868055603</v>
      </c>
      <c r="C816" s="166">
        <v>2.4588000000000001</v>
      </c>
      <c r="D816" s="170">
        <v>2672.8105769230801</v>
      </c>
      <c r="E816" s="166">
        <v>2.4608166666666702</v>
      </c>
      <c r="F816" s="170">
        <v>16.282230769230701</v>
      </c>
      <c r="G816" s="849">
        <f t="shared" si="126"/>
        <v>164.15506049539701</v>
      </c>
      <c r="H816" s="606"/>
    </row>
    <row r="817" spans="1:8" ht="19.95" customHeight="1">
      <c r="A817" s="837" t="s">
        <v>1905</v>
      </c>
      <c r="B817" s="841">
        <v>45358.195474537002</v>
      </c>
      <c r="C817" s="166">
        <v>2.4628999999999999</v>
      </c>
      <c r="D817" s="170">
        <v>2591.7247967400799</v>
      </c>
      <c r="E817" s="166">
        <v>2.4628999999999999</v>
      </c>
      <c r="F817" s="170">
        <v>15.734461538461501</v>
      </c>
      <c r="G817" s="849">
        <f t="shared" si="126"/>
        <v>164.71645949909615</v>
      </c>
      <c r="H817" s="606"/>
    </row>
    <row r="818" spans="1:8" ht="19.95" customHeight="1">
      <c r="A818" s="837" t="s">
        <v>1906</v>
      </c>
      <c r="B818" s="841">
        <v>45358.205046296302</v>
      </c>
      <c r="C818" s="166">
        <v>2.4548333333333301</v>
      </c>
      <c r="D818" s="170">
        <v>2713.9004230769201</v>
      </c>
      <c r="E818" s="166">
        <v>2.4608833333333302</v>
      </c>
      <c r="F818" s="170">
        <v>21.819500000000001</v>
      </c>
      <c r="G818" s="849">
        <f t="shared" si="126"/>
        <v>124.37958812424299</v>
      </c>
      <c r="H818" s="606"/>
    </row>
    <row r="819" spans="1:8" ht="19.95" customHeight="1">
      <c r="A819" s="839" t="s">
        <v>1907</v>
      </c>
      <c r="B819" s="836">
        <v>45358.214548611097</v>
      </c>
      <c r="C819" s="169">
        <v>2.4527333333333301</v>
      </c>
      <c r="D819" s="172">
        <v>2655.9278571354498</v>
      </c>
      <c r="E819" s="169">
        <v>2.4527333333333301</v>
      </c>
      <c r="F819" s="172">
        <v>15.6688076923078</v>
      </c>
      <c r="G819" s="850">
        <f t="shared" si="126"/>
        <v>169.504145388121</v>
      </c>
      <c r="H819" s="608"/>
    </row>
    <row r="821" spans="1:8" ht="19.95" customHeight="1">
      <c r="A821" s="480" t="s">
        <v>1710</v>
      </c>
      <c r="B821" s="588"/>
      <c r="C821" s="588"/>
      <c r="D821" s="588"/>
      <c r="E821" s="588"/>
      <c r="F821" s="588"/>
      <c r="G821" s="587" t="s">
        <v>262</v>
      </c>
      <c r="H821" s="587" t="s">
        <v>262</v>
      </c>
    </row>
    <row r="822" spans="1:8" ht="19.95" customHeight="1">
      <c r="A822" s="161">
        <f>D741/AVERAGE(D749:D758)</f>
        <v>1.5398188125912741E-3</v>
      </c>
      <c r="B822" s="588"/>
      <c r="C822" s="588"/>
      <c r="D822" s="588"/>
      <c r="E822" s="588"/>
      <c r="F822" s="588"/>
      <c r="G822" s="161">
        <f>STDEV(G745,G767,G789)/AVERAGE(G745,G767,G789)</f>
        <v>1.8466508676200455E-3</v>
      </c>
      <c r="H822" s="382">
        <f>CHAR_HOM!G1013*CHAR_HOM!B1013</f>
        <v>9.1058540313544253E-2</v>
      </c>
    </row>
    <row r="823" spans="1:8" ht="19.95" customHeight="1">
      <c r="A823" s="588"/>
      <c r="B823" s="588"/>
      <c r="C823" s="588"/>
      <c r="D823" s="588"/>
      <c r="E823" s="588"/>
      <c r="F823" s="588"/>
      <c r="G823" s="161">
        <f t="shared" ref="G823:G838" si="127">STDEV(G746,G768,G790)/AVERAGE(G746,G768,G790)</f>
        <v>1.5652642456781224E-3</v>
      </c>
      <c r="H823" s="588">
        <f>CHAR_HOM!G1014*CHAR_HOM!B1014</f>
        <v>9.1041832778326531E-2</v>
      </c>
    </row>
    <row r="824" spans="1:8" ht="19.95" customHeight="1">
      <c r="A824" s="588"/>
      <c r="B824" s="588"/>
      <c r="C824" s="588"/>
      <c r="D824" s="588"/>
      <c r="E824" s="588"/>
      <c r="F824" s="588"/>
      <c r="G824" s="161">
        <f t="shared" si="127"/>
        <v>8.8049925863196883E-3</v>
      </c>
      <c r="H824" s="588">
        <f>CHAR_HOM!G1015*CHAR_HOM!B1015</f>
        <v>9.0938129913924595E-2</v>
      </c>
    </row>
    <row r="825" spans="1:8" ht="19.95" customHeight="1">
      <c r="A825" s="588"/>
      <c r="B825" s="588"/>
      <c r="C825" s="588"/>
      <c r="D825" s="588"/>
      <c r="E825" s="588"/>
      <c r="F825" s="588"/>
      <c r="G825" s="161">
        <f t="shared" si="127"/>
        <v>3.5397248195630348E-3</v>
      </c>
      <c r="H825" s="588">
        <f>CHAR_HOM!G1016*CHAR_HOM!B1016</f>
        <v>9.1358562470420873E-2</v>
      </c>
    </row>
    <row r="826" spans="1:8" ht="19.95" customHeight="1">
      <c r="A826" s="588"/>
      <c r="B826" s="588"/>
      <c r="C826" s="588"/>
      <c r="D826" s="588"/>
      <c r="E826" s="588"/>
      <c r="F826" s="588"/>
      <c r="G826" s="161">
        <f t="shared" si="127"/>
        <v>4.4516572957844242E-3</v>
      </c>
      <c r="H826" s="588">
        <f>CHAR_HOM!G1017*CHAR_HOM!B1017</f>
        <v>9.0926956586798474E-2</v>
      </c>
    </row>
    <row r="827" spans="1:8" ht="19.95" customHeight="1">
      <c r="A827" s="588"/>
      <c r="B827" s="588"/>
      <c r="C827" s="588"/>
      <c r="D827" s="588"/>
      <c r="E827" s="588"/>
      <c r="F827" s="588"/>
      <c r="G827" s="161">
        <f t="shared" si="127"/>
        <v>2.1303000988095668E-3</v>
      </c>
      <c r="H827" s="588">
        <f>CHAR_HOM!G1018*CHAR_HOM!B1018</f>
        <v>9.1128775819245542E-2</v>
      </c>
    </row>
    <row r="828" spans="1:8" ht="19.95" customHeight="1">
      <c r="A828" s="588"/>
      <c r="B828" s="588"/>
      <c r="C828" s="588"/>
      <c r="D828" s="588"/>
      <c r="E828" s="588"/>
      <c r="F828" s="588"/>
      <c r="G828" s="161">
        <f t="shared" si="127"/>
        <v>3.8775497135170203E-3</v>
      </c>
      <c r="H828" s="588">
        <f>CHAR_HOM!G1019*CHAR_HOM!B1019</f>
        <v>9.1138506499398225E-2</v>
      </c>
    </row>
    <row r="829" spans="1:8" ht="19.95" customHeight="1">
      <c r="A829" s="588"/>
      <c r="B829" s="588"/>
      <c r="C829" s="588"/>
      <c r="D829" s="588"/>
      <c r="E829" s="588"/>
      <c r="F829" s="588"/>
      <c r="G829" s="161">
        <f t="shared" si="127"/>
        <v>2.6074156743246986E-3</v>
      </c>
      <c r="H829" s="588">
        <f>CHAR_HOM!G1020*CHAR_HOM!B1020</f>
        <v>9.0934734009991913E-2</v>
      </c>
    </row>
    <row r="830" spans="1:8" ht="19.95" customHeight="1">
      <c r="A830" s="588"/>
      <c r="B830" s="588"/>
      <c r="C830" s="588"/>
      <c r="D830" s="588"/>
      <c r="E830" s="588"/>
      <c r="F830" s="588"/>
      <c r="G830" s="161">
        <f t="shared" si="127"/>
        <v>4.8327088970569806E-3</v>
      </c>
      <c r="H830" s="588">
        <f>CHAR_HOM!G1021*CHAR_HOM!B1021</f>
        <v>9.0888836929349195E-2</v>
      </c>
    </row>
    <row r="831" spans="1:8" ht="19.95" customHeight="1">
      <c r="A831" s="588"/>
      <c r="B831" s="588"/>
      <c r="C831" s="588"/>
      <c r="D831" s="588"/>
      <c r="E831" s="588"/>
      <c r="F831" s="588"/>
      <c r="G831" s="161">
        <f t="shared" si="127"/>
        <v>1.4099294579874495E-3</v>
      </c>
      <c r="H831" s="588">
        <f>CHAR_HOM!G1022*CHAR_HOM!B1022</f>
        <v>9.1078425561755827E-2</v>
      </c>
    </row>
    <row r="832" spans="1:8" ht="19.95" customHeight="1">
      <c r="A832" s="588"/>
      <c r="B832" s="588"/>
      <c r="C832" s="588"/>
      <c r="D832" s="588"/>
      <c r="E832" s="588"/>
      <c r="F832" s="588"/>
      <c r="G832" s="161">
        <f t="shared" si="127"/>
        <v>3.1877165375527846E-3</v>
      </c>
    </row>
    <row r="833" spans="1:8" ht="19.95" customHeight="1">
      <c r="A833" s="588"/>
      <c r="B833" s="588"/>
      <c r="C833" s="588"/>
      <c r="D833" s="588"/>
      <c r="E833" s="588"/>
      <c r="F833" s="588"/>
      <c r="G833" s="161">
        <f t="shared" si="127"/>
        <v>2.1468981754510152E-3</v>
      </c>
    </row>
    <row r="834" spans="1:8" ht="19.95" customHeight="1">
      <c r="A834" s="588"/>
      <c r="B834" s="588"/>
      <c r="C834" s="588"/>
      <c r="D834" s="588"/>
      <c r="E834" s="588"/>
      <c r="F834" s="588"/>
      <c r="G834" s="161">
        <f t="shared" si="127"/>
        <v>6.1968721559335568E-3</v>
      </c>
    </row>
    <row r="835" spans="1:8" ht="19.95" customHeight="1">
      <c r="A835" s="588"/>
      <c r="B835" s="588"/>
      <c r="C835" s="588"/>
      <c r="D835" s="588"/>
      <c r="E835" s="588"/>
      <c r="F835" s="588"/>
      <c r="G835" s="161">
        <f t="shared" si="127"/>
        <v>2.8817194378073559E-3</v>
      </c>
    </row>
    <row r="836" spans="1:8" ht="19.95" customHeight="1">
      <c r="A836" s="588"/>
      <c r="B836" s="588"/>
      <c r="C836" s="588"/>
      <c r="D836" s="588"/>
      <c r="E836" s="588"/>
      <c r="F836" s="588"/>
      <c r="G836" s="161">
        <f t="shared" si="127"/>
        <v>1.5462926396270823E-3</v>
      </c>
    </row>
    <row r="837" spans="1:8" ht="19.95" customHeight="1">
      <c r="A837" s="588"/>
      <c r="B837" s="588"/>
      <c r="C837" s="588"/>
      <c r="D837" s="588"/>
      <c r="E837" s="588"/>
      <c r="F837" s="588"/>
      <c r="G837" s="161">
        <f t="shared" si="127"/>
        <v>2.9862811350559143E-3</v>
      </c>
    </row>
    <row r="838" spans="1:8" ht="19.95" customHeight="1">
      <c r="A838" s="588"/>
      <c r="B838" s="588"/>
      <c r="C838" s="588"/>
      <c r="D838" s="588"/>
      <c r="E838" s="588"/>
      <c r="F838" s="588"/>
      <c r="G838" s="202">
        <f t="shared" si="127"/>
        <v>3.2774431539097713E-3</v>
      </c>
      <c r="H838" s="589"/>
    </row>
    <row r="839" spans="1:8" ht="19.95" customHeight="1">
      <c r="A839" s="588"/>
      <c r="B839" s="588"/>
      <c r="C839" s="588"/>
      <c r="D839" s="588"/>
      <c r="E839" s="588"/>
      <c r="F839" s="588"/>
      <c r="G839" s="637">
        <f>MEDIAN(G822:G838)</f>
        <v>2.9862811350559143E-3</v>
      </c>
      <c r="H839" s="417">
        <f>STDEV(H822:H831)/AVERAGE(H822:H831)</f>
        <v>1.5407079148573423E-3</v>
      </c>
    </row>
    <row r="841" spans="1:8" s="149" customFormat="1" ht="19.95" customHeight="1">
      <c r="A841" s="150" t="s">
        <v>2110</v>
      </c>
    </row>
    <row r="843" spans="1:8" ht="19.95" customHeight="1">
      <c r="A843" s="587" t="s">
        <v>102</v>
      </c>
      <c r="B843" s="587" t="s">
        <v>2</v>
      </c>
      <c r="C843" s="587" t="s">
        <v>1142</v>
      </c>
    </row>
    <row r="844" spans="1:8" ht="19.95" customHeight="1">
      <c r="A844" s="382" t="s">
        <v>1712</v>
      </c>
      <c r="B844" s="840" t="s">
        <v>1935</v>
      </c>
      <c r="C844" s="382">
        <v>1.2999999999999999E-5</v>
      </c>
    </row>
    <row r="845" spans="1:8" ht="19.95" customHeight="1">
      <c r="A845" s="382" t="s">
        <v>1714</v>
      </c>
      <c r="B845" s="840" t="s">
        <v>1936</v>
      </c>
      <c r="C845" s="382">
        <v>-1.85E-4</v>
      </c>
    </row>
    <row r="846" spans="1:8" ht="19.95" customHeight="1">
      <c r="A846" s="382" t="s">
        <v>1593</v>
      </c>
      <c r="B846" s="840" t="s">
        <v>1937</v>
      </c>
      <c r="C846" s="382">
        <v>-1.35E-4</v>
      </c>
    </row>
    <row r="847" spans="1:8" ht="19.95" customHeight="1">
      <c r="A847" s="382" t="s">
        <v>1594</v>
      </c>
      <c r="B847" s="840" t="s">
        <v>1938</v>
      </c>
      <c r="C847" s="382">
        <v>4.0999999999999999E-4</v>
      </c>
    </row>
    <row r="848" spans="1:8" ht="19.95" customHeight="1">
      <c r="A848" s="382" t="s">
        <v>1595</v>
      </c>
      <c r="B848" s="840" t="s">
        <v>1939</v>
      </c>
      <c r="C848" s="382">
        <v>-1.92E-4</v>
      </c>
    </row>
    <row r="849" spans="1:3" ht="19.95" customHeight="1">
      <c r="A849" s="382" t="s">
        <v>1596</v>
      </c>
      <c r="B849" s="840" t="s">
        <v>1940</v>
      </c>
      <c r="C849" s="382">
        <v>5.2899999999999996E-4</v>
      </c>
    </row>
    <row r="850" spans="1:3" ht="19.95" customHeight="1">
      <c r="A850" s="382" t="s">
        <v>1597</v>
      </c>
      <c r="B850" s="840" t="s">
        <v>1941</v>
      </c>
      <c r="C850" s="382">
        <v>1.2266000000000001E-2</v>
      </c>
    </row>
    <row r="851" spans="1:3" ht="19.95" customHeight="1">
      <c r="A851" s="382" t="s">
        <v>1468</v>
      </c>
      <c r="B851" s="840" t="s">
        <v>1942</v>
      </c>
      <c r="C851" s="382">
        <v>7.6466000000000006E-2</v>
      </c>
    </row>
    <row r="852" spans="1:3" ht="19.95" customHeight="1">
      <c r="A852" s="382" t="s">
        <v>1473</v>
      </c>
      <c r="B852" s="840" t="s">
        <v>1943</v>
      </c>
      <c r="C852" s="382">
        <v>0.109762</v>
      </c>
    </row>
    <row r="853" spans="1:3" ht="19.95" customHeight="1">
      <c r="A853" s="382" t="s">
        <v>1475</v>
      </c>
      <c r="B853" s="840" t="s">
        <v>1944</v>
      </c>
      <c r="C853" s="382">
        <v>0.140933</v>
      </c>
    </row>
    <row r="854" spans="1:3" ht="19.95" customHeight="1">
      <c r="A854" s="382" t="s">
        <v>1476</v>
      </c>
      <c r="B854" s="840" t="s">
        <v>1945</v>
      </c>
      <c r="C854" s="382">
        <v>0.20633499999999999</v>
      </c>
    </row>
    <row r="855" spans="1:3" ht="19.95" customHeight="1">
      <c r="A855" s="382" t="s">
        <v>1477</v>
      </c>
      <c r="B855" s="840" t="s">
        <v>1946</v>
      </c>
      <c r="C855" s="382">
        <v>0.267814</v>
      </c>
    </row>
    <row r="856" spans="1:3" ht="19.95" customHeight="1">
      <c r="A856" s="382" t="s">
        <v>1838</v>
      </c>
      <c r="B856" s="840" t="s">
        <v>1947</v>
      </c>
      <c r="C856" s="382">
        <v>0.12388299999999999</v>
      </c>
    </row>
    <row r="857" spans="1:3" ht="19.95" customHeight="1">
      <c r="A857" s="382" t="s">
        <v>1839</v>
      </c>
      <c r="B857" s="840" t="s">
        <v>1948</v>
      </c>
      <c r="C857" s="382">
        <v>0.123983</v>
      </c>
    </row>
    <row r="858" spans="1:3" ht="19.95" customHeight="1">
      <c r="A858" s="382" t="s">
        <v>1840</v>
      </c>
      <c r="B858" s="840" t="s">
        <v>1949</v>
      </c>
      <c r="C858" s="382">
        <v>0.124539</v>
      </c>
    </row>
    <row r="859" spans="1:3" ht="19.95" customHeight="1">
      <c r="A859" s="382" t="s">
        <v>1841</v>
      </c>
      <c r="B859" s="840" t="s">
        <v>1950</v>
      </c>
      <c r="C859" s="382">
        <v>0.124058</v>
      </c>
    </row>
    <row r="860" spans="1:3" ht="19.95" customHeight="1">
      <c r="A860" s="382" t="s">
        <v>1842</v>
      </c>
      <c r="B860" s="840" t="s">
        <v>1951</v>
      </c>
      <c r="C860" s="382">
        <v>0.12601000000000001</v>
      </c>
    </row>
    <row r="861" spans="1:3" ht="19.95" customHeight="1">
      <c r="A861" s="382" t="s">
        <v>1843</v>
      </c>
      <c r="B861" s="840" t="s">
        <v>1952</v>
      </c>
      <c r="C861" s="382">
        <v>0.124468</v>
      </c>
    </row>
    <row r="862" spans="1:3" ht="19.95" customHeight="1">
      <c r="A862" s="382" t="s">
        <v>1844</v>
      </c>
      <c r="B862" s="840" t="s">
        <v>1953</v>
      </c>
      <c r="C862" s="382">
        <v>0.124274</v>
      </c>
    </row>
    <row r="863" spans="1:3" ht="19.95" customHeight="1">
      <c r="A863" s="382" t="s">
        <v>1845</v>
      </c>
      <c r="B863" s="840" t="s">
        <v>1954</v>
      </c>
      <c r="C863" s="382">
        <v>0.12335400000000001</v>
      </c>
    </row>
    <row r="864" spans="1:3" ht="19.95" customHeight="1">
      <c r="A864" s="382" t="s">
        <v>1856</v>
      </c>
      <c r="B864" s="840" t="s">
        <v>1955</v>
      </c>
      <c r="C864" s="382">
        <v>0.124114</v>
      </c>
    </row>
    <row r="865" spans="1:3" ht="19.95" customHeight="1">
      <c r="A865" s="382" t="s">
        <v>1846</v>
      </c>
      <c r="B865" s="840" t="s">
        <v>1956</v>
      </c>
      <c r="C865" s="382">
        <v>0.124801</v>
      </c>
    </row>
    <row r="866" spans="1:3" ht="19.95" customHeight="1">
      <c r="A866" s="382" t="s">
        <v>1854</v>
      </c>
      <c r="B866" s="840" t="s">
        <v>1957</v>
      </c>
      <c r="C866" s="382">
        <v>0.15579499999999999</v>
      </c>
    </row>
    <row r="867" spans="1:3" ht="19.95" customHeight="1">
      <c r="A867" s="382" t="s">
        <v>193</v>
      </c>
      <c r="B867" s="840" t="s">
        <v>1958</v>
      </c>
      <c r="C867" s="382">
        <v>0.51499600000000001</v>
      </c>
    </row>
    <row r="868" spans="1:3" ht="19.95" customHeight="1">
      <c r="A868" s="589" t="s">
        <v>1789</v>
      </c>
      <c r="B868" s="771" t="s">
        <v>1959</v>
      </c>
      <c r="C868" s="589">
        <v>0.55433200000000005</v>
      </c>
    </row>
    <row r="870" spans="1:3" s="149" customFormat="1" ht="19.95" customHeight="1">
      <c r="A870" s="150" t="s">
        <v>2306</v>
      </c>
    </row>
    <row r="872" spans="1:3" ht="19.95" customHeight="1">
      <c r="A872" s="587" t="s">
        <v>102</v>
      </c>
      <c r="B872" s="587" t="s">
        <v>2307</v>
      </c>
      <c r="C872" s="587" t="s">
        <v>2308</v>
      </c>
    </row>
    <row r="873" spans="1:3" ht="19.95" customHeight="1">
      <c r="A873" s="382" t="s">
        <v>1374</v>
      </c>
      <c r="B873" s="142">
        <v>0.49883226922937463</v>
      </c>
      <c r="C873" s="142">
        <v>7.2165798344060112E-3</v>
      </c>
    </row>
    <row r="874" spans="1:3" ht="19.95" customHeight="1">
      <c r="A874" s="382" t="s">
        <v>1375</v>
      </c>
      <c r="B874" s="142">
        <v>0.98137648472959593</v>
      </c>
      <c r="C874" s="142">
        <v>1.4197521264213381E-2</v>
      </c>
    </row>
    <row r="875" spans="1:3" ht="19.95" customHeight="1">
      <c r="A875" s="382" t="s">
        <v>1376</v>
      </c>
      <c r="B875" s="142">
        <v>0.98351500368575573</v>
      </c>
      <c r="C875" s="142">
        <v>1.4228459103897168E-2</v>
      </c>
    </row>
    <row r="876" spans="1:3" ht="19.95" customHeight="1">
      <c r="A876" s="382" t="s">
        <v>1377</v>
      </c>
      <c r="B876" s="142">
        <v>0.98175512782699259</v>
      </c>
      <c r="C876" s="142">
        <v>1.4202999073709009E-2</v>
      </c>
    </row>
    <row r="877" spans="1:3" ht="19.95" customHeight="1">
      <c r="A877" s="382" t="s">
        <v>1378</v>
      </c>
      <c r="B877" s="142">
        <v>1.8255066770478394</v>
      </c>
      <c r="C877" s="142">
        <v>2.6409507735954615E-2</v>
      </c>
    </row>
    <row r="878" spans="1:3" ht="19.95" customHeight="1">
      <c r="A878" s="382" t="s">
        <v>2298</v>
      </c>
      <c r="B878" s="142">
        <v>1.0030285692367686</v>
      </c>
      <c r="C878" s="142">
        <v>1.45107608159944E-2</v>
      </c>
    </row>
    <row r="879" spans="1:3" ht="19.95" customHeight="1">
      <c r="A879" s="382" t="s">
        <v>2299</v>
      </c>
      <c r="B879" s="142">
        <v>0.96950344410174671</v>
      </c>
      <c r="C879" s="142">
        <v>1.4025754618682634E-2</v>
      </c>
    </row>
    <row r="880" spans="1:3" ht="19.95" customHeight="1">
      <c r="A880" s="382" t="s">
        <v>2300</v>
      </c>
      <c r="B880" s="142">
        <v>1.0057600742211079</v>
      </c>
      <c r="C880" s="142">
        <v>1.4550277352921762E-2</v>
      </c>
    </row>
    <row r="881" spans="1:7" ht="19.95" customHeight="1">
      <c r="A881" s="382" t="s">
        <v>2301</v>
      </c>
      <c r="B881" s="142">
        <v>0.99172820417256258</v>
      </c>
      <c r="C881" s="142">
        <v>1.4347279037300011E-2</v>
      </c>
    </row>
    <row r="882" spans="1:7" ht="19.95" customHeight="1">
      <c r="A882" s="382" t="s">
        <v>2302</v>
      </c>
      <c r="B882" s="142">
        <v>0.95156971987324579</v>
      </c>
      <c r="C882" s="142">
        <v>1.3766308386739512E-2</v>
      </c>
    </row>
    <row r="883" spans="1:7" ht="19.95" customHeight="1">
      <c r="A883" s="837" t="s">
        <v>2303</v>
      </c>
      <c r="B883" s="142">
        <v>0.93493452521825815</v>
      </c>
      <c r="C883" s="142">
        <v>1.3525647912881113E-2</v>
      </c>
    </row>
    <row r="884" spans="1:7" ht="19.95" customHeight="1">
      <c r="A884" s="839" t="s">
        <v>2304</v>
      </c>
      <c r="B884" s="143">
        <v>0.94190468479891987</v>
      </c>
      <c r="C884" s="143">
        <v>1.3626484839790638E-2</v>
      </c>
    </row>
    <row r="886" spans="1:7" s="149" customFormat="1" ht="19.95" customHeight="1">
      <c r="A886" s="150" t="s">
        <v>2481</v>
      </c>
    </row>
    <row r="888" spans="1:7" ht="19.95" customHeight="1">
      <c r="A888" s="587" t="s">
        <v>102</v>
      </c>
      <c r="B888" s="587" t="s">
        <v>2</v>
      </c>
      <c r="C888" s="587" t="s">
        <v>1083</v>
      </c>
    </row>
    <row r="889" spans="1:7" ht="19.95" customHeight="1">
      <c r="A889" s="382" t="s">
        <v>2409</v>
      </c>
      <c r="B889" s="840" t="s">
        <v>2410</v>
      </c>
      <c r="C889" s="382">
        <v>8.3995E-2</v>
      </c>
      <c r="E889" s="382" t="str">
        <f>A889</f>
        <v>LNSW-N0</v>
      </c>
      <c r="F889" s="840" t="str">
        <f t="shared" ref="F889:G889" si="128">B889</f>
        <v>5/2/2024 1:45:33 PM</v>
      </c>
      <c r="G889" s="588">
        <f t="shared" si="128"/>
        <v>8.3995E-2</v>
      </c>
    </row>
    <row r="890" spans="1:7" ht="19.95" customHeight="1">
      <c r="A890" s="382" t="s">
        <v>2411</v>
      </c>
      <c r="B890" s="840" t="s">
        <v>2412</v>
      </c>
      <c r="C890" s="382">
        <v>8.4393999999999997E-2</v>
      </c>
      <c r="E890" s="382" t="str">
        <f>A891</f>
        <v>LNSW-N1</v>
      </c>
      <c r="F890" s="840" t="str">
        <f t="shared" ref="F890:G890" si="129">B891</f>
        <v>5/2/2024 1:47:21 PM</v>
      </c>
      <c r="G890" s="588">
        <f t="shared" si="129"/>
        <v>0.168045</v>
      </c>
    </row>
    <row r="891" spans="1:7" ht="19.95" customHeight="1">
      <c r="A891" s="382" t="s">
        <v>2413</v>
      </c>
      <c r="B891" s="840" t="s">
        <v>2414</v>
      </c>
      <c r="C891" s="382">
        <v>0.168045</v>
      </c>
      <c r="E891" s="382" t="str">
        <f>A893</f>
        <v>LNSW-N2</v>
      </c>
      <c r="F891" s="840" t="str">
        <f t="shared" ref="F891:G891" si="130">B893</f>
        <v>5/2/2024 1:49:04 PM</v>
      </c>
      <c r="G891" s="588">
        <f t="shared" si="130"/>
        <v>0.246056</v>
      </c>
    </row>
    <row r="892" spans="1:7" ht="19.95" customHeight="1">
      <c r="A892" s="382" t="s">
        <v>2415</v>
      </c>
      <c r="B892" s="840" t="s">
        <v>2416</v>
      </c>
      <c r="C892" s="382">
        <v>0.16864399999999999</v>
      </c>
      <c r="E892" s="382" t="str">
        <f>A895</f>
        <v>LNSW-N3</v>
      </c>
      <c r="F892" s="840" t="str">
        <f t="shared" ref="F892" si="131">B895</f>
        <v>5/2/2024 1:51:00 PM</v>
      </c>
      <c r="G892" s="588">
        <f>C895</f>
        <v>0.32271</v>
      </c>
    </row>
    <row r="893" spans="1:7" ht="19.95" customHeight="1">
      <c r="A893" s="382" t="s">
        <v>2417</v>
      </c>
      <c r="B893" s="840" t="s">
        <v>2418</v>
      </c>
      <c r="C893" s="382">
        <v>0.246056</v>
      </c>
      <c r="E893" s="382" t="str">
        <f>A890</f>
        <v>MOOS-N0</v>
      </c>
      <c r="F893" s="840" t="str">
        <f t="shared" ref="F893:G893" si="132">B890</f>
        <v>5/2/2024 1:46:24 PM</v>
      </c>
      <c r="G893" s="588">
        <f t="shared" si="132"/>
        <v>8.4393999999999997E-2</v>
      </c>
    </row>
    <row r="894" spans="1:7" ht="19.95" customHeight="1">
      <c r="A894" s="382" t="s">
        <v>2419</v>
      </c>
      <c r="B894" s="840" t="s">
        <v>2420</v>
      </c>
      <c r="C894" s="382">
        <v>0.248192</v>
      </c>
      <c r="E894" s="382" t="str">
        <f>A892</f>
        <v>MOOS-N1</v>
      </c>
      <c r="F894" s="840" t="str">
        <f t="shared" ref="F894:G894" si="133">B892</f>
        <v>5/2/2024 1:48:10 PM</v>
      </c>
      <c r="G894" s="588">
        <f t="shared" si="133"/>
        <v>0.16864399999999999</v>
      </c>
    </row>
    <row r="895" spans="1:7" ht="19.95" customHeight="1">
      <c r="A895" s="382" t="s">
        <v>2421</v>
      </c>
      <c r="B895" s="840" t="s">
        <v>2422</v>
      </c>
      <c r="C895" s="382">
        <v>0.32271</v>
      </c>
      <c r="E895" s="382" t="str">
        <f>A894</f>
        <v>MOOS-N2</v>
      </c>
      <c r="F895" s="840" t="str">
        <f t="shared" ref="F895:G895" si="134">B894</f>
        <v>5/2/2024 1:50:09 PM</v>
      </c>
      <c r="G895" s="588">
        <f t="shared" si="134"/>
        <v>0.248192</v>
      </c>
    </row>
    <row r="896" spans="1:7" ht="19.95" customHeight="1">
      <c r="A896" s="589" t="s">
        <v>2423</v>
      </c>
      <c r="B896" s="771" t="s">
        <v>2424</v>
      </c>
      <c r="C896" s="589">
        <v>0.32585399999999998</v>
      </c>
      <c r="E896" s="382" t="str">
        <f>A896</f>
        <v>MOOS-N3</v>
      </c>
      <c r="F896" s="840" t="str">
        <f t="shared" ref="F896:G896" si="135">B896</f>
        <v>5/2/2024 1:51:52 PM</v>
      </c>
      <c r="G896" s="588">
        <f t="shared" si="135"/>
        <v>0.32585399999999998</v>
      </c>
    </row>
    <row r="898" spans="1:7" s="149" customFormat="1" ht="19.95" customHeight="1">
      <c r="A898" s="150" t="s">
        <v>2482</v>
      </c>
    </row>
    <row r="900" spans="1:7" ht="19.95" customHeight="1">
      <c r="A900" s="587" t="s">
        <v>102</v>
      </c>
      <c r="B900" s="587" t="s">
        <v>2</v>
      </c>
      <c r="C900" s="587" t="s">
        <v>104</v>
      </c>
    </row>
    <row r="901" spans="1:7" ht="19.95" customHeight="1">
      <c r="A901" s="382" t="s">
        <v>2431</v>
      </c>
      <c r="B901" s="840" t="s">
        <v>2432</v>
      </c>
      <c r="C901" s="382">
        <v>0.27951300000000001</v>
      </c>
      <c r="E901" s="588" t="str">
        <f>A901</f>
        <v>LNSW-P0</v>
      </c>
      <c r="F901" s="840" t="str">
        <f t="shared" ref="F901:G901" si="136">B901</f>
        <v>5/2/2024 2:34:04 PM</v>
      </c>
      <c r="G901" s="588">
        <f t="shared" si="136"/>
        <v>0.27951300000000001</v>
      </c>
    </row>
    <row r="902" spans="1:7" ht="19.95" customHeight="1">
      <c r="A902" s="382" t="s">
        <v>2433</v>
      </c>
      <c r="B902" s="840" t="s">
        <v>2434</v>
      </c>
      <c r="C902" s="382">
        <v>0.27618700000000002</v>
      </c>
      <c r="E902" s="588" t="str">
        <f>A903</f>
        <v>LNSW-P1</v>
      </c>
      <c r="F902" s="840" t="str">
        <f t="shared" ref="F902:G902" si="137">B903</f>
        <v>5/2/2024 2:35:58 PM</v>
      </c>
      <c r="G902" s="588">
        <f t="shared" si="137"/>
        <v>0.55881199999999998</v>
      </c>
    </row>
    <row r="903" spans="1:7" ht="19.95" customHeight="1">
      <c r="A903" s="382" t="s">
        <v>2435</v>
      </c>
      <c r="B903" s="840" t="s">
        <v>2436</v>
      </c>
      <c r="C903" s="382">
        <v>0.55881199999999998</v>
      </c>
      <c r="E903" s="588" t="str">
        <f>A905</f>
        <v>LNSW-P2</v>
      </c>
      <c r="F903" s="840" t="str">
        <f t="shared" ref="F903:G903" si="138">B905</f>
        <v>5/2/2024 2:37:49 PM</v>
      </c>
      <c r="G903" s="588">
        <f t="shared" si="138"/>
        <v>0.81783899999999998</v>
      </c>
    </row>
    <row r="904" spans="1:7" ht="19.95" customHeight="1">
      <c r="A904" s="382" t="s">
        <v>2437</v>
      </c>
      <c r="B904" s="840" t="s">
        <v>2438</v>
      </c>
      <c r="C904" s="382">
        <v>0.55584</v>
      </c>
      <c r="E904" s="588" t="str">
        <f>A907</f>
        <v>LNSW-P3</v>
      </c>
      <c r="F904" s="840" t="str">
        <f t="shared" ref="F904:G904" si="139">B907</f>
        <v>5/2/2024 2:40:06 PM</v>
      </c>
      <c r="G904" s="588">
        <f t="shared" si="139"/>
        <v>1.0643389999999999</v>
      </c>
    </row>
    <row r="905" spans="1:7" ht="19.95" customHeight="1">
      <c r="A905" s="382" t="s">
        <v>2439</v>
      </c>
      <c r="B905" s="840" t="s">
        <v>2440</v>
      </c>
      <c r="C905" s="382">
        <v>0.81783899999999998</v>
      </c>
      <c r="E905" s="588" t="str">
        <f>A902</f>
        <v>MOOS-P0</v>
      </c>
      <c r="F905" s="840" t="str">
        <f t="shared" ref="F905:G905" si="140">B902</f>
        <v>5/2/2024 2:34:55 PM</v>
      </c>
      <c r="G905" s="588">
        <f t="shared" si="140"/>
        <v>0.27618700000000002</v>
      </c>
    </row>
    <row r="906" spans="1:7" ht="19.95" customHeight="1">
      <c r="A906" s="382" t="s">
        <v>2441</v>
      </c>
      <c r="B906" s="840" t="s">
        <v>2442</v>
      </c>
      <c r="C906" s="382">
        <v>0.81984599999999996</v>
      </c>
      <c r="E906" s="588" t="str">
        <f>A904</f>
        <v>MOOS-P1</v>
      </c>
      <c r="F906" s="840" t="str">
        <f t="shared" ref="F906:G906" si="141">B904</f>
        <v>5/2/2024 2:36:52 PM</v>
      </c>
      <c r="G906" s="588">
        <f t="shared" si="141"/>
        <v>0.55584</v>
      </c>
    </row>
    <row r="907" spans="1:7" ht="19.95" customHeight="1">
      <c r="A907" s="382" t="s">
        <v>2443</v>
      </c>
      <c r="B907" s="840" t="s">
        <v>2444</v>
      </c>
      <c r="C907" s="382">
        <v>1.0643389999999999</v>
      </c>
      <c r="E907" s="588" t="str">
        <f>A906</f>
        <v>MOOS-P2</v>
      </c>
      <c r="F907" s="840" t="str">
        <f t="shared" ref="F907:G907" si="142">B906</f>
        <v>5/2/2024 2:38:43 PM</v>
      </c>
      <c r="G907" s="588">
        <f t="shared" si="142"/>
        <v>0.81984599999999996</v>
      </c>
    </row>
    <row r="908" spans="1:7" ht="19.95" customHeight="1">
      <c r="A908" s="589" t="s">
        <v>2445</v>
      </c>
      <c r="B908" s="771" t="s">
        <v>2446</v>
      </c>
      <c r="C908" s="589">
        <v>1.063598</v>
      </c>
      <c r="E908" s="588" t="str">
        <f>A908</f>
        <v>MOOS-P3</v>
      </c>
      <c r="F908" s="840" t="str">
        <f t="shared" ref="F908:G908" si="143">B908</f>
        <v>5/2/2024 2:41:16 PM</v>
      </c>
      <c r="G908" s="588">
        <f t="shared" si="143"/>
        <v>1.063598</v>
      </c>
    </row>
    <row r="910" spans="1:7" s="149" customFormat="1" ht="19.95" customHeight="1">
      <c r="A910" s="150" t="s">
        <v>2483</v>
      </c>
    </row>
    <row r="912" spans="1:7" ht="19.95" customHeight="1">
      <c r="A912" s="587" t="s">
        <v>102</v>
      </c>
      <c r="B912" s="587" t="s">
        <v>2</v>
      </c>
      <c r="C912" s="587" t="s">
        <v>1142</v>
      </c>
    </row>
    <row r="913" spans="1:7" ht="19.95" customHeight="1">
      <c r="A913" s="382" t="s">
        <v>2449</v>
      </c>
      <c r="B913" s="840" t="s">
        <v>2450</v>
      </c>
      <c r="C913" s="382">
        <v>0.12778999999999999</v>
      </c>
      <c r="E913" s="588" t="str">
        <f>A913</f>
        <v>LNSW-Si0</v>
      </c>
      <c r="F913" s="840" t="str">
        <f t="shared" ref="F913:G913" si="144">B913</f>
        <v>5/2/2024 4:09:51 PM</v>
      </c>
      <c r="G913" s="588">
        <f t="shared" si="144"/>
        <v>0.12778999999999999</v>
      </c>
    </row>
    <row r="914" spans="1:7" ht="19.95" customHeight="1">
      <c r="A914" s="382" t="s">
        <v>2451</v>
      </c>
      <c r="B914" s="840" t="s">
        <v>2452</v>
      </c>
      <c r="C914" s="382">
        <v>0.12650800000000001</v>
      </c>
      <c r="E914" s="588" t="str">
        <f>A915</f>
        <v>LNSW-Si1</v>
      </c>
      <c r="F914" s="840" t="str">
        <f t="shared" ref="F914:G914" si="145">B915</f>
        <v>5/2/2024 4:11:37 PM</v>
      </c>
      <c r="G914" s="588">
        <f t="shared" si="145"/>
        <v>0.242505</v>
      </c>
    </row>
    <row r="915" spans="1:7" ht="19.95" customHeight="1">
      <c r="A915" s="382" t="s">
        <v>2453</v>
      </c>
      <c r="B915" s="840" t="s">
        <v>2454</v>
      </c>
      <c r="C915" s="382">
        <v>0.242505</v>
      </c>
      <c r="E915" s="588" t="str">
        <f>A917</f>
        <v>LNSW-Si2</v>
      </c>
      <c r="F915" s="840" t="str">
        <f t="shared" ref="F915:G915" si="146">B917</f>
        <v>5/2/2024 4:13:29 PM</v>
      </c>
      <c r="G915" s="588">
        <f t="shared" si="146"/>
        <v>0.35417199999999999</v>
      </c>
    </row>
    <row r="916" spans="1:7" ht="19.95" customHeight="1">
      <c r="A916" s="382" t="s">
        <v>2455</v>
      </c>
      <c r="B916" s="840" t="s">
        <v>2456</v>
      </c>
      <c r="C916" s="382">
        <v>0.2419</v>
      </c>
      <c r="E916" s="588" t="str">
        <f>A919</f>
        <v>LNSW-Si3</v>
      </c>
      <c r="F916" s="840" t="str">
        <f t="shared" ref="F916:G916" si="147">B919</f>
        <v>5/2/2024 4:15:19 PM</v>
      </c>
      <c r="G916" s="588">
        <f t="shared" si="147"/>
        <v>0.46215800000000001</v>
      </c>
    </row>
    <row r="917" spans="1:7" ht="19.95" customHeight="1">
      <c r="A917" s="382" t="s">
        <v>2457</v>
      </c>
      <c r="B917" s="840" t="s">
        <v>2458</v>
      </c>
      <c r="C917" s="382">
        <v>0.35417199999999999</v>
      </c>
      <c r="E917" s="588" t="str">
        <f>A914</f>
        <v>MOOS-Si0</v>
      </c>
      <c r="F917" s="840" t="str">
        <f t="shared" ref="F917:G917" si="148">B914</f>
        <v>5/2/2024 4:10:44 PM</v>
      </c>
      <c r="G917" s="588">
        <f t="shared" si="148"/>
        <v>0.12650800000000001</v>
      </c>
    </row>
    <row r="918" spans="1:7" ht="19.95" customHeight="1">
      <c r="A918" s="382" t="s">
        <v>2459</v>
      </c>
      <c r="B918" s="840" t="s">
        <v>2460</v>
      </c>
      <c r="C918" s="382">
        <v>0.351356</v>
      </c>
      <c r="E918" s="588" t="str">
        <f>A916</f>
        <v>MOOS-Si1</v>
      </c>
      <c r="F918" s="840" t="str">
        <f t="shared" ref="F918:G918" si="149">B916</f>
        <v>5/2/2024 4:12:32 PM</v>
      </c>
      <c r="G918" s="588">
        <f t="shared" si="149"/>
        <v>0.2419</v>
      </c>
    </row>
    <row r="919" spans="1:7" ht="19.95" customHeight="1">
      <c r="A919" s="382" t="s">
        <v>2461</v>
      </c>
      <c r="B919" s="840" t="s">
        <v>2462</v>
      </c>
      <c r="C919" s="382">
        <v>0.46215800000000001</v>
      </c>
      <c r="E919" s="588" t="str">
        <f>A918</f>
        <v>MOOS-Si2</v>
      </c>
      <c r="F919" s="840" t="str">
        <f t="shared" ref="F919:G919" si="150">B918</f>
        <v>5/2/2024 4:14:25 PM</v>
      </c>
      <c r="G919" s="588">
        <f t="shared" si="150"/>
        <v>0.351356</v>
      </c>
    </row>
    <row r="920" spans="1:7" ht="19.95" customHeight="1">
      <c r="A920" s="589" t="s">
        <v>2463</v>
      </c>
      <c r="B920" s="771" t="s">
        <v>2464</v>
      </c>
      <c r="C920" s="589">
        <v>0.46098</v>
      </c>
      <c r="E920" s="588" t="str">
        <f>A920</f>
        <v>MOOS-Si3</v>
      </c>
      <c r="F920" s="840" t="str">
        <f t="shared" ref="F920:G920" si="151">B920</f>
        <v>5/2/2024 4:16:09 PM</v>
      </c>
      <c r="G920" s="588">
        <f t="shared" si="151"/>
        <v>0.46098</v>
      </c>
    </row>
    <row r="922" spans="1:7" s="149" customFormat="1" ht="19.95" customHeight="1">
      <c r="A922" s="150" t="s">
        <v>2624</v>
      </c>
    </row>
    <row r="924" spans="1:7" ht="19.95" customHeight="1">
      <c r="A924" s="587" t="s">
        <v>102</v>
      </c>
      <c r="B924" s="587" t="s">
        <v>2</v>
      </c>
      <c r="C924" s="587" t="s">
        <v>104</v>
      </c>
    </row>
    <row r="925" spans="1:7" ht="19.95" customHeight="1">
      <c r="A925" s="144">
        <v>0</v>
      </c>
      <c r="B925" s="840" t="s">
        <v>2617</v>
      </c>
      <c r="C925" s="382">
        <v>-7.5600000000000005E-4</v>
      </c>
    </row>
    <row r="926" spans="1:7" ht="19.95" customHeight="1">
      <c r="A926" s="144">
        <v>0.1</v>
      </c>
      <c r="B926" s="840" t="s">
        <v>2618</v>
      </c>
      <c r="C926" s="382">
        <v>-7.6099999999999996E-4</v>
      </c>
    </row>
    <row r="927" spans="1:7" ht="19.95" customHeight="1">
      <c r="A927" s="144">
        <v>0.4</v>
      </c>
      <c r="B927" s="840" t="s">
        <v>2619</v>
      </c>
      <c r="C927" s="382">
        <v>-7.5799999999999999E-4</v>
      </c>
    </row>
    <row r="928" spans="1:7" ht="19.95" customHeight="1">
      <c r="A928" s="144">
        <v>1</v>
      </c>
      <c r="B928" s="840" t="s">
        <v>2620</v>
      </c>
      <c r="C928" s="382">
        <v>-6.8000000000000005E-4</v>
      </c>
    </row>
    <row r="929" spans="1:8" ht="19.95" customHeight="1">
      <c r="A929" s="144">
        <v>1.6</v>
      </c>
      <c r="B929" s="840" t="s">
        <v>2621</v>
      </c>
      <c r="C929" s="382">
        <v>-7.8899999999999999E-4</v>
      </c>
    </row>
    <row r="930" spans="1:8" ht="19.95" customHeight="1">
      <c r="A930" s="144">
        <v>2.2000000000000002</v>
      </c>
      <c r="B930" s="840" t="s">
        <v>2622</v>
      </c>
      <c r="C930" s="382">
        <v>-5.8E-4</v>
      </c>
    </row>
    <row r="931" spans="1:8" ht="19.95" customHeight="1">
      <c r="A931" s="146">
        <v>3</v>
      </c>
      <c r="B931" s="771" t="s">
        <v>2623</v>
      </c>
      <c r="C931" s="589">
        <v>-6.7900000000000002E-4</v>
      </c>
    </row>
    <row r="933" spans="1:8" s="149" customFormat="1" ht="19.95" customHeight="1">
      <c r="A933" s="150" t="s">
        <v>2644</v>
      </c>
    </row>
    <row r="935" spans="1:8" ht="19.95" customHeight="1">
      <c r="A935" s="587" t="s">
        <v>102</v>
      </c>
      <c r="B935" s="587" t="s">
        <v>2</v>
      </c>
      <c r="C935" s="587" t="s">
        <v>1083</v>
      </c>
    </row>
    <row r="936" spans="1:8" ht="19.95" customHeight="1">
      <c r="A936" s="382" t="s">
        <v>2632</v>
      </c>
      <c r="B936" s="840" t="s">
        <v>2633</v>
      </c>
      <c r="C936" s="382">
        <v>8.5787000000000002E-2</v>
      </c>
      <c r="E936" s="382" t="str">
        <f>A936</f>
        <v>RT-N1</v>
      </c>
      <c r="F936" s="840" t="str">
        <f t="shared" ref="F936:G936" si="152">B936</f>
        <v>5/7/2024 11:27:36 AM</v>
      </c>
      <c r="G936" s="588">
        <f t="shared" si="152"/>
        <v>8.5787000000000002E-2</v>
      </c>
      <c r="H936" s="588"/>
    </row>
    <row r="937" spans="1:8" ht="19.95" customHeight="1">
      <c r="A937" s="382" t="s">
        <v>2634</v>
      </c>
      <c r="B937" s="840" t="s">
        <v>2635</v>
      </c>
      <c r="C937" s="382">
        <v>8.5042999999999994E-2</v>
      </c>
      <c r="E937" s="382" t="str">
        <f>A938</f>
        <v>RT-N2</v>
      </c>
      <c r="F937" s="840" t="str">
        <f t="shared" ref="F937:G937" si="153">B938</f>
        <v>5/7/2024 11:28:56 AM</v>
      </c>
      <c r="G937" s="588">
        <f t="shared" si="153"/>
        <v>8.5791000000000006E-2</v>
      </c>
      <c r="H937" s="588"/>
    </row>
    <row r="938" spans="1:8" ht="19.95" customHeight="1">
      <c r="A938" s="382" t="s">
        <v>2636</v>
      </c>
      <c r="B938" s="840" t="s">
        <v>2637</v>
      </c>
      <c r="C938" s="382">
        <v>8.5791000000000006E-2</v>
      </c>
      <c r="E938" s="382" t="str">
        <f>A940</f>
        <v>RT-N3</v>
      </c>
      <c r="F938" s="840" t="str">
        <f t="shared" ref="F938:G938" si="154">B940</f>
        <v>5/7/2024 11:30:20 AM</v>
      </c>
      <c r="G938" s="588">
        <f t="shared" si="154"/>
        <v>8.5553000000000004E-2</v>
      </c>
      <c r="H938" s="588"/>
    </row>
    <row r="939" spans="1:8" ht="19.95" customHeight="1">
      <c r="A939" s="382" t="s">
        <v>2638</v>
      </c>
      <c r="B939" s="840" t="s">
        <v>2639</v>
      </c>
      <c r="C939" s="382">
        <v>8.4656999999999996E-2</v>
      </c>
      <c r="E939" s="382" t="str">
        <f>A937</f>
        <v>Fridge-N1</v>
      </c>
      <c r="F939" s="840" t="str">
        <f t="shared" ref="F939:G939" si="155">B937</f>
        <v>5/7/2024 11:28:15 AM</v>
      </c>
      <c r="G939" s="588">
        <f t="shared" si="155"/>
        <v>8.5042999999999994E-2</v>
      </c>
      <c r="H939" s="588"/>
    </row>
    <row r="940" spans="1:8" ht="19.95" customHeight="1">
      <c r="A940" s="382" t="s">
        <v>2640</v>
      </c>
      <c r="B940" s="840" t="s">
        <v>2641</v>
      </c>
      <c r="C940" s="382">
        <v>8.5553000000000004E-2</v>
      </c>
      <c r="E940" s="382" t="str">
        <f>A939</f>
        <v>Fridge-N2</v>
      </c>
      <c r="F940" s="840" t="str">
        <f t="shared" ref="F940:G940" si="156">B939</f>
        <v>5/7/2024 11:29:37 AM</v>
      </c>
      <c r="G940" s="588">
        <f t="shared" si="156"/>
        <v>8.4656999999999996E-2</v>
      </c>
      <c r="H940" s="588"/>
    </row>
    <row r="941" spans="1:8" ht="19.95" customHeight="1">
      <c r="A941" s="589" t="s">
        <v>2642</v>
      </c>
      <c r="B941" s="771" t="s">
        <v>2643</v>
      </c>
      <c r="C941" s="589">
        <v>8.5815000000000002E-2</v>
      </c>
      <c r="E941" s="382" t="str">
        <f>A941</f>
        <v>Fridge-N3</v>
      </c>
      <c r="F941" s="840" t="str">
        <f t="shared" ref="F941:G941" si="157">B941</f>
        <v>5/7/2024 11:30:59 AM</v>
      </c>
      <c r="G941" s="588">
        <f t="shared" si="157"/>
        <v>8.5815000000000002E-2</v>
      </c>
      <c r="H941" s="588"/>
    </row>
    <row r="943" spans="1:8" s="149" customFormat="1" ht="19.95" customHeight="1">
      <c r="A943" s="150" t="s">
        <v>2658</v>
      </c>
    </row>
    <row r="944" spans="1:8" s="148" customFormat="1" ht="19.95" customHeight="1">
      <c r="A944" s="233"/>
    </row>
    <row r="945" spans="1:7" ht="19.95" customHeight="1">
      <c r="A945" s="587" t="s">
        <v>102</v>
      </c>
      <c r="B945" s="587" t="s">
        <v>2</v>
      </c>
      <c r="C945" s="587" t="s">
        <v>104</v>
      </c>
    </row>
    <row r="946" spans="1:7" ht="19.95" customHeight="1">
      <c r="A946" s="382" t="s">
        <v>2646</v>
      </c>
      <c r="B946" s="840" t="s">
        <v>2647</v>
      </c>
      <c r="C946" s="588">
        <v>0.28332400000000002</v>
      </c>
      <c r="E946" s="588" t="str">
        <f>A946</f>
        <v>RT-P1</v>
      </c>
      <c r="F946" s="840" t="str">
        <f t="shared" ref="F946:G946" si="158">B946</f>
        <v>5/7/2024 12:21:47 PM</v>
      </c>
      <c r="G946" s="588">
        <f t="shared" si="158"/>
        <v>0.28332400000000002</v>
      </c>
    </row>
    <row r="947" spans="1:7" ht="19.95" customHeight="1">
      <c r="A947" s="382" t="s">
        <v>2648</v>
      </c>
      <c r="B947" s="840" t="s">
        <v>2649</v>
      </c>
      <c r="C947" s="588">
        <v>0.28615699999999999</v>
      </c>
      <c r="E947" s="588" t="str">
        <f>A948</f>
        <v>RT-P2</v>
      </c>
      <c r="F947" s="840" t="str">
        <f t="shared" ref="F947:G947" si="159">B948</f>
        <v>5/7/2024 12:23:27 PM</v>
      </c>
      <c r="G947" s="588">
        <f t="shared" si="159"/>
        <v>0.28377400000000003</v>
      </c>
    </row>
    <row r="948" spans="1:7" ht="19.95" customHeight="1">
      <c r="A948" s="382" t="s">
        <v>2650</v>
      </c>
      <c r="B948" s="840" t="s">
        <v>2651</v>
      </c>
      <c r="C948" s="588">
        <v>0.28377400000000003</v>
      </c>
      <c r="E948" s="588" t="str">
        <f>A950</f>
        <v>RT-P3</v>
      </c>
      <c r="F948" s="840" t="str">
        <f t="shared" ref="F948:G948" si="160">B950</f>
        <v>5/7/2024 12:24:56 PM</v>
      </c>
      <c r="G948" s="588">
        <f t="shared" si="160"/>
        <v>0.28408099999999997</v>
      </c>
    </row>
    <row r="949" spans="1:7" ht="19.95" customHeight="1">
      <c r="A949" s="382" t="s">
        <v>2652</v>
      </c>
      <c r="B949" s="840" t="s">
        <v>2653</v>
      </c>
      <c r="C949" s="588">
        <v>0.28465400000000002</v>
      </c>
      <c r="E949" s="588" t="str">
        <f>A947</f>
        <v>Fridge-P1</v>
      </c>
      <c r="F949" s="840" t="str">
        <f t="shared" ref="F949:G949" si="161">B947</f>
        <v>5/7/2024 12:22:40 PM</v>
      </c>
      <c r="G949" s="588">
        <f t="shared" si="161"/>
        <v>0.28615699999999999</v>
      </c>
    </row>
    <row r="950" spans="1:7" ht="19.95" customHeight="1">
      <c r="A950" s="382" t="s">
        <v>2654</v>
      </c>
      <c r="B950" s="840" t="s">
        <v>2655</v>
      </c>
      <c r="C950" s="588">
        <v>0.28408099999999997</v>
      </c>
      <c r="E950" s="588" t="str">
        <f>A949</f>
        <v>Fridge-P2</v>
      </c>
      <c r="F950" s="840" t="str">
        <f t="shared" ref="F950:G950" si="162">B949</f>
        <v>5/7/2024 12:24:09 PM</v>
      </c>
      <c r="G950" s="588">
        <f t="shared" si="162"/>
        <v>0.28465400000000002</v>
      </c>
    </row>
    <row r="951" spans="1:7" ht="19.95" customHeight="1">
      <c r="A951" s="589" t="s">
        <v>2656</v>
      </c>
      <c r="B951" s="771" t="s">
        <v>2657</v>
      </c>
      <c r="C951" s="589">
        <v>0.28383399999999998</v>
      </c>
      <c r="E951" s="588" t="str">
        <f>A951</f>
        <v>Fridge-P3</v>
      </c>
      <c r="F951" s="840" t="str">
        <f t="shared" ref="F951:G951" si="163">B951</f>
        <v>5/7/2024 12:25:40 PM</v>
      </c>
      <c r="G951" s="588">
        <f t="shared" si="163"/>
        <v>0.28383399999999998</v>
      </c>
    </row>
    <row r="953" spans="1:7" s="149" customFormat="1" ht="19.95" customHeight="1">
      <c r="A953" s="150" t="s">
        <v>2673</v>
      </c>
    </row>
    <row r="955" spans="1:7" ht="19.95" customHeight="1">
      <c r="A955" s="587" t="s">
        <v>102</v>
      </c>
      <c r="B955" s="587" t="s">
        <v>2</v>
      </c>
      <c r="C955" s="587" t="s">
        <v>1142</v>
      </c>
    </row>
    <row r="956" spans="1:7" ht="19.95" customHeight="1">
      <c r="A956" s="382" t="s">
        <v>2661</v>
      </c>
      <c r="B956" s="840" t="s">
        <v>2662</v>
      </c>
      <c r="C956" s="382">
        <v>0.12906799999999999</v>
      </c>
      <c r="E956" s="588" t="str">
        <f>A956</f>
        <v>RT-Si1</v>
      </c>
      <c r="F956" s="840" t="str">
        <f t="shared" ref="F956:G956" si="164">B956</f>
        <v>5/7/2024 1:13:58 PM</v>
      </c>
      <c r="G956" s="588">
        <f t="shared" si="164"/>
        <v>0.12906799999999999</v>
      </c>
    </row>
    <row r="957" spans="1:7" ht="19.95" customHeight="1">
      <c r="A957" s="382" t="s">
        <v>2663</v>
      </c>
      <c r="B957" s="840" t="s">
        <v>2664</v>
      </c>
      <c r="C957" s="382">
        <v>0.103265</v>
      </c>
      <c r="E957" s="588" t="str">
        <f>A958</f>
        <v>RT-Si2</v>
      </c>
      <c r="F957" s="840" t="str">
        <f t="shared" ref="F957:G957" si="165">B958</f>
        <v>5/7/2024 1:15:26 PM</v>
      </c>
      <c r="G957" s="588">
        <f t="shared" si="165"/>
        <v>0.12767000000000001</v>
      </c>
    </row>
    <row r="958" spans="1:7" ht="19.95" customHeight="1">
      <c r="A958" s="382" t="s">
        <v>2665</v>
      </c>
      <c r="B958" s="840" t="s">
        <v>2666</v>
      </c>
      <c r="C958" s="382">
        <v>0.12767000000000001</v>
      </c>
      <c r="E958" s="588" t="str">
        <f>A960</f>
        <v>RT-Si3</v>
      </c>
      <c r="F958" s="840" t="str">
        <f t="shared" ref="F958:G958" si="166">B960</f>
        <v>5/7/2024 1:16:53 PM</v>
      </c>
      <c r="G958" s="588">
        <f t="shared" si="166"/>
        <v>0.12823399999999999</v>
      </c>
    </row>
    <row r="959" spans="1:7" ht="19.95" customHeight="1">
      <c r="A959" s="382" t="s">
        <v>2667</v>
      </c>
      <c r="B959" s="840" t="s">
        <v>2668</v>
      </c>
      <c r="C959" s="382">
        <v>9.8003999999999994E-2</v>
      </c>
      <c r="E959" s="588" t="str">
        <f>A957</f>
        <v>Fridge-Si1</v>
      </c>
      <c r="F959" s="840" t="str">
        <f t="shared" ref="F959:G959" si="167">B957</f>
        <v>5/7/2024 1:14:43 PM</v>
      </c>
      <c r="G959" s="588">
        <f t="shared" si="167"/>
        <v>0.103265</v>
      </c>
    </row>
    <row r="960" spans="1:7" ht="19.95" customHeight="1">
      <c r="A960" s="382" t="s">
        <v>2669</v>
      </c>
      <c r="B960" s="840" t="s">
        <v>2670</v>
      </c>
      <c r="C960" s="382">
        <v>0.12823399999999999</v>
      </c>
      <c r="E960" s="588" t="str">
        <f>A959</f>
        <v>Fridge-Si2</v>
      </c>
      <c r="F960" s="840" t="str">
        <f t="shared" ref="F960:G960" si="168">B959</f>
        <v>5/7/2024 1:16:10 PM</v>
      </c>
      <c r="G960" s="588">
        <f t="shared" si="168"/>
        <v>9.8003999999999994E-2</v>
      </c>
    </row>
    <row r="961" spans="1:7" ht="19.95" customHeight="1">
      <c r="A961" s="589" t="s">
        <v>2671</v>
      </c>
      <c r="B961" s="771" t="s">
        <v>2672</v>
      </c>
      <c r="C961" s="589">
        <v>9.3779000000000001E-2</v>
      </c>
      <c r="E961" s="588" t="str">
        <f>A961</f>
        <v>Fridge-Si3</v>
      </c>
      <c r="F961" s="840" t="str">
        <f t="shared" ref="F961:G961" si="169">B961</f>
        <v>5/7/2024 1:17:38 PM</v>
      </c>
      <c r="G961" s="588">
        <f t="shared" si="169"/>
        <v>9.3779000000000001E-2</v>
      </c>
    </row>
    <row r="963" spans="1:7" s="149" customFormat="1" ht="19.95" customHeight="1"/>
  </sheetData>
  <sheetProtection sheet="1" objects="1" scenarios="1"/>
  <phoneticPr fontId="55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X314"/>
  <sheetViews>
    <sheetView zoomScaleNormal="100" workbookViewId="0">
      <selection activeCell="A2" sqref="A2"/>
    </sheetView>
  </sheetViews>
  <sheetFormatPr defaultColWidth="12.77734375" defaultRowHeight="20.100000000000001" customHeight="1"/>
  <cols>
    <col min="1" max="16384" width="12.77734375" style="588"/>
  </cols>
  <sheetData>
    <row r="1" spans="1:2" s="1" customFormat="1" ht="20.100000000000001" customHeight="1"/>
    <row r="2" spans="1:2" s="1" customFormat="1" ht="20.100000000000001" customHeight="1">
      <c r="A2" s="480" t="s">
        <v>314</v>
      </c>
      <c r="B2" s="588"/>
    </row>
    <row r="3" spans="1:2" s="1" customFormat="1" ht="20.100000000000001" customHeight="1">
      <c r="A3" s="588"/>
      <c r="B3" s="588"/>
    </row>
    <row r="4" spans="1:2" s="1" customFormat="1" ht="20.100000000000001" customHeight="1">
      <c r="A4" s="480" t="s">
        <v>315</v>
      </c>
      <c r="B4" s="480" t="s">
        <v>185</v>
      </c>
    </row>
    <row r="5" spans="1:2" s="1" customFormat="1" ht="20.100000000000001" customHeight="1">
      <c r="A5" s="588">
        <f>ROW(A13)</f>
        <v>13</v>
      </c>
      <c r="B5" s="588" t="str">
        <f>A13</f>
        <v>CM-Form-P208_Macro_ID4MS. Macro used to perform ID4MS calculation (result; uncertainty)</v>
      </c>
    </row>
    <row r="6" spans="1:2" s="1" customFormat="1" ht="20.100000000000001" customHeight="1">
      <c r="A6" s="588">
        <f>ROW(A58)</f>
        <v>58</v>
      </c>
      <c r="B6" s="588" t="str">
        <f>A58</f>
        <v>CM-Form-051_density_of_liquids. Macro used to calculate density of liquids by pycnometry (result; uncertainty)</v>
      </c>
    </row>
    <row r="7" spans="1:2" s="1" customFormat="1" ht="20.100000000000001" customHeight="1">
      <c r="A7" s="588">
        <f>ROW(A97)</f>
        <v>97</v>
      </c>
      <c r="B7" s="588" t="str">
        <f>A97</f>
        <v>Gravimetric dilutions WnA1S macro: dilution of 1 solution containing n analytes</v>
      </c>
    </row>
    <row r="8" spans="1:2" s="1" customFormat="1" ht="20.100000000000001" customHeight="1">
      <c r="A8" s="588">
        <f>ROW(A137)</f>
        <v>137</v>
      </c>
      <c r="B8" s="588" t="str">
        <f>A137</f>
        <v>Gravimetric dilutions WnAnS macro: mixing n solutions containing 1 analytes each and further dilute</v>
      </c>
    </row>
    <row r="9" spans="1:2" s="1" customFormat="1" ht="20.100000000000001" customHeight="1">
      <c r="A9" s="588">
        <f>ROW(A176)</f>
        <v>176</v>
      </c>
      <c r="B9" s="588" t="str">
        <f>A176</f>
        <v>Macro for the calculation of external calibration results (linear model) by Gauss method (ResultEXLN_GS) and by Monte Carlo (ResultEXLN_MC)</v>
      </c>
    </row>
    <row r="10" spans="1:2" s="1" customFormat="1" ht="20.100000000000001" customHeight="1">
      <c r="A10" s="588">
        <f>ROW(A236)</f>
        <v>236</v>
      </c>
      <c r="B10" s="588" t="str">
        <f>A236</f>
        <v>Macro for the calculation of IDMS result by fitting a rational function to the calibration plot. Gauss method (ResultIDMS_GS) and Monte Carlo (ResultIDMS_MC)</v>
      </c>
    </row>
    <row r="11" spans="1:2" s="1" customFormat="1" ht="20.100000000000001" customHeight="1">
      <c r="A11" s="588">
        <f>ROW(A288)</f>
        <v>288</v>
      </c>
      <c r="B11" s="588" t="str">
        <f>A288</f>
        <v>Macro for the calculation of external calibration results using a quadratic model (ResultEXQD)</v>
      </c>
    </row>
    <row r="12" spans="1:2" s="1" customFormat="1" ht="20.100000000000001" customHeight="1"/>
    <row r="13" spans="1:2" s="149" customFormat="1" ht="20.100000000000001" customHeight="1">
      <c r="A13" s="150" t="s">
        <v>1968</v>
      </c>
    </row>
    <row r="15" spans="1:2" ht="20.100000000000001" customHeight="1">
      <c r="A15" s="588" t="s">
        <v>1964</v>
      </c>
    </row>
    <row r="16" spans="1:2" ht="20.100000000000001" customHeight="1">
      <c r="A16" s="588" t="s">
        <v>1965</v>
      </c>
    </row>
    <row r="17" spans="1:24" ht="20.100000000000001" customHeight="1">
      <c r="A17" s="588" t="s">
        <v>1966</v>
      </c>
    </row>
    <row r="18" spans="1:24" ht="20.100000000000001" customHeight="1">
      <c r="A18" s="588" t="s">
        <v>1967</v>
      </c>
    </row>
    <row r="20" spans="1:24" ht="20.100000000000001" customHeight="1">
      <c r="A20" s="588" t="s">
        <v>1969</v>
      </c>
    </row>
    <row r="22" spans="1:24" ht="20.100000000000001" customHeight="1">
      <c r="A22" s="992" t="s">
        <v>5</v>
      </c>
      <c r="B22" s="993"/>
      <c r="C22" s="993"/>
      <c r="D22" s="993"/>
      <c r="E22" s="993"/>
      <c r="F22" s="993"/>
      <c r="G22" s="993"/>
      <c r="H22" s="993"/>
      <c r="I22" s="994"/>
      <c r="J22" s="995" t="s">
        <v>1387</v>
      </c>
      <c r="K22" s="996"/>
      <c r="L22" s="996"/>
      <c r="M22" s="996"/>
      <c r="N22" s="996"/>
      <c r="O22" s="996"/>
      <c r="P22" s="996"/>
      <c r="Q22" s="996"/>
      <c r="R22" s="996"/>
      <c r="S22" s="996"/>
      <c r="T22" s="996"/>
      <c r="U22" s="996"/>
      <c r="V22" s="996"/>
      <c r="W22" s="996"/>
      <c r="X22" s="997"/>
    </row>
    <row r="23" spans="1:24" s="1" customFormat="1" ht="20.100000000000001" customHeight="1">
      <c r="A23" s="2"/>
      <c r="I23" s="3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6"/>
    </row>
    <row r="24" spans="1:24" s="1" customFormat="1" ht="20.100000000000001" customHeight="1">
      <c r="A24" s="7" t="s">
        <v>6</v>
      </c>
      <c r="B24" s="8" t="s">
        <v>7</v>
      </c>
      <c r="C24" s="9" t="s">
        <v>8</v>
      </c>
      <c r="D24" s="8" t="s">
        <v>9</v>
      </c>
      <c r="E24" s="9" t="s">
        <v>10</v>
      </c>
      <c r="F24" s="8" t="s">
        <v>11</v>
      </c>
      <c r="G24" s="9" t="s">
        <v>12</v>
      </c>
      <c r="H24" s="8" t="s">
        <v>13</v>
      </c>
      <c r="I24" s="10" t="s">
        <v>14</v>
      </c>
      <c r="J24" s="11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3"/>
    </row>
    <row r="25" spans="1:24" s="1" customFormat="1" ht="20.100000000000001" customHeight="1">
      <c r="A25" s="14" t="s">
        <v>15</v>
      </c>
      <c r="B25" s="15">
        <v>1.0265200000000001</v>
      </c>
      <c r="C25" s="16">
        <v>3.0000000000000001E-5</v>
      </c>
      <c r="D25" s="15">
        <v>5.9920000000000001E-2</v>
      </c>
      <c r="E25" s="16">
        <v>3.0000000000000001E-5</v>
      </c>
      <c r="F25" s="15">
        <v>6.1429999999999998</v>
      </c>
      <c r="G25" s="16">
        <f>F25*0.3/100</f>
        <v>1.8428999999999997E-2</v>
      </c>
      <c r="H25" s="15">
        <v>97.44</v>
      </c>
      <c r="I25" s="17">
        <v>9.7439999999999999E-2</v>
      </c>
      <c r="J25" s="11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3"/>
    </row>
    <row r="26" spans="1:24" s="1" customFormat="1" ht="20.100000000000001" customHeight="1">
      <c r="A26" s="18" t="s">
        <v>16</v>
      </c>
      <c r="B26" s="19">
        <v>2.00312</v>
      </c>
      <c r="C26" s="16">
        <v>3.0000000000000001E-5</v>
      </c>
      <c r="D26" s="19">
        <v>6.0130000000000003E-2</v>
      </c>
      <c r="E26" s="16">
        <v>3.0000000000000001E-5</v>
      </c>
      <c r="F26" s="19">
        <v>4.2149999999999999</v>
      </c>
      <c r="G26" s="16">
        <f>F26*0.3/100</f>
        <v>1.2645E-2</v>
      </c>
      <c r="H26" s="19">
        <v>97.44</v>
      </c>
      <c r="I26" s="17">
        <v>9.7439999999999999E-2</v>
      </c>
      <c r="J26" s="1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3"/>
    </row>
    <row r="27" spans="1:24" s="1" customFormat="1" ht="20.100000000000001" customHeight="1">
      <c r="A27" s="20" t="s">
        <v>17</v>
      </c>
      <c r="B27" s="21">
        <v>4.1053800000000003</v>
      </c>
      <c r="C27" s="22">
        <v>3.0000000000000001E-5</v>
      </c>
      <c r="D27" s="21">
        <v>5.9889999999999999E-2</v>
      </c>
      <c r="E27" s="22">
        <v>3.0000000000000001E-5</v>
      </c>
      <c r="F27" s="21">
        <v>2.7639999999999998</v>
      </c>
      <c r="G27" s="22">
        <f>F27*0.3/100</f>
        <v>8.291999999999999E-3</v>
      </c>
      <c r="H27" s="21">
        <v>97.44</v>
      </c>
      <c r="I27" s="23">
        <v>9.7439999999999999E-2</v>
      </c>
      <c r="J27" s="11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3"/>
    </row>
    <row r="28" spans="1:24" s="1" customFormat="1" ht="20.100000000000001" customHeight="1">
      <c r="A28" s="24"/>
      <c r="B28" s="25"/>
      <c r="C28" s="25"/>
      <c r="D28" s="26"/>
      <c r="E28" s="26"/>
      <c r="I28" s="3"/>
      <c r="J28" s="11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3"/>
    </row>
    <row r="29" spans="1:24" s="1" customFormat="1" ht="20.100000000000001" customHeight="1">
      <c r="A29" s="8" t="s">
        <v>18</v>
      </c>
      <c r="B29" s="8" t="s">
        <v>19</v>
      </c>
      <c r="C29" s="9" t="s">
        <v>20</v>
      </c>
      <c r="D29" s="8" t="s">
        <v>21</v>
      </c>
      <c r="E29" s="9" t="s">
        <v>22</v>
      </c>
      <c r="F29" s="8" t="s">
        <v>23</v>
      </c>
      <c r="G29" s="9" t="s">
        <v>24</v>
      </c>
      <c r="H29" s="8" t="s">
        <v>25</v>
      </c>
      <c r="I29" s="10" t="s">
        <v>26</v>
      </c>
      <c r="J29" s="27" t="s">
        <v>27</v>
      </c>
      <c r="K29" s="28" t="s">
        <v>28</v>
      </c>
      <c r="L29" s="28" t="s">
        <v>29</v>
      </c>
      <c r="M29" s="28" t="s">
        <v>30</v>
      </c>
      <c r="N29" s="28" t="s">
        <v>31</v>
      </c>
      <c r="O29" s="28" t="s">
        <v>32</v>
      </c>
      <c r="P29" s="28" t="s">
        <v>33</v>
      </c>
      <c r="Q29" s="28" t="s">
        <v>34</v>
      </c>
      <c r="R29" s="28" t="s">
        <v>35</v>
      </c>
      <c r="S29" s="28" t="s">
        <v>36</v>
      </c>
      <c r="T29" s="28" t="s">
        <v>37</v>
      </c>
      <c r="U29" s="28" t="s">
        <v>38</v>
      </c>
      <c r="V29" s="28" t="s">
        <v>39</v>
      </c>
      <c r="W29" s="28" t="s">
        <v>40</v>
      </c>
      <c r="X29" s="29" t="s">
        <v>41</v>
      </c>
    </row>
    <row r="30" spans="1:24" s="1" customFormat="1" ht="20.100000000000001" customHeight="1">
      <c r="A30" s="30" t="s">
        <v>42</v>
      </c>
      <c r="B30" s="31">
        <v>2.0081099999999998</v>
      </c>
      <c r="C30" s="32">
        <v>3.0000000000000001E-5</v>
      </c>
      <c r="D30" s="31">
        <v>6.0019999999999997E-2</v>
      </c>
      <c r="E30" s="32">
        <v>3.0000000000000001E-5</v>
      </c>
      <c r="F30" s="31">
        <v>4.226</v>
      </c>
      <c r="G30" s="32">
        <f>F30*0.3/100</f>
        <v>1.2678E-2</v>
      </c>
      <c r="H30" s="33">
        <f t="array" ref="H30:X30">unID4MS(B25:I27,B30:G30)</f>
        <v>96.592422927166083</v>
      </c>
      <c r="I30" s="34">
        <v>0.70438603029013036</v>
      </c>
      <c r="J30" s="35">
        <v>0.48628835661247061</v>
      </c>
      <c r="K30" s="36">
        <v>6.2616038709927846E-6</v>
      </c>
      <c r="L30" s="36">
        <v>0.48553454052640654</v>
      </c>
      <c r="M30" s="36">
        <v>3.847949385310861E-6</v>
      </c>
      <c r="N30" s="36">
        <v>1.956268972260159E-7</v>
      </c>
      <c r="O30" s="36">
        <v>1.878434306298337E-2</v>
      </c>
      <c r="P30" s="36">
        <v>1.3566688764993365E-7</v>
      </c>
      <c r="Q30" s="36">
        <v>4.1969342289946391E-6</v>
      </c>
      <c r="R30" s="36">
        <v>4.6980234355806045E-3</v>
      </c>
      <c r="S30" s="36">
        <v>1.670845316556083E-10</v>
      </c>
      <c r="T30" s="36">
        <v>4.2133213729487641E-6</v>
      </c>
      <c r="U30" s="36">
        <v>7.2445205192987023E-12</v>
      </c>
      <c r="V30" s="36">
        <v>4.9037403538333223E-8</v>
      </c>
      <c r="W30" s="36">
        <v>4.6758020067571397E-3</v>
      </c>
      <c r="X30" s="37">
        <v>3.4041426057679546E-8</v>
      </c>
    </row>
    <row r="31" spans="1:24" s="1" customFormat="1" ht="20.100000000000001" customHeight="1"/>
    <row r="32" spans="1:24" s="1" customFormat="1" ht="20.100000000000001" customHeight="1">
      <c r="E32" s="38"/>
    </row>
    <row r="33" spans="9:13" s="1" customFormat="1" ht="20.100000000000001" customHeight="1">
      <c r="L33" s="594"/>
    </row>
    <row r="34" spans="9:13" s="1" customFormat="1" ht="20.100000000000001" customHeight="1">
      <c r="L34" s="594"/>
    </row>
    <row r="35" spans="9:13" s="1" customFormat="1" ht="20.100000000000001" customHeight="1">
      <c r="L35" s="594"/>
    </row>
    <row r="36" spans="9:13" s="1" customFormat="1" ht="20.100000000000001" customHeight="1"/>
    <row r="37" spans="9:13" s="1" customFormat="1" ht="20.100000000000001" customHeight="1">
      <c r="L37" s="594"/>
      <c r="M37" s="594"/>
    </row>
    <row r="38" spans="9:13" s="1" customFormat="1" ht="20.100000000000001" customHeight="1"/>
    <row r="39" spans="9:13" s="1" customFormat="1" ht="20.100000000000001" customHeight="1"/>
    <row r="40" spans="9:13" s="1" customFormat="1" ht="20.100000000000001" customHeight="1">
      <c r="L40" s="595"/>
    </row>
    <row r="41" spans="9:13" s="1" customFormat="1" ht="20.100000000000001" customHeight="1"/>
    <row r="42" spans="9:13" s="1" customFormat="1" ht="20.100000000000001" customHeight="1"/>
    <row r="43" spans="9:13" s="1" customFormat="1" ht="20.100000000000001" customHeight="1"/>
    <row r="44" spans="9:13" s="1" customFormat="1" ht="20.100000000000001" customHeight="1"/>
    <row r="45" spans="9:13" s="1" customFormat="1" ht="20.100000000000001" customHeight="1">
      <c r="I45" s="642"/>
    </row>
    <row r="46" spans="9:13" s="1" customFormat="1" ht="20.100000000000001" customHeight="1"/>
    <row r="47" spans="9:13" s="1" customFormat="1" ht="20.100000000000001" customHeight="1"/>
    <row r="48" spans="9:13" s="1" customFormat="1" ht="20.100000000000001" customHeight="1"/>
    <row r="49" spans="1:1" s="1" customFormat="1" ht="20.100000000000001" customHeight="1"/>
    <row r="50" spans="1:1" s="1" customFormat="1" ht="20.100000000000001" customHeight="1"/>
    <row r="51" spans="1:1" s="1" customFormat="1" ht="20.100000000000001" customHeight="1"/>
    <row r="52" spans="1:1" s="1" customFormat="1" ht="20.100000000000001" customHeight="1"/>
    <row r="53" spans="1:1" s="1" customFormat="1" ht="20.100000000000001" customHeight="1"/>
    <row r="54" spans="1:1" s="1" customFormat="1" ht="20.100000000000001" customHeight="1"/>
    <row r="55" spans="1:1" s="1" customFormat="1" ht="20.100000000000001" customHeight="1"/>
    <row r="56" spans="1:1" s="1" customFormat="1" ht="20.100000000000001" customHeight="1"/>
    <row r="57" spans="1:1" s="1" customFormat="1" ht="20.100000000000001" customHeight="1"/>
    <row r="58" spans="1:1" s="149" customFormat="1" ht="20.100000000000001" customHeight="1">
      <c r="A58" s="150" t="s">
        <v>1976</v>
      </c>
    </row>
    <row r="60" spans="1:1" ht="20.100000000000001" customHeight="1">
      <c r="A60" s="588" t="s">
        <v>1964</v>
      </c>
    </row>
    <row r="61" spans="1:1" ht="20.100000000000001" customHeight="1">
      <c r="A61" s="588" t="s">
        <v>1965</v>
      </c>
    </row>
    <row r="62" spans="1:1" ht="20.100000000000001" customHeight="1">
      <c r="A62" s="588" t="s">
        <v>1975</v>
      </c>
    </row>
    <row r="63" spans="1:1" ht="20.100000000000001" customHeight="1">
      <c r="A63" s="588" t="s">
        <v>1977</v>
      </c>
    </row>
    <row r="65" spans="1:17" ht="20.100000000000001" customHeight="1">
      <c r="A65" s="588" t="s">
        <v>1974</v>
      </c>
    </row>
    <row r="67" spans="1:17" ht="20.100000000000001" customHeight="1">
      <c r="A67" s="588" t="s">
        <v>1970</v>
      </c>
      <c r="B67" s="588">
        <v>22</v>
      </c>
      <c r="C67" s="588" t="s">
        <v>1972</v>
      </c>
    </row>
    <row r="68" spans="1:17" ht="20.100000000000001" customHeight="1">
      <c r="A68" s="588" t="s">
        <v>1971</v>
      </c>
      <c r="B68" s="588">
        <v>50</v>
      </c>
      <c r="C68" s="588" t="s">
        <v>1973</v>
      </c>
      <c r="D68" s="166"/>
    </row>
    <row r="70" spans="1:17" ht="20.100000000000001" customHeight="1">
      <c r="A70" s="998" t="s">
        <v>43</v>
      </c>
      <c r="B70" s="998"/>
      <c r="C70" s="998"/>
      <c r="D70" s="998"/>
      <c r="E70" s="998"/>
      <c r="F70" s="998"/>
      <c r="G70" s="998"/>
      <c r="H70" s="998"/>
      <c r="I70" s="998"/>
      <c r="J70" s="998"/>
      <c r="K70" s="998"/>
      <c r="L70" s="998"/>
      <c r="M70" s="999" t="s">
        <v>44</v>
      </c>
      <c r="N70" s="1000"/>
      <c r="O70" s="1000"/>
      <c r="P70" s="1000"/>
      <c r="Q70" s="1000"/>
    </row>
    <row r="71" spans="1:17" ht="20.100000000000001" customHeight="1">
      <c r="A71" s="39" t="s">
        <v>45</v>
      </c>
      <c r="B71" s="40" t="s">
        <v>46</v>
      </c>
      <c r="C71" s="39" t="s">
        <v>47</v>
      </c>
      <c r="D71" s="40" t="s">
        <v>48</v>
      </c>
      <c r="E71" s="39" t="s">
        <v>49</v>
      </c>
      <c r="F71" s="40" t="s">
        <v>50</v>
      </c>
      <c r="G71" s="39" t="s">
        <v>51</v>
      </c>
      <c r="H71" s="40" t="s">
        <v>52</v>
      </c>
      <c r="I71" s="39" t="s">
        <v>53</v>
      </c>
      <c r="J71" s="40" t="s">
        <v>54</v>
      </c>
      <c r="K71" s="39" t="s">
        <v>55</v>
      </c>
      <c r="L71" s="40" t="s">
        <v>56</v>
      </c>
      <c r="M71" s="41" t="s">
        <v>57</v>
      </c>
      <c r="N71" s="28" t="s">
        <v>58</v>
      </c>
      <c r="O71" s="28" t="s">
        <v>59</v>
      </c>
      <c r="P71" s="28" t="s">
        <v>60</v>
      </c>
      <c r="Q71" s="28" t="s">
        <v>61</v>
      </c>
    </row>
    <row r="72" spans="1:17" ht="20.100000000000001" customHeight="1">
      <c r="A72" s="8" t="s">
        <v>62</v>
      </c>
      <c r="B72" s="9" t="s">
        <v>63</v>
      </c>
      <c r="C72" s="8" t="s">
        <v>62</v>
      </c>
      <c r="D72" s="9" t="s">
        <v>63</v>
      </c>
      <c r="E72" s="8" t="s">
        <v>64</v>
      </c>
      <c r="F72" s="9" t="s">
        <v>64</v>
      </c>
      <c r="G72" s="8" t="s">
        <v>64</v>
      </c>
      <c r="H72" s="9" t="s">
        <v>64</v>
      </c>
      <c r="I72" s="8" t="s">
        <v>64</v>
      </c>
      <c r="J72" s="9" t="s">
        <v>64</v>
      </c>
      <c r="K72" s="8" t="s">
        <v>62</v>
      </c>
      <c r="L72" s="9" t="s">
        <v>63</v>
      </c>
      <c r="M72" s="42"/>
      <c r="N72" s="28"/>
      <c r="O72" s="28"/>
      <c r="P72" s="28"/>
      <c r="Q72" s="28"/>
    </row>
    <row r="73" spans="1:17" ht="20.100000000000001" customHeight="1">
      <c r="A73" s="644">
        <f>IF((AND(ISNUMBER(B67),ISNUMBER(B68))),(999.97495*(1-((((B67-3.983035)^2)*((B67+301.797)))/(522528.9*(B67+69.34881))))),"")</f>
        <v>997.77297693818184</v>
      </c>
      <c r="B73" s="645">
        <f>IF((AND(ISNUMBER(B67),ISNUMBER(B68))),((0.8394-(0.00128*B67)+(0.00011*(B67^2)))/2),"")</f>
        <v>0.43224000000000001</v>
      </c>
      <c r="C73" s="646">
        <f>IF((AND(ISNUMBER(B67),ISNUMBER(B68))),(2.5242+(-0.003805*B67)+(-0.0113*(B68/100))+(-0.001618*760)),"")</f>
        <v>1.2051599999999998</v>
      </c>
      <c r="D73" s="643">
        <f>IF((AND(ISNUMBER(B67),ISNUMBER(B68))),(0.006),"")</f>
        <v>6.0000000000000001E-3</v>
      </c>
      <c r="E73" s="31">
        <v>16.631054615384617</v>
      </c>
      <c r="F73" s="32">
        <v>1.3537696656686413E-4</v>
      </c>
      <c r="G73" s="31">
        <v>26.851447499999999</v>
      </c>
      <c r="H73" s="32">
        <v>1.3651739815868816E-3</v>
      </c>
      <c r="I73" s="31">
        <v>27.134665555555554</v>
      </c>
      <c r="J73" s="32">
        <v>1.4853544283359129E-3</v>
      </c>
      <c r="K73" s="43">
        <f t="array" ref="K73:Q73">DenLiq(A73:J73)</f>
        <v>1025.3889406813503</v>
      </c>
      <c r="L73" s="44">
        <v>0.48684875797887095</v>
      </c>
      <c r="M73" s="35">
        <v>0.83253758350233287</v>
      </c>
      <c r="N73" s="36">
        <v>1.1663289609998557E-7</v>
      </c>
      <c r="O73" s="36">
        <v>5.6452951134881596E-7</v>
      </c>
      <c r="P73" s="36">
        <v>7.896024339555191E-2</v>
      </c>
      <c r="Q73" s="36">
        <v>8.8501491939707896E-2</v>
      </c>
    </row>
    <row r="74" spans="1:17" ht="20.10000000000000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20.100000000000001" customHeight="1">
      <c r="A75" s="1"/>
      <c r="B75" s="1"/>
      <c r="C75" s="1"/>
      <c r="D75" s="1"/>
      <c r="E75" s="3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20.10000000000000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20.10000000000000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20.10000000000000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20.10000000000000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20.10000000000000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20.10000000000000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20.10000000000000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20.10000000000000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20.10000000000000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20.100000000000001" customHeight="1">
      <c r="A85" s="45" t="s">
        <v>65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20.100000000000001" customHeight="1" thickBo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/>
      <c r="M86" s="1"/>
      <c r="N86" s="1"/>
      <c r="O86" s="1"/>
      <c r="P86" s="1"/>
      <c r="Q86" s="1"/>
    </row>
    <row r="87" spans="1:17" ht="20.100000000000001" customHeight="1">
      <c r="A87" s="46" t="s">
        <v>55</v>
      </c>
      <c r="B87" s="1"/>
      <c r="C87" s="1001" t="s">
        <v>66</v>
      </c>
      <c r="D87" s="1002"/>
      <c r="E87" s="100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20.100000000000001" customHeight="1">
      <c r="A88" s="47" t="s">
        <v>62</v>
      </c>
      <c r="B88" s="1"/>
      <c r="C88" s="1004"/>
      <c r="D88" s="1005"/>
      <c r="E88" s="1006"/>
      <c r="F88" s="1"/>
      <c r="G88" s="990" t="s">
        <v>67</v>
      </c>
      <c r="H88" s="990"/>
      <c r="I88" s="1"/>
      <c r="J88" s="1"/>
      <c r="K88" s="1"/>
      <c r="L88" s="1"/>
      <c r="M88" s="1"/>
      <c r="N88" s="1"/>
      <c r="O88" s="1"/>
      <c r="P88" s="1"/>
      <c r="Q88" s="1"/>
    </row>
    <row r="89" spans="1:17" ht="20.100000000000001" customHeight="1">
      <c r="A89" s="48">
        <f>(A73-C73)*(I73-E73)/(G73-E73)+C73</f>
        <v>1025.3889406813503</v>
      </c>
      <c r="B89" s="1"/>
      <c r="C89" s="1004"/>
      <c r="D89" s="1005"/>
      <c r="E89" s="1006"/>
      <c r="F89" s="1"/>
      <c r="G89" s="991">
        <f>K73/A89</f>
        <v>1</v>
      </c>
      <c r="H89" s="991"/>
      <c r="I89" s="1"/>
      <c r="J89" s="1"/>
      <c r="K89" s="1"/>
      <c r="L89" s="1"/>
      <c r="M89" s="1"/>
      <c r="N89" s="1"/>
      <c r="O89" s="1"/>
      <c r="P89" s="1"/>
      <c r="Q89" s="1"/>
    </row>
    <row r="90" spans="1:17" ht="20.100000000000001" customHeight="1" thickBot="1">
      <c r="A90" s="49"/>
      <c r="B90" s="1"/>
      <c r="C90" s="1007"/>
      <c r="D90" s="1008"/>
      <c r="E90" s="1009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20.100000000000001" customHeight="1" thickBo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20.100000000000001" customHeight="1">
      <c r="A92" s="46" t="s">
        <v>68</v>
      </c>
      <c r="B92" s="1"/>
      <c r="C92" s="981" t="s">
        <v>69</v>
      </c>
      <c r="D92" s="982"/>
      <c r="E92" s="98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20.100000000000001" customHeight="1">
      <c r="A93" s="47" t="s">
        <v>62</v>
      </c>
      <c r="B93" s="1"/>
      <c r="C93" s="984"/>
      <c r="D93" s="985"/>
      <c r="E93" s="986"/>
      <c r="F93" s="1"/>
      <c r="G93" s="990" t="s">
        <v>70</v>
      </c>
      <c r="H93" s="990"/>
      <c r="I93" s="1"/>
      <c r="J93" s="1"/>
      <c r="K93" s="1"/>
      <c r="L93" s="1"/>
      <c r="M93" s="1"/>
      <c r="N93" s="1"/>
      <c r="O93" s="1"/>
      <c r="P93" s="1"/>
      <c r="Q93" s="1"/>
    </row>
    <row r="94" spans="1:17" ht="20.100000000000001" customHeight="1">
      <c r="A94" s="48">
        <f>SQRT((C73-A73)^2*(I73-G73)^2*F73^2/(G73-E73)^4+(C73-A73)^2*(I73-E73)^2*H73^2/(G73-E73)^4+(C73-A73)^2*J73^2/(G73-E73)^2+(I73-E73)^2*B73^2/(G73-E73)^2+(I73-G73)^2*D73^2/(G73-E73)^2)</f>
        <v>0.48684875797887101</v>
      </c>
      <c r="B94" s="1"/>
      <c r="C94" s="984"/>
      <c r="D94" s="985"/>
      <c r="E94" s="986"/>
      <c r="F94" s="1"/>
      <c r="G94" s="991">
        <f>L73/A94</f>
        <v>0.99999999999999989</v>
      </c>
      <c r="H94" s="991"/>
      <c r="I94" s="1"/>
      <c r="J94" s="1"/>
      <c r="K94" s="1"/>
      <c r="L94" s="1"/>
      <c r="M94" s="1"/>
      <c r="N94" s="1"/>
      <c r="O94" s="1"/>
      <c r="P94" s="1"/>
      <c r="Q94" s="1"/>
    </row>
    <row r="95" spans="1:17" ht="20.100000000000001" customHeight="1" thickBot="1">
      <c r="A95" s="49"/>
      <c r="B95" s="1"/>
      <c r="C95" s="987"/>
      <c r="D95" s="988"/>
      <c r="E95" s="989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7" spans="1:10" s="149" customFormat="1" ht="20.100000000000001" customHeight="1">
      <c r="A97" s="150" t="s">
        <v>2006</v>
      </c>
    </row>
    <row r="98" spans="1:10" s="148" customFormat="1" ht="20.100000000000001" customHeight="1">
      <c r="A98" s="233"/>
    </row>
    <row r="99" spans="1:10" s="148" customFormat="1" ht="20.100000000000001" customHeight="1">
      <c r="A99" s="588" t="s">
        <v>1964</v>
      </c>
    </row>
    <row r="100" spans="1:10" s="148" customFormat="1" ht="20.100000000000001" customHeight="1">
      <c r="A100" s="588" t="s">
        <v>2291</v>
      </c>
    </row>
    <row r="101" spans="1:10" s="148" customFormat="1" ht="20.100000000000001" customHeight="1">
      <c r="A101" s="588" t="s">
        <v>2005</v>
      </c>
    </row>
    <row r="102" spans="1:10" s="148" customFormat="1" ht="20.100000000000001" customHeight="1">
      <c r="A102" s="588"/>
    </row>
    <row r="103" spans="1:10" s="148" customFormat="1" ht="20.100000000000001" customHeight="1">
      <c r="A103" s="588" t="s">
        <v>2020</v>
      </c>
    </row>
    <row r="104" spans="1:10" s="148" customFormat="1" ht="20.100000000000001" customHeight="1">
      <c r="A104" s="588"/>
    </row>
    <row r="105" spans="1:10" ht="19.95" customHeight="1">
      <c r="A105" s="480" t="s">
        <v>1978</v>
      </c>
    </row>
    <row r="106" spans="1:10" ht="19.95" customHeight="1"/>
    <row r="107" spans="1:10" ht="19.95" customHeight="1">
      <c r="A107" s="480" t="s">
        <v>1979</v>
      </c>
    </row>
    <row r="108" spans="1:10" ht="19.95" customHeight="1"/>
    <row r="109" spans="1:10" ht="19.95" customHeight="1">
      <c r="A109" s="51" t="s">
        <v>1980</v>
      </c>
      <c r="B109" s="51" t="s">
        <v>1981</v>
      </c>
      <c r="C109" s="51" t="s">
        <v>1982</v>
      </c>
      <c r="D109" s="51" t="s">
        <v>1983</v>
      </c>
      <c r="E109" s="51" t="s">
        <v>1984</v>
      </c>
      <c r="F109" s="51" t="s">
        <v>1985</v>
      </c>
      <c r="G109" s="51" t="s">
        <v>1986</v>
      </c>
      <c r="H109" s="51" t="s">
        <v>1987</v>
      </c>
      <c r="I109" s="51" t="s">
        <v>1988</v>
      </c>
      <c r="J109" s="51" t="s">
        <v>1989</v>
      </c>
    </row>
    <row r="110" spans="1:10" ht="19.95" customHeight="1">
      <c r="A110" s="483" t="s">
        <v>156</v>
      </c>
      <c r="B110" s="483" t="s">
        <v>156</v>
      </c>
      <c r="C110" s="483" t="s">
        <v>64</v>
      </c>
      <c r="D110" s="483" t="s">
        <v>64</v>
      </c>
      <c r="E110" s="483" t="s">
        <v>64</v>
      </c>
      <c r="F110" s="483" t="s">
        <v>64</v>
      </c>
      <c r="G110" s="483" t="s">
        <v>64</v>
      </c>
      <c r="H110" s="483" t="s">
        <v>64</v>
      </c>
      <c r="I110" s="483" t="s">
        <v>156</v>
      </c>
      <c r="J110" s="483" t="s">
        <v>156</v>
      </c>
    </row>
    <row r="111" spans="1:10" ht="19.95" customHeight="1">
      <c r="A111" s="647">
        <v>16.704660081348088</v>
      </c>
      <c r="B111" s="647">
        <v>3.4692501298476501E-2</v>
      </c>
      <c r="C111" s="647">
        <v>8.2119</v>
      </c>
      <c r="D111" s="647">
        <v>9.9039999999999999</v>
      </c>
      <c r="E111" s="647">
        <v>35.096849999999996</v>
      </c>
      <c r="F111" s="222">
        <v>0.1</v>
      </c>
      <c r="G111" s="222">
        <v>0.2</v>
      </c>
      <c r="H111" s="222">
        <v>5</v>
      </c>
      <c r="I111" s="648">
        <f t="array" ref="I111:J111">WnA1S(A111:B111,C111:E111,F111:H111)</f>
        <v>1.0513672267811212</v>
      </c>
      <c r="J111" s="648">
        <v>0.23990716728550635</v>
      </c>
    </row>
    <row r="112" spans="1:10" ht="19.95" customHeight="1">
      <c r="H112" s="588" t="s">
        <v>1990</v>
      </c>
      <c r="I112" s="142">
        <f>A111*(D111-C111)/(E111-C111)</f>
        <v>1.0513672267811212</v>
      </c>
      <c r="J112" s="142">
        <f>I112*SQRT((B111/A111)^2+(SQRT(G111^2+F111^2)/(D111-C111))^2+(SQRT(F111^2+H111^2)/(E111-C111))^2)</f>
        <v>0.23990716728550635</v>
      </c>
    </row>
    <row r="113" spans="1:14" ht="19.95" customHeight="1">
      <c r="H113" s="588" t="s">
        <v>1991</v>
      </c>
      <c r="I113" s="588" t="b">
        <f>I112=I111</f>
        <v>1</v>
      </c>
      <c r="J113" s="588" t="b">
        <f>J112=J111</f>
        <v>1</v>
      </c>
    </row>
    <row r="114" spans="1:14" ht="19.95" customHeight="1">
      <c r="A114" s="588" t="s">
        <v>1992</v>
      </c>
      <c r="H114" s="588" t="s">
        <v>1993</v>
      </c>
      <c r="I114" s="588">
        <v>1.05</v>
      </c>
      <c r="J114" s="588">
        <v>0.24</v>
      </c>
    </row>
    <row r="115" spans="1:14" ht="19.95" customHeight="1">
      <c r="H115" s="589" t="s">
        <v>1991</v>
      </c>
      <c r="I115" s="208">
        <f>I111/I114</f>
        <v>1.0013021207439248</v>
      </c>
      <c r="J115" s="208">
        <f>J111/J114</f>
        <v>0.99961319702294316</v>
      </c>
    </row>
    <row r="116" spans="1:14" ht="19.95" customHeight="1"/>
    <row r="117" spans="1:14" ht="19.95" customHeight="1">
      <c r="A117" s="480" t="s">
        <v>1994</v>
      </c>
    </row>
    <row r="118" spans="1:14" ht="19.95" customHeight="1"/>
    <row r="119" spans="1:14" ht="19.95" customHeight="1">
      <c r="A119" s="51" t="s">
        <v>1980</v>
      </c>
      <c r="B119" s="51" t="s">
        <v>1981</v>
      </c>
      <c r="C119" s="51" t="s">
        <v>1995</v>
      </c>
      <c r="D119" s="51" t="s">
        <v>1996</v>
      </c>
      <c r="E119" s="51" t="s">
        <v>1982</v>
      </c>
      <c r="F119" s="51" t="s">
        <v>1983</v>
      </c>
      <c r="G119" s="51" t="s">
        <v>1984</v>
      </c>
      <c r="H119" s="51" t="s">
        <v>1985</v>
      </c>
      <c r="I119" s="51" t="s">
        <v>1986</v>
      </c>
      <c r="J119" s="51" t="s">
        <v>1987</v>
      </c>
      <c r="K119" s="51" t="s">
        <v>1988</v>
      </c>
      <c r="L119" s="51" t="s">
        <v>1989</v>
      </c>
      <c r="M119" s="51" t="s">
        <v>1997</v>
      </c>
      <c r="N119" s="51" t="s">
        <v>1998</v>
      </c>
    </row>
    <row r="120" spans="1:14" ht="19.95" customHeight="1">
      <c r="A120" s="483" t="s">
        <v>156</v>
      </c>
      <c r="B120" s="483" t="s">
        <v>156</v>
      </c>
      <c r="C120" s="483" t="s">
        <v>156</v>
      </c>
      <c r="D120" s="483" t="s">
        <v>156</v>
      </c>
      <c r="E120" s="483" t="s">
        <v>64</v>
      </c>
      <c r="F120" s="483" t="s">
        <v>64</v>
      </c>
      <c r="G120" s="483" t="s">
        <v>64</v>
      </c>
      <c r="H120" s="483" t="s">
        <v>64</v>
      </c>
      <c r="I120" s="483" t="s">
        <v>64</v>
      </c>
      <c r="J120" s="483" t="s">
        <v>64</v>
      </c>
      <c r="K120" s="483" t="s">
        <v>156</v>
      </c>
      <c r="L120" s="483" t="s">
        <v>156</v>
      </c>
      <c r="M120" s="483" t="s">
        <v>156</v>
      </c>
      <c r="N120" s="483" t="s">
        <v>156</v>
      </c>
    </row>
    <row r="121" spans="1:14" ht="19.95" customHeight="1">
      <c r="A121" s="647">
        <v>16.704660081348088</v>
      </c>
      <c r="B121" s="647">
        <v>3.4692501298476501E-2</v>
      </c>
      <c r="C121" s="647">
        <v>54.170011621150472</v>
      </c>
      <c r="D121" s="647">
        <v>9.7711816222391418E-2</v>
      </c>
      <c r="E121" s="647">
        <v>8.2119</v>
      </c>
      <c r="F121" s="647">
        <v>9.9039999999999999</v>
      </c>
      <c r="G121" s="647">
        <v>35.096849999999996</v>
      </c>
      <c r="H121" s="222">
        <v>0.1</v>
      </c>
      <c r="I121" s="222">
        <v>0.2</v>
      </c>
      <c r="J121" s="222">
        <v>5</v>
      </c>
      <c r="K121" s="648">
        <f t="array" ref="K121:N121">WnA1S(A121:D121,E121:G121,H121:J121)</f>
        <v>1.0513672267811212</v>
      </c>
      <c r="L121" s="648">
        <v>0.23990716728550635</v>
      </c>
      <c r="M121" s="648">
        <v>3.4093824486989459</v>
      </c>
      <c r="N121" s="648">
        <v>0.77796505644534497</v>
      </c>
    </row>
    <row r="122" spans="1:14" ht="19.95" customHeight="1">
      <c r="J122" s="588" t="s">
        <v>1990</v>
      </c>
      <c r="K122" s="142">
        <f>A121*(F121-E121)/(G121-E121)</f>
        <v>1.0513672267811212</v>
      </c>
      <c r="L122" s="142">
        <f>K122*SQRT((B121/A121)^2+(SQRT(SUMSQ(I121,H121))/(F121-E121))^2+(SQRT(SUMSQ(J121,H121))/(G121-E121))^2)</f>
        <v>0.23990716728550635</v>
      </c>
      <c r="M122" s="142">
        <f>C121*(F121-E121)/(G121-E121)</f>
        <v>3.4093824486989459</v>
      </c>
      <c r="N122" s="142">
        <f>M122*SQRT((D121/C121)^2+(SQRT(SUMSQ(I121,H121))/(F121-E121))^2+(SQRT(SUMSQ(J121,H121))/(G121-E121))^2)</f>
        <v>0.77796505644534497</v>
      </c>
    </row>
    <row r="123" spans="1:14" ht="19.95" customHeight="1">
      <c r="J123" s="588" t="s">
        <v>1991</v>
      </c>
      <c r="K123" s="588" t="b">
        <f>K122=K121</f>
        <v>1</v>
      </c>
      <c r="L123" s="588" t="b">
        <f>L122=L121</f>
        <v>1</v>
      </c>
      <c r="M123" s="588" t="b">
        <f>M122=M121</f>
        <v>1</v>
      </c>
      <c r="N123" s="588" t="b">
        <f>N122=N121</f>
        <v>1</v>
      </c>
    </row>
    <row r="124" spans="1:14" ht="19.95" customHeight="1">
      <c r="A124" s="588" t="s">
        <v>1999</v>
      </c>
      <c r="J124" s="588" t="s">
        <v>1993</v>
      </c>
      <c r="K124" s="588">
        <v>1.05</v>
      </c>
      <c r="L124" s="588">
        <v>0.24</v>
      </c>
      <c r="M124" s="588">
        <v>3.41</v>
      </c>
      <c r="N124" s="588">
        <v>0.77</v>
      </c>
    </row>
    <row r="125" spans="1:14" ht="19.95" customHeight="1">
      <c r="J125" s="589" t="s">
        <v>1991</v>
      </c>
      <c r="K125" s="208">
        <f>K121/K124</f>
        <v>1.0013021207439248</v>
      </c>
      <c r="L125" s="208">
        <f>L121/L124</f>
        <v>0.99961319702294316</v>
      </c>
      <c r="M125" s="208">
        <f>M121/M124</f>
        <v>0.99981889991171435</v>
      </c>
      <c r="N125" s="208">
        <f>N121/N124</f>
        <v>1.0103442291497986</v>
      </c>
    </row>
    <row r="126" spans="1:14" ht="19.95" customHeight="1"/>
    <row r="127" spans="1:14" ht="19.95" customHeight="1">
      <c r="A127" s="480" t="s">
        <v>2000</v>
      </c>
      <c r="K127" s="204"/>
      <c r="L127" s="204"/>
      <c r="M127" s="204"/>
      <c r="N127" s="204"/>
    </row>
    <row r="128" spans="1:14" ht="19.95" customHeight="1">
      <c r="K128" s="204"/>
      <c r="L128" s="204"/>
      <c r="M128" s="204"/>
      <c r="N128" s="204"/>
    </row>
    <row r="129" spans="1:18" ht="19.95" customHeight="1">
      <c r="A129" s="51" t="s">
        <v>1980</v>
      </c>
      <c r="B129" s="51" t="s">
        <v>1981</v>
      </c>
      <c r="C129" s="51" t="s">
        <v>1995</v>
      </c>
      <c r="D129" s="51" t="s">
        <v>1996</v>
      </c>
      <c r="E129" s="51" t="s">
        <v>2001</v>
      </c>
      <c r="F129" s="51" t="s">
        <v>2002</v>
      </c>
      <c r="G129" s="51" t="s">
        <v>1982</v>
      </c>
      <c r="H129" s="51" t="s">
        <v>1983</v>
      </c>
      <c r="I129" s="51" t="s">
        <v>1984</v>
      </c>
      <c r="J129" s="51" t="s">
        <v>1985</v>
      </c>
      <c r="K129" s="51" t="s">
        <v>1986</v>
      </c>
      <c r="L129" s="51" t="s">
        <v>1987</v>
      </c>
      <c r="M129" s="51" t="s">
        <v>1988</v>
      </c>
      <c r="N129" s="51" t="s">
        <v>1989</v>
      </c>
      <c r="O129" s="51" t="s">
        <v>1997</v>
      </c>
      <c r="P129" s="51" t="s">
        <v>1998</v>
      </c>
      <c r="Q129" s="51" t="s">
        <v>2003</v>
      </c>
      <c r="R129" s="51" t="s">
        <v>2004</v>
      </c>
    </row>
    <row r="130" spans="1:18" ht="19.95" customHeight="1">
      <c r="A130" s="483" t="s">
        <v>156</v>
      </c>
      <c r="B130" s="483" t="s">
        <v>156</v>
      </c>
      <c r="C130" s="483" t="s">
        <v>156</v>
      </c>
      <c r="D130" s="483" t="s">
        <v>156</v>
      </c>
      <c r="E130" s="483" t="s">
        <v>156</v>
      </c>
      <c r="F130" s="483" t="s">
        <v>156</v>
      </c>
      <c r="G130" s="483" t="s">
        <v>64</v>
      </c>
      <c r="H130" s="483" t="s">
        <v>64</v>
      </c>
      <c r="I130" s="483" t="s">
        <v>64</v>
      </c>
      <c r="J130" s="483" t="s">
        <v>64</v>
      </c>
      <c r="K130" s="483" t="s">
        <v>64</v>
      </c>
      <c r="L130" s="483" t="s">
        <v>64</v>
      </c>
      <c r="M130" s="483" t="s">
        <v>156</v>
      </c>
      <c r="N130" s="483" t="s">
        <v>156</v>
      </c>
      <c r="O130" s="483" t="s">
        <v>156</v>
      </c>
      <c r="P130" s="483" t="s">
        <v>156</v>
      </c>
      <c r="Q130" s="483" t="s">
        <v>156</v>
      </c>
      <c r="R130" s="483" t="s">
        <v>156</v>
      </c>
    </row>
    <row r="131" spans="1:18" ht="19.95" customHeight="1">
      <c r="A131" s="647">
        <v>16.704660081348088</v>
      </c>
      <c r="B131" s="647">
        <v>3.4692501298476501E-2</v>
      </c>
      <c r="C131" s="647">
        <v>54.170011621150472</v>
      </c>
      <c r="D131" s="647">
        <v>9.7711816222391418E-2</v>
      </c>
      <c r="E131" s="648">
        <v>92.335615101505496</v>
      </c>
      <c r="F131" s="648">
        <v>0.11740249641580945</v>
      </c>
      <c r="G131" s="647">
        <v>8.2119</v>
      </c>
      <c r="H131" s="647">
        <v>9.9039999999999999</v>
      </c>
      <c r="I131" s="647">
        <v>35.096849999999996</v>
      </c>
      <c r="J131" s="222">
        <v>0.1</v>
      </c>
      <c r="K131" s="222">
        <v>0.2</v>
      </c>
      <c r="L131" s="222">
        <v>5</v>
      </c>
      <c r="M131" s="649">
        <f t="array" ref="M131:R131">WnA1S(A131:F131,G131:I131,J131:L131)</f>
        <v>1.0513672267811212</v>
      </c>
      <c r="N131" s="649">
        <v>0.23990716728550635</v>
      </c>
      <c r="O131" s="650">
        <v>3.4093824486989459</v>
      </c>
      <c r="P131" s="650">
        <v>0.77796505644534497</v>
      </c>
      <c r="Q131" s="521">
        <v>5.8114705183850983</v>
      </c>
      <c r="R131" s="521">
        <v>1.3260612395301263</v>
      </c>
    </row>
    <row r="132" spans="1:18" ht="19.95" customHeight="1">
      <c r="L132" s="588" t="s">
        <v>1990</v>
      </c>
      <c r="M132" s="142">
        <f>A131*(H131-G131)/(I131-G131)</f>
        <v>1.0513672267811212</v>
      </c>
      <c r="N132" s="142">
        <f>M132*SQRT((B131/A131)^2+(SQRT(SUMSQ(J131,K131))/(H131-G131))^2+(SQRT(SUMSQ(L131,J131))/(I131-G131))^2)</f>
        <v>0.23990716728550635</v>
      </c>
      <c r="O132" s="142">
        <f>C131*(H131-G131)/(I131-G131)</f>
        <v>3.4093824486989459</v>
      </c>
      <c r="P132" s="142">
        <f>O132*SQRT((D131/C131)^2+(SQRT(SUMSQ(J131,K131))/(H131-G131))^2+(SQRT(SUMSQ(L131,J131))^2/(I131-G131)^2))</f>
        <v>0.77796505644534497</v>
      </c>
      <c r="Q132" s="166">
        <f>E131*(H131-G131)/(I131-G131)</f>
        <v>5.8114705183850983</v>
      </c>
      <c r="R132" s="166">
        <f>Q132*SQRT((F131/E131)^2+(SQRT(SUMSQ(K131,J131))/(H131-G131))^2+(SQRT(SUMSQ(L131,J131))/(I131-G131))^2)</f>
        <v>1.3260612395301263</v>
      </c>
    </row>
    <row r="133" spans="1:18" ht="19.95" customHeight="1">
      <c r="K133" s="204"/>
      <c r="L133" s="588" t="s">
        <v>1991</v>
      </c>
      <c r="M133" s="588" t="b">
        <f t="shared" ref="M133:R133" si="0">M132=M131</f>
        <v>1</v>
      </c>
      <c r="N133" s="588" t="b">
        <f t="shared" si="0"/>
        <v>1</v>
      </c>
      <c r="O133" s="588" t="b">
        <f t="shared" si="0"/>
        <v>1</v>
      </c>
      <c r="P133" s="588" t="b">
        <f t="shared" si="0"/>
        <v>1</v>
      </c>
      <c r="Q133" s="588" t="b">
        <f t="shared" si="0"/>
        <v>1</v>
      </c>
      <c r="R133" s="588" t="b">
        <f t="shared" si="0"/>
        <v>1</v>
      </c>
    </row>
    <row r="134" spans="1:18" ht="19.95" customHeight="1">
      <c r="A134" s="588" t="s">
        <v>1999</v>
      </c>
      <c r="K134" s="204"/>
      <c r="L134" s="588" t="s">
        <v>1993</v>
      </c>
      <c r="M134" s="588">
        <v>1.05</v>
      </c>
      <c r="N134" s="588">
        <v>0.24</v>
      </c>
      <c r="O134" s="588">
        <v>3.41</v>
      </c>
      <c r="P134" s="588">
        <v>0.77</v>
      </c>
      <c r="Q134" s="588">
        <v>5.81</v>
      </c>
      <c r="R134" s="588">
        <v>1.3</v>
      </c>
    </row>
    <row r="135" spans="1:18" ht="19.95" customHeight="1">
      <c r="K135" s="204"/>
      <c r="L135" s="589" t="s">
        <v>1991</v>
      </c>
      <c r="M135" s="208">
        <f t="shared" ref="M135:R135" si="1">M131/M134</f>
        <v>1.0013021207439248</v>
      </c>
      <c r="N135" s="208">
        <f t="shared" si="1"/>
        <v>0.99961319702294316</v>
      </c>
      <c r="O135" s="208">
        <f t="shared" si="1"/>
        <v>0.99981889991171435</v>
      </c>
      <c r="P135" s="208">
        <f t="shared" si="1"/>
        <v>1.0103442291497986</v>
      </c>
      <c r="Q135" s="208">
        <f t="shared" si="1"/>
        <v>1.0002531012711013</v>
      </c>
      <c r="R135" s="208">
        <f t="shared" si="1"/>
        <v>1.0200471073308663</v>
      </c>
    </row>
    <row r="136" spans="1:18" ht="19.95" customHeight="1"/>
    <row r="137" spans="1:18" s="149" customFormat="1" ht="20.100000000000001" customHeight="1">
      <c r="A137" s="150" t="s">
        <v>2007</v>
      </c>
    </row>
    <row r="138" spans="1:18" s="148" customFormat="1" ht="20.100000000000001" customHeight="1">
      <c r="A138" s="233"/>
    </row>
    <row r="139" spans="1:18" s="148" customFormat="1" ht="20.100000000000001" customHeight="1">
      <c r="A139" s="588" t="s">
        <v>1964</v>
      </c>
    </row>
    <row r="140" spans="1:18" s="148" customFormat="1" ht="20.100000000000001" customHeight="1">
      <c r="A140" s="588" t="s">
        <v>2291</v>
      </c>
    </row>
    <row r="141" spans="1:18" s="148" customFormat="1" ht="20.100000000000001" customHeight="1">
      <c r="A141" s="588" t="s">
        <v>2005</v>
      </c>
    </row>
    <row r="142" spans="1:18" s="148" customFormat="1" ht="20.100000000000001" customHeight="1">
      <c r="A142" s="588"/>
    </row>
    <row r="143" spans="1:18" s="148" customFormat="1" ht="20.100000000000001" customHeight="1">
      <c r="A143" s="588" t="s">
        <v>2020</v>
      </c>
    </row>
    <row r="144" spans="1:18" s="148" customFormat="1" ht="20.100000000000001" customHeight="1">
      <c r="A144" s="233"/>
    </row>
    <row r="145" spans="1:16" ht="19.95" customHeight="1">
      <c r="A145" s="480" t="s">
        <v>1978</v>
      </c>
    </row>
    <row r="146" spans="1:16" ht="19.95" customHeight="1"/>
    <row r="147" spans="1:16" ht="19.95" customHeight="1">
      <c r="A147" s="480" t="s">
        <v>1979</v>
      </c>
    </row>
    <row r="148" spans="1:16" ht="19.95" customHeight="1"/>
    <row r="149" spans="1:16" ht="19.95" customHeight="1">
      <c r="A149" s="51" t="s">
        <v>1980</v>
      </c>
      <c r="B149" s="51" t="s">
        <v>1981</v>
      </c>
      <c r="C149" s="89" t="s">
        <v>140</v>
      </c>
      <c r="D149" s="89" t="s">
        <v>2008</v>
      </c>
      <c r="E149" s="89" t="s">
        <v>2009</v>
      </c>
      <c r="F149" s="89" t="s">
        <v>2010</v>
      </c>
      <c r="G149" s="89" t="s">
        <v>2011</v>
      </c>
      <c r="H149" s="89" t="s">
        <v>2012</v>
      </c>
      <c r="I149" s="51" t="s">
        <v>1988</v>
      </c>
      <c r="J149" s="51" t="s">
        <v>1989</v>
      </c>
    </row>
    <row r="150" spans="1:16" ht="19.95" customHeight="1">
      <c r="A150" s="576" t="s">
        <v>156</v>
      </c>
      <c r="B150" s="576" t="s">
        <v>156</v>
      </c>
      <c r="C150" s="588" t="s">
        <v>64</v>
      </c>
      <c r="D150" s="588" t="s">
        <v>64</v>
      </c>
      <c r="E150" s="588" t="s">
        <v>64</v>
      </c>
      <c r="F150" s="589" t="s">
        <v>64</v>
      </c>
      <c r="G150" s="589" t="s">
        <v>64</v>
      </c>
      <c r="H150" s="589" t="s">
        <v>64</v>
      </c>
      <c r="I150" s="576" t="s">
        <v>156</v>
      </c>
      <c r="J150" s="576" t="s">
        <v>156</v>
      </c>
    </row>
    <row r="151" spans="1:16" ht="19.95" customHeight="1">
      <c r="A151" s="538">
        <v>1001</v>
      </c>
      <c r="B151" s="538">
        <v>2</v>
      </c>
      <c r="C151" s="222">
        <v>16.4315</v>
      </c>
      <c r="D151" s="222">
        <v>16.934100000000001</v>
      </c>
      <c r="E151" s="222">
        <v>46.548999999999999</v>
      </c>
      <c r="F151" s="222">
        <v>0.1</v>
      </c>
      <c r="G151" s="222">
        <v>0.2</v>
      </c>
      <c r="H151" s="222">
        <v>1</v>
      </c>
      <c r="I151" s="650">
        <f t="array" ref="I151:J151">WnAnS(A151:B151,C151:E151,F151:H151)</f>
        <v>16.704660081348088</v>
      </c>
      <c r="J151" s="650">
        <v>7.4528545718687367</v>
      </c>
    </row>
    <row r="152" spans="1:16" ht="19.95" customHeight="1">
      <c r="H152" s="588" t="s">
        <v>1990</v>
      </c>
      <c r="I152" s="142">
        <f>A151*(D151-C151)/(E151-C151)</f>
        <v>16.704660081348088</v>
      </c>
      <c r="J152" s="142">
        <f>I152*SQRT((B151/A151)^2+(SQRT(G151^2+F151^2)/(D151-C151))^2+(SQRT(F151^2+H151^2)/(E151-C151))^2)</f>
        <v>7.4528545718687367</v>
      </c>
    </row>
    <row r="153" spans="1:16" ht="19.95" customHeight="1">
      <c r="H153" s="588" t="s">
        <v>1991</v>
      </c>
      <c r="I153" s="588" t="b">
        <f>I152=I151</f>
        <v>1</v>
      </c>
      <c r="J153" s="588" t="b">
        <f>J152=J151</f>
        <v>1</v>
      </c>
    </row>
    <row r="154" spans="1:16" ht="19.95" customHeight="1">
      <c r="A154" s="588" t="s">
        <v>1999</v>
      </c>
      <c r="H154" s="588" t="s">
        <v>1993</v>
      </c>
      <c r="I154" s="588">
        <v>16.7</v>
      </c>
      <c r="J154" s="588">
        <v>7.43</v>
      </c>
    </row>
    <row r="155" spans="1:16" ht="19.95" customHeight="1">
      <c r="H155" s="589" t="s">
        <v>1991</v>
      </c>
      <c r="I155" s="208">
        <f>I151/I154</f>
        <v>1.0002790467873106</v>
      </c>
      <c r="J155" s="208">
        <f>J151/J154</f>
        <v>1.0030759854466671</v>
      </c>
    </row>
    <row r="156" spans="1:16" ht="19.95" customHeight="1"/>
    <row r="157" spans="1:16" ht="19.95" customHeight="1">
      <c r="A157" s="480" t="s">
        <v>2013</v>
      </c>
    </row>
    <row r="158" spans="1:16" ht="19.95" customHeight="1"/>
    <row r="159" spans="1:16" ht="19.95" customHeight="1">
      <c r="A159" s="51" t="s">
        <v>1980</v>
      </c>
      <c r="B159" s="51" t="s">
        <v>1981</v>
      </c>
      <c r="C159" s="51" t="s">
        <v>1995</v>
      </c>
      <c r="D159" s="51" t="s">
        <v>1996</v>
      </c>
      <c r="E159" s="89" t="s">
        <v>140</v>
      </c>
      <c r="F159" s="89" t="s">
        <v>2008</v>
      </c>
      <c r="G159" s="89" t="s">
        <v>2009</v>
      </c>
      <c r="H159" s="89" t="s">
        <v>2014</v>
      </c>
      <c r="I159" s="89" t="s">
        <v>2010</v>
      </c>
      <c r="J159" s="89" t="s">
        <v>2011</v>
      </c>
      <c r="K159" s="89" t="s">
        <v>2012</v>
      </c>
      <c r="L159" s="89" t="s">
        <v>2015</v>
      </c>
      <c r="M159" s="51" t="s">
        <v>1988</v>
      </c>
      <c r="N159" s="51" t="s">
        <v>1989</v>
      </c>
      <c r="O159" s="51" t="s">
        <v>1997</v>
      </c>
      <c r="P159" s="51" t="s">
        <v>1998</v>
      </c>
    </row>
    <row r="160" spans="1:16" ht="19.95" customHeight="1">
      <c r="A160" s="576" t="s">
        <v>156</v>
      </c>
      <c r="B160" s="576" t="s">
        <v>156</v>
      </c>
      <c r="C160" s="576" t="s">
        <v>156</v>
      </c>
      <c r="D160" s="576" t="s">
        <v>156</v>
      </c>
      <c r="E160" s="588" t="s">
        <v>64</v>
      </c>
      <c r="F160" s="588" t="s">
        <v>64</v>
      </c>
      <c r="G160" s="588" t="s">
        <v>64</v>
      </c>
      <c r="H160" s="588" t="s">
        <v>64</v>
      </c>
      <c r="I160" s="589" t="s">
        <v>64</v>
      </c>
      <c r="J160" s="589" t="s">
        <v>64</v>
      </c>
      <c r="K160" s="589" t="s">
        <v>64</v>
      </c>
      <c r="L160" s="589" t="s">
        <v>64</v>
      </c>
      <c r="M160" s="576" t="s">
        <v>156</v>
      </c>
      <c r="N160" s="576" t="s">
        <v>156</v>
      </c>
      <c r="O160" s="576" t="s">
        <v>156</v>
      </c>
      <c r="P160" s="576" t="s">
        <v>156</v>
      </c>
    </row>
    <row r="161" spans="1:22" ht="19.95" customHeight="1">
      <c r="A161" s="538">
        <v>1001</v>
      </c>
      <c r="B161" s="538">
        <v>2</v>
      </c>
      <c r="C161" s="538">
        <v>1000.5</v>
      </c>
      <c r="D161" s="538">
        <v>1.7950963222416816</v>
      </c>
      <c r="E161" s="222">
        <v>16.4315</v>
      </c>
      <c r="F161" s="222">
        <v>16.934100000000001</v>
      </c>
      <c r="G161" s="112">
        <v>18.56475</v>
      </c>
      <c r="H161" s="222">
        <v>46.548999999999999</v>
      </c>
      <c r="I161" s="222">
        <v>0.1</v>
      </c>
      <c r="J161" s="222">
        <v>0.2</v>
      </c>
      <c r="K161" s="222">
        <v>0.3</v>
      </c>
      <c r="L161" s="222">
        <v>1</v>
      </c>
      <c r="M161" s="650">
        <f t="array" ref="M161:P161">WnAnS(A161:D161,E161:H161,I161:L161)</f>
        <v>16.704660081348088</v>
      </c>
      <c r="N161" s="650">
        <v>7.4528545718687367</v>
      </c>
      <c r="O161" s="650">
        <v>54.170011621150465</v>
      </c>
      <c r="P161" s="650">
        <v>12.113619222366687</v>
      </c>
    </row>
    <row r="162" spans="1:22" ht="19.95" customHeight="1">
      <c r="L162" s="588" t="s">
        <v>1990</v>
      </c>
      <c r="M162" s="142">
        <f>I152</f>
        <v>16.704660081348088</v>
      </c>
      <c r="N162" s="142">
        <f>J152</f>
        <v>7.4528545718687367</v>
      </c>
      <c r="O162" s="142">
        <f>C161*(G161-F161)/(H161-E161)</f>
        <v>54.170011621150465</v>
      </c>
      <c r="P162" s="142">
        <f>O162*SQRT((D161/C161)^2+(SQRT(SUMSQ(K161,J161))/(G161-F161))^2+(SQRT(SUMSQ(L161,I161))/(H161-E161))^2)</f>
        <v>12.113619222366687</v>
      </c>
    </row>
    <row r="163" spans="1:22" ht="19.95" customHeight="1">
      <c r="L163" s="588" t="s">
        <v>1991</v>
      </c>
      <c r="M163" s="588" t="b">
        <f>M162=M161</f>
        <v>1</v>
      </c>
      <c r="N163" s="588" t="b">
        <f>N162=N161</f>
        <v>1</v>
      </c>
      <c r="O163" s="588" t="b">
        <f>O162=O161</f>
        <v>1</v>
      </c>
      <c r="P163" s="588" t="b">
        <f>P162=P161</f>
        <v>1</v>
      </c>
    </row>
    <row r="164" spans="1:22" ht="19.95" customHeight="1">
      <c r="L164" s="588" t="s">
        <v>1993</v>
      </c>
      <c r="M164" s="588">
        <v>16.7</v>
      </c>
      <c r="N164" s="588">
        <v>7.43</v>
      </c>
      <c r="O164" s="588">
        <v>54.2</v>
      </c>
      <c r="P164" s="588">
        <v>12.1</v>
      </c>
    </row>
    <row r="165" spans="1:22" ht="19.95" customHeight="1">
      <c r="L165" s="589" t="s">
        <v>1991</v>
      </c>
      <c r="M165" s="208">
        <f>M161/M164</f>
        <v>1.0002790467873106</v>
      </c>
      <c r="N165" s="208">
        <f>N161/N164</f>
        <v>1.0030759854466671</v>
      </c>
      <c r="O165" s="208">
        <f>O161/O164</f>
        <v>0.99944670887731479</v>
      </c>
      <c r="P165" s="208">
        <f>P161/P164</f>
        <v>1.0011255555674947</v>
      </c>
    </row>
    <row r="166" spans="1:22" ht="19.95" customHeight="1"/>
    <row r="167" spans="1:22" ht="19.95" customHeight="1">
      <c r="A167" s="480" t="s">
        <v>2016</v>
      </c>
    </row>
    <row r="168" spans="1:22" ht="19.95" customHeight="1">
      <c r="A168" s="51" t="s">
        <v>1980</v>
      </c>
      <c r="B168" s="51" t="s">
        <v>1981</v>
      </c>
      <c r="C168" s="51" t="s">
        <v>1995</v>
      </c>
      <c r="D168" s="51" t="s">
        <v>1996</v>
      </c>
      <c r="E168" s="51" t="s">
        <v>2001</v>
      </c>
      <c r="F168" s="51" t="s">
        <v>2002</v>
      </c>
      <c r="G168" s="89" t="s">
        <v>140</v>
      </c>
      <c r="H168" s="89" t="s">
        <v>2008</v>
      </c>
      <c r="I168" s="89" t="s">
        <v>2009</v>
      </c>
      <c r="J168" s="89" t="s">
        <v>2017</v>
      </c>
      <c r="K168" s="89" t="s">
        <v>2018</v>
      </c>
      <c r="L168" s="89" t="s">
        <v>2010</v>
      </c>
      <c r="M168" s="89" t="s">
        <v>2011</v>
      </c>
      <c r="N168" s="89" t="s">
        <v>2012</v>
      </c>
      <c r="O168" s="89" t="s">
        <v>2015</v>
      </c>
      <c r="P168" s="89" t="s">
        <v>2019</v>
      </c>
      <c r="Q168" s="51" t="s">
        <v>1988</v>
      </c>
      <c r="R168" s="51" t="s">
        <v>1989</v>
      </c>
      <c r="S168" s="51" t="s">
        <v>1997</v>
      </c>
      <c r="T168" s="51" t="s">
        <v>1998</v>
      </c>
      <c r="U168" s="51" t="s">
        <v>2003</v>
      </c>
      <c r="V168" s="51" t="s">
        <v>2004</v>
      </c>
    </row>
    <row r="169" spans="1:22" ht="19.95" customHeight="1">
      <c r="A169" s="576" t="s">
        <v>156</v>
      </c>
      <c r="B169" s="576" t="s">
        <v>156</v>
      </c>
      <c r="C169" s="576" t="s">
        <v>156</v>
      </c>
      <c r="D169" s="576" t="s">
        <v>156</v>
      </c>
      <c r="E169" s="576" t="s">
        <v>156</v>
      </c>
      <c r="F169" s="576" t="s">
        <v>156</v>
      </c>
      <c r="G169" s="588" t="s">
        <v>64</v>
      </c>
      <c r="H169" s="588" t="s">
        <v>64</v>
      </c>
      <c r="I169" s="588" t="s">
        <v>64</v>
      </c>
      <c r="J169" s="588" t="s">
        <v>64</v>
      </c>
      <c r="K169" s="588" t="s">
        <v>64</v>
      </c>
      <c r="L169" s="589" t="s">
        <v>64</v>
      </c>
      <c r="M169" s="589" t="s">
        <v>64</v>
      </c>
      <c r="N169" s="589" t="s">
        <v>64</v>
      </c>
      <c r="O169" s="589" t="s">
        <v>64</v>
      </c>
      <c r="P169" s="589" t="s">
        <v>64</v>
      </c>
      <c r="Q169" s="576" t="s">
        <v>156</v>
      </c>
      <c r="R169" s="576" t="s">
        <v>156</v>
      </c>
      <c r="S169" s="576" t="s">
        <v>156</v>
      </c>
      <c r="T169" s="576" t="s">
        <v>156</v>
      </c>
      <c r="U169" s="576" t="s">
        <v>156</v>
      </c>
      <c r="V169" s="576" t="s">
        <v>156</v>
      </c>
    </row>
    <row r="170" spans="1:22" ht="19.95" customHeight="1">
      <c r="A170" s="538">
        <v>1001</v>
      </c>
      <c r="B170" s="538">
        <v>2</v>
      </c>
      <c r="C170" s="538">
        <v>1000.5</v>
      </c>
      <c r="D170" s="538">
        <v>1.7950963222416816</v>
      </c>
      <c r="E170" s="538">
        <v>755.60207798597776</v>
      </c>
      <c r="F170" s="538">
        <v>0.9576464456360817</v>
      </c>
      <c r="G170" s="222">
        <v>16.4315</v>
      </c>
      <c r="H170" s="222">
        <v>16.934100000000001</v>
      </c>
      <c r="I170" s="112">
        <v>18.56475</v>
      </c>
      <c r="J170" s="222">
        <v>22.245149999999999</v>
      </c>
      <c r="K170" s="222">
        <v>46.548999999999999</v>
      </c>
      <c r="L170" s="222">
        <v>0.1</v>
      </c>
      <c r="M170" s="222">
        <v>0.2</v>
      </c>
      <c r="N170" s="222">
        <v>0.3</v>
      </c>
      <c r="O170" s="222">
        <v>0.4</v>
      </c>
      <c r="P170" s="222">
        <v>1</v>
      </c>
      <c r="Q170" s="650" cm="1">
        <f t="array" ref="Q170:V170">WnAnS(A170:F170,G170:K170,L170:P170)</f>
        <v>16.704660081348088</v>
      </c>
      <c r="R170" s="650">
        <v>7.4528545718687367</v>
      </c>
      <c r="S170" s="650">
        <v>54.170011621150465</v>
      </c>
      <c r="T170" s="650">
        <v>12.113619222366687</v>
      </c>
      <c r="U170" s="650">
        <v>92.335615101505496</v>
      </c>
      <c r="V170" s="650">
        <v>12.917622330206038</v>
      </c>
    </row>
    <row r="171" spans="1:22" ht="19.95" customHeight="1">
      <c r="P171" s="588" t="s">
        <v>1990</v>
      </c>
      <c r="Q171" s="142">
        <f>A170*(H170-G170)/(K170-G170)</f>
        <v>16.704660081348088</v>
      </c>
      <c r="R171" s="142">
        <f>Q171*SQRT((B170/A170)^2+(SQRT(SUMSQ(M170,L170))/(H170-G170))^2+(SQRT(SUMSQ(P170,L170))/(K170-G170))^2)</f>
        <v>7.4528545718687367</v>
      </c>
      <c r="S171" s="142">
        <f>C170*(I170-H170)/(K170-G170)</f>
        <v>54.170011621150465</v>
      </c>
      <c r="T171" s="142">
        <f>S171*SQRT((D170/C170)^2+(SQRT(SUMSQ(N170,M170))/(I170-H170))^2+(SQRT(SUMSQ(P170,L170))/(K170-G170))^2)</f>
        <v>12.113619222366687</v>
      </c>
      <c r="U171" s="142">
        <f>E170*(J170-I170)/(K170-G170)</f>
        <v>92.335615101505496</v>
      </c>
      <c r="V171" s="142">
        <f>U171*SQRT((F170/E170)^2+(SQRT(SUMSQ(O170,N170))/(J170-I170))^2+(SQRT(SUMSQ(P170,L170))/(K170-G170))^2)</f>
        <v>12.917622330206038</v>
      </c>
    </row>
    <row r="172" spans="1:22" ht="19.95" customHeight="1">
      <c r="P172" s="588" t="s">
        <v>1991</v>
      </c>
      <c r="Q172" s="588" t="b">
        <f t="shared" ref="Q172:V172" si="2">Q171=Q170</f>
        <v>1</v>
      </c>
      <c r="R172" s="588" t="b">
        <f t="shared" si="2"/>
        <v>1</v>
      </c>
      <c r="S172" s="588" t="b">
        <f t="shared" si="2"/>
        <v>1</v>
      </c>
      <c r="T172" s="588" t="b">
        <f t="shared" si="2"/>
        <v>1</v>
      </c>
      <c r="U172" s="588" t="b">
        <f t="shared" si="2"/>
        <v>1</v>
      </c>
      <c r="V172" s="588" t="b">
        <f t="shared" si="2"/>
        <v>1</v>
      </c>
    </row>
    <row r="173" spans="1:22" ht="19.95" customHeight="1">
      <c r="P173" s="588" t="s">
        <v>1993</v>
      </c>
      <c r="Q173" s="588">
        <v>16.7</v>
      </c>
      <c r="R173" s="588">
        <v>7.43</v>
      </c>
      <c r="S173" s="588">
        <v>54.2</v>
      </c>
      <c r="T173" s="588">
        <v>12.1</v>
      </c>
      <c r="U173" s="588">
        <v>92.3</v>
      </c>
      <c r="V173" s="588">
        <v>12.9</v>
      </c>
    </row>
    <row r="174" spans="1:22" ht="19.95" customHeight="1">
      <c r="P174" s="589" t="s">
        <v>1991</v>
      </c>
      <c r="Q174" s="208">
        <f t="shared" ref="Q174:V174" si="3">Q170/Q173</f>
        <v>1.0002790467873106</v>
      </c>
      <c r="R174" s="208">
        <f t="shared" si="3"/>
        <v>1.0030759854466671</v>
      </c>
      <c r="S174" s="208">
        <f t="shared" si="3"/>
        <v>0.99944670887731479</v>
      </c>
      <c r="T174" s="208">
        <f t="shared" si="3"/>
        <v>1.0011255555674947</v>
      </c>
      <c r="U174" s="208">
        <f t="shared" si="3"/>
        <v>1.0003858624215114</v>
      </c>
      <c r="V174" s="208">
        <f t="shared" si="3"/>
        <v>1.0013660721089952</v>
      </c>
    </row>
    <row r="175" spans="1:22" ht="19.95" customHeight="1"/>
    <row r="176" spans="1:22" s="149" customFormat="1" ht="20.100000000000001" customHeight="1">
      <c r="A176" s="150" t="s">
        <v>2083</v>
      </c>
    </row>
    <row r="178" spans="1:10" s="1" customFormat="1" ht="20.100000000000001" customHeight="1">
      <c r="A178" s="588" t="s">
        <v>1964</v>
      </c>
    </row>
    <row r="179" spans="1:10" s="1" customFormat="1" ht="20.100000000000001" customHeight="1">
      <c r="A179" s="588" t="s">
        <v>1965</v>
      </c>
    </row>
    <row r="180" spans="1:10" s="1" customFormat="1" ht="20.100000000000001" customHeight="1">
      <c r="A180" s="588" t="s">
        <v>2046</v>
      </c>
    </row>
    <row r="181" spans="1:10" s="1" customFormat="1" ht="20.100000000000001" customHeight="1">
      <c r="A181" s="588"/>
    </row>
    <row r="182" spans="1:10" s="1" customFormat="1" ht="20.100000000000001" customHeight="1">
      <c r="A182" s="588" t="s">
        <v>2047</v>
      </c>
    </row>
    <row r="183" spans="1:10" ht="19.95" customHeight="1"/>
    <row r="184" spans="1:10" ht="19.95" customHeight="1">
      <c r="A184" s="480" t="s">
        <v>2021</v>
      </c>
    </row>
    <row r="185" spans="1:10" ht="19.95" customHeight="1"/>
    <row r="186" spans="1:10" ht="19.95" customHeight="1">
      <c r="A186" s="587" t="s">
        <v>2022</v>
      </c>
      <c r="B186" s="164" t="s">
        <v>229</v>
      </c>
      <c r="C186" s="164" t="s">
        <v>240</v>
      </c>
      <c r="D186" s="164" t="s">
        <v>230</v>
      </c>
      <c r="E186" s="164" t="s">
        <v>239</v>
      </c>
      <c r="F186" s="587" t="s">
        <v>2023</v>
      </c>
      <c r="G186" s="589"/>
      <c r="H186" s="589"/>
      <c r="I186" s="589"/>
      <c r="J186" s="589"/>
    </row>
    <row r="187" spans="1:10" ht="19.95" customHeight="1">
      <c r="A187" s="588" t="s">
        <v>1582</v>
      </c>
      <c r="B187" s="651">
        <v>0.12929491591136952</v>
      </c>
      <c r="C187" s="651">
        <f>B187*0.1/100</f>
        <v>1.2929491591136952E-4</v>
      </c>
      <c r="D187" s="652">
        <v>0.14954805309840466</v>
      </c>
      <c r="E187" s="652">
        <f>D187*1/100</f>
        <v>1.4954805309840466E-3</v>
      </c>
      <c r="F187" s="588" t="s">
        <v>2024</v>
      </c>
    </row>
    <row r="188" spans="1:10" ht="19.95" customHeight="1">
      <c r="A188" s="588" t="s">
        <v>1582</v>
      </c>
      <c r="B188" s="651">
        <v>0.1929542099547302</v>
      </c>
      <c r="C188" s="651">
        <f t="shared" ref="C188:C191" si="4">B188*0.1/100</f>
        <v>1.9295420995473021E-4</v>
      </c>
      <c r="D188" s="652">
        <v>0.22479026866248128</v>
      </c>
      <c r="E188" s="652">
        <f t="shared" ref="E188:E191" si="5">D188*1/100</f>
        <v>2.247902686624813E-3</v>
      </c>
      <c r="F188" s="588" t="s">
        <v>2024</v>
      </c>
    </row>
    <row r="189" spans="1:10" ht="19.95" customHeight="1">
      <c r="A189" s="588" t="s">
        <v>1582</v>
      </c>
      <c r="B189" s="651">
        <v>0.25457635562024616</v>
      </c>
      <c r="C189" s="651">
        <f t="shared" si="4"/>
        <v>2.5457635562024615E-4</v>
      </c>
      <c r="D189" s="652">
        <v>0.29614860010385718</v>
      </c>
      <c r="E189" s="652">
        <f t="shared" si="5"/>
        <v>2.9614860010385717E-3</v>
      </c>
      <c r="F189" s="588" t="s">
        <v>2024</v>
      </c>
    </row>
    <row r="190" spans="1:10" ht="19.95" customHeight="1">
      <c r="A190" s="588" t="s">
        <v>1582</v>
      </c>
      <c r="B190" s="651">
        <v>0.3738649664247044</v>
      </c>
      <c r="C190" s="651">
        <f t="shared" si="4"/>
        <v>3.7386496642470443E-4</v>
      </c>
      <c r="D190" s="652">
        <v>0.43265619434404617</v>
      </c>
      <c r="E190" s="652">
        <f t="shared" si="5"/>
        <v>4.3265619434404616E-3</v>
      </c>
      <c r="F190" s="588" t="s">
        <v>2024</v>
      </c>
    </row>
    <row r="191" spans="1:10" ht="19.95" customHeight="1">
      <c r="A191" s="589" t="s">
        <v>1582</v>
      </c>
      <c r="B191" s="653">
        <v>0.50964378783471698</v>
      </c>
      <c r="C191" s="653">
        <f t="shared" si="4"/>
        <v>5.0964378783471701E-4</v>
      </c>
      <c r="D191" s="654">
        <v>0.59195269607827017</v>
      </c>
      <c r="E191" s="654">
        <f t="shared" si="5"/>
        <v>5.9195269607827013E-3</v>
      </c>
      <c r="F191" s="589" t="s">
        <v>2024</v>
      </c>
      <c r="G191" s="589"/>
      <c r="H191" s="589"/>
      <c r="I191" s="589"/>
      <c r="J191" s="589"/>
    </row>
    <row r="192" spans="1:10" ht="19.95" customHeight="1">
      <c r="A192" s="184" t="s">
        <v>2025</v>
      </c>
      <c r="B192" s="655">
        <v>1000</v>
      </c>
      <c r="C192" s="655">
        <v>0</v>
      </c>
      <c r="D192" s="184"/>
      <c r="E192" s="184"/>
      <c r="F192" s="184" t="s">
        <v>2026</v>
      </c>
      <c r="G192" s="184"/>
      <c r="H192" s="184"/>
      <c r="I192" s="184"/>
      <c r="J192" s="184"/>
    </row>
    <row r="193" spans="1:10" ht="19.95" customHeight="1">
      <c r="A193" s="184" t="s">
        <v>187</v>
      </c>
      <c r="B193" s="632" cm="1">
        <f t="array" ref="B193:C193">ResultEXLN_GS(B187:B191,D187:D191,D193,E193,B192,C192)</f>
        <v>0.26245080366607809</v>
      </c>
      <c r="C193" s="632">
        <v>2.657230942817332E-3</v>
      </c>
      <c r="D193" s="656">
        <v>0.30465606407203671</v>
      </c>
      <c r="E193" s="656">
        <f>D193*1/100</f>
        <v>3.0465606407203672E-3</v>
      </c>
      <c r="F193" s="184" t="s">
        <v>2027</v>
      </c>
      <c r="G193" s="184"/>
      <c r="H193" s="184"/>
      <c r="I193" s="184"/>
      <c r="J193" s="184"/>
    </row>
    <row r="194" spans="1:10" ht="19.95" customHeight="1">
      <c r="A194" s="184" t="s">
        <v>187</v>
      </c>
      <c r="B194" s="632" cm="1">
        <f t="array" ref="B194:C194">ResultEXLN_MC(B187:B191,C187:C191,D187:D191,E187:E191,D194,E194,5000)</f>
        <v>0.26250826884598538</v>
      </c>
      <c r="C194" s="632">
        <v>2.8794435404413165E-3</v>
      </c>
      <c r="D194" s="656">
        <v>0.30465606407203671</v>
      </c>
      <c r="E194" s="656">
        <f>D194*1/100</f>
        <v>3.0465606407203672E-3</v>
      </c>
      <c r="F194" s="184" t="s">
        <v>2028</v>
      </c>
      <c r="G194" s="184"/>
      <c r="H194" s="184"/>
      <c r="I194" s="184"/>
      <c r="J194" s="184"/>
    </row>
    <row r="195" spans="1:10" ht="19.95" customHeight="1">
      <c r="A195" s="184" t="s">
        <v>187</v>
      </c>
      <c r="B195" s="632">
        <f>(D195-C202)/B202</f>
        <v>0.26245080366607809</v>
      </c>
      <c r="C195" s="632">
        <f>SQRT((B213)^2*(E195)^2 + (B214)^2*(C203)^2 + (B215)^2*(B203)^2 + 2*(B214)*(B215)*(C203)*(B203)*(B218))</f>
        <v>2.657230942817332E-3</v>
      </c>
      <c r="D195" s="656">
        <v>0.30465606407203671</v>
      </c>
      <c r="E195" s="656">
        <f>D195*1/100</f>
        <v>3.0465606407203672E-3</v>
      </c>
      <c r="F195" s="184" t="s">
        <v>2029</v>
      </c>
      <c r="G195" s="184"/>
      <c r="H195" s="184"/>
      <c r="I195" s="184"/>
      <c r="J195" s="184"/>
    </row>
    <row r="196" spans="1:10" ht="19.95" customHeight="1">
      <c r="A196" s="184" t="s">
        <v>187</v>
      </c>
      <c r="B196" s="184">
        <v>0.26250000000000001</v>
      </c>
      <c r="C196" s="184">
        <v>2.66E-3</v>
      </c>
      <c r="D196" s="656">
        <v>0.30465606407203671</v>
      </c>
      <c r="E196" s="656">
        <f>D196*1/100</f>
        <v>3.0465606407203672E-3</v>
      </c>
      <c r="F196" s="589" t="s">
        <v>2030</v>
      </c>
      <c r="G196" s="589"/>
      <c r="H196" s="589"/>
      <c r="I196" s="589"/>
      <c r="J196" s="589"/>
    </row>
    <row r="197" spans="1:10" ht="19.95" customHeight="1"/>
    <row r="198" spans="1:10" ht="19.95" customHeight="1"/>
    <row r="199" spans="1:10" ht="19.95" customHeight="1"/>
    <row r="200" spans="1:10" ht="19.95" customHeight="1">
      <c r="A200" s="480" t="s">
        <v>2031</v>
      </c>
    </row>
    <row r="201" spans="1:10" ht="19.95" customHeight="1">
      <c r="A201" s="210"/>
      <c r="B201" s="591" t="s">
        <v>2032</v>
      </c>
      <c r="C201" s="211" t="s">
        <v>2033</v>
      </c>
    </row>
    <row r="202" spans="1:10" ht="19.95" customHeight="1">
      <c r="A202" s="212" t="s">
        <v>302</v>
      </c>
      <c r="B202" s="657" cm="1">
        <f t="array" ref="B202:C206">LINEST(D187:D191,B187:B191,TRUE,TRUE)</f>
        <v>1.1602865995592073</v>
      </c>
      <c r="C202" s="658">
        <v>1.3791353474179591E-4</v>
      </c>
    </row>
    <row r="203" spans="1:10" ht="19.95" customHeight="1">
      <c r="A203" s="214" t="s">
        <v>270</v>
      </c>
      <c r="B203" s="155">
        <v>3.415290245982432E-3</v>
      </c>
      <c r="C203" s="659">
        <v>1.0995637423349184E-3</v>
      </c>
    </row>
    <row r="204" spans="1:10" ht="19.95" customHeight="1">
      <c r="A204" s="210"/>
      <c r="B204" s="82">
        <v>0.99997400830218852</v>
      </c>
      <c r="C204" s="660">
        <v>1.0345241181186945E-3</v>
      </c>
    </row>
    <row r="205" spans="1:10" ht="19.95" customHeight="1">
      <c r="A205" s="212"/>
      <c r="B205" s="170">
        <v>115418.47118518691</v>
      </c>
      <c r="C205" s="606">
        <v>3</v>
      </c>
    </row>
    <row r="206" spans="1:10" ht="19.95" customHeight="1">
      <c r="A206" s="214"/>
      <c r="B206" s="81">
        <v>0.12352548202587593</v>
      </c>
      <c r="C206" s="661">
        <v>3.2107204529077882E-6</v>
      </c>
    </row>
    <row r="207" spans="1:10" ht="19.95" customHeight="1"/>
    <row r="208" spans="1:10" ht="19.95" customHeight="1"/>
    <row r="209" spans="1:6" ht="19.95" customHeight="1"/>
    <row r="210" spans="1:6" ht="19.95" customHeight="1"/>
    <row r="211" spans="1:6" ht="19.95" customHeight="1"/>
    <row r="212" spans="1:6" ht="19.95" customHeight="1">
      <c r="A212" s="480" t="s">
        <v>2034</v>
      </c>
    </row>
    <row r="213" spans="1:6" ht="19.95" customHeight="1">
      <c r="A213" s="588" t="s">
        <v>2035</v>
      </c>
      <c r="B213" s="142">
        <f>1/B202</f>
        <v>0.8618560279674865</v>
      </c>
    </row>
    <row r="214" spans="1:6" ht="19.95" customHeight="1">
      <c r="A214" s="588" t="s">
        <v>2036</v>
      </c>
      <c r="B214" s="142">
        <f>-1/B202</f>
        <v>-0.8618560279674865</v>
      </c>
    </row>
    <row r="215" spans="1:6" ht="19.95" customHeight="1">
      <c r="A215" s="588" t="s">
        <v>2037</v>
      </c>
      <c r="B215" s="142">
        <f>(C202-D195)/(B202)^2</f>
        <v>-0.22619480718452073</v>
      </c>
    </row>
    <row r="216" spans="1:6" ht="19.95" customHeight="1"/>
    <row r="217" spans="1:6" ht="19.95" customHeight="1">
      <c r="A217" s="480" t="s">
        <v>2038</v>
      </c>
    </row>
    <row r="218" spans="1:6" ht="19.95" customHeight="1">
      <c r="A218" s="588" t="s">
        <v>2039</v>
      </c>
      <c r="B218" s="142">
        <f>-AVERAGE(B187:B191)*B203/C203</f>
        <v>-0.90717164984466847</v>
      </c>
    </row>
    <row r="219" spans="1:6" ht="19.95" customHeight="1"/>
    <row r="220" spans="1:6" ht="19.95" customHeight="1">
      <c r="A220" s="480" t="s">
        <v>2040</v>
      </c>
    </row>
    <row r="221" spans="1:6" ht="19.95" customHeight="1">
      <c r="A221" s="480"/>
    </row>
    <row r="222" spans="1:6" ht="19.95" customHeight="1">
      <c r="A222" s="587" t="s">
        <v>2022</v>
      </c>
      <c r="B222" s="164" t="s">
        <v>229</v>
      </c>
      <c r="C222" s="164" t="s">
        <v>240</v>
      </c>
      <c r="D222" s="587" t="s">
        <v>2023</v>
      </c>
      <c r="E222" s="589"/>
      <c r="F222" s="589"/>
    </row>
    <row r="223" spans="1:6" ht="19.95" customHeight="1">
      <c r="A223" s="589" t="s">
        <v>187</v>
      </c>
      <c r="B223" s="155" cm="1">
        <f t="array" ref="B223:C223">ResultEXLN_GS(B187:B191,D187:D191,D193,E193,B225,C225)</f>
        <v>0.26245080366607809</v>
      </c>
      <c r="C223" s="155">
        <v>2.7085785904872261E-3</v>
      </c>
      <c r="D223" s="589" t="s">
        <v>2027</v>
      </c>
      <c r="E223" s="589"/>
      <c r="F223" s="589"/>
    </row>
    <row r="224" spans="1:6" ht="19.95" customHeight="1">
      <c r="A224" s="589" t="s">
        <v>187</v>
      </c>
      <c r="B224" s="155">
        <f>B195</f>
        <v>0.26245080366607809</v>
      </c>
      <c r="C224" s="155">
        <f>B224*SQRT((C195/B195)^2 + (C225/B225)^2)</f>
        <v>2.7085785904872261E-3</v>
      </c>
      <c r="D224" s="589" t="s">
        <v>2029</v>
      </c>
      <c r="E224" s="589"/>
      <c r="F224" s="589"/>
    </row>
    <row r="225" spans="1:7" ht="19.95" customHeight="1">
      <c r="A225" s="589" t="s">
        <v>2025</v>
      </c>
      <c r="B225" s="662">
        <v>1000</v>
      </c>
      <c r="C225" s="662">
        <v>2</v>
      </c>
      <c r="D225" s="589" t="s">
        <v>2026</v>
      </c>
      <c r="E225" s="589"/>
      <c r="F225" s="589"/>
    </row>
    <row r="226" spans="1:7" ht="19.95" customHeight="1">
      <c r="A226" s="588" t="s">
        <v>2041</v>
      </c>
      <c r="B226" s="588" t="b">
        <f>B224=B223</f>
        <v>1</v>
      </c>
      <c r="C226" s="588" t="b">
        <f>C224=C223</f>
        <v>1</v>
      </c>
    </row>
    <row r="227" spans="1:7" ht="19.95" customHeight="1"/>
    <row r="228" spans="1:7" ht="19.95" customHeight="1">
      <c r="A228" s="480" t="s">
        <v>2042</v>
      </c>
    </row>
    <row r="229" spans="1:7" ht="19.95" customHeight="1"/>
    <row r="230" spans="1:7" ht="19.95" customHeight="1">
      <c r="A230" s="480" t="s">
        <v>217</v>
      </c>
      <c r="B230" s="480" t="s">
        <v>217</v>
      </c>
      <c r="C230" s="480" t="s">
        <v>2043</v>
      </c>
    </row>
    <row r="231" spans="1:7" ht="19.95" customHeight="1">
      <c r="A231" s="589" t="s">
        <v>302</v>
      </c>
      <c r="B231" s="589" t="s">
        <v>1046</v>
      </c>
      <c r="C231" s="663" t="s">
        <v>2044</v>
      </c>
      <c r="D231" s="589"/>
      <c r="E231" s="589"/>
      <c r="F231" s="589"/>
      <c r="G231" s="589"/>
    </row>
    <row r="232" spans="1:7" ht="19.95" customHeight="1">
      <c r="A232" s="664">
        <f>$B$193/B194</f>
        <v>0.99978109192460907</v>
      </c>
      <c r="B232" s="664">
        <f>$C$193/C194</f>
        <v>0.92282793723750978</v>
      </c>
      <c r="C232" s="590" t="s">
        <v>2045</v>
      </c>
      <c r="D232" s="590"/>
      <c r="E232" s="590"/>
      <c r="F232" s="590"/>
      <c r="G232" s="590"/>
    </row>
    <row r="233" spans="1:7" ht="19.95" customHeight="1">
      <c r="A233" s="665">
        <f t="shared" ref="A233:A234" si="6">$B$193/B195</f>
        <v>1</v>
      </c>
      <c r="B233" s="665">
        <f t="shared" ref="B233:B234" si="7">$C$193/C195</f>
        <v>1</v>
      </c>
      <c r="C233" s="588" t="s">
        <v>2029</v>
      </c>
    </row>
    <row r="234" spans="1:7" ht="19.95" customHeight="1">
      <c r="A234" s="666">
        <f t="shared" si="6"/>
        <v>0.99981258539458318</v>
      </c>
      <c r="B234" s="666">
        <f t="shared" si="7"/>
        <v>0.99895900105914737</v>
      </c>
      <c r="C234" s="589" t="s">
        <v>2030</v>
      </c>
      <c r="D234" s="589"/>
      <c r="E234" s="589"/>
      <c r="F234" s="589"/>
      <c r="G234" s="589"/>
    </row>
    <row r="235" spans="1:7" ht="19.95" customHeight="1"/>
    <row r="236" spans="1:7" s="149" customFormat="1" ht="20.100000000000001" customHeight="1">
      <c r="A236" s="150" t="s">
        <v>2082</v>
      </c>
    </row>
    <row r="238" spans="1:7" s="1" customFormat="1" ht="20.100000000000001" customHeight="1">
      <c r="A238" s="588" t="s">
        <v>1964</v>
      </c>
    </row>
    <row r="239" spans="1:7" s="1" customFormat="1" ht="20.100000000000001" customHeight="1">
      <c r="A239" s="588" t="s">
        <v>1965</v>
      </c>
    </row>
    <row r="240" spans="1:7" s="1" customFormat="1" ht="20.100000000000001" customHeight="1">
      <c r="A240" s="588" t="s">
        <v>2049</v>
      </c>
    </row>
    <row r="241" spans="1:8" s="1" customFormat="1" ht="20.100000000000001" customHeight="1">
      <c r="A241" s="588"/>
    </row>
    <row r="242" spans="1:8" s="1" customFormat="1" ht="20.100000000000001" customHeight="1">
      <c r="A242" s="588" t="s">
        <v>2048</v>
      </c>
    </row>
    <row r="244" spans="1:8" ht="20.100000000000001" customHeight="1">
      <c r="A244" s="480" t="s">
        <v>2050</v>
      </c>
      <c r="E244" s="588">
        <v>10</v>
      </c>
    </row>
    <row r="246" spans="1:8" ht="20.100000000000001" customHeight="1">
      <c r="A246" s="480" t="s">
        <v>2051</v>
      </c>
    </row>
    <row r="248" spans="1:8" ht="20.100000000000001" customHeight="1">
      <c r="E248" s="588" t="s">
        <v>1653</v>
      </c>
      <c r="G248" s="588" t="s">
        <v>1654</v>
      </c>
    </row>
    <row r="249" spans="1:8" ht="20.100000000000001" customHeight="1">
      <c r="A249" s="587" t="s">
        <v>256</v>
      </c>
      <c r="B249" s="587" t="s">
        <v>2052</v>
      </c>
      <c r="C249" s="587" t="s">
        <v>2053</v>
      </c>
      <c r="D249" s="587" t="s">
        <v>117</v>
      </c>
      <c r="E249" s="587" t="s">
        <v>1527</v>
      </c>
      <c r="F249" s="587" t="s">
        <v>2054</v>
      </c>
      <c r="G249" s="587" t="s">
        <v>1528</v>
      </c>
      <c r="H249" s="587" t="s">
        <v>2055</v>
      </c>
    </row>
    <row r="250" spans="1:8" ht="20.100000000000001" customHeight="1">
      <c r="A250" s="588" t="s">
        <v>2056</v>
      </c>
      <c r="B250" s="142">
        <v>0</v>
      </c>
      <c r="C250" s="60">
        <v>0.46490000000000009</v>
      </c>
      <c r="D250" s="60">
        <v>0.11489999999999867</v>
      </c>
      <c r="E250" s="60">
        <f t="shared" ref="E250:E256" si="8">B250*C250/D250</f>
        <v>0</v>
      </c>
      <c r="F250" s="588">
        <f>0.00000000000001</f>
        <v>1E-14</v>
      </c>
      <c r="G250" s="60">
        <v>3.5894206549118395E-2</v>
      </c>
      <c r="H250" s="82">
        <f>G250*1/100</f>
        <v>3.5894206549118393E-4</v>
      </c>
    </row>
    <row r="251" spans="1:8" ht="20.100000000000001" customHeight="1">
      <c r="A251" s="588" t="s">
        <v>2057</v>
      </c>
      <c r="B251" s="142">
        <v>0.48665436890428887</v>
      </c>
      <c r="C251" s="60">
        <v>0.48370000000000068</v>
      </c>
      <c r="D251" s="60">
        <v>0.12190000000000012</v>
      </c>
      <c r="E251" s="60">
        <f t="shared" si="8"/>
        <v>1.9310477296062725</v>
      </c>
      <c r="F251" s="60">
        <f t="shared" ref="F251:F256" si="9">E251*0.2/100</f>
        <v>3.862095459212545E-3</v>
      </c>
      <c r="G251" s="60">
        <v>0.1715230419508163</v>
      </c>
      <c r="H251" s="60">
        <f t="shared" ref="H251:H256" si="10">G251*1/100</f>
        <v>1.7152304195081631E-3</v>
      </c>
    </row>
    <row r="252" spans="1:8" ht="20.100000000000001" customHeight="1">
      <c r="A252" s="588" t="s">
        <v>2058</v>
      </c>
      <c r="B252" s="142">
        <v>1.3555672782481563</v>
      </c>
      <c r="C252" s="60">
        <v>0.47609999999999886</v>
      </c>
      <c r="D252" s="60">
        <v>0.12300000000000111</v>
      </c>
      <c r="E252" s="60">
        <f t="shared" si="8"/>
        <v>5.2470372453165837</v>
      </c>
      <c r="F252" s="60">
        <f t="shared" si="9"/>
        <v>1.0494074490633167E-2</v>
      </c>
      <c r="G252" s="60">
        <v>0.33635334088335223</v>
      </c>
      <c r="H252" s="60">
        <f t="shared" si="10"/>
        <v>3.3635334088335223E-3</v>
      </c>
    </row>
    <row r="253" spans="1:8" ht="20.100000000000001" customHeight="1">
      <c r="A253" s="588" t="s">
        <v>2059</v>
      </c>
      <c r="B253" s="142">
        <v>2.2170075250462635</v>
      </c>
      <c r="C253" s="60">
        <v>0.48170000000000002</v>
      </c>
      <c r="D253" s="60">
        <v>0.12369999999999948</v>
      </c>
      <c r="E253" s="60">
        <f t="shared" si="8"/>
        <v>8.6332459564655597</v>
      </c>
      <c r="F253" s="60">
        <f t="shared" si="9"/>
        <v>1.7266491912931121E-2</v>
      </c>
      <c r="G253" s="60">
        <v>0.48812568505663134</v>
      </c>
      <c r="H253" s="60">
        <f t="shared" si="10"/>
        <v>4.8812568505663132E-3</v>
      </c>
    </row>
    <row r="254" spans="1:8" ht="20.100000000000001" customHeight="1">
      <c r="A254" s="588" t="s">
        <v>2060</v>
      </c>
      <c r="B254" s="142">
        <v>3.1126900858703683</v>
      </c>
      <c r="C254" s="60">
        <v>0.47110000000000163</v>
      </c>
      <c r="D254" s="60">
        <v>0.12489999999999846</v>
      </c>
      <c r="E254" s="60">
        <f t="shared" si="8"/>
        <v>11.740498794664161</v>
      </c>
      <c r="F254" s="60">
        <f t="shared" si="9"/>
        <v>2.3480997589328322E-2</v>
      </c>
      <c r="G254" s="60">
        <v>0.62778141361256534</v>
      </c>
      <c r="H254" s="60">
        <f t="shared" si="10"/>
        <v>6.2778141361256538E-3</v>
      </c>
    </row>
    <row r="255" spans="1:8" ht="20.100000000000001" customHeight="1">
      <c r="A255" s="588" t="s">
        <v>2061</v>
      </c>
      <c r="B255" s="142">
        <v>3.929928317527664</v>
      </c>
      <c r="C255" s="60">
        <v>0.48809999999999931</v>
      </c>
      <c r="D255" s="60">
        <v>0.12480000000000047</v>
      </c>
      <c r="E255" s="60">
        <f t="shared" si="8"/>
        <v>15.370176376484318</v>
      </c>
      <c r="F255" s="60">
        <f t="shared" si="9"/>
        <v>3.0740352752968637E-2</v>
      </c>
      <c r="G255" s="60">
        <v>0.75747981636852935</v>
      </c>
      <c r="H255" s="60">
        <f t="shared" si="10"/>
        <v>7.5747981636852934E-3</v>
      </c>
    </row>
    <row r="256" spans="1:8" ht="20.100000000000001" customHeight="1">
      <c r="A256" s="589" t="s">
        <v>2062</v>
      </c>
      <c r="B256" s="143">
        <v>4.8552164420545596</v>
      </c>
      <c r="C256" s="81">
        <v>0.47559999999999825</v>
      </c>
      <c r="D256" s="81">
        <v>0.12450000000000117</v>
      </c>
      <c r="E256" s="81">
        <f t="shared" si="8"/>
        <v>18.547316785872439</v>
      </c>
      <c r="F256" s="81">
        <f t="shared" si="9"/>
        <v>3.7094633571744882E-2</v>
      </c>
      <c r="G256" s="81">
        <v>0.87926470588235295</v>
      </c>
      <c r="H256" s="81">
        <f t="shared" si="10"/>
        <v>8.79264705882353E-3</v>
      </c>
    </row>
    <row r="258" spans="1:16" ht="20.100000000000001" customHeight="1">
      <c r="H258" s="290" t="s">
        <v>2063</v>
      </c>
      <c r="I258" s="290"/>
      <c r="J258" s="290"/>
      <c r="K258" s="290"/>
      <c r="L258" s="667" t="s">
        <v>2064</v>
      </c>
      <c r="M258" s="667"/>
      <c r="N258" s="667"/>
      <c r="O258" s="480" t="s">
        <v>2065</v>
      </c>
      <c r="P258" s="480" t="s">
        <v>2066</v>
      </c>
    </row>
    <row r="259" spans="1:16" ht="20.100000000000001" customHeight="1">
      <c r="A259" s="587" t="s">
        <v>100</v>
      </c>
      <c r="B259" s="587" t="s">
        <v>116</v>
      </c>
      <c r="C259" s="587" t="s">
        <v>117</v>
      </c>
      <c r="D259" s="587" t="s">
        <v>1530</v>
      </c>
      <c r="E259" s="587" t="s">
        <v>2067</v>
      </c>
      <c r="F259" s="587" t="s">
        <v>115</v>
      </c>
      <c r="G259" s="587" t="s">
        <v>2068</v>
      </c>
      <c r="H259" s="668" t="s">
        <v>1531</v>
      </c>
      <c r="I259" s="668" t="s">
        <v>2069</v>
      </c>
      <c r="J259" s="668" t="s">
        <v>2070</v>
      </c>
      <c r="K259" s="668" t="s">
        <v>2071</v>
      </c>
      <c r="L259" s="669" t="s">
        <v>1531</v>
      </c>
      <c r="M259" s="669" t="s">
        <v>2069</v>
      </c>
      <c r="N259" s="669" t="s">
        <v>2070</v>
      </c>
      <c r="O259" s="589" t="s">
        <v>2072</v>
      </c>
      <c r="P259" s="589" t="s">
        <v>2072</v>
      </c>
    </row>
    <row r="260" spans="1:16" ht="20.100000000000001" customHeight="1">
      <c r="A260" s="588" t="s">
        <v>2073</v>
      </c>
      <c r="B260" s="60">
        <v>0.46459999999999901</v>
      </c>
      <c r="C260" s="60">
        <v>0.11520000000000152</v>
      </c>
      <c r="D260" s="154">
        <f>C260/B260</f>
        <v>0.24795523030564307</v>
      </c>
      <c r="E260" s="154">
        <f>D260*0.2/100</f>
        <v>4.9591046061128611E-4</v>
      </c>
      <c r="F260" s="60">
        <v>0.72803078896728668</v>
      </c>
      <c r="G260" s="82">
        <f>F260*1/100</f>
        <v>7.2803078896728664E-3</v>
      </c>
      <c r="H260" s="670">
        <f t="array" ref="H260:I260">ResultIDMS_GS($E$250:$E$256,$G$250:$G$256,D260,E260,F260,G260)</f>
        <v>3.5663316893027779</v>
      </c>
      <c r="I260" s="670">
        <v>5.680677530210386E-2</v>
      </c>
      <c r="J260" s="671">
        <f>I260/H260</f>
        <v>1.5928629261404918E-2</v>
      </c>
      <c r="K260" s="672">
        <f t="array" ref="K260">INDEX(FitIDMS($E$250:$E$256,$G$250:$G$256),5,2)</f>
        <v>0.99918341527218679</v>
      </c>
      <c r="L260" s="673">
        <f t="array" ref="L260:M260">ResultIDMS_MT($E$250:$E$256,$F$250:$F$256,$G$250:$G$256,$H$250:$H$256,D260,E260,F260,G260,$E$244)</f>
        <v>3.59613864039085</v>
      </c>
      <c r="M260" s="674">
        <v>5.2212976845981481E-2</v>
      </c>
      <c r="N260" s="675">
        <f>M260/L260</f>
        <v>1.4519177948130126E-2</v>
      </c>
      <c r="O260" s="161">
        <f t="array" ref="O260">H260/L260</f>
        <v>0.99171140101405197</v>
      </c>
      <c r="P260" s="522">
        <f>I260/M260</f>
        <v>1.0879819296584683</v>
      </c>
    </row>
    <row r="261" spans="1:16" ht="20.100000000000001" customHeight="1">
      <c r="A261" s="588" t="s">
        <v>2074</v>
      </c>
      <c r="B261" s="60">
        <v>0.476799999999999</v>
      </c>
      <c r="C261" s="60">
        <v>0.12340000000000018</v>
      </c>
      <c r="D261" s="154">
        <f>C261/B261</f>
        <v>0.25880872483221568</v>
      </c>
      <c r="E261" s="154">
        <f t="shared" ref="E261:E264" si="11">D261*0.2/100</f>
        <v>5.176174496644314E-4</v>
      </c>
      <c r="F261" s="60">
        <v>0.70878594249201277</v>
      </c>
      <c r="G261" s="60">
        <f t="shared" ref="G261:G264" si="12">F261*1/100</f>
        <v>7.0878594249201279E-3</v>
      </c>
      <c r="H261" s="676">
        <f t="array" ref="H261:I261">ResultIDMS_GS($E$250:$E$256,$G$250:$G$256,D261,E261,F261,G261)</f>
        <v>3.5903065170124133</v>
      </c>
      <c r="I261" s="676">
        <v>5.7296634562187303E-2</v>
      </c>
      <c r="J261" s="677">
        <f t="shared" ref="J261:J264" si="13">I261/H261</f>
        <v>1.5958702771111954E-2</v>
      </c>
      <c r="K261" s="672">
        <f t="array" ref="K261">INDEX(FitIDMS($E$250:$E$256,$G$250:$G$256),5,2)</f>
        <v>0.99918341527218679</v>
      </c>
      <c r="L261" s="673">
        <f t="array" ref="L261:M261">ResultIDMS_MT($E$250:$E$256,$F$250:$F$256,$G$250:$G$256,$H$250:$H$256,D261,E261,F261,G261,$E$244)</f>
        <v>3.610400061693511</v>
      </c>
      <c r="M261" s="674">
        <v>6.5605875273869255E-2</v>
      </c>
      <c r="N261" s="675">
        <f t="shared" ref="N261:N264" si="14">M261/L261</f>
        <v>1.8171358894530889E-2</v>
      </c>
      <c r="O261" s="161">
        <f t="shared" ref="O261:P264" si="15">H261/L261</f>
        <v>0.99443453790778169</v>
      </c>
      <c r="P261" s="522">
        <f t="shared" si="15"/>
        <v>0.87334608863923635</v>
      </c>
    </row>
    <row r="262" spans="1:16" ht="20.100000000000001" customHeight="1">
      <c r="A262" s="588" t="s">
        <v>2075</v>
      </c>
      <c r="B262" s="60">
        <v>0.4825999999999997</v>
      </c>
      <c r="C262" s="60">
        <v>0.12509999999999977</v>
      </c>
      <c r="D262" s="154">
        <f>C262/B262</f>
        <v>0.25922088686282602</v>
      </c>
      <c r="E262" s="154">
        <f t="shared" si="11"/>
        <v>5.1844177372565203E-4</v>
      </c>
      <c r="F262" s="60">
        <v>0.71055920024992181</v>
      </c>
      <c r="G262" s="60">
        <f t="shared" si="12"/>
        <v>7.1055920024992178E-3</v>
      </c>
      <c r="H262" s="676">
        <f t="array" ref="H262:I262">ResultIDMS_GS($E$250:$E$256,$G$250:$G$256,D262,E262,F262,G262)</f>
        <v>3.6081357095374398</v>
      </c>
      <c r="I262" s="676">
        <v>5.7561288215128549E-2</v>
      </c>
      <c r="J262" s="677">
        <f t="shared" si="13"/>
        <v>1.5953193795614707E-2</v>
      </c>
      <c r="K262" s="672">
        <f t="array" ref="K262">INDEX(FitIDMS($E$250:$E$256,$G$250:$G$256),5,2)</f>
        <v>0.99918341527218679</v>
      </c>
      <c r="L262" s="673">
        <f t="array" ref="L262:M262">ResultIDMS_MT($E$250:$E$256,$F$250:$F$256,$G$250:$G$256,$H$250:$H$256,D262,E262,F262,G262,$E$244)</f>
        <v>3.6098942808704848</v>
      </c>
      <c r="M262" s="674">
        <v>8.9288164147772853E-2</v>
      </c>
      <c r="N262" s="675">
        <f t="shared" si="14"/>
        <v>2.4734287821371333E-2</v>
      </c>
      <c r="O262" s="161">
        <f t="shared" si="15"/>
        <v>0.99951284686026287</v>
      </c>
      <c r="P262" s="522">
        <f t="shared" si="15"/>
        <v>0.64466873929521062</v>
      </c>
    </row>
    <row r="263" spans="1:16" ht="20.100000000000001" customHeight="1">
      <c r="A263" s="588" t="s">
        <v>2076</v>
      </c>
      <c r="B263" s="60">
        <v>0.4786999999999999</v>
      </c>
      <c r="C263" s="60">
        <v>0.12490000000000023</v>
      </c>
      <c r="D263" s="154">
        <f>C263/B263</f>
        <v>0.26091497806559488</v>
      </c>
      <c r="E263" s="154">
        <f t="shared" si="11"/>
        <v>5.2182995613118987E-4</v>
      </c>
      <c r="F263" s="60">
        <v>0.69568677383415578</v>
      </c>
      <c r="G263" s="60">
        <f t="shared" si="12"/>
        <v>6.9568677383415574E-3</v>
      </c>
      <c r="H263" s="676">
        <f t="array" ref="H263:I263">ResultIDMS_GS($E$250:$E$256,$G$250:$G$256,D263,E263,F263,G263)</f>
        <v>3.5299888632921079</v>
      </c>
      <c r="I263" s="676">
        <v>5.6535666058625277E-2</v>
      </c>
      <c r="J263" s="677">
        <f t="shared" si="13"/>
        <v>1.6015819949612948E-2</v>
      </c>
      <c r="K263" s="672">
        <f t="array" ref="K263">INDEX(FitIDMS($E$250:$E$256,$G$250:$G$256),5,2)</f>
        <v>0.99918341527218679</v>
      </c>
      <c r="L263" s="673">
        <f t="array" ref="L263:M263">ResultIDMS_MT($E$250:$E$256,$F$250:$F$256,$G$250:$G$256,$H$250:$H$256,D263,E263,F263,G263,$E$244)</f>
        <v>3.5322474212562285</v>
      </c>
      <c r="M263" s="674">
        <v>5.2062386598424631E-2</v>
      </c>
      <c r="N263" s="675">
        <f t="shared" si="14"/>
        <v>1.4739167558061057E-2</v>
      </c>
      <c r="O263" s="161">
        <f t="shared" si="15"/>
        <v>0.99936058896935442</v>
      </c>
      <c r="P263" s="522">
        <f t="shared" si="15"/>
        <v>1.08592152132219</v>
      </c>
    </row>
    <row r="264" spans="1:16" ht="20.100000000000001" customHeight="1">
      <c r="A264" s="589" t="s">
        <v>2077</v>
      </c>
      <c r="B264" s="81">
        <v>0.48189999999999955</v>
      </c>
      <c r="C264" s="81">
        <v>0.12480000000000047</v>
      </c>
      <c r="D264" s="155">
        <f>C264/B264</f>
        <v>0.25897489105623694</v>
      </c>
      <c r="E264" s="155">
        <f t="shared" si="11"/>
        <v>5.1794978211247393E-4</v>
      </c>
      <c r="F264" s="81">
        <v>0.70727130570758412</v>
      </c>
      <c r="G264" s="81">
        <f t="shared" si="12"/>
        <v>7.072713057075841E-3</v>
      </c>
      <c r="H264" s="678">
        <f t="array" ref="H264:I264">ResultIDMS_GS($E$250:$E$256,$G$250:$G$256,D264,E264,F264,G264)</f>
        <v>3.5822895320210102</v>
      </c>
      <c r="I264" s="678">
        <v>5.7187080926807472E-2</v>
      </c>
      <c r="J264" s="679">
        <f t="shared" si="13"/>
        <v>1.5963835534685104E-2</v>
      </c>
      <c r="K264" s="680">
        <f t="array" ref="K264">INDEX(FitIDMS($E$250:$E$256,$G$250:$G$256),5,2)</f>
        <v>0.99918341527218679</v>
      </c>
      <c r="L264" s="681">
        <f t="array" ref="L264:M264">ResultIDMS_MT($E$250:$E$256,$F$250:$F$256,$G$250:$G$256,$H$250:$H$256,D264,E264,F264,G264,$E$244)</f>
        <v>3.6201388396369842</v>
      </c>
      <c r="M264" s="682">
        <v>6.3668213006478305E-2</v>
      </c>
      <c r="N264" s="683">
        <f t="shared" si="14"/>
        <v>1.7587229613785407E-2</v>
      </c>
      <c r="O264" s="202">
        <f t="shared" si="15"/>
        <v>0.9895447911550902</v>
      </c>
      <c r="P264" s="684">
        <f t="shared" si="15"/>
        <v>0.89820458634497291</v>
      </c>
    </row>
    <row r="265" spans="1:16" ht="20.100000000000001" customHeight="1">
      <c r="A265" s="685" t="s">
        <v>2078</v>
      </c>
    </row>
    <row r="267" spans="1:16" ht="20.100000000000001" customHeight="1">
      <c r="A267" s="480" t="s">
        <v>2079</v>
      </c>
    </row>
    <row r="269" spans="1:16" ht="20.100000000000001" customHeight="1">
      <c r="B269" s="588" t="s">
        <v>1653</v>
      </c>
      <c r="F269" s="588" t="s">
        <v>1654</v>
      </c>
    </row>
    <row r="270" spans="1:16" ht="20.100000000000001" customHeight="1">
      <c r="A270" s="587" t="s">
        <v>256</v>
      </c>
      <c r="B270" s="587" t="s">
        <v>2052</v>
      </c>
      <c r="C270" s="587" t="s">
        <v>2080</v>
      </c>
      <c r="D270" s="587" t="s">
        <v>2053</v>
      </c>
      <c r="E270" s="587" t="s">
        <v>117</v>
      </c>
      <c r="F270" s="587" t="s">
        <v>1528</v>
      </c>
      <c r="G270" s="587" t="s">
        <v>2055</v>
      </c>
    </row>
    <row r="271" spans="1:16" ht="20.100000000000001" customHeight="1">
      <c r="A271" s="588" t="s">
        <v>2056</v>
      </c>
      <c r="B271" s="142">
        <v>0</v>
      </c>
      <c r="C271" s="588">
        <f>0.00000000000001</f>
        <v>1E-14</v>
      </c>
      <c r="D271" s="60" t="s">
        <v>2081</v>
      </c>
      <c r="E271" s="60" t="s">
        <v>2081</v>
      </c>
      <c r="F271" s="60">
        <v>3.5894206549118395E-2</v>
      </c>
      <c r="G271" s="82">
        <f>F271*1/100</f>
        <v>3.5894206549118393E-4</v>
      </c>
    </row>
    <row r="272" spans="1:16" ht="20.100000000000001" customHeight="1">
      <c r="A272" s="588" t="s">
        <v>2057</v>
      </c>
      <c r="B272" s="142">
        <v>0.48665436890428887</v>
      </c>
      <c r="C272" s="588">
        <f t="shared" ref="C272:C277" si="16">0.00000000000001</f>
        <v>1E-14</v>
      </c>
      <c r="D272" s="60" t="s">
        <v>2081</v>
      </c>
      <c r="E272" s="60" t="s">
        <v>2081</v>
      </c>
      <c r="F272" s="60">
        <v>0.1715230419508163</v>
      </c>
      <c r="G272" s="60">
        <f t="shared" ref="G272:G277" si="17">F272*1/100</f>
        <v>1.7152304195081631E-3</v>
      </c>
    </row>
    <row r="273" spans="1:16" ht="20.100000000000001" customHeight="1">
      <c r="A273" s="588" t="s">
        <v>2058</v>
      </c>
      <c r="B273" s="142">
        <v>1.3555672782481563</v>
      </c>
      <c r="C273" s="588">
        <f t="shared" si="16"/>
        <v>1E-14</v>
      </c>
      <c r="D273" s="60" t="s">
        <v>2081</v>
      </c>
      <c r="E273" s="60" t="s">
        <v>2081</v>
      </c>
      <c r="F273" s="60">
        <v>0.33635334088335223</v>
      </c>
      <c r="G273" s="60">
        <f t="shared" si="17"/>
        <v>3.3635334088335223E-3</v>
      </c>
    </row>
    <row r="274" spans="1:16" ht="20.100000000000001" customHeight="1">
      <c r="A274" s="588" t="s">
        <v>2059</v>
      </c>
      <c r="B274" s="142">
        <v>2.2170075250462635</v>
      </c>
      <c r="C274" s="588">
        <f t="shared" si="16"/>
        <v>1E-14</v>
      </c>
      <c r="D274" s="60" t="s">
        <v>2081</v>
      </c>
      <c r="E274" s="60" t="s">
        <v>2081</v>
      </c>
      <c r="F274" s="60">
        <v>0.48812568505663134</v>
      </c>
      <c r="G274" s="60">
        <f t="shared" si="17"/>
        <v>4.8812568505663132E-3</v>
      </c>
    </row>
    <row r="275" spans="1:16" ht="20.100000000000001" customHeight="1">
      <c r="A275" s="588" t="s">
        <v>2060</v>
      </c>
      <c r="B275" s="142">
        <v>3.1126900858703683</v>
      </c>
      <c r="C275" s="588">
        <f t="shared" si="16"/>
        <v>1E-14</v>
      </c>
      <c r="D275" s="60" t="s">
        <v>2081</v>
      </c>
      <c r="E275" s="60" t="s">
        <v>2081</v>
      </c>
      <c r="F275" s="60">
        <v>0.62778141361256534</v>
      </c>
      <c r="G275" s="60">
        <f t="shared" si="17"/>
        <v>6.2778141361256538E-3</v>
      </c>
    </row>
    <row r="276" spans="1:16" ht="20.100000000000001" customHeight="1">
      <c r="A276" s="588" t="s">
        <v>2061</v>
      </c>
      <c r="B276" s="142">
        <v>3.929928317527664</v>
      </c>
      <c r="C276" s="588">
        <f t="shared" si="16"/>
        <v>1E-14</v>
      </c>
      <c r="D276" s="60" t="s">
        <v>2081</v>
      </c>
      <c r="E276" s="60" t="s">
        <v>2081</v>
      </c>
      <c r="F276" s="60">
        <v>0.75747981636852935</v>
      </c>
      <c r="G276" s="60">
        <f t="shared" si="17"/>
        <v>7.5747981636852934E-3</v>
      </c>
    </row>
    <row r="277" spans="1:16" ht="20.100000000000001" customHeight="1">
      <c r="A277" s="589" t="s">
        <v>2062</v>
      </c>
      <c r="B277" s="143">
        <v>4.8552164420545596</v>
      </c>
      <c r="C277" s="589">
        <f t="shared" si="16"/>
        <v>1E-14</v>
      </c>
      <c r="D277" s="81" t="s">
        <v>2081</v>
      </c>
      <c r="E277" s="81" t="s">
        <v>2081</v>
      </c>
      <c r="F277" s="81">
        <v>0.87926470588235295</v>
      </c>
      <c r="G277" s="81">
        <f t="shared" si="17"/>
        <v>8.79264705882353E-3</v>
      </c>
    </row>
    <row r="279" spans="1:16" ht="20.100000000000001" customHeight="1">
      <c r="H279" s="290" t="s">
        <v>2063</v>
      </c>
      <c r="I279" s="290"/>
      <c r="J279" s="290"/>
      <c r="K279" s="290"/>
      <c r="L279" s="667" t="s">
        <v>2064</v>
      </c>
      <c r="M279" s="667"/>
      <c r="N279" s="667"/>
      <c r="O279" s="480" t="s">
        <v>2065</v>
      </c>
      <c r="P279" s="480" t="s">
        <v>2066</v>
      </c>
    </row>
    <row r="280" spans="1:16" ht="20.100000000000001" customHeight="1">
      <c r="A280" s="587" t="s">
        <v>100</v>
      </c>
      <c r="B280" s="587" t="s">
        <v>116</v>
      </c>
      <c r="C280" s="587" t="s">
        <v>117</v>
      </c>
      <c r="D280" s="587" t="s">
        <v>1530</v>
      </c>
      <c r="E280" s="587" t="s">
        <v>2067</v>
      </c>
      <c r="F280" s="587" t="s">
        <v>115</v>
      </c>
      <c r="G280" s="587" t="s">
        <v>2068</v>
      </c>
      <c r="H280" s="668" t="s">
        <v>1531</v>
      </c>
      <c r="I280" s="668" t="s">
        <v>2069</v>
      </c>
      <c r="J280" s="668" t="s">
        <v>2070</v>
      </c>
      <c r="K280" s="668" t="s">
        <v>2071</v>
      </c>
      <c r="L280" s="669" t="s">
        <v>1531</v>
      </c>
      <c r="M280" s="669" t="s">
        <v>2069</v>
      </c>
      <c r="N280" s="669" t="s">
        <v>2070</v>
      </c>
      <c r="O280" s="589" t="s">
        <v>2072</v>
      </c>
      <c r="P280" s="589" t="s">
        <v>2072</v>
      </c>
    </row>
    <row r="281" spans="1:16" ht="20.100000000000001" customHeight="1">
      <c r="A281" s="588" t="s">
        <v>2073</v>
      </c>
      <c r="B281" s="60" t="s">
        <v>2081</v>
      </c>
      <c r="C281" s="60" t="s">
        <v>2081</v>
      </c>
      <c r="D281" s="170">
        <v>1</v>
      </c>
      <c r="E281" s="588">
        <f t="shared" ref="E281:E285" si="18">0.00000000000001</f>
        <v>1E-14</v>
      </c>
      <c r="F281" s="60">
        <v>0.72803078896728668</v>
      </c>
      <c r="G281" s="82">
        <f>F281*1/100</f>
        <v>7.2803078896728664E-3</v>
      </c>
      <c r="H281" s="670">
        <f t="array" ref="H281:I281">ResultIDMS_GS($B$271:$B$277,$F$271:$F$277,D281,E281,F281,G281)</f>
        <v>3.7388228734864231</v>
      </c>
      <c r="I281" s="670">
        <v>5.9831147723822697E-2</v>
      </c>
      <c r="J281" s="671">
        <f>I281/H281</f>
        <v>1.6002669756866716E-2</v>
      </c>
      <c r="K281" s="672">
        <f t="array" ref="K281">INDEX(FitIDMS($B$271:$B$277,$F$271:$F$277),5,2)</f>
        <v>0.99914433338103725</v>
      </c>
      <c r="L281" s="673">
        <f t="array" ref="L281:M281">ResultIDMS_MT($B$271:$B$277,$C$271:$C$277,$F$271:$F$277,$G$271:$G$277,D281,E281,F281,G281,$E$244)</f>
        <v>3.7887334515449851</v>
      </c>
      <c r="M281" s="674">
        <v>3.8977324163916298E-2</v>
      </c>
      <c r="N281" s="675">
        <f>M281/L281</f>
        <v>1.0287692354821626E-2</v>
      </c>
      <c r="O281" s="161">
        <f>H281/L281</f>
        <v>0.98682657972726762</v>
      </c>
      <c r="P281" s="522">
        <f>I281/M281</f>
        <v>1.5350245048173949</v>
      </c>
    </row>
    <row r="282" spans="1:16" ht="20.100000000000001" customHeight="1">
      <c r="A282" s="588" t="s">
        <v>2074</v>
      </c>
      <c r="B282" s="60" t="s">
        <v>2081</v>
      </c>
      <c r="C282" s="60" t="s">
        <v>2081</v>
      </c>
      <c r="D282" s="170">
        <v>1</v>
      </c>
      <c r="E282" s="588">
        <f t="shared" si="18"/>
        <v>1E-14</v>
      </c>
      <c r="F282" s="60">
        <v>0.70878594249201277</v>
      </c>
      <c r="G282" s="60">
        <f t="shared" ref="G282:G285" si="19">F282*1/100</f>
        <v>7.0878594249201279E-3</v>
      </c>
      <c r="H282" s="676">
        <f t="array" ref="H282:I282">ResultIDMS_GS($B$271:$B$277,$F$271:$F$277,D282,E282,F282,G282)</f>
        <v>3.60510785957403</v>
      </c>
      <c r="I282" s="676">
        <v>5.7811330597770785E-2</v>
      </c>
      <c r="J282" s="677">
        <f t="shared" ref="J282:J285" si="20">I282/H282</f>
        <v>1.6035950337586188E-2</v>
      </c>
      <c r="K282" s="672">
        <f t="array" ref="K282">INDEX(FitIDMS($B$271:$B$277,$F$271:$F$277),5,2)</f>
        <v>0.99914433338103725</v>
      </c>
      <c r="L282" s="673">
        <f t="array" ref="L282:M282">ResultIDMS_MT($B$271:$B$277,$C$271:$C$277,$F$271:$F$277,$G$271:$G$277,D282,E282,F282,G282,$E$244)</f>
        <v>3.6069519549722231</v>
      </c>
      <c r="M282" s="674">
        <v>9.5459951210616747E-2</v>
      </c>
      <c r="N282" s="675">
        <f t="shared" ref="N282:N285" si="21">M282/L282</f>
        <v>2.6465545536037471E-2</v>
      </c>
      <c r="O282" s="161">
        <f t="shared" ref="O282:P285" si="22">H282/L282</f>
        <v>0.99948873857450449</v>
      </c>
      <c r="P282" s="522">
        <f t="shared" si="22"/>
        <v>0.60560821438321866</v>
      </c>
    </row>
    <row r="283" spans="1:16" ht="20.100000000000001" customHeight="1">
      <c r="A283" s="588" t="s">
        <v>2075</v>
      </c>
      <c r="B283" s="60" t="s">
        <v>2081</v>
      </c>
      <c r="C283" s="60" t="s">
        <v>2081</v>
      </c>
      <c r="D283" s="170">
        <v>1</v>
      </c>
      <c r="E283" s="588">
        <f t="shared" si="18"/>
        <v>1E-14</v>
      </c>
      <c r="F283" s="60">
        <v>0.71055920024992181</v>
      </c>
      <c r="G283" s="60">
        <f t="shared" si="19"/>
        <v>7.1055920024992178E-3</v>
      </c>
      <c r="H283" s="676">
        <f t="array" ref="H283:I283">ResultIDMS_GS($B$271:$B$277,$F$271:$F$277,D283,E283,F283,G283)</f>
        <v>3.6173426173722492</v>
      </c>
      <c r="I283" s="676">
        <v>5.7986072748659925E-2</v>
      </c>
      <c r="J283" s="677">
        <f t="shared" si="20"/>
        <v>1.6030019514928565E-2</v>
      </c>
      <c r="K283" s="672">
        <f t="array" ref="K283">INDEX(FitIDMS($B$271:$B$277,$F$271:$F$277),5,2)</f>
        <v>0.99914433338103725</v>
      </c>
      <c r="L283" s="673">
        <f t="array" ref="L283:M283">ResultIDMS_MT($B$271:$B$277,$C$271:$C$277,$F$271:$F$277,$G$271:$G$277,D283,E283,F283,G283,$E$244)</f>
        <v>3.6189746189104488</v>
      </c>
      <c r="M283" s="674">
        <v>5.1514480106939008E-2</v>
      </c>
      <c r="N283" s="675">
        <f t="shared" si="21"/>
        <v>1.4234551366499575E-2</v>
      </c>
      <c r="O283" s="161">
        <f t="shared" si="22"/>
        <v>0.99954904311025783</v>
      </c>
      <c r="P283" s="522">
        <f t="shared" si="22"/>
        <v>1.1256266709532257</v>
      </c>
    </row>
    <row r="284" spans="1:16" ht="20.100000000000001" customHeight="1">
      <c r="A284" s="588" t="s">
        <v>2076</v>
      </c>
      <c r="B284" s="60" t="s">
        <v>2081</v>
      </c>
      <c r="C284" s="60" t="s">
        <v>2081</v>
      </c>
      <c r="D284" s="170">
        <v>1</v>
      </c>
      <c r="E284" s="588">
        <f t="shared" si="18"/>
        <v>1E-14</v>
      </c>
      <c r="F284" s="60">
        <v>0.69568677383415578</v>
      </c>
      <c r="G284" s="60">
        <f t="shared" si="19"/>
        <v>6.9568677383415574E-3</v>
      </c>
      <c r="H284" s="676">
        <f t="array" ref="H284:I284">ResultIDMS_GS($B$271:$B$277,$F$271:$F$277,D284,E284,F284,G284)</f>
        <v>3.5152627820454159</v>
      </c>
      <c r="I284" s="676">
        <v>5.6584913887021644E-2</v>
      </c>
      <c r="J284" s="677">
        <f t="shared" si="20"/>
        <v>1.60969228747379E-2</v>
      </c>
      <c r="K284" s="672">
        <f t="array" ref="K284">INDEX(FitIDMS($B$271:$B$277,$F$271:$F$277),5,2)</f>
        <v>0.99914433338103725</v>
      </c>
      <c r="L284" s="673">
        <f t="array" ref="L284:M284">ResultIDMS_MT($B$271:$B$277,$C$271:$C$277,$F$271:$F$277,$G$271:$G$277,D284,E284,F284,G284,$E$244)</f>
        <v>3.5026183778272335</v>
      </c>
      <c r="M284" s="674">
        <v>6.94996847881241E-2</v>
      </c>
      <c r="N284" s="675">
        <f t="shared" si="21"/>
        <v>1.9842208682533263E-2</v>
      </c>
      <c r="O284" s="161">
        <f t="shared" si="22"/>
        <v>1.0036099862600578</v>
      </c>
      <c r="P284" s="522">
        <f t="shared" si="22"/>
        <v>0.81417511546312371</v>
      </c>
    </row>
    <row r="285" spans="1:16" ht="20.100000000000001" customHeight="1">
      <c r="A285" s="589" t="s">
        <v>2077</v>
      </c>
      <c r="B285" s="81" t="s">
        <v>2081</v>
      </c>
      <c r="C285" s="81" t="s">
        <v>2081</v>
      </c>
      <c r="D285" s="172">
        <v>1</v>
      </c>
      <c r="E285" s="589">
        <f t="shared" si="18"/>
        <v>1E-14</v>
      </c>
      <c r="F285" s="81">
        <v>0.70727130570758412</v>
      </c>
      <c r="G285" s="81">
        <f t="shared" si="19"/>
        <v>7.072713057075841E-3</v>
      </c>
      <c r="H285" s="678">
        <f t="array" ref="H285:I285">ResultIDMS_GS($B$271:$B$277,$F$271:$F$277,D285,E285,F285,G285)</f>
        <v>3.5946711912292768</v>
      </c>
      <c r="I285" s="678">
        <v>5.7663784325543282E-2</v>
      </c>
      <c r="J285" s="679">
        <f t="shared" si="20"/>
        <v>1.604146283705684E-2</v>
      </c>
      <c r="K285" s="680">
        <f t="array" ref="K285">INDEX(FitIDMS($B$271:$B$277,$F$271:$F$277),5,2)</f>
        <v>0.99914433338103725</v>
      </c>
      <c r="L285" s="681">
        <f t="array" ref="L285:M285">ResultIDMS_MT($B$271:$B$277,$C$271:$C$277,$F$271:$F$277,$G$271:$G$277,D285,E285,F285,G285,$E$244)</f>
        <v>3.5897689965282993</v>
      </c>
      <c r="M285" s="682">
        <v>6.6275029111800138E-2</v>
      </c>
      <c r="N285" s="683">
        <f t="shared" si="21"/>
        <v>1.8462198870148851E-2</v>
      </c>
      <c r="O285" s="202">
        <f t="shared" si="22"/>
        <v>1.0013656017157979</v>
      </c>
      <c r="P285" s="684">
        <f t="shared" si="22"/>
        <v>0.87006803464800531</v>
      </c>
    </row>
    <row r="286" spans="1:16" ht="20.100000000000001" customHeight="1">
      <c r="A286" s="685" t="s">
        <v>2078</v>
      </c>
    </row>
    <row r="288" spans="1:16" s="149" customFormat="1" ht="20.100000000000001" customHeight="1">
      <c r="A288" s="150" t="s">
        <v>2084</v>
      </c>
    </row>
    <row r="290" spans="1:7" ht="20.100000000000001" customHeight="1">
      <c r="A290" s="588" t="s">
        <v>1964</v>
      </c>
    </row>
    <row r="291" spans="1:7" ht="20.100000000000001" customHeight="1">
      <c r="A291" s="588" t="s">
        <v>1965</v>
      </c>
    </row>
    <row r="293" spans="1:7" ht="20.100000000000001" customHeight="1">
      <c r="A293" s="588" t="s">
        <v>2085</v>
      </c>
    </row>
    <row r="295" spans="1:7" ht="20.100000000000001" customHeight="1">
      <c r="A295" s="588" t="s">
        <v>2086</v>
      </c>
    </row>
    <row r="296" spans="1:7" ht="20.100000000000001" customHeight="1">
      <c r="A296" s="588" t="s">
        <v>2088</v>
      </c>
    </row>
    <row r="298" spans="1:7" ht="20.100000000000001" customHeight="1">
      <c r="A298" s="588" t="s">
        <v>2087</v>
      </c>
    </row>
    <row r="299" spans="1:7" ht="20.100000000000001" customHeight="1">
      <c r="A299" s="588" t="s">
        <v>2089</v>
      </c>
    </row>
    <row r="301" spans="1:7" ht="20.100000000000001" customHeight="1">
      <c r="E301" s="480" t="s">
        <v>2199</v>
      </c>
    </row>
    <row r="302" spans="1:7" ht="20.100000000000001" customHeight="1">
      <c r="A302" s="587" t="s">
        <v>184</v>
      </c>
      <c r="B302" s="164" t="s">
        <v>229</v>
      </c>
      <c r="C302" s="164" t="s">
        <v>230</v>
      </c>
      <c r="E302" s="588" t="s">
        <v>238</v>
      </c>
      <c r="F302" s="588" t="s">
        <v>236</v>
      </c>
      <c r="G302" s="588" t="s">
        <v>235</v>
      </c>
    </row>
    <row r="303" spans="1:7" ht="20.100000000000001" customHeight="1">
      <c r="A303" s="588" t="s">
        <v>1582</v>
      </c>
      <c r="B303" s="154">
        <v>3.9871278515705835E-2</v>
      </c>
      <c r="C303" s="60">
        <v>4.6203279152088488E-2</v>
      </c>
      <c r="E303" s="627" cm="1">
        <f t="array" ref="E303:G307">LINEST(C303:C307,B303:B307^{1,2},TRUE,TRUE)</f>
        <v>-2.6062999863542984E-2</v>
      </c>
      <c r="F303" s="82">
        <v>1.1040994194341671</v>
      </c>
      <c r="G303" s="628">
        <v>1.4865823322031105E-3</v>
      </c>
    </row>
    <row r="304" spans="1:7" ht="20.100000000000001" customHeight="1">
      <c r="A304" s="588" t="s">
        <v>1582</v>
      </c>
      <c r="B304" s="154">
        <v>5.9502193041810973E-2</v>
      </c>
      <c r="C304" s="60">
        <v>6.574611146892223E-2</v>
      </c>
      <c r="E304" s="613">
        <v>0.37833761764675911</v>
      </c>
      <c r="F304" s="80">
        <v>7.6205445677874559E-2</v>
      </c>
      <c r="G304" s="618">
        <v>3.2873612624677497E-3</v>
      </c>
    </row>
    <row r="305" spans="1:9" ht="20.100000000000001" customHeight="1">
      <c r="A305" s="588" t="s">
        <v>1582</v>
      </c>
      <c r="B305" s="154">
        <v>7.8504902585699005E-2</v>
      </c>
      <c r="C305" s="60">
        <v>8.8283912847201246E-2</v>
      </c>
      <c r="E305" s="613">
        <v>0.99973674040764449</v>
      </c>
      <c r="F305" s="80">
        <v>1.1778583056671651E-3</v>
      </c>
      <c r="G305" s="606" t="e">
        <v>#N/A</v>
      </c>
    </row>
    <row r="306" spans="1:9" ht="20.100000000000001" customHeight="1">
      <c r="A306" s="588" t="s">
        <v>1582</v>
      </c>
      <c r="B306" s="154">
        <v>0.11529048995091694</v>
      </c>
      <c r="C306" s="60">
        <v>0.12897843018025509</v>
      </c>
      <c r="E306" s="781">
        <v>3797.5320536758891</v>
      </c>
      <c r="F306" s="593">
        <v>2</v>
      </c>
      <c r="G306" s="606" t="e">
        <v>#N/A</v>
      </c>
    </row>
    <row r="307" spans="1:9" ht="20.100000000000001" customHeight="1">
      <c r="A307" s="589" t="s">
        <v>1582</v>
      </c>
      <c r="B307" s="155">
        <v>0.15716124075974164</v>
      </c>
      <c r="C307" s="81">
        <v>0.17414587554170829</v>
      </c>
      <c r="D307" s="593"/>
      <c r="E307" s="614">
        <v>1.053701361894676E-2</v>
      </c>
      <c r="F307" s="782">
        <v>2.7747003764582499E-6</v>
      </c>
      <c r="G307" s="608" t="e">
        <v>#N/A</v>
      </c>
    </row>
    <row r="309" spans="1:9" ht="20.100000000000001" customHeight="1">
      <c r="A309" s="587" t="s">
        <v>184</v>
      </c>
      <c r="B309" s="164" t="s">
        <v>230</v>
      </c>
      <c r="C309" s="164" t="s">
        <v>2197</v>
      </c>
      <c r="D309" s="164" t="s">
        <v>2198</v>
      </c>
      <c r="E309" s="587" t="s">
        <v>2023</v>
      </c>
    </row>
    <row r="310" spans="1:9" ht="20.100000000000001" customHeight="1">
      <c r="A310" s="590" t="s">
        <v>187</v>
      </c>
      <c r="B310" s="82">
        <v>8.5842261940294887E-2</v>
      </c>
      <c r="C310" s="142" cm="1">
        <f t="array" ref="C310:D310">ResultEXQD(B303:B307,C303:C307,B310)</f>
        <v>7.6540542475738452E-2</v>
      </c>
      <c r="D310" s="142">
        <v>42.286173850144323</v>
      </c>
      <c r="E310" s="590" t="s">
        <v>2196</v>
      </c>
      <c r="F310" s="590"/>
    </row>
    <row r="311" spans="1:9" ht="20.100000000000001" customHeight="1">
      <c r="A311" s="589" t="s">
        <v>187</v>
      </c>
      <c r="B311" s="81">
        <v>8.5842261940294887E-2</v>
      </c>
      <c r="C311" s="143">
        <f>(-F303+SQRT(F303^2-4*E303*(G303-B311)))/(2*E303)</f>
        <v>7.6540542475738452E-2</v>
      </c>
      <c r="D311" s="143">
        <f>(-F303-SQRT(F303^2-4*E303*(G303-B311)))/(2*E303)</f>
        <v>42.28617385014433</v>
      </c>
      <c r="E311" s="589" t="s">
        <v>2195</v>
      </c>
      <c r="F311" s="589"/>
      <c r="H311" s="588" t="b">
        <f>C311=C310</f>
        <v>1</v>
      </c>
      <c r="I311" s="588" t="b">
        <f>D311=D310</f>
        <v>1</v>
      </c>
    </row>
    <row r="313" spans="1:9" s="259" customFormat="1" ht="20.100000000000001" customHeight="1"/>
    <row r="314" spans="1:9" ht="20.100000000000001" customHeight="1">
      <c r="F314" s="780"/>
    </row>
  </sheetData>
  <sheetProtection sheet="1" objects="1" scenarios="1"/>
  <mergeCells count="10">
    <mergeCell ref="C92:E95"/>
    <mergeCell ref="G93:H93"/>
    <mergeCell ref="G94:H94"/>
    <mergeCell ref="A22:I22"/>
    <mergeCell ref="J22:X22"/>
    <mergeCell ref="A70:L70"/>
    <mergeCell ref="M70:Q70"/>
    <mergeCell ref="C87:E90"/>
    <mergeCell ref="G88:H88"/>
    <mergeCell ref="G89:H89"/>
  </mergeCells>
  <phoneticPr fontId="55" type="noConversion"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DSMT4" shapeId="5122" r:id="rId4">
          <objectPr defaultSize="0" autoPict="0" r:id="rId5">
            <anchor moveWithCells="1" sizeWithCells="1">
              <from>
                <xdr:col>0</xdr:col>
                <xdr:colOff>190500</xdr:colOff>
                <xdr:row>34</xdr:row>
                <xdr:rowOff>99060</xdr:rowOff>
              </from>
              <to>
                <xdr:col>3</xdr:col>
                <xdr:colOff>647700</xdr:colOff>
                <xdr:row>40</xdr:row>
                <xdr:rowOff>83820</xdr:rowOff>
              </to>
            </anchor>
          </objectPr>
        </oleObject>
      </mc:Choice>
      <mc:Fallback>
        <oleObject progId="Equation.DSMT4" shapeId="5122" r:id="rId4"/>
      </mc:Fallback>
    </mc:AlternateContent>
    <mc:AlternateContent xmlns:mc="http://schemas.openxmlformats.org/markup-compatibility/2006">
      <mc:Choice Requires="x14">
        <oleObject progId="Equation.DSMT4" shapeId="5123" r:id="rId6">
          <objectPr defaultSize="0" autoPict="0" r:id="rId7">
            <anchor moveWithCells="1">
              <from>
                <xdr:col>0</xdr:col>
                <xdr:colOff>99060</xdr:colOff>
                <xdr:row>76</xdr:row>
                <xdr:rowOff>121920</xdr:rowOff>
              </from>
              <to>
                <xdr:col>4</xdr:col>
                <xdr:colOff>198120</xdr:colOff>
                <xdr:row>79</xdr:row>
                <xdr:rowOff>68580</xdr:rowOff>
              </to>
            </anchor>
          </objectPr>
        </oleObject>
      </mc:Choice>
      <mc:Fallback>
        <oleObject progId="Equation.DSMT4" shapeId="5123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33</vt:i4>
      </vt:variant>
    </vt:vector>
  </HeadingPairs>
  <TitlesOfParts>
    <vt:vector size="41" baseType="lpstr">
      <vt:lpstr>RND</vt:lpstr>
      <vt:lpstr>UNITS</vt:lpstr>
      <vt:lpstr>SHORT_HOM</vt:lpstr>
      <vt:lpstr>CHAR_HOM</vt:lpstr>
      <vt:lpstr>LONG</vt:lpstr>
      <vt:lpstr>CERT</vt:lpstr>
      <vt:lpstr>RAW_DATA</vt:lpstr>
      <vt:lpstr>SOFTWARE</vt:lpstr>
      <vt:lpstr>dLNSW</vt:lpstr>
      <vt:lpstr>dMOOS3</vt:lpstr>
      <vt:lpstr>dMOOS4</vt:lpstr>
      <vt:lpstr>dSALT1</vt:lpstr>
      <vt:lpstr>m_efft_NO2_u</vt:lpstr>
      <vt:lpstr>m_efft_NO2_v</vt:lpstr>
      <vt:lpstr>m_efft_PO4_u</vt:lpstr>
      <vt:lpstr>m_efft_PO4_v</vt:lpstr>
      <vt:lpstr>m_efft_SiO2_u</vt:lpstr>
      <vt:lpstr>m_efft_SiO2_v</vt:lpstr>
      <vt:lpstr>MC</vt:lpstr>
      <vt:lpstr>MM_N</vt:lpstr>
      <vt:lpstr>MM_NO2</vt:lpstr>
      <vt:lpstr>MM_NO3</vt:lpstr>
      <vt:lpstr>MM_O</vt:lpstr>
      <vt:lpstr>MM_P</vt:lpstr>
      <vt:lpstr>MM_PO4</vt:lpstr>
      <vt:lpstr>MM_Si</vt:lpstr>
      <vt:lpstr>MM_SiO2</vt:lpstr>
      <vt:lpstr>pNO2u</vt:lpstr>
      <vt:lpstr>pNO2v</vt:lpstr>
      <vt:lpstr>pNO3u</vt:lpstr>
      <vt:lpstr>pNO3v</vt:lpstr>
      <vt:lpstr>pPO4u</vt:lpstr>
      <vt:lpstr>pPO4v</vt:lpstr>
      <vt:lpstr>CERT!Print_Area</vt:lpstr>
      <vt:lpstr>CHAR_HOM!Print_Area</vt:lpstr>
      <vt:lpstr>LONG!Print_Area</vt:lpstr>
      <vt:lpstr>pSiO2u</vt:lpstr>
      <vt:lpstr>pSiO2v</vt:lpstr>
      <vt:lpstr>u_m1</vt:lpstr>
      <vt:lpstr>u_m2</vt:lpstr>
      <vt:lpstr>u_m3</vt:lpstr>
    </vt:vector>
  </TitlesOfParts>
  <Company>NRC-CNRC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Pagliano, Enea</dc:creator>
  <cp:lastModifiedBy>Pagliano, Enea</cp:lastModifiedBy>
  <cp:lastPrinted>2024-05-10T19:20:29Z</cp:lastPrinted>
  <dcterms:created xsi:type="dcterms:W3CDTF">2015-08-25T16:35:59Z</dcterms:created>
  <dcterms:modified xsi:type="dcterms:W3CDTF">2025-02-14T13:41:11Z</dcterms:modified>
</cp:coreProperties>
</file>