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d365-my.sharepoint.com/personal/nnadalalemany_tudelft_nl/Documents/OneDrive Natalia/copy Natalia 18-04-2024/4. Dissemination/4. Papers/1. Design of medium without yeast extract/Data/"/>
    </mc:Choice>
  </mc:AlternateContent>
  <xr:revisionPtr revIDLastSave="1136" documentId="13_ncr:1_{8455C4F3-4EFE-4FC1-8EFB-B97A8255AB17}" xr6:coauthVersionLast="47" xr6:coauthVersionMax="47" xr10:uidLastSave="{C0D76E37-6C73-4347-A962-504F17630CB6}"/>
  <bookViews>
    <workbookView xWindow="-110" yWindow="-110" windowWidth="19420" windowHeight="10420" xr2:uid="{487DF064-8E2D-4733-8477-628F8D7B0CAA}"/>
  </bookViews>
  <sheets>
    <sheet name="All media" sheetId="1" r:id="rId1"/>
    <sheet name="Sour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0" i="1" l="1"/>
  <c r="I71" i="1"/>
  <c r="I70" i="1"/>
  <c r="I28" i="1"/>
  <c r="I53" i="1"/>
  <c r="I45" i="1"/>
  <c r="I43" i="1"/>
  <c r="I20" i="1"/>
  <c r="I19" i="1"/>
  <c r="I18" i="1"/>
  <c r="I37" i="1"/>
  <c r="AC37" i="1" l="1"/>
  <c r="AC20" i="1"/>
  <c r="AC19" i="1"/>
  <c r="AC18" i="1"/>
  <c r="AC53" i="1"/>
  <c r="AC28" i="1"/>
  <c r="AC45" i="1"/>
  <c r="AC43" i="1"/>
  <c r="AC71" i="1"/>
  <c r="AC70" i="1"/>
  <c r="U63" i="1" l="1"/>
  <c r="T64" i="1"/>
  <c r="V57" i="1"/>
  <c r="AA18" i="1"/>
  <c r="AA20" i="1"/>
  <c r="AA2" i="1"/>
  <c r="Z2" i="1"/>
  <c r="Y20" i="1"/>
  <c r="Y18" i="1"/>
  <c r="J19" i="1"/>
  <c r="J18" i="1"/>
  <c r="J16" i="1"/>
  <c r="J8" i="1"/>
  <c r="J13" i="1"/>
  <c r="W20" i="1"/>
  <c r="W66" i="1"/>
  <c r="W64" i="1"/>
  <c r="W63" i="1"/>
  <c r="W61" i="1"/>
  <c r="W58" i="1"/>
  <c r="W47" i="1"/>
  <c r="W32" i="1"/>
  <c r="P32" i="1"/>
  <c r="P64" i="1"/>
  <c r="P66" i="1"/>
  <c r="P58" i="1"/>
  <c r="P63" i="1"/>
  <c r="P47" i="1"/>
  <c r="P61" i="1"/>
  <c r="Q66" i="1"/>
  <c r="Q64" i="1"/>
  <c r="Q63" i="1"/>
  <c r="Q61" i="1"/>
  <c r="Q58" i="1"/>
  <c r="Q47" i="1"/>
  <c r="Q32" i="1"/>
  <c r="Q18" i="1"/>
  <c r="Q19" i="1"/>
  <c r="Q20" i="1"/>
  <c r="I15" i="1"/>
  <c r="O74" i="1"/>
  <c r="O18" i="1"/>
  <c r="O19" i="1"/>
  <c r="O20" i="1"/>
  <c r="E15" i="1"/>
  <c r="AD71" i="1" l="1"/>
  <c r="AD70" i="1"/>
  <c r="U32" i="1"/>
  <c r="U35" i="1"/>
  <c r="U34" i="1"/>
  <c r="U61" i="1"/>
  <c r="U65" i="1"/>
  <c r="U59" i="1"/>
  <c r="U54" i="1"/>
  <c r="U48" i="1"/>
  <c r="T32" i="1"/>
  <c r="T66" i="1"/>
  <c r="T58" i="1"/>
  <c r="T63" i="1"/>
  <c r="T47" i="1"/>
  <c r="T61" i="1"/>
  <c r="AC74" i="1"/>
  <c r="AC3" i="1"/>
  <c r="J20" i="1"/>
  <c r="AB27" i="1"/>
  <c r="AB18" i="1"/>
  <c r="AB26" i="1"/>
  <c r="AB25" i="1"/>
  <c r="AB24" i="1"/>
  <c r="AB23" i="1"/>
  <c r="AB19" i="1"/>
  <c r="AB22" i="1"/>
  <c r="AB21" i="1"/>
  <c r="AB20" i="1"/>
  <c r="AB36" i="1"/>
  <c r="AB34" i="1"/>
  <c r="AB64" i="1"/>
  <c r="AB32" i="1"/>
  <c r="AB63" i="1"/>
  <c r="AB69" i="1"/>
  <c r="AB67" i="1"/>
  <c r="AB62" i="1"/>
  <c r="AB51" i="1"/>
  <c r="AB60" i="1"/>
  <c r="AB53" i="1"/>
  <c r="AB28" i="1"/>
  <c r="AB45" i="1"/>
  <c r="AB43" i="1"/>
  <c r="AB40" i="1"/>
  <c r="Z18" i="1"/>
  <c r="Z20" i="1"/>
  <c r="X18" i="1"/>
  <c r="X20" i="1"/>
  <c r="R66" i="1"/>
  <c r="R64" i="1"/>
  <c r="R32" i="1"/>
  <c r="R63" i="1"/>
  <c r="R61" i="1"/>
  <c r="R47" i="1"/>
  <c r="R58" i="1"/>
  <c r="R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Natalia Nadal Alemany</author>
  </authors>
  <commentList>
    <comment ref="Z77" authorId="0" shapeId="0" xr:uid="{EF6834CB-4A6B-416F-9969-D388A1644DD6}">
      <text>
        <r>
          <rPr>
            <b/>
            <sz val="9"/>
            <color indexed="81"/>
            <rFont val="Tahoma"/>
            <family val="2"/>
          </rPr>
          <t>Natalia Nadal Alemany:</t>
        </r>
        <r>
          <rPr>
            <sz val="9"/>
            <color indexed="81"/>
            <rFont val="Tahoma"/>
            <family val="2"/>
          </rPr>
          <t xml:space="preserve">
silicone MS antifoam emulsion (Hopkin and Williams Ltd.)</t>
        </r>
      </text>
    </comment>
  </commentList>
</comments>
</file>

<file path=xl/sharedStrings.xml><?xml version="1.0" encoding="utf-8"?>
<sst xmlns="http://schemas.openxmlformats.org/spreadsheetml/2006/main" count="376" uniqueCount="242">
  <si>
    <t>Glucose</t>
  </si>
  <si>
    <t>Glycerol</t>
  </si>
  <si>
    <t>Yeast extract</t>
  </si>
  <si>
    <t>g/L</t>
  </si>
  <si>
    <t>Agar</t>
  </si>
  <si>
    <t>Peptone</t>
  </si>
  <si>
    <t>Soluble starch</t>
  </si>
  <si>
    <t>NaCl</t>
  </si>
  <si>
    <t>PABA</t>
  </si>
  <si>
    <t>Thiamine</t>
  </si>
  <si>
    <t>Biotin</t>
  </si>
  <si>
    <t>Beef extract</t>
  </si>
  <si>
    <t>pH</t>
  </si>
  <si>
    <t>Antifoam Sigma A6426</t>
  </si>
  <si>
    <t>Tryptone</t>
  </si>
  <si>
    <t>Asparagine</t>
  </si>
  <si>
    <t>Compound</t>
  </si>
  <si>
    <t>Unit</t>
  </si>
  <si>
    <t>nucleotides, proteins, aa, sugars, trace elements</t>
  </si>
  <si>
    <t>peptides, aa, organic acids, nucleotides, minerals, vitamins</t>
  </si>
  <si>
    <t>Solid plate</t>
  </si>
  <si>
    <t>peptides, aa, inorganic salts, lipids, vitamins, sugars</t>
  </si>
  <si>
    <t>aa, peptides</t>
  </si>
  <si>
    <t>Na, Cl</t>
  </si>
  <si>
    <t>Na, C</t>
  </si>
  <si>
    <t>Mg, S</t>
  </si>
  <si>
    <t>Mn, S</t>
  </si>
  <si>
    <t>involved in folic acid metabolism (vitB), and DNA production</t>
  </si>
  <si>
    <t>vit B7</t>
  </si>
  <si>
    <t>aa</t>
  </si>
  <si>
    <t>N, C</t>
  </si>
  <si>
    <t>pH buffer</t>
  </si>
  <si>
    <t>N, S</t>
  </si>
  <si>
    <t>N, Cl</t>
  </si>
  <si>
    <t>Ca, Cl</t>
  </si>
  <si>
    <t>Co, Cl</t>
  </si>
  <si>
    <t>Ni, Cl</t>
  </si>
  <si>
    <t>Cu, Cl</t>
  </si>
  <si>
    <t>Zn, Cl</t>
  </si>
  <si>
    <t>B</t>
  </si>
  <si>
    <t>Na, Mo</t>
  </si>
  <si>
    <t>Remark</t>
  </si>
  <si>
    <t>Source</t>
  </si>
  <si>
    <t>Medium 54b</t>
  </si>
  <si>
    <t>Reinforced Clostridia Medium</t>
  </si>
  <si>
    <t>Reinforced Clostridia Medium for seed cultures</t>
  </si>
  <si>
    <t>Growth medium wo ye</t>
  </si>
  <si>
    <t>Medium 2xYTG</t>
  </si>
  <si>
    <t>Production media for continuous ferm.</t>
  </si>
  <si>
    <t>Clostridium Growth Medium</t>
  </si>
  <si>
    <t>Medium P2Y</t>
  </si>
  <si>
    <t>20 - 40</t>
  </si>
  <si>
    <t>Joseph, 2023</t>
  </si>
  <si>
    <t>For sporulation</t>
  </si>
  <si>
    <t>For continuous ferm. On glycerol</t>
  </si>
  <si>
    <t>Johnson, 2020</t>
  </si>
  <si>
    <t>For seed culture</t>
  </si>
  <si>
    <t>For growth and gene repression assays</t>
  </si>
  <si>
    <t>Behera, 2023</t>
  </si>
  <si>
    <t>DSMZ</t>
  </si>
  <si>
    <r>
      <t>NaCH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COO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</si>
  <si>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MoO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</si>
  <si>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CH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COO</t>
    </r>
  </si>
  <si>
    <r>
      <t>(NH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</si>
  <si>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Cl</t>
    </r>
  </si>
  <si>
    <r>
      <t>MgSO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anh</t>
    </r>
  </si>
  <si>
    <r>
      <t>MgSO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.7H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</si>
  <si>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MnSO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</si>
  <si>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MnSO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.4H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</si>
  <si>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CaCO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(light precipitate)</t>
    </r>
  </si>
  <si>
    <r>
      <t>CaCl</t>
    </r>
    <r>
      <rPr>
        <vertAlign val="subscript"/>
        <sz val="11"/>
        <color theme="1"/>
        <rFont val="Calibri"/>
        <family val="2"/>
        <scheme val="minor"/>
      </rPr>
      <t>2</t>
    </r>
  </si>
  <si>
    <r>
      <t>CaCl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</si>
  <si>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FeSO</t>
    </r>
    <r>
      <rPr>
        <vertAlign val="subscript"/>
        <sz val="11"/>
        <color theme="1"/>
        <rFont val="Calibri"/>
        <family val="2"/>
        <scheme val="minor"/>
      </rPr>
      <t>4</t>
    </r>
  </si>
  <si>
    <r>
      <t>FeSO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.7H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</si>
  <si>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FeCl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.4H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</si>
  <si>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CoCl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.6H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</si>
  <si>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ZnCl</t>
    </r>
    <r>
      <rPr>
        <vertAlign val="subscript"/>
        <sz val="11"/>
        <color theme="1"/>
        <rFont val="Calibri"/>
        <family val="2"/>
        <scheme val="minor"/>
      </rPr>
      <t>2</t>
    </r>
  </si>
  <si>
    <r>
      <t>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BO</t>
    </r>
    <r>
      <rPr>
        <vertAlign val="subscript"/>
        <sz val="11"/>
        <color theme="1"/>
        <rFont val="Calibri"/>
        <family val="2"/>
        <scheme val="minor"/>
      </rPr>
      <t>3</t>
    </r>
  </si>
  <si>
    <r>
      <t>NiCl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.6H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</si>
  <si>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CuCl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</si>
  <si>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KH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</si>
  <si>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HPO</t>
    </r>
    <r>
      <rPr>
        <vertAlign val="subscript"/>
        <sz val="11"/>
        <color theme="1"/>
        <rFont val="Calibri"/>
        <family val="2"/>
        <scheme val="minor"/>
      </rPr>
      <t>4</t>
    </r>
  </si>
  <si>
    <r>
      <t>MnCl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.4H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</si>
  <si>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Mackey, 1971; similar in Robson (1974)</t>
  </si>
  <si>
    <t>Sucrose</t>
  </si>
  <si>
    <r>
      <t>MgSO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</si>
  <si>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FeCl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.6H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</si>
  <si>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Carnahan and Castle (1958), Carnahan and Mortenson (1960)</t>
  </si>
  <si>
    <t>mL/L</t>
  </si>
  <si>
    <t>Growth</t>
  </si>
  <si>
    <t>KCl</t>
  </si>
  <si>
    <t>Fe-Na-EDTA</t>
  </si>
  <si>
    <r>
      <t>NaHCO</t>
    </r>
    <r>
      <rPr>
        <vertAlign val="subscript"/>
        <sz val="11"/>
        <color theme="1"/>
        <rFont val="Calibri"/>
        <family val="2"/>
        <scheme val="minor"/>
      </rPr>
      <t>3</t>
    </r>
  </si>
  <si>
    <t>Resazurin</t>
  </si>
  <si>
    <t>Cysteine-HCl</t>
  </si>
  <si>
    <r>
      <t>Glucose.H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</si>
  <si>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7 with KOH</t>
  </si>
  <si>
    <t>Dabrock (1992)</t>
  </si>
  <si>
    <t>Std minimal medium</t>
  </si>
  <si>
    <t>Carnahan (1958), Carnahan (1960)</t>
  </si>
  <si>
    <t>Sarchami (2016)</t>
  </si>
  <si>
    <t>Medium A</t>
  </si>
  <si>
    <r>
      <t>NaH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</si>
  <si>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</si>
  <si>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</si>
  <si>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r>
      <t>MgCl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.6H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</si>
  <si>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N(CH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COOH)</t>
    </r>
    <r>
      <rPr>
        <vertAlign val="subscript"/>
        <sz val="11"/>
        <color theme="1"/>
        <rFont val="Calibri"/>
        <family val="2"/>
        <scheme val="minor"/>
      </rPr>
      <t>3</t>
    </r>
  </si>
  <si>
    <r>
      <t>CoSO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.7H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</si>
  <si>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ZnSO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.7H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</si>
  <si>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CuSO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.5H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</si>
  <si>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KAl(SO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.12H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</si>
  <si>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SeO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.5H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</si>
  <si>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WO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.2H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</si>
  <si>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</si>
  <si>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t>Folic acid</t>
  </si>
  <si>
    <t>Pyridoxine hydrochloride</t>
  </si>
  <si>
    <t>Riboflavin</t>
  </si>
  <si>
    <t>Nicotinic acid</t>
  </si>
  <si>
    <t>D-calcium pantothenate</t>
  </si>
  <si>
    <t>Vitamin B12</t>
  </si>
  <si>
    <t>Lipoic acid</t>
  </si>
  <si>
    <t>Basal growth medium</t>
  </si>
  <si>
    <t>Casein hydrolysate</t>
  </si>
  <si>
    <t>Casamino acids</t>
  </si>
  <si>
    <t>Minton (1983) (O'Brien (1971))</t>
  </si>
  <si>
    <t>Regeneration of protoplasts</t>
  </si>
  <si>
    <t>Modified TYA medium</t>
  </si>
  <si>
    <t>Kolek (2015)</t>
  </si>
  <si>
    <t>Growth, butanol production?</t>
  </si>
  <si>
    <t>6.5 with KOH</t>
  </si>
  <si>
    <t>MES</t>
  </si>
  <si>
    <t>Production medium</t>
  </si>
  <si>
    <t>5 - 10</t>
  </si>
  <si>
    <t>Sabra (2016)</t>
  </si>
  <si>
    <t>Arbter (2022)</t>
  </si>
  <si>
    <t>Joseph, 2023; Schmitz (2019)</t>
  </si>
  <si>
    <t>Semi-defined medium</t>
  </si>
  <si>
    <t>40</t>
  </si>
  <si>
    <r>
      <t>MnCl</t>
    </r>
    <r>
      <rPr>
        <vertAlign val="subscript"/>
        <sz val="11"/>
        <color theme="1"/>
        <rFont val="Calibri"/>
        <family val="2"/>
        <scheme val="minor"/>
      </rPr>
      <t>2</t>
    </r>
  </si>
  <si>
    <r>
      <t>FeCl</t>
    </r>
    <r>
      <rPr>
        <vertAlign val="subscript"/>
        <sz val="11"/>
        <color theme="1"/>
        <rFont val="Calibri"/>
        <family val="2"/>
        <scheme val="minor"/>
      </rPr>
      <t>2</t>
    </r>
  </si>
  <si>
    <r>
      <t>CoCl</t>
    </r>
    <r>
      <rPr>
        <vertAlign val="subscript"/>
        <sz val="11"/>
        <color theme="1"/>
        <rFont val="Calibri"/>
        <family val="2"/>
        <scheme val="minor"/>
      </rPr>
      <t>2</t>
    </r>
  </si>
  <si>
    <r>
      <t>NiCl</t>
    </r>
    <r>
      <rPr>
        <vertAlign val="subscript"/>
        <sz val="11"/>
        <color theme="1"/>
        <rFont val="Calibri"/>
        <family val="2"/>
        <scheme val="minor"/>
      </rPr>
      <t>2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</si>
  <si>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WO</t>
    </r>
    <r>
      <rPr>
        <vertAlign val="subscript"/>
        <sz val="11"/>
        <color theme="1"/>
        <rFont val="Calibri"/>
        <family val="2"/>
        <scheme val="minor"/>
      </rPr>
      <t>4</t>
    </r>
  </si>
  <si>
    <t>Gallardo (2016)</t>
  </si>
  <si>
    <t>Defined minimal medium</t>
  </si>
  <si>
    <t>Trizma base</t>
  </si>
  <si>
    <t>Robson (1974)</t>
  </si>
  <si>
    <t>varies</t>
  </si>
  <si>
    <t>dye to show presence of oxygen and decrease the redox potential of the medium</t>
  </si>
  <si>
    <t>decrease the redox potential of the medium</t>
  </si>
  <si>
    <t>vit B1</t>
  </si>
  <si>
    <t>vit B9</t>
  </si>
  <si>
    <t>vit B6</t>
  </si>
  <si>
    <t>vit B2</t>
  </si>
  <si>
    <t>vit B3</t>
  </si>
  <si>
    <t>vit B5</t>
  </si>
  <si>
    <t>Cofactor, antioxidant</t>
  </si>
  <si>
    <t>mixture of amino acids produced from acid hydrolysis of casein, a family of phosphoproteins found in mammalian milk</t>
  </si>
  <si>
    <t>?</t>
  </si>
  <si>
    <t>Sodium thioglycolate</t>
  </si>
  <si>
    <t>MP2</t>
  </si>
  <si>
    <t>Test fermentation growth</t>
  </si>
  <si>
    <t>Modified Biebl</t>
  </si>
  <si>
    <t>Ferm. Opt. medium</t>
  </si>
  <si>
    <t>Fermentation opt</t>
  </si>
  <si>
    <t>Biebl</t>
  </si>
  <si>
    <t>d-xylose</t>
  </si>
  <si>
    <t>hcl 25%</t>
  </si>
  <si>
    <t>Fedbatch</t>
  </si>
  <si>
    <t>Continuous</t>
  </si>
  <si>
    <t>Preparation and strain maintenance</t>
  </si>
  <si>
    <t>gassing &amp; anaerobic chamber (Schmitz)</t>
  </si>
  <si>
    <t>from glycerol stocks to liquid in anaerobic chambers</t>
  </si>
  <si>
    <t>sparged at 60 - 70 C</t>
  </si>
  <si>
    <t>anaerobic chamber</t>
  </si>
  <si>
    <t xml:space="preserve">Sparging at 90 c after autoclave during 10 min then until t 35 </t>
  </si>
  <si>
    <t>sparging of sterile medium with Ar 10 min</t>
  </si>
  <si>
    <t>anaerobic</t>
  </si>
  <si>
    <t>Lovenberg (1963)</t>
  </si>
  <si>
    <t>Sargeant (1968)</t>
  </si>
  <si>
    <t>Production in defined medium</t>
  </si>
  <si>
    <t>Study of ferredoxin</t>
  </si>
  <si>
    <t>gassing during cooling</t>
  </si>
  <si>
    <t>Berthomieu (2022)</t>
  </si>
  <si>
    <t>sparged, cysteine, autoclaved</t>
  </si>
  <si>
    <t>nrrl b 598 high oxygen tolerance</t>
  </si>
  <si>
    <t>purging with argon</t>
  </si>
  <si>
    <t>sparge during cooling after autoclaving, then cystein eadded</t>
  </si>
  <si>
    <t>plates in anaerobic chamber 3h before inoculation. Sparged with nitrogen after autoclaving during cooling</t>
  </si>
  <si>
    <t>Reactivation of FDM and maintenance</t>
  </si>
  <si>
    <t>Mackey (1971)</t>
  </si>
  <si>
    <t>Recommended by DSMZ to grow C. pasteurianum</t>
  </si>
  <si>
    <r>
      <t xml:space="preserve">Composition of all the media used for </t>
    </r>
    <r>
      <rPr>
        <b/>
        <i/>
        <sz val="15"/>
        <color theme="7" tint="-0.499984740745262"/>
        <rFont val="Calibri"/>
        <family val="2"/>
        <scheme val="minor"/>
      </rPr>
      <t>Clostridium pasteurianum</t>
    </r>
    <r>
      <rPr>
        <b/>
        <sz val="15"/>
        <color theme="7" tint="-0.499984740745262"/>
        <rFont val="Calibri"/>
        <family val="2"/>
        <scheme val="minor"/>
      </rPr>
      <t xml:space="preserve"> in literature</t>
    </r>
  </si>
  <si>
    <t>P2 medium</t>
  </si>
  <si>
    <t>tot</t>
  </si>
  <si>
    <t>C source</t>
  </si>
  <si>
    <t>source of aa, peptides, and growth factors</t>
  </si>
  <si>
    <t>vit B12</t>
  </si>
  <si>
    <t>Na</t>
  </si>
  <si>
    <t>Na, W</t>
  </si>
  <si>
    <t>Mg, Cl</t>
  </si>
  <si>
    <t>Mn, Cl</t>
  </si>
  <si>
    <t>Co, S</t>
  </si>
  <si>
    <t>Zn, S</t>
  </si>
  <si>
    <t>Cu, S</t>
  </si>
  <si>
    <t>Fe 2+, S</t>
  </si>
  <si>
    <t>Fe 2+, Cl</t>
  </si>
  <si>
    <t>Fe 3+, Cl</t>
  </si>
  <si>
    <t>Fe 3+, Na</t>
  </si>
  <si>
    <t>Function / comment</t>
  </si>
  <si>
    <t>Na, releases CO2 and interferes with CO2 measurements</t>
  </si>
  <si>
    <t>Ca, C, releases CO2 and interferes with CO2 measurements</t>
  </si>
  <si>
    <t>K, Cl</t>
  </si>
  <si>
    <t>K, Al, S</t>
  </si>
  <si>
    <t>pH buffer, K, P</t>
  </si>
  <si>
    <t>pH buffer, Na, P</t>
  </si>
  <si>
    <t>antifoam</t>
  </si>
  <si>
    <t>for trace elements</t>
  </si>
  <si>
    <t>Enrichment and growth optimization</t>
  </si>
  <si>
    <t>Anaerobic methods</t>
  </si>
  <si>
    <t>Molecular weight [g/mol]</t>
  </si>
  <si>
    <t>Leibniz Institute DSMZ - German Collection of Microorganisms and Cell Cultures. n.d. “DSMZ Culture Collection Catalogue: DSM-525.” https://www.dsmz.de/collection/catalogue/details/culture/DSM-525.</t>
  </si>
  <si>
    <t>Arbter, Philipp. 2022. “Fluxomic and Metabolomic Studies on the Electro-Fermentation of Rhodosporidium Toruloides and Clostridium Pasteurianum for Improved Bioprocesses.” TUHH Universitätsbibliothek. https://doi.org/10.15480/882.4621.</t>
  </si>
  <si>
    <t>Schmitz, Rebekka, Wael Sabra, Philipp Arbter, Yaeseong Hong, Tyll Utesch, and An‐Ping Zeng. 2019. “Improved Electrocompetence and Metabolic Engineering of Clostridium Pasteurianum Reveals a New Regulation Pattern of Glycerol Fermentation.” Engineering in Life Sciences 19 (6): 412–22. https://doi.org/10.1002/elsc.201800118</t>
  </si>
  <si>
    <t>Choi (2014)</t>
  </si>
  <si>
    <r>
      <t xml:space="preserve">Behera, Shuvashish, Nilesh Kumar Sharma, and Sachin Kumar. 2023. “Augmentation of Bio-Butanol Production Through Isolation, Screening and Optimization of Growth and Fermentation Parameters Using Response Surface Methodology.” </t>
    </r>
    <r>
      <rPr>
        <i/>
        <sz val="11"/>
        <rFont val="Aptos"/>
        <family val="2"/>
      </rPr>
      <t>Sugar Tech</t>
    </r>
    <r>
      <rPr>
        <sz val="11"/>
        <rFont val="Aptos"/>
        <family val="2"/>
      </rPr>
      <t xml:space="preserve"> 25 (3): 531–41. https://doi.org/10.1007/s12355-022-01187-3.</t>
    </r>
  </si>
  <si>
    <r>
      <t xml:space="preserve">Berthomieu, Roland, María Fernanda Pérez-Bernal, Gaëlle Santa-Catalina, Elie Desmond-Le Quéméner, Nicolas Bernet, and Eric Trably. 2022. “Mechanisms Underlying Clostridium Pasteurianum’s Metabolic Shift When Grown with Geobacter Sulfurreducens.” </t>
    </r>
    <r>
      <rPr>
        <i/>
        <sz val="11"/>
        <rFont val="Aptos"/>
        <family val="2"/>
      </rPr>
      <t>Applied Microbiology and Biotechnology</t>
    </r>
    <r>
      <rPr>
        <sz val="11"/>
        <rFont val="Aptos"/>
        <family val="2"/>
      </rPr>
      <t xml:space="preserve"> 106 (2): 865–76. https://doi.org/10.1007/s00253-021-11736-7.</t>
    </r>
  </si>
  <si>
    <r>
      <t xml:space="preserve">Carnahan, James E., and John E. Castle. 1958. “SOME REQUIREMENTS OF BIOLOGICAL NITROGEN FIXATION.” </t>
    </r>
    <r>
      <rPr>
        <i/>
        <sz val="11"/>
        <rFont val="Aptos"/>
        <family val="2"/>
      </rPr>
      <t>Journal of Bacteriology</t>
    </r>
    <r>
      <rPr>
        <sz val="11"/>
        <rFont val="Aptos"/>
        <family val="2"/>
      </rPr>
      <t xml:space="preserve"> 75 (2): 121–24. https://doi.org/10.1128/jb.75.2.121-124.1958.</t>
    </r>
  </si>
  <si>
    <r>
      <t xml:space="preserve">Carnahan, James E, Leonard E Mortenson, and Howard F Mower. 1960. “Nitrogen Fixation in Cell-Free Extracts of Clostridium Pasteurianum.” </t>
    </r>
    <r>
      <rPr>
        <i/>
        <sz val="11"/>
        <rFont val="Aptos"/>
        <family val="2"/>
      </rPr>
      <t>Biochimia et Biophysica Acta</t>
    </r>
    <r>
      <rPr>
        <sz val="11"/>
        <rFont val="Aptos"/>
        <family val="2"/>
      </rPr>
      <t>.</t>
    </r>
  </si>
  <si>
    <r>
      <t xml:space="preserve">Choi, Okkyoung, Taeyeon Kim, Han Min Woo, and Youngsoon Um. 2014. “Electricity-Driven Metabolic Shift through Direct Electron Uptake by Electroactive Heterotroph Clostridiumpasteurianum.” </t>
    </r>
    <r>
      <rPr>
        <i/>
        <sz val="11"/>
        <rFont val="Aptos"/>
        <family val="2"/>
      </rPr>
      <t>Scientific Reports</t>
    </r>
    <r>
      <rPr>
        <sz val="11"/>
        <rFont val="Aptos"/>
        <family val="2"/>
      </rPr>
      <t xml:space="preserve"> 4 (1): 6961. https://doi.org/10.1038/srep06961.</t>
    </r>
  </si>
  <si>
    <r>
      <t xml:space="preserve">Dabrock, Birgit, Hubert Bahl, and Gerhard Gottschalk. 1992. “Parameters Affecting Solvent Production by </t>
    </r>
    <r>
      <rPr>
        <i/>
        <sz val="11"/>
        <rFont val="Aptos"/>
        <family val="2"/>
      </rPr>
      <t>Clostridium Pasteurianum</t>
    </r>
    <r>
      <rPr>
        <sz val="11"/>
        <rFont val="Aptos"/>
        <family val="2"/>
      </rPr>
      <t xml:space="preserve">.” </t>
    </r>
    <r>
      <rPr>
        <i/>
        <sz val="11"/>
        <rFont val="Aptos"/>
        <family val="2"/>
      </rPr>
      <t>Applied and Environmental Microbiology</t>
    </r>
    <r>
      <rPr>
        <sz val="11"/>
        <rFont val="Aptos"/>
        <family val="2"/>
      </rPr>
      <t xml:space="preserve"> 58 (4): 1233–39. https://doi.org/10.1128/aem.58.4.1233-1239.1992.</t>
    </r>
  </si>
  <si>
    <r>
      <t xml:space="preserve">Gallardo, R., M. Alves, and L.R. Rodrigues. 2017. “Influence of Nutritional and Operational Parameters on the Production of Butanol or 1,3-Propanediol from Glycerol by a Mutant Clostridium Pasteurianum.” </t>
    </r>
    <r>
      <rPr>
        <i/>
        <sz val="11"/>
        <rFont val="Aptos"/>
        <family val="2"/>
      </rPr>
      <t>New Biotechnology</t>
    </r>
    <r>
      <rPr>
        <sz val="11"/>
        <rFont val="Aptos"/>
        <family val="2"/>
      </rPr>
      <t xml:space="preserve"> 34 (January):59–67. https://doi.org/10.1016/j.nbt.2016.03.002.</t>
    </r>
  </si>
  <si>
    <r>
      <t xml:space="preserve">Johnson, Erin E, and Lars Rehmann. 2020. “Self-Synchronized Oscillatory Metabolism of Clostridium Pasteurianum in Continuous Culture.” </t>
    </r>
    <r>
      <rPr>
        <i/>
        <sz val="11"/>
        <rFont val="Aptos"/>
        <family val="2"/>
      </rPr>
      <t>Processes</t>
    </r>
    <r>
      <rPr>
        <sz val="11"/>
        <rFont val="Aptos"/>
        <family val="2"/>
      </rPr>
      <t xml:space="preserve"> 8 (2): 137. https://doi.org/10.3390/pr8020137.</t>
    </r>
  </si>
  <si>
    <r>
      <t xml:space="preserve">Joseph, Rochelle Carla, and Nicholas R. Sandoval. 2023. “Single and Multiplexed Gene Repression in Solventogenic Clostridium via Cas12a-Based CRISPR Interference.” </t>
    </r>
    <r>
      <rPr>
        <i/>
        <sz val="11"/>
        <rFont val="Aptos"/>
        <family val="2"/>
      </rPr>
      <t>Synthetic and Systems Biotechnology</t>
    </r>
    <r>
      <rPr>
        <sz val="11"/>
        <rFont val="Aptos"/>
        <family val="2"/>
      </rPr>
      <t xml:space="preserve"> 8 (1): 148–56. https://doi.org/10.1016/j.synbio.2022.12.005.</t>
    </r>
  </si>
  <si>
    <r>
      <t xml:space="preserve">Kolek, Jan, Petra Patáková, Karel Melzoch, Karel Sigler, and Tomáš Řezanka. 2015. “Changes in Membrane Plasmalogens of Clostridium Pasteurianum during Butanol Fermentation as Determined by Lipidomic Analysis.” Edited by Ing-Feng Chang. </t>
    </r>
    <r>
      <rPr>
        <i/>
        <sz val="11"/>
        <rFont val="Aptos"/>
        <family val="2"/>
      </rPr>
      <t>PLOS ONE</t>
    </r>
    <r>
      <rPr>
        <sz val="11"/>
        <rFont val="Aptos"/>
        <family val="2"/>
      </rPr>
      <t xml:space="preserve"> 10 (3): e0122058. https://doi.org/10.1371/journal.pone.0122058.</t>
    </r>
  </si>
  <si>
    <r>
      <t xml:space="preserve">Lovenberg, Walter, Bob B. Buchanan, and Jesse C. Rabinowitz. 1963. “Studies on the Chemical Nature of Clostridial Ferredoxin.” </t>
    </r>
    <r>
      <rPr>
        <i/>
        <sz val="11"/>
        <rFont val="Aptos"/>
        <family val="2"/>
      </rPr>
      <t>Journal of Biological Chemistry</t>
    </r>
    <r>
      <rPr>
        <sz val="11"/>
        <rFont val="Aptos"/>
        <family val="2"/>
      </rPr>
      <t xml:space="preserve"> 238 (12): 3899–3913. https://doi.org/10.1016/S0021-9258(18)51805-6.</t>
    </r>
  </si>
  <si>
    <r>
      <t xml:space="preserve">Mackey, B. M., and J. G. Morris. 1971. “Ultrastructural Changes during Sporulation of Clostridium Pasteurianum.” </t>
    </r>
    <r>
      <rPr>
        <i/>
        <sz val="11"/>
        <rFont val="Aptos"/>
        <family val="2"/>
      </rPr>
      <t>Journal of General Microbiology</t>
    </r>
    <r>
      <rPr>
        <sz val="11"/>
        <rFont val="Aptos"/>
        <family val="2"/>
      </rPr>
      <t xml:space="preserve"> 66 (1): 1–13. https://doi.org/10.1099/00221287-66-1-1.</t>
    </r>
  </si>
  <si>
    <r>
      <t xml:space="preserve">Minton, N P, and J G Morris. 1983. “Regeneration of Protoplasts of Clostridium Pasteurianum ATCC 6013.” </t>
    </r>
    <r>
      <rPr>
        <i/>
        <sz val="11"/>
        <rFont val="Aptos"/>
        <family val="2"/>
      </rPr>
      <t>Journal of Bacteriology</t>
    </r>
    <r>
      <rPr>
        <sz val="11"/>
        <rFont val="Aptos"/>
        <family val="2"/>
      </rPr>
      <t xml:space="preserve"> 155 (1): 432–34. https://doi.org/10.1128/jb.155.1.432-434.1983.</t>
    </r>
  </si>
  <si>
    <r>
      <t xml:space="preserve">Robson, R L, R M Robson, and J G Morris. 1974. “The Biosynthesis of Granulose by </t>
    </r>
    <r>
      <rPr>
        <i/>
        <sz val="11"/>
        <rFont val="Aptos"/>
        <family val="2"/>
      </rPr>
      <t>Clostridium Pasteurianum</t>
    </r>
    <r>
      <rPr>
        <sz val="11"/>
        <rFont val="Aptos"/>
        <family val="2"/>
      </rPr>
      <t xml:space="preserve">.” </t>
    </r>
    <r>
      <rPr>
        <i/>
        <sz val="11"/>
        <rFont val="Aptos"/>
        <family val="2"/>
      </rPr>
      <t>Biochemical Journal</t>
    </r>
    <r>
      <rPr>
        <sz val="11"/>
        <rFont val="Aptos"/>
        <family val="2"/>
      </rPr>
      <t xml:space="preserve"> 144 (3): 503–11. https://doi.org/10.1042/bj1440503.</t>
    </r>
  </si>
  <si>
    <r>
      <t xml:space="preserve">Sabra, Wael, Wei Wang, Sruthi Surandram, Christin Groeger, and An-Ping Zeng. 2016. “Fermentation of Mixed Substrates by Clostridium Pasteurianum and Its Physiological, Metabolic and Proteomic Characterizations.” </t>
    </r>
    <r>
      <rPr>
        <i/>
        <sz val="11"/>
        <rFont val="Aptos"/>
        <family val="2"/>
      </rPr>
      <t>Microbial Cell Factories</t>
    </r>
    <r>
      <rPr>
        <sz val="11"/>
        <rFont val="Aptos"/>
        <family val="2"/>
      </rPr>
      <t xml:space="preserve"> 15 (1): 114. https://doi.org/10.1186/s12934-016-0497-4.</t>
    </r>
  </si>
  <si>
    <r>
      <t xml:space="preserve">Sarchami, Tahereh, Erin Johnson, and Lars Rehmann. 2016. “Optimization of Fermentation Condition Favoring Butanol Production from Glycerol by Clostridium Pasteurianum DSM 525.” </t>
    </r>
    <r>
      <rPr>
        <i/>
        <sz val="11"/>
        <rFont val="Aptos"/>
        <family val="2"/>
      </rPr>
      <t>Bioresource Technology</t>
    </r>
    <r>
      <rPr>
        <sz val="11"/>
        <rFont val="Aptos"/>
        <family val="2"/>
      </rPr>
      <t xml:space="preserve"> 208 (May):73–80. https://doi.org/10.1016/j.biortech.2016.02.062.</t>
    </r>
  </si>
  <si>
    <r>
      <t xml:space="preserve">Sargeant, K, J W S Ford, and V M C Longyear. 1967. “Production of Clostridium Pasteurianum in a Defined Medium.” </t>
    </r>
    <r>
      <rPr>
        <i/>
        <sz val="11"/>
        <rFont val="Aptos"/>
        <family val="2"/>
      </rPr>
      <t>APPL. MICROBIOL.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</si>
</sst>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bscript"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theme="7" tint="-0.499984740745262"/>
      <name val="Calibri"/>
      <family val="2"/>
      <scheme val="minor"/>
    </font>
    <font>
      <b/>
      <i/>
      <sz val="15"/>
      <color theme="7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name val="Aptos"/>
      <family val="2"/>
    </font>
    <font>
      <i/>
      <sz val="11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rgb="FFFEF2EC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E3E9F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7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7" tint="-0.249977111117893"/>
      </bottom>
      <diagonal/>
    </border>
  </borders>
  <cellStyleXfs count="2">
    <xf numFmtId="0" fontId="0" fillId="0" borderId="0"/>
    <xf numFmtId="0" fontId="9" fillId="0" borderId="2" applyNumberFormat="0" applyFill="0" applyAlignment="0" applyProtection="0"/>
  </cellStyleXfs>
  <cellXfs count="6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1" fontId="0" fillId="8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0" fontId="4" fillId="9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0" fillId="0" borderId="0" xfId="0" applyAlignment="1">
      <alignment horizontal="left"/>
    </xf>
    <xf numFmtId="49" fontId="0" fillId="3" borderId="0" xfId="0" quotePrefix="1" applyNumberFormat="1" applyFill="1" applyAlignment="1">
      <alignment horizontal="center"/>
    </xf>
    <xf numFmtId="0" fontId="2" fillId="2" borderId="0" xfId="0" applyFont="1" applyFill="1" applyAlignment="1">
      <alignment vertical="center"/>
    </xf>
    <xf numFmtId="0" fontId="8" fillId="6" borderId="0" xfId="0" applyFont="1" applyFill="1" applyAlignment="1">
      <alignment horizontal="center"/>
    </xf>
    <xf numFmtId="0" fontId="10" fillId="10" borderId="3" xfId="1" applyFont="1" applyFill="1" applyBorder="1" applyAlignment="1">
      <alignment vertical="center"/>
    </xf>
    <xf numFmtId="0" fontId="2" fillId="11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/>
    </xf>
    <xf numFmtId="11" fontId="0" fillId="5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2" fontId="0" fillId="6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2" fontId="0" fillId="7" borderId="0" xfId="0" applyNumberFormat="1" applyFill="1" applyAlignment="1">
      <alignment horizontal="center"/>
    </xf>
    <xf numFmtId="0" fontId="10" fillId="10" borderId="3" xfId="1" applyFont="1" applyFill="1" applyBorder="1" applyAlignment="1">
      <alignment horizontal="center" vertical="center"/>
    </xf>
    <xf numFmtId="0" fontId="0" fillId="13" borderId="0" xfId="0" applyFill="1"/>
    <xf numFmtId="0" fontId="0" fillId="13" borderId="0" xfId="0" applyFill="1" applyAlignment="1">
      <alignment horizontal="center"/>
    </xf>
    <xf numFmtId="164" fontId="0" fillId="13" borderId="0" xfId="0" applyNumberForma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6" fontId="0" fillId="5" borderId="0" xfId="0" applyNumberFormat="1" applyFill="1" applyAlignment="1">
      <alignment horizontal="center"/>
    </xf>
    <xf numFmtId="167" fontId="0" fillId="5" borderId="0" xfId="0" applyNumberFormat="1" applyFill="1" applyAlignment="1">
      <alignment horizontal="center"/>
    </xf>
    <xf numFmtId="168" fontId="0" fillId="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7" fontId="12" fillId="7" borderId="0" xfId="0" applyNumberFormat="1" applyFont="1" applyFill="1" applyAlignment="1">
      <alignment horizontal="center"/>
    </xf>
    <xf numFmtId="166" fontId="12" fillId="7" borderId="0" xfId="0" applyNumberFormat="1" applyFont="1" applyFill="1" applyAlignment="1">
      <alignment horizontal="center"/>
    </xf>
    <xf numFmtId="167" fontId="12" fillId="6" borderId="0" xfId="0" applyNumberFormat="1" applyFont="1" applyFill="1" applyAlignment="1">
      <alignment horizontal="center"/>
    </xf>
    <xf numFmtId="166" fontId="12" fillId="6" borderId="0" xfId="0" applyNumberFormat="1" applyFont="1" applyFill="1" applyAlignment="1">
      <alignment horizontal="center"/>
    </xf>
    <xf numFmtId="164" fontId="0" fillId="6" borderId="0" xfId="0" applyNumberFormat="1" applyFill="1" applyAlignment="1">
      <alignment horizontal="center"/>
    </xf>
    <xf numFmtId="1" fontId="0" fillId="2" borderId="0" xfId="0" applyNumberFormat="1" applyFill="1"/>
    <xf numFmtId="0" fontId="13" fillId="0" borderId="0" xfId="0" applyFont="1" applyAlignment="1">
      <alignment vertical="center" wrapText="1"/>
    </xf>
    <xf numFmtId="0" fontId="12" fillId="2" borderId="0" xfId="0" applyFont="1" applyFill="1"/>
    <xf numFmtId="0" fontId="13" fillId="0" borderId="0" xfId="0" applyFont="1" applyAlignment="1">
      <alignment wrapText="1"/>
    </xf>
    <xf numFmtId="0" fontId="12" fillId="2" borderId="0" xfId="0" applyFont="1" applyFill="1" applyAlignment="1">
      <alignment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colors>
    <mruColors>
      <color rgb="FFFFE7FF"/>
      <color rgb="FFF4F9F1"/>
      <color rgb="FFFFFAF7"/>
      <color rgb="FFFFFEFB"/>
      <color rgb="FFFFF3FF"/>
      <color rgb="FFFFF7FF"/>
      <color rgb="FFEFF6FB"/>
      <color rgb="FFFFFFFF"/>
      <color rgb="FFFFE5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4BB1-F960-4984-A431-4423A0BB626D}">
  <dimension ref="A1:AJ83"/>
  <sheetViews>
    <sheetView tabSelected="1" zoomScaleNormal="100" workbookViewId="0">
      <selection activeCell="AG1" sqref="AG1:AS1048576"/>
    </sheetView>
  </sheetViews>
  <sheetFormatPr defaultRowHeight="14.5" x14ac:dyDescent="0.35"/>
  <cols>
    <col min="1" max="1" width="22.7265625" style="1" bestFit="1" customWidth="1"/>
    <col min="2" max="2" width="5.54296875" style="1" customWidth="1"/>
    <col min="3" max="3" width="53.26953125" style="1" customWidth="1"/>
    <col min="4" max="4" width="15.7265625" style="24" customWidth="1"/>
    <col min="5" max="13" width="13.6328125" style="24" customWidth="1"/>
    <col min="14" max="14" width="13.54296875" style="24" customWidth="1"/>
    <col min="15" max="18" width="13.6328125" style="24" customWidth="1"/>
    <col min="19" max="22" width="13.54296875" style="24" customWidth="1"/>
    <col min="23" max="25" width="13.6328125" style="24" customWidth="1"/>
    <col min="26" max="30" width="13.54296875" style="24" customWidth="1"/>
    <col min="31" max="32" width="8.7265625" style="1"/>
    <col min="33" max="33" width="10.81640625" style="1" customWidth="1"/>
    <col min="34" max="16384" width="8.7265625" style="1"/>
  </cols>
  <sheetData>
    <row r="1" spans="1:31" ht="20" thickBot="1" x14ac:dyDescent="0.4">
      <c r="A1" s="30" t="s">
        <v>192</v>
      </c>
      <c r="B1" s="30"/>
      <c r="C1" s="30"/>
      <c r="D1" s="38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s="28" customFormat="1" ht="56" thickTop="1" x14ac:dyDescent="0.35">
      <c r="A2" s="31" t="s">
        <v>16</v>
      </c>
      <c r="B2" s="31" t="s">
        <v>17</v>
      </c>
      <c r="C2" s="32" t="s">
        <v>209</v>
      </c>
      <c r="D2" s="43" t="s">
        <v>220</v>
      </c>
      <c r="E2" s="44" t="s">
        <v>44</v>
      </c>
      <c r="F2" s="44" t="s">
        <v>43</v>
      </c>
      <c r="G2" s="44" t="s">
        <v>47</v>
      </c>
      <c r="H2" s="44" t="s">
        <v>49</v>
      </c>
      <c r="I2" s="44" t="s">
        <v>163</v>
      </c>
      <c r="J2" s="44" t="s">
        <v>121</v>
      </c>
      <c r="K2" s="44" t="s">
        <v>45</v>
      </c>
      <c r="L2" s="44" t="s">
        <v>44</v>
      </c>
      <c r="M2" s="44" t="s">
        <v>44</v>
      </c>
      <c r="N2" s="44" t="s">
        <v>126</v>
      </c>
      <c r="O2" s="44" t="s">
        <v>160</v>
      </c>
      <c r="P2" s="44" t="s">
        <v>165</v>
      </c>
      <c r="Q2" s="44" t="s">
        <v>162</v>
      </c>
      <c r="R2" s="44" t="s">
        <v>48</v>
      </c>
      <c r="S2" s="44" t="s">
        <v>50</v>
      </c>
      <c r="T2" s="44" t="s">
        <v>131</v>
      </c>
      <c r="U2" s="44" t="s">
        <v>136</v>
      </c>
      <c r="V2" s="44" t="s">
        <v>97</v>
      </c>
      <c r="W2" s="44" t="s">
        <v>165</v>
      </c>
      <c r="X2" s="44" t="s">
        <v>46</v>
      </c>
      <c r="Y2" s="44" t="s">
        <v>99</v>
      </c>
      <c r="Z2" s="44" t="str">
        <f>Z81</f>
        <v>Lovenberg (1963)</v>
      </c>
      <c r="AA2" s="44" t="str">
        <f>AA81</f>
        <v>Sargeant (1968)</v>
      </c>
      <c r="AB2" s="44" t="s">
        <v>101</v>
      </c>
      <c r="AC2" s="44" t="s">
        <v>193</v>
      </c>
      <c r="AD2" s="44" t="s">
        <v>144</v>
      </c>
      <c r="AE2" s="44" t="s">
        <v>146</v>
      </c>
    </row>
    <row r="3" spans="1:31" x14ac:dyDescent="0.35">
      <c r="A3" s="2" t="s">
        <v>0</v>
      </c>
      <c r="B3" s="2" t="s">
        <v>3</v>
      </c>
      <c r="C3" s="2" t="s">
        <v>195</v>
      </c>
      <c r="D3" s="11">
        <v>180.15600000000001</v>
      </c>
      <c r="E3" s="11">
        <v>10</v>
      </c>
      <c r="F3" s="11">
        <v>20</v>
      </c>
      <c r="G3" s="11">
        <v>5</v>
      </c>
      <c r="H3" s="11">
        <v>0</v>
      </c>
      <c r="I3" s="11">
        <v>10</v>
      </c>
      <c r="J3" s="11">
        <v>10</v>
      </c>
      <c r="K3" s="11">
        <v>25</v>
      </c>
      <c r="L3" s="11">
        <v>5</v>
      </c>
      <c r="M3" s="11">
        <v>5</v>
      </c>
      <c r="N3" s="11">
        <v>20</v>
      </c>
      <c r="O3" s="11"/>
      <c r="P3" s="11"/>
      <c r="Q3" s="11"/>
      <c r="R3" s="11"/>
      <c r="S3" s="11">
        <v>30</v>
      </c>
      <c r="T3" s="27" t="s">
        <v>132</v>
      </c>
      <c r="U3" s="27" t="s">
        <v>137</v>
      </c>
      <c r="V3" s="11"/>
      <c r="W3" s="11"/>
      <c r="X3" s="11">
        <v>40</v>
      </c>
      <c r="Y3" s="11"/>
      <c r="Z3" s="11"/>
      <c r="AA3" s="11"/>
      <c r="AB3" s="11"/>
      <c r="AC3" s="47">
        <f>0.1*180.156</f>
        <v>18.015600000000003</v>
      </c>
      <c r="AD3" s="27" t="s">
        <v>137</v>
      </c>
      <c r="AE3" s="27" t="s">
        <v>137</v>
      </c>
    </row>
    <row r="4" spans="1:31" ht="16.5" x14ac:dyDescent="0.45">
      <c r="A4" s="2" t="s">
        <v>95</v>
      </c>
      <c r="B4" s="2" t="s">
        <v>3</v>
      </c>
      <c r="C4" s="2" t="s">
        <v>195</v>
      </c>
      <c r="D4" s="11">
        <v>198.17</v>
      </c>
      <c r="E4" s="11"/>
      <c r="F4" s="11"/>
      <c r="G4" s="11"/>
      <c r="H4" s="11"/>
      <c r="I4" s="11"/>
      <c r="J4" s="12"/>
      <c r="K4" s="11"/>
      <c r="L4" s="11"/>
      <c r="M4" s="11"/>
      <c r="N4" s="12"/>
      <c r="O4" s="11"/>
      <c r="P4" s="11"/>
      <c r="Q4" s="11"/>
      <c r="R4" s="11"/>
      <c r="S4" s="12"/>
      <c r="T4" s="12"/>
      <c r="U4" s="12"/>
      <c r="V4" s="11">
        <v>20</v>
      </c>
      <c r="W4" s="11"/>
      <c r="X4" s="11"/>
      <c r="Y4" s="11"/>
      <c r="Z4" s="11"/>
      <c r="AA4" s="11"/>
      <c r="AB4" s="12"/>
      <c r="AC4" s="12"/>
      <c r="AD4" s="12"/>
      <c r="AE4" s="12"/>
    </row>
    <row r="5" spans="1:31" x14ac:dyDescent="0.35">
      <c r="A5" s="2" t="s">
        <v>1</v>
      </c>
      <c r="B5" s="2" t="s">
        <v>3</v>
      </c>
      <c r="C5" s="2" t="s">
        <v>195</v>
      </c>
      <c r="D5" s="11">
        <v>92.09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>
        <v>50</v>
      </c>
      <c r="P5" s="11">
        <v>25</v>
      </c>
      <c r="Q5" s="11">
        <v>50</v>
      </c>
      <c r="R5" s="11" t="s">
        <v>51</v>
      </c>
      <c r="S5" s="12"/>
      <c r="T5" s="11"/>
      <c r="U5" s="11"/>
      <c r="V5" s="12"/>
      <c r="W5" s="11">
        <v>36</v>
      </c>
      <c r="X5" s="11"/>
      <c r="Y5" s="11"/>
      <c r="Z5" s="11"/>
      <c r="AA5" s="11"/>
      <c r="AB5" s="11">
        <v>10</v>
      </c>
      <c r="AC5" s="11"/>
      <c r="AD5" s="11"/>
      <c r="AE5" s="11"/>
    </row>
    <row r="6" spans="1:31" x14ac:dyDescent="0.35">
      <c r="A6" s="2" t="s">
        <v>84</v>
      </c>
      <c r="B6" s="2" t="s">
        <v>3</v>
      </c>
      <c r="C6" s="2" t="s">
        <v>195</v>
      </c>
      <c r="D6" s="11">
        <v>342.3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  <c r="T6" s="11"/>
      <c r="U6" s="11"/>
      <c r="V6" s="11"/>
      <c r="W6" s="11"/>
      <c r="X6" s="11"/>
      <c r="Y6" s="11">
        <v>20</v>
      </c>
      <c r="Z6" s="11">
        <v>20</v>
      </c>
      <c r="AA6" s="11">
        <v>20</v>
      </c>
      <c r="AB6" s="11"/>
      <c r="AC6" s="11"/>
      <c r="AD6" s="11"/>
      <c r="AE6" s="11"/>
    </row>
    <row r="7" spans="1:31" x14ac:dyDescent="0.35">
      <c r="A7" s="2" t="s">
        <v>6</v>
      </c>
      <c r="B7" s="2" t="s">
        <v>3</v>
      </c>
      <c r="C7" s="2" t="s">
        <v>195</v>
      </c>
      <c r="D7" s="11">
        <v>342.29500000000002</v>
      </c>
      <c r="E7" s="11">
        <v>1</v>
      </c>
      <c r="F7" s="11"/>
      <c r="G7" s="11"/>
      <c r="H7" s="11"/>
      <c r="I7" s="11"/>
      <c r="J7" s="11"/>
      <c r="K7" s="11">
        <v>1</v>
      </c>
      <c r="L7" s="11">
        <v>1</v>
      </c>
      <c r="M7" s="11">
        <v>1</v>
      </c>
      <c r="N7" s="11"/>
      <c r="O7" s="11"/>
      <c r="P7" s="11"/>
      <c r="Q7" s="11"/>
      <c r="R7" s="11"/>
      <c r="S7" s="12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x14ac:dyDescent="0.35">
      <c r="A8" s="3" t="s">
        <v>2</v>
      </c>
      <c r="B8" s="3" t="s">
        <v>3</v>
      </c>
      <c r="C8" s="3" t="s">
        <v>18</v>
      </c>
      <c r="D8" s="13" t="s">
        <v>147</v>
      </c>
      <c r="E8" s="13">
        <v>13</v>
      </c>
      <c r="F8" s="13">
        <v>10</v>
      </c>
      <c r="G8" s="13">
        <v>10</v>
      </c>
      <c r="H8" s="13">
        <v>5</v>
      </c>
      <c r="I8" s="13">
        <v>2</v>
      </c>
      <c r="J8" s="13">
        <f>0.3/100*1000</f>
        <v>3</v>
      </c>
      <c r="K8" s="13">
        <v>3</v>
      </c>
      <c r="L8" s="13">
        <v>3</v>
      </c>
      <c r="M8" s="13">
        <v>3</v>
      </c>
      <c r="N8" s="13">
        <v>2</v>
      </c>
      <c r="O8" s="13">
        <v>1</v>
      </c>
      <c r="P8" s="13">
        <v>1</v>
      </c>
      <c r="Q8" s="13">
        <v>1</v>
      </c>
      <c r="R8" s="13">
        <v>1</v>
      </c>
      <c r="S8" s="13">
        <v>1</v>
      </c>
      <c r="T8" s="13">
        <v>1</v>
      </c>
      <c r="U8" s="13">
        <v>1</v>
      </c>
      <c r="V8" s="13">
        <v>0.5</v>
      </c>
      <c r="W8" s="13"/>
      <c r="X8" s="13"/>
      <c r="Y8" s="13"/>
      <c r="Z8" s="13"/>
      <c r="AA8" s="13"/>
      <c r="AB8" s="13"/>
      <c r="AC8" s="13"/>
      <c r="AD8" s="13"/>
      <c r="AE8" s="13"/>
    </row>
    <row r="9" spans="1:31" x14ac:dyDescent="0.35">
      <c r="A9" s="3" t="s">
        <v>11</v>
      </c>
      <c r="B9" s="3" t="s">
        <v>3</v>
      </c>
      <c r="C9" s="3" t="s">
        <v>19</v>
      </c>
      <c r="D9" s="13" t="s">
        <v>147</v>
      </c>
      <c r="E9" s="13"/>
      <c r="F9" s="13"/>
      <c r="G9" s="13"/>
      <c r="H9" s="13"/>
      <c r="I9" s="13"/>
      <c r="J9" s="13"/>
      <c r="K9" s="13">
        <v>10</v>
      </c>
      <c r="L9" s="13">
        <v>10</v>
      </c>
      <c r="M9" s="13">
        <v>10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x14ac:dyDescent="0.35">
      <c r="A10" s="3" t="s">
        <v>5</v>
      </c>
      <c r="B10" s="3" t="s">
        <v>3</v>
      </c>
      <c r="C10" s="3" t="s">
        <v>21</v>
      </c>
      <c r="D10" s="13" t="s">
        <v>147</v>
      </c>
      <c r="E10" s="13">
        <v>10</v>
      </c>
      <c r="F10" s="13"/>
      <c r="G10" s="13"/>
      <c r="H10" s="13"/>
      <c r="I10" s="13"/>
      <c r="J10" s="13"/>
      <c r="K10" s="13">
        <v>10</v>
      </c>
      <c r="L10" s="13">
        <v>10</v>
      </c>
      <c r="M10" s="13">
        <v>10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x14ac:dyDescent="0.35">
      <c r="A11" s="3" t="s">
        <v>14</v>
      </c>
      <c r="B11" s="3" t="s">
        <v>3</v>
      </c>
      <c r="C11" s="3" t="s">
        <v>22</v>
      </c>
      <c r="D11" s="13" t="s">
        <v>147</v>
      </c>
      <c r="E11" s="13"/>
      <c r="F11" s="13"/>
      <c r="G11" s="13">
        <v>16</v>
      </c>
      <c r="H11" s="13"/>
      <c r="I11" s="13"/>
      <c r="J11" s="13"/>
      <c r="K11" s="13"/>
      <c r="L11" s="13"/>
      <c r="M11" s="13"/>
      <c r="N11" s="13">
        <v>6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x14ac:dyDescent="0.35">
      <c r="A12" s="3" t="s">
        <v>122</v>
      </c>
      <c r="B12" s="3" t="s">
        <v>3</v>
      </c>
      <c r="C12" s="3" t="s">
        <v>196</v>
      </c>
      <c r="D12" s="13" t="s">
        <v>147</v>
      </c>
      <c r="E12" s="13"/>
      <c r="F12" s="13"/>
      <c r="G12" s="13"/>
      <c r="H12" s="13"/>
      <c r="I12" s="13"/>
      <c r="J12" s="13">
        <v>4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x14ac:dyDescent="0.35">
      <c r="A13" s="3" t="s">
        <v>123</v>
      </c>
      <c r="B13" s="3" t="s">
        <v>3</v>
      </c>
      <c r="C13" s="3" t="s">
        <v>157</v>
      </c>
      <c r="D13" s="13">
        <v>539.58299999999997</v>
      </c>
      <c r="E13" s="13"/>
      <c r="F13" s="13"/>
      <c r="G13" s="13"/>
      <c r="H13" s="13"/>
      <c r="I13" s="13"/>
      <c r="J13" s="13">
        <f>0.1/100*1000</f>
        <v>1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x14ac:dyDescent="0.35">
      <c r="A14" s="3" t="s">
        <v>15</v>
      </c>
      <c r="B14" s="3" t="s">
        <v>3</v>
      </c>
      <c r="C14" s="3" t="s">
        <v>29</v>
      </c>
      <c r="D14" s="13">
        <v>132.12</v>
      </c>
      <c r="E14" s="13"/>
      <c r="F14" s="13"/>
      <c r="G14" s="13"/>
      <c r="H14" s="13">
        <v>2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x14ac:dyDescent="0.35">
      <c r="A15" s="3" t="s">
        <v>93</v>
      </c>
      <c r="B15" s="3" t="s">
        <v>88</v>
      </c>
      <c r="C15" s="3" t="s">
        <v>148</v>
      </c>
      <c r="D15" s="13">
        <v>251.17</v>
      </c>
      <c r="E15" s="13">
        <f>0.02/100*1000</f>
        <v>0.2</v>
      </c>
      <c r="F15" s="13"/>
      <c r="G15" s="13"/>
      <c r="H15" s="13"/>
      <c r="I15" s="13">
        <f>0.02/100*1000</f>
        <v>0.2</v>
      </c>
      <c r="J15" s="13"/>
      <c r="K15" s="13"/>
      <c r="L15" s="13">
        <v>4</v>
      </c>
      <c r="M15" s="13"/>
      <c r="N15" s="13"/>
      <c r="O15" s="13"/>
      <c r="P15" s="13">
        <v>0.2</v>
      </c>
      <c r="Q15" s="13"/>
      <c r="R15" s="13"/>
      <c r="S15" s="13"/>
      <c r="T15" s="13">
        <v>5.0000000000000001E-3</v>
      </c>
      <c r="U15" s="13"/>
      <c r="V15" s="13">
        <v>1E-3</v>
      </c>
      <c r="W15" s="13">
        <v>0.2</v>
      </c>
      <c r="X15" s="13"/>
      <c r="Y15" s="13"/>
      <c r="Z15" s="13"/>
      <c r="AA15" s="13"/>
      <c r="AB15" s="13"/>
      <c r="AC15" s="13"/>
      <c r="AD15" s="13"/>
      <c r="AE15" s="13"/>
    </row>
    <row r="16" spans="1:31" x14ac:dyDescent="0.35">
      <c r="A16" s="3" t="s">
        <v>94</v>
      </c>
      <c r="B16" s="3" t="s">
        <v>3</v>
      </c>
      <c r="C16" s="3" t="s">
        <v>149</v>
      </c>
      <c r="D16" s="13">
        <v>157.62</v>
      </c>
      <c r="E16" s="13">
        <v>0.5</v>
      </c>
      <c r="F16" s="13"/>
      <c r="G16" s="13"/>
      <c r="H16" s="13"/>
      <c r="I16" s="13">
        <v>0.5</v>
      </c>
      <c r="J16" s="13">
        <f>0.05/100*1000</f>
        <v>0.5</v>
      </c>
      <c r="K16" s="13"/>
      <c r="L16" s="13">
        <v>0.5</v>
      </c>
      <c r="M16" s="13">
        <v>0.5</v>
      </c>
      <c r="N16" s="13"/>
      <c r="O16" s="13"/>
      <c r="P16" s="13">
        <v>0.5</v>
      </c>
      <c r="Q16" s="13"/>
      <c r="R16" s="13"/>
      <c r="S16" s="13"/>
      <c r="T16" s="13">
        <v>0.3</v>
      </c>
      <c r="U16" s="13">
        <v>0.5</v>
      </c>
      <c r="V16" s="13">
        <v>0.5</v>
      </c>
      <c r="W16" s="13">
        <v>0.5</v>
      </c>
      <c r="X16" s="13"/>
      <c r="Y16" s="13"/>
      <c r="Z16" s="13"/>
      <c r="AA16" s="13"/>
      <c r="AB16" s="13">
        <v>0.2</v>
      </c>
      <c r="AC16" s="13"/>
      <c r="AD16" s="13">
        <v>0.5</v>
      </c>
      <c r="AE16" s="13"/>
    </row>
    <row r="17" spans="1:36" x14ac:dyDescent="0.35">
      <c r="A17" s="3" t="s">
        <v>159</v>
      </c>
      <c r="B17" s="3" t="s">
        <v>3</v>
      </c>
      <c r="C17" s="3" t="s">
        <v>149</v>
      </c>
      <c r="D17" s="13">
        <v>114.1</v>
      </c>
      <c r="E17" s="13">
        <v>0.5</v>
      </c>
      <c r="F17" s="13"/>
      <c r="G17" s="13"/>
      <c r="H17" s="13"/>
      <c r="I17" s="13">
        <v>0.5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6" x14ac:dyDescent="0.35">
      <c r="A18" s="4" t="s">
        <v>8</v>
      </c>
      <c r="B18" s="4" t="s">
        <v>3</v>
      </c>
      <c r="C18" s="4" t="s">
        <v>27</v>
      </c>
      <c r="D18" s="14">
        <v>137.13999999999999</v>
      </c>
      <c r="E18" s="14"/>
      <c r="F18" s="14"/>
      <c r="G18" s="14"/>
      <c r="H18" s="14">
        <v>0.04</v>
      </c>
      <c r="I18" s="14">
        <f>0.1*0.01</f>
        <v>1E-3</v>
      </c>
      <c r="J18" s="14">
        <f>1/1000</f>
        <v>1E-3</v>
      </c>
      <c r="K18" s="14"/>
      <c r="L18" s="14"/>
      <c r="M18" s="14"/>
      <c r="N18" s="14"/>
      <c r="O18" s="14">
        <f>1/1000</f>
        <v>1E-3</v>
      </c>
      <c r="P18" s="14"/>
      <c r="Q18" s="14">
        <f>1/1000</f>
        <v>1E-3</v>
      </c>
      <c r="R18" s="14"/>
      <c r="S18" s="14">
        <v>0.1</v>
      </c>
      <c r="T18" s="14"/>
      <c r="U18" s="14"/>
      <c r="V18" s="14">
        <v>4.0000000000000001E-3</v>
      </c>
      <c r="W18" s="51"/>
      <c r="X18" s="48">
        <f>2/1000</f>
        <v>2E-3</v>
      </c>
      <c r="Y18" s="51">
        <f>1*10^-6</f>
        <v>9.9999999999999995E-7</v>
      </c>
      <c r="Z18" s="33">
        <f>50*10^-6</f>
        <v>4.9999999999999996E-5</v>
      </c>
      <c r="AA18" s="33">
        <f>50/10^6</f>
        <v>5.0000000000000002E-5</v>
      </c>
      <c r="AB18" s="50">
        <f>0.01*0.005</f>
        <v>5.0000000000000002E-5</v>
      </c>
      <c r="AC18" s="49">
        <f>0.1*1/(790+20+100+1+2.2+11)</f>
        <v>1.0820168794633196E-4</v>
      </c>
      <c r="AD18" s="48">
        <v>2E-3</v>
      </c>
      <c r="AE18" s="48">
        <v>2E-3</v>
      </c>
    </row>
    <row r="19" spans="1:36" x14ac:dyDescent="0.35">
      <c r="A19" s="4" t="s">
        <v>9</v>
      </c>
      <c r="B19" s="4" t="s">
        <v>3</v>
      </c>
      <c r="C19" s="4" t="s">
        <v>150</v>
      </c>
      <c r="D19" s="14">
        <v>265.35500000000002</v>
      </c>
      <c r="E19" s="14"/>
      <c r="F19" s="14"/>
      <c r="G19" s="14"/>
      <c r="H19" s="14"/>
      <c r="I19" s="14">
        <f>0.1*0.01</f>
        <v>1E-3</v>
      </c>
      <c r="J19" s="14">
        <f>1/1000</f>
        <v>1E-3</v>
      </c>
      <c r="K19" s="14"/>
      <c r="L19" s="14"/>
      <c r="M19" s="14"/>
      <c r="N19" s="14"/>
      <c r="O19" s="14">
        <f>1/1000</f>
        <v>1E-3</v>
      </c>
      <c r="P19" s="14"/>
      <c r="Q19" s="14">
        <f>1/1000</f>
        <v>1E-3</v>
      </c>
      <c r="R19" s="14"/>
      <c r="S19" s="14">
        <v>0.1</v>
      </c>
      <c r="T19" s="14"/>
      <c r="U19" s="14"/>
      <c r="V19" s="14"/>
      <c r="W19" s="51"/>
      <c r="X19" s="51"/>
      <c r="Y19" s="51"/>
      <c r="Z19" s="33"/>
      <c r="AA19" s="33"/>
      <c r="AB19" s="52">
        <f>0.01*0.01*0.005/373.301*265.355</f>
        <v>3.5541694236018669E-7</v>
      </c>
      <c r="AC19" s="49">
        <f>0.1*1/(790+20+100+1+2.2+11)</f>
        <v>1.0820168794633196E-4</v>
      </c>
      <c r="AD19" s="51"/>
      <c r="AE19" s="51"/>
    </row>
    <row r="20" spans="1:36" x14ac:dyDescent="0.35">
      <c r="A20" s="4" t="s">
        <v>10</v>
      </c>
      <c r="B20" s="4" t="s">
        <v>3</v>
      </c>
      <c r="C20" s="4" t="s">
        <v>28</v>
      </c>
      <c r="D20" s="14">
        <v>244.31</v>
      </c>
      <c r="E20" s="14"/>
      <c r="F20" s="14"/>
      <c r="G20" s="14"/>
      <c r="H20" s="14"/>
      <c r="I20" s="14">
        <f>0.001*0.01</f>
        <v>1.0000000000000001E-5</v>
      </c>
      <c r="J20" s="14">
        <f>2*10^-6</f>
        <v>1.9999999999999999E-6</v>
      </c>
      <c r="K20" s="14"/>
      <c r="L20" s="14"/>
      <c r="M20" s="14"/>
      <c r="N20" s="14"/>
      <c r="O20" s="14">
        <f>0.01/1000</f>
        <v>1.0000000000000001E-5</v>
      </c>
      <c r="P20" s="14"/>
      <c r="Q20" s="14">
        <f>0.01/1000</f>
        <v>1.0000000000000001E-5</v>
      </c>
      <c r="R20" s="14"/>
      <c r="S20" s="14">
        <v>0.01</v>
      </c>
      <c r="T20" s="14"/>
      <c r="U20" s="14"/>
      <c r="V20" s="14">
        <v>2.4000000000000001E-4</v>
      </c>
      <c r="W20" s="51">
        <f>2*10^-6</f>
        <v>1.9999999999999999E-6</v>
      </c>
      <c r="X20" s="50">
        <f>0.12/1000</f>
        <v>1.1999999999999999E-4</v>
      </c>
      <c r="Y20" s="51">
        <f>1*10^-6</f>
        <v>9.9999999999999995E-7</v>
      </c>
      <c r="Z20" s="33">
        <f>50*10^-6</f>
        <v>4.9999999999999996E-5</v>
      </c>
      <c r="AA20" s="33">
        <f>50/10^6</f>
        <v>5.0000000000000002E-5</v>
      </c>
      <c r="AB20" s="50">
        <f>0.01*0.002</f>
        <v>2.0000000000000002E-5</v>
      </c>
      <c r="AC20" s="51">
        <f>0.001*1/(790+20+100+1+2.2+11)</f>
        <v>1.0820168794633195E-6</v>
      </c>
      <c r="AD20" s="50">
        <v>1.2E-4</v>
      </c>
      <c r="AE20" s="51">
        <v>1.2E-4</v>
      </c>
    </row>
    <row r="21" spans="1:36" x14ac:dyDescent="0.35">
      <c r="A21" s="4" t="s">
        <v>114</v>
      </c>
      <c r="B21" s="4" t="s">
        <v>3</v>
      </c>
      <c r="C21" s="4" t="s">
        <v>151</v>
      </c>
      <c r="D21" s="14">
        <v>441.4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>
        <f>0.01*0.002</f>
        <v>2.0000000000000002E-5</v>
      </c>
      <c r="AC21" s="14"/>
      <c r="AD21" s="14"/>
      <c r="AE21" s="14"/>
    </row>
    <row r="22" spans="1:36" x14ac:dyDescent="0.35">
      <c r="A22" s="4" t="s">
        <v>115</v>
      </c>
      <c r="B22" s="4" t="s">
        <v>3</v>
      </c>
      <c r="C22" s="4" t="s">
        <v>152</v>
      </c>
      <c r="D22" s="14">
        <v>205.64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>
        <f>0.01*0.01</f>
        <v>1E-4</v>
      </c>
      <c r="AC22" s="14"/>
      <c r="AD22" s="14"/>
      <c r="AE22" s="14"/>
    </row>
    <row r="23" spans="1:36" x14ac:dyDescent="0.35">
      <c r="A23" s="4" t="s">
        <v>116</v>
      </c>
      <c r="B23" s="4" t="s">
        <v>3</v>
      </c>
      <c r="C23" s="4" t="s">
        <v>153</v>
      </c>
      <c r="D23" s="14">
        <v>376.36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>
        <f>0.01*0.005</f>
        <v>5.0000000000000002E-5</v>
      </c>
      <c r="AC23" s="14"/>
      <c r="AD23" s="14"/>
      <c r="AE23" s="14"/>
    </row>
    <row r="24" spans="1:36" x14ac:dyDescent="0.35">
      <c r="A24" s="4" t="s">
        <v>117</v>
      </c>
      <c r="B24" s="4" t="s">
        <v>3</v>
      </c>
      <c r="C24" s="4" t="s">
        <v>154</v>
      </c>
      <c r="D24" s="14">
        <v>123.10939999999999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>
        <f>0.01*0.005</f>
        <v>5.0000000000000002E-5</v>
      </c>
      <c r="AC24" s="14"/>
      <c r="AD24" s="14"/>
      <c r="AE24" s="14"/>
    </row>
    <row r="25" spans="1:36" x14ac:dyDescent="0.35">
      <c r="A25" s="4" t="s">
        <v>118</v>
      </c>
      <c r="B25" s="4" t="s">
        <v>3</v>
      </c>
      <c r="C25" s="4" t="s">
        <v>155</v>
      </c>
      <c r="D25" s="14">
        <v>476.53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>
        <f>0.01*0.005</f>
        <v>5.0000000000000002E-5</v>
      </c>
      <c r="AC25" s="14"/>
      <c r="AD25" s="14"/>
      <c r="AE25" s="14"/>
    </row>
    <row r="26" spans="1:36" x14ac:dyDescent="0.35">
      <c r="A26" s="4" t="s">
        <v>119</v>
      </c>
      <c r="B26" s="4" t="s">
        <v>3</v>
      </c>
      <c r="C26" s="4" t="s">
        <v>197</v>
      </c>
      <c r="D26" s="14">
        <v>1355.38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>
        <f>0.01*10^-4</f>
        <v>1.0000000000000002E-6</v>
      </c>
      <c r="AC26" s="14"/>
      <c r="AD26" s="14"/>
      <c r="AE26" s="14"/>
      <c r="AG26" s="58"/>
      <c r="AH26" s="58"/>
      <c r="AI26" s="58"/>
      <c r="AJ26" s="58"/>
    </row>
    <row r="27" spans="1:36" x14ac:dyDescent="0.35">
      <c r="A27" s="4" t="s">
        <v>120</v>
      </c>
      <c r="B27" s="4" t="s">
        <v>3</v>
      </c>
      <c r="C27" s="4" t="s">
        <v>156</v>
      </c>
      <c r="D27" s="14">
        <v>206.33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>
        <f>0.01*0.005</f>
        <v>5.0000000000000002E-5</v>
      </c>
      <c r="AC27" s="14"/>
      <c r="AD27" s="14"/>
      <c r="AE27" s="14"/>
      <c r="AG27" s="58"/>
      <c r="AH27" s="58"/>
      <c r="AI27" s="58"/>
      <c r="AJ27" s="58"/>
    </row>
    <row r="28" spans="1:36" x14ac:dyDescent="0.35">
      <c r="A28" s="5" t="s">
        <v>7</v>
      </c>
      <c r="B28" s="5" t="s">
        <v>3</v>
      </c>
      <c r="C28" s="5" t="s">
        <v>23</v>
      </c>
      <c r="D28" s="15">
        <v>58.44</v>
      </c>
      <c r="E28" s="15">
        <v>5</v>
      </c>
      <c r="F28" s="15"/>
      <c r="G28" s="15">
        <v>4</v>
      </c>
      <c r="H28" s="15">
        <v>1</v>
      </c>
      <c r="I28" s="15">
        <f>1*0.01</f>
        <v>0.01</v>
      </c>
      <c r="J28" s="15"/>
      <c r="K28" s="15">
        <v>5</v>
      </c>
      <c r="L28" s="15">
        <v>5</v>
      </c>
      <c r="M28" s="15">
        <v>5</v>
      </c>
      <c r="N28" s="15"/>
      <c r="O28" s="15">
        <v>0.01</v>
      </c>
      <c r="P28" s="15"/>
      <c r="Q28" s="15"/>
      <c r="R28" s="15"/>
      <c r="S28" s="15">
        <v>0.1</v>
      </c>
      <c r="T28" s="15"/>
      <c r="U28" s="15"/>
      <c r="V28" s="15"/>
      <c r="W28" s="15"/>
      <c r="X28" s="15">
        <v>0.1</v>
      </c>
      <c r="Y28" s="15">
        <v>0.1</v>
      </c>
      <c r="Z28" s="15">
        <v>0.1</v>
      </c>
      <c r="AA28" s="15">
        <v>0.1</v>
      </c>
      <c r="AB28" s="15">
        <f>0.01*1</f>
        <v>0.01</v>
      </c>
      <c r="AC28" s="34">
        <f>0.1*10/(790+20+100+1+2.2+11)</f>
        <v>1.0820168794633195E-3</v>
      </c>
      <c r="AD28" s="15"/>
      <c r="AE28" s="15">
        <v>0.1</v>
      </c>
      <c r="AG28" s="58"/>
      <c r="AH28" s="58"/>
      <c r="AI28" s="58"/>
      <c r="AJ28" s="58"/>
    </row>
    <row r="29" spans="1:36" ht="16.5" x14ac:dyDescent="0.45">
      <c r="A29" s="5" t="s">
        <v>60</v>
      </c>
      <c r="B29" s="5" t="s">
        <v>3</v>
      </c>
      <c r="C29" s="5" t="s">
        <v>24</v>
      </c>
      <c r="D29" s="15">
        <v>82.034300000000002</v>
      </c>
      <c r="E29" s="15">
        <v>3</v>
      </c>
      <c r="F29" s="15"/>
      <c r="G29" s="15"/>
      <c r="H29" s="15">
        <v>2.46</v>
      </c>
      <c r="I29" s="15"/>
      <c r="J29" s="15"/>
      <c r="K29" s="15">
        <v>3</v>
      </c>
      <c r="L29" s="15"/>
      <c r="M29" s="15">
        <v>3</v>
      </c>
      <c r="N29" s="15"/>
      <c r="O29" s="15"/>
      <c r="P29" s="15"/>
      <c r="Q29" s="15"/>
      <c r="R29" s="15"/>
      <c r="S29" s="15">
        <v>2.46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6" ht="16.5" x14ac:dyDescent="0.45">
      <c r="A30" s="5" t="s">
        <v>92</v>
      </c>
      <c r="B30" s="5" t="s">
        <v>3</v>
      </c>
      <c r="C30" s="5" t="s">
        <v>210</v>
      </c>
      <c r="D30" s="15">
        <v>84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>
        <v>4</v>
      </c>
      <c r="V30" s="15">
        <v>6</v>
      </c>
      <c r="W30" s="15"/>
      <c r="X30" s="15"/>
      <c r="Y30" s="15"/>
      <c r="Z30" s="15"/>
      <c r="AA30" s="15"/>
      <c r="AB30" s="15"/>
      <c r="AC30" s="15"/>
      <c r="AD30" s="15"/>
      <c r="AE30" s="15"/>
    </row>
    <row r="31" spans="1:36" ht="16.5" x14ac:dyDescent="0.45">
      <c r="A31" s="5" t="s">
        <v>113</v>
      </c>
      <c r="B31" s="5" t="s">
        <v>3</v>
      </c>
      <c r="C31" s="5" t="s">
        <v>198</v>
      </c>
      <c r="D31" s="15">
        <v>160.04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6" ht="16.5" x14ac:dyDescent="0.45">
      <c r="A32" s="5" t="s">
        <v>61</v>
      </c>
      <c r="B32" s="5" t="s">
        <v>3</v>
      </c>
      <c r="C32" s="5" t="s">
        <v>40</v>
      </c>
      <c r="D32" s="15">
        <v>241.96770000000001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9"/>
      <c r="P32" s="45">
        <f>0.04*0.002/1</f>
        <v>8.0000000000000007E-5</v>
      </c>
      <c r="Q32" s="45">
        <f>0.04*0.004/1</f>
        <v>1.6000000000000001E-4</v>
      </c>
      <c r="R32" s="15">
        <f>0.036*0.002</f>
        <v>7.2000000000000002E-5</v>
      </c>
      <c r="S32" s="15"/>
      <c r="T32" s="15">
        <f>0.002*0.04</f>
        <v>8.0000000000000007E-5</v>
      </c>
      <c r="U32" s="15">
        <f>0.001*0.0205</f>
        <v>2.05E-5</v>
      </c>
      <c r="V32" s="15"/>
      <c r="W32" s="45">
        <f>0.04*0.002/1</f>
        <v>8.0000000000000007E-5</v>
      </c>
      <c r="X32" s="15">
        <v>0.01</v>
      </c>
      <c r="Y32" s="15">
        <v>0.01</v>
      </c>
      <c r="Z32" s="15">
        <v>0.01</v>
      </c>
      <c r="AA32" s="15">
        <v>0.01</v>
      </c>
      <c r="AB32" s="15">
        <f>0.01*0.01</f>
        <v>1E-4</v>
      </c>
      <c r="AC32" s="15"/>
      <c r="AD32" s="15">
        <v>0.01</v>
      </c>
      <c r="AE32" s="15">
        <v>0.01</v>
      </c>
    </row>
    <row r="33" spans="1:31" ht="16.5" x14ac:dyDescent="0.45">
      <c r="A33" s="5" t="s">
        <v>104</v>
      </c>
      <c r="B33" s="5" t="s">
        <v>3</v>
      </c>
      <c r="C33" s="5" t="s">
        <v>198</v>
      </c>
      <c r="D33" s="15">
        <v>142.04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>
        <v>0.1</v>
      </c>
      <c r="AC33" s="15"/>
      <c r="AD33" s="15"/>
      <c r="AE33" s="15"/>
    </row>
    <row r="34" spans="1:31" ht="16.5" x14ac:dyDescent="0.45">
      <c r="A34" s="5" t="s">
        <v>111</v>
      </c>
      <c r="B34" s="5" t="s">
        <v>3</v>
      </c>
      <c r="C34" s="5" t="s">
        <v>198</v>
      </c>
      <c r="D34" s="15">
        <v>263.01409999999998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>
        <f>0.001*0.0173</f>
        <v>1.73E-5</v>
      </c>
      <c r="V34" s="15"/>
      <c r="W34" s="15"/>
      <c r="X34" s="15"/>
      <c r="Y34" s="15"/>
      <c r="Z34" s="15"/>
      <c r="AA34" s="15"/>
      <c r="AB34" s="15">
        <f>0.01*0.0003</f>
        <v>2.9999999999999997E-6</v>
      </c>
      <c r="AC34" s="15"/>
      <c r="AD34" s="15"/>
      <c r="AE34" s="15"/>
    </row>
    <row r="35" spans="1:31" ht="16.5" x14ac:dyDescent="0.45">
      <c r="A35" s="5" t="s">
        <v>142</v>
      </c>
      <c r="B35" s="5" t="s">
        <v>3</v>
      </c>
      <c r="C35" s="5" t="s">
        <v>199</v>
      </c>
      <c r="D35" s="15">
        <v>293.82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>
        <f>0.001*0.0294</f>
        <v>2.94E-5</v>
      </c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ht="16.5" x14ac:dyDescent="0.45">
      <c r="A36" s="5" t="s">
        <v>112</v>
      </c>
      <c r="B36" s="5" t="s">
        <v>3</v>
      </c>
      <c r="C36" s="5" t="s">
        <v>199</v>
      </c>
      <c r="D36" s="15">
        <v>329.86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>
        <f>0.01*0.0004</f>
        <v>4.0000000000000007E-6</v>
      </c>
      <c r="AC36" s="15"/>
      <c r="AD36" s="15"/>
      <c r="AE36" s="15"/>
    </row>
    <row r="37" spans="1:31" ht="16.5" x14ac:dyDescent="0.45">
      <c r="A37" s="6" t="s">
        <v>62</v>
      </c>
      <c r="B37" s="6" t="s">
        <v>3</v>
      </c>
      <c r="C37" s="6" t="s">
        <v>30</v>
      </c>
      <c r="D37" s="16">
        <v>77.081999999999994</v>
      </c>
      <c r="E37" s="17"/>
      <c r="F37" s="16"/>
      <c r="G37" s="16"/>
      <c r="H37" s="16"/>
      <c r="I37" s="46">
        <f>220*0.01</f>
        <v>2.2000000000000002</v>
      </c>
      <c r="J37" s="16"/>
      <c r="K37" s="16">
        <v>3</v>
      </c>
      <c r="L37" s="16"/>
      <c r="M37" s="16"/>
      <c r="N37" s="16">
        <v>3</v>
      </c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36">
        <f>2.2*100/(790+20+100+1+2.2+11)</f>
        <v>0.23804371348193035</v>
      </c>
      <c r="AD37" s="16"/>
      <c r="AE37" s="16"/>
    </row>
    <row r="38" spans="1:31" ht="16.5" x14ac:dyDescent="0.45">
      <c r="A38" s="6" t="s">
        <v>63</v>
      </c>
      <c r="B38" s="6" t="s">
        <v>3</v>
      </c>
      <c r="C38" s="6" t="s">
        <v>32</v>
      </c>
      <c r="D38" s="16">
        <v>132.13999999999999</v>
      </c>
      <c r="E38" s="16"/>
      <c r="F38" s="16"/>
      <c r="G38" s="16"/>
      <c r="H38" s="16">
        <v>2</v>
      </c>
      <c r="I38" s="16"/>
      <c r="J38" s="16"/>
      <c r="K38" s="16"/>
      <c r="L38" s="16"/>
      <c r="M38" s="16"/>
      <c r="N38" s="16"/>
      <c r="O38" s="16">
        <v>2</v>
      </c>
      <c r="P38" s="16">
        <v>5</v>
      </c>
      <c r="Q38" s="16">
        <v>5</v>
      </c>
      <c r="R38" s="16">
        <v>5</v>
      </c>
      <c r="S38" s="16"/>
      <c r="T38" s="16">
        <v>3</v>
      </c>
      <c r="U38" s="16"/>
      <c r="V38" s="16"/>
      <c r="W38" s="16">
        <v>5</v>
      </c>
      <c r="X38" s="16"/>
      <c r="Y38" s="16">
        <v>0.8</v>
      </c>
      <c r="Z38" s="16">
        <v>0.8</v>
      </c>
      <c r="AA38" s="16">
        <v>0.8</v>
      </c>
      <c r="AB38" s="16"/>
      <c r="AC38" s="16"/>
      <c r="AD38" s="16"/>
      <c r="AE38" s="16"/>
    </row>
    <row r="39" spans="1:31" ht="16.5" x14ac:dyDescent="0.45">
      <c r="A39" s="6" t="s">
        <v>64</v>
      </c>
      <c r="B39" s="6" t="s">
        <v>3</v>
      </c>
      <c r="C39" s="6" t="s">
        <v>33</v>
      </c>
      <c r="D39" s="16">
        <v>53.491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>
        <v>1.6</v>
      </c>
      <c r="T39" s="16"/>
      <c r="U39" s="16">
        <v>3</v>
      </c>
      <c r="V39" s="16">
        <v>0.66</v>
      </c>
      <c r="W39" s="16"/>
      <c r="X39" s="16">
        <v>3</v>
      </c>
      <c r="Y39" s="16"/>
      <c r="Z39" s="16"/>
      <c r="AA39" s="16"/>
      <c r="AB39" s="16">
        <v>0.5</v>
      </c>
      <c r="AC39" s="16"/>
      <c r="AD39" s="16">
        <v>3</v>
      </c>
      <c r="AE39" s="16">
        <v>3</v>
      </c>
    </row>
    <row r="40" spans="1:31" ht="16.5" x14ac:dyDescent="0.45">
      <c r="A40" s="6" t="s">
        <v>106</v>
      </c>
      <c r="B40" s="6" t="s">
        <v>3</v>
      </c>
      <c r="C40" s="6" t="s">
        <v>30</v>
      </c>
      <c r="D40" s="16">
        <v>191.14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>
        <f>0.01*1.5</f>
        <v>1.4999999999999999E-2</v>
      </c>
      <c r="AC40" s="16"/>
      <c r="AD40" s="16"/>
      <c r="AE40" s="16"/>
    </row>
    <row r="41" spans="1:31" ht="16.5" x14ac:dyDescent="0.45">
      <c r="A41" s="5" t="s">
        <v>65</v>
      </c>
      <c r="B41" s="5" t="s">
        <v>3</v>
      </c>
      <c r="C41" s="5" t="s">
        <v>25</v>
      </c>
      <c r="D41" s="15">
        <v>120.366</v>
      </c>
      <c r="E41" s="15"/>
      <c r="F41" s="15"/>
      <c r="G41" s="15"/>
      <c r="H41" s="57">
        <v>0.34799999999999998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ht="16.5" x14ac:dyDescent="0.45">
      <c r="A42" s="5" t="s">
        <v>85</v>
      </c>
      <c r="B42" s="5" t="s">
        <v>3</v>
      </c>
      <c r="C42" s="5" t="s">
        <v>25</v>
      </c>
      <c r="D42" s="15">
        <v>138.38290000000001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>
        <v>0.1</v>
      </c>
      <c r="Z42" s="15">
        <v>0.1</v>
      </c>
      <c r="AA42" s="15">
        <v>0.1</v>
      </c>
      <c r="AB42" s="15"/>
      <c r="AC42" s="15"/>
      <c r="AD42" s="15"/>
      <c r="AE42" s="15"/>
    </row>
    <row r="43" spans="1:31" ht="16.5" x14ac:dyDescent="0.45">
      <c r="A43" s="5" t="s">
        <v>66</v>
      </c>
      <c r="B43" s="5" t="s">
        <v>3</v>
      </c>
      <c r="C43" s="5" t="s">
        <v>25</v>
      </c>
      <c r="D43" s="15">
        <v>246.48</v>
      </c>
      <c r="E43" s="15"/>
      <c r="F43" s="15"/>
      <c r="G43" s="15"/>
      <c r="H43" s="15"/>
      <c r="I43" s="15">
        <f>20*0.01</f>
        <v>0.2</v>
      </c>
      <c r="J43" s="15">
        <v>0.2</v>
      </c>
      <c r="K43" s="15"/>
      <c r="L43" s="15"/>
      <c r="M43" s="15"/>
      <c r="N43" s="15">
        <v>0.3</v>
      </c>
      <c r="O43" s="15">
        <v>0.02</v>
      </c>
      <c r="P43" s="15">
        <v>0.2</v>
      </c>
      <c r="Q43" s="15">
        <v>0.2</v>
      </c>
      <c r="R43" s="15">
        <v>0.2</v>
      </c>
      <c r="S43" s="15">
        <v>2</v>
      </c>
      <c r="T43" s="15">
        <v>0.2</v>
      </c>
      <c r="U43" s="15">
        <v>0.2</v>
      </c>
      <c r="V43" s="15">
        <v>0.251</v>
      </c>
      <c r="W43" s="15">
        <v>0.2</v>
      </c>
      <c r="X43" s="15">
        <v>0.1</v>
      </c>
      <c r="Y43" s="15"/>
      <c r="Z43" s="15"/>
      <c r="AA43" s="15"/>
      <c r="AB43" s="15">
        <f>0.01*3</f>
        <v>0.03</v>
      </c>
      <c r="AC43" s="35">
        <f>2*10/(790+20+100+1+2.2+11)</f>
        <v>2.1640337589266392E-2</v>
      </c>
      <c r="AD43" s="15">
        <v>0.1</v>
      </c>
      <c r="AE43" s="15">
        <v>0.1</v>
      </c>
    </row>
    <row r="44" spans="1:31" ht="16.5" x14ac:dyDescent="0.45">
      <c r="A44" s="5" t="s">
        <v>105</v>
      </c>
      <c r="B44" s="5" t="s">
        <v>3</v>
      </c>
      <c r="C44" s="5" t="s">
        <v>200</v>
      </c>
      <c r="D44" s="15">
        <v>203.30279999999999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>
        <v>0.15</v>
      </c>
      <c r="AC44" s="15"/>
      <c r="AD44" s="15"/>
      <c r="AE44" s="15"/>
    </row>
    <row r="45" spans="1:31" ht="16.5" x14ac:dyDescent="0.45">
      <c r="A45" s="6" t="s">
        <v>67</v>
      </c>
      <c r="B45" s="6" t="s">
        <v>3</v>
      </c>
      <c r="C45" s="6" t="s">
        <v>26</v>
      </c>
      <c r="D45" s="16">
        <v>169.01599999999999</v>
      </c>
      <c r="E45" s="16"/>
      <c r="F45" s="16"/>
      <c r="G45" s="16"/>
      <c r="H45" s="37">
        <v>0.01</v>
      </c>
      <c r="I45" s="16">
        <f>1*0.01</f>
        <v>0.01</v>
      </c>
      <c r="J45" s="16"/>
      <c r="K45" s="16"/>
      <c r="L45" s="16"/>
      <c r="M45" s="16"/>
      <c r="N45" s="16"/>
      <c r="O45" s="16">
        <v>0.01</v>
      </c>
      <c r="P45" s="16"/>
      <c r="Q45" s="16"/>
      <c r="R45" s="16"/>
      <c r="S45" s="16">
        <v>0.1</v>
      </c>
      <c r="T45" s="16"/>
      <c r="U45" s="16"/>
      <c r="V45" s="16"/>
      <c r="W45" s="16"/>
      <c r="X45" s="16"/>
      <c r="Y45" s="16"/>
      <c r="Z45" s="16"/>
      <c r="AA45" s="16"/>
      <c r="AB45" s="16">
        <f>0.01*0.5</f>
        <v>5.0000000000000001E-3</v>
      </c>
      <c r="AC45" s="36">
        <f>0.1*10/(790+20+100+1+2.2+11)</f>
        <v>1.0820168794633195E-3</v>
      </c>
      <c r="AD45" s="16"/>
      <c r="AE45" s="16"/>
    </row>
    <row r="46" spans="1:31" ht="16.5" x14ac:dyDescent="0.45">
      <c r="A46" s="6" t="s">
        <v>68</v>
      </c>
      <c r="B46" s="6" t="s">
        <v>3</v>
      </c>
      <c r="C46" s="6" t="s">
        <v>26</v>
      </c>
      <c r="D46" s="16">
        <v>223.06180000000001</v>
      </c>
      <c r="E46" s="16"/>
      <c r="F46" s="16"/>
      <c r="G46" s="16"/>
      <c r="H46" s="16"/>
      <c r="I46" s="16"/>
      <c r="J46" s="16">
        <v>0.01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37">
        <v>1.4999999999999999E-2</v>
      </c>
      <c r="Y46" s="16"/>
      <c r="Z46" s="16"/>
      <c r="AA46" s="16"/>
      <c r="AB46" s="16"/>
      <c r="AC46" s="16"/>
      <c r="AD46" s="16">
        <v>1.4999999999999999E-2</v>
      </c>
      <c r="AE46" s="16">
        <v>1.4999999999999999E-2</v>
      </c>
    </row>
    <row r="47" spans="1:31" ht="16.5" x14ac:dyDescent="0.45">
      <c r="A47" s="6" t="s">
        <v>82</v>
      </c>
      <c r="B47" s="6" t="s">
        <v>3</v>
      </c>
      <c r="C47" s="6" t="s">
        <v>201</v>
      </c>
      <c r="D47" s="16">
        <v>197.91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46">
        <f>0.1*0.002/1</f>
        <v>2.0000000000000001E-4</v>
      </c>
      <c r="Q47" s="46">
        <f>0.1*0.004/1</f>
        <v>4.0000000000000002E-4</v>
      </c>
      <c r="R47" s="46">
        <f>0.1*0.002</f>
        <v>2.0000000000000001E-4</v>
      </c>
      <c r="S47" s="46"/>
      <c r="T47" s="46">
        <f>0.002*0.1</f>
        <v>2.0000000000000001E-4</v>
      </c>
      <c r="U47" s="46"/>
      <c r="V47" s="46"/>
      <c r="W47" s="46">
        <f>0.1*0.002/1</f>
        <v>2.0000000000000001E-4</v>
      </c>
      <c r="X47" s="16"/>
      <c r="Y47" s="16"/>
      <c r="Z47" s="16"/>
      <c r="AA47" s="16"/>
      <c r="AB47" s="16"/>
      <c r="AC47" s="16"/>
      <c r="AD47" s="16"/>
      <c r="AE47" s="16"/>
    </row>
    <row r="48" spans="1:31" ht="16.5" x14ac:dyDescent="0.45">
      <c r="A48" s="6" t="s">
        <v>138</v>
      </c>
      <c r="B48" s="6" t="s">
        <v>3</v>
      </c>
      <c r="C48" s="6" t="s">
        <v>201</v>
      </c>
      <c r="D48" s="16">
        <v>125.84399999999999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46"/>
      <c r="Q48" s="46"/>
      <c r="R48" s="46"/>
      <c r="S48" s="46"/>
      <c r="T48" s="46"/>
      <c r="U48" s="53">
        <f>0.001*0.0613</f>
        <v>6.1299999999999999E-5</v>
      </c>
      <c r="V48" s="46"/>
      <c r="W48" s="46"/>
      <c r="X48" s="16"/>
      <c r="Y48" s="16"/>
      <c r="Z48" s="16"/>
      <c r="AA48" s="16"/>
      <c r="AB48" s="16"/>
      <c r="AC48" s="16"/>
      <c r="AD48" s="16"/>
      <c r="AE48" s="16"/>
    </row>
    <row r="49" spans="1:32" ht="16.5" x14ac:dyDescent="0.45">
      <c r="A49" s="5" t="s">
        <v>69</v>
      </c>
      <c r="B49" s="5" t="s">
        <v>3</v>
      </c>
      <c r="C49" s="5" t="s">
        <v>211</v>
      </c>
      <c r="D49" s="15">
        <v>100.0869</v>
      </c>
      <c r="E49" s="15"/>
      <c r="F49" s="15">
        <v>20</v>
      </c>
      <c r="G49" s="15"/>
      <c r="H49" s="15"/>
      <c r="I49" s="15"/>
      <c r="J49" s="15"/>
      <c r="K49" s="15"/>
      <c r="L49" s="15"/>
      <c r="M49" s="15"/>
      <c r="N49" s="15"/>
      <c r="O49" s="15"/>
      <c r="P49" s="45"/>
      <c r="Q49" s="45">
        <v>2</v>
      </c>
      <c r="R49" s="45"/>
      <c r="S49" s="45"/>
      <c r="T49" s="45"/>
      <c r="U49" s="45"/>
      <c r="V49" s="45"/>
      <c r="W49" s="45"/>
      <c r="X49" s="15">
        <v>20</v>
      </c>
      <c r="Y49" s="15">
        <v>10</v>
      </c>
      <c r="Z49" s="15"/>
      <c r="AA49" s="15"/>
      <c r="AB49" s="15"/>
      <c r="AC49" s="15"/>
      <c r="AD49" s="15">
        <v>20</v>
      </c>
      <c r="AE49" s="15"/>
    </row>
    <row r="50" spans="1:32" ht="16.5" x14ac:dyDescent="0.45">
      <c r="A50" s="5" t="s">
        <v>70</v>
      </c>
      <c r="B50" s="5" t="s">
        <v>3</v>
      </c>
      <c r="C50" s="5" t="s">
        <v>34</v>
      </c>
      <c r="D50" s="15">
        <v>110.98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45">
        <v>0.02</v>
      </c>
      <c r="Q50" s="45"/>
      <c r="R50" s="45"/>
      <c r="S50" s="45"/>
      <c r="T50" s="45"/>
      <c r="U50" s="45"/>
      <c r="V50" s="45"/>
      <c r="W50" s="45">
        <v>0.02</v>
      </c>
      <c r="X50" s="15">
        <v>0.01</v>
      </c>
      <c r="Y50" s="15"/>
      <c r="Z50" s="15"/>
      <c r="AA50" s="15"/>
      <c r="AB50" s="15"/>
      <c r="AC50" s="15"/>
      <c r="AD50" s="15">
        <v>0.01</v>
      </c>
      <c r="AE50" s="15">
        <v>0.01</v>
      </c>
    </row>
    <row r="51" spans="1:32" ht="16.5" x14ac:dyDescent="0.45">
      <c r="A51" s="5" t="s">
        <v>71</v>
      </c>
      <c r="B51" s="5" t="s">
        <v>3</v>
      </c>
      <c r="C51" s="5" t="s">
        <v>34</v>
      </c>
      <c r="D51" s="15">
        <v>147.01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45"/>
      <c r="Q51" s="45">
        <v>0.02</v>
      </c>
      <c r="R51" s="45">
        <v>0.02</v>
      </c>
      <c r="S51" s="45"/>
      <c r="T51" s="45">
        <v>0.02</v>
      </c>
      <c r="U51" s="45">
        <v>0.02</v>
      </c>
      <c r="V51" s="45"/>
      <c r="W51" s="45"/>
      <c r="X51" s="15"/>
      <c r="Y51" s="15"/>
      <c r="Z51" s="15"/>
      <c r="AA51" s="15"/>
      <c r="AB51" s="15">
        <f>0.01*0.1</f>
        <v>1E-3</v>
      </c>
      <c r="AC51" s="15"/>
      <c r="AD51" s="15"/>
      <c r="AE51" s="15"/>
    </row>
    <row r="52" spans="1:32" ht="16.5" x14ac:dyDescent="0.45">
      <c r="A52" s="6" t="s">
        <v>72</v>
      </c>
      <c r="B52" s="6" t="s">
        <v>3</v>
      </c>
      <c r="C52" s="6" t="s">
        <v>205</v>
      </c>
      <c r="D52" s="16">
        <v>151.90799999999999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46">
        <v>0.05</v>
      </c>
      <c r="Q52" s="46"/>
      <c r="R52" s="46">
        <v>0.1</v>
      </c>
      <c r="S52" s="46"/>
      <c r="T52" s="46"/>
      <c r="U52" s="46"/>
      <c r="V52" s="46"/>
      <c r="W52" s="46">
        <v>0.05</v>
      </c>
      <c r="X52" s="16"/>
      <c r="Y52" s="16"/>
      <c r="Z52" s="16">
        <v>0.01</v>
      </c>
      <c r="AA52" s="16">
        <v>0.01</v>
      </c>
      <c r="AB52" s="16"/>
      <c r="AC52" s="16"/>
      <c r="AD52" s="16"/>
      <c r="AE52" s="16"/>
    </row>
    <row r="53" spans="1:32" ht="16.5" x14ac:dyDescent="0.45">
      <c r="A53" s="6" t="s">
        <v>73</v>
      </c>
      <c r="B53" s="6" t="s">
        <v>3</v>
      </c>
      <c r="C53" s="6" t="s">
        <v>205</v>
      </c>
      <c r="D53" s="16">
        <v>278.01</v>
      </c>
      <c r="E53" s="16"/>
      <c r="F53" s="16"/>
      <c r="G53" s="16"/>
      <c r="H53" s="16">
        <v>0.01</v>
      </c>
      <c r="I53" s="16">
        <f>1*0.01</f>
        <v>0.01</v>
      </c>
      <c r="J53" s="16">
        <v>0.01</v>
      </c>
      <c r="K53" s="16"/>
      <c r="L53" s="16"/>
      <c r="M53" s="16"/>
      <c r="N53" s="16">
        <v>0.01</v>
      </c>
      <c r="O53" s="16">
        <v>0.01</v>
      </c>
      <c r="P53" s="46"/>
      <c r="Q53" s="46">
        <v>0.1</v>
      </c>
      <c r="R53" s="46"/>
      <c r="S53" s="46">
        <v>0.1</v>
      </c>
      <c r="T53" s="46">
        <v>0.01</v>
      </c>
      <c r="U53" s="46"/>
      <c r="V53" s="46"/>
      <c r="W53" s="46"/>
      <c r="X53" s="16"/>
      <c r="Y53" s="16"/>
      <c r="Z53" s="16"/>
      <c r="AA53" s="16"/>
      <c r="AB53" s="16">
        <f>0.01*0.2</f>
        <v>2E-3</v>
      </c>
      <c r="AC53" s="36">
        <f>0.1*10/(790+20+100+1+2.2+11)</f>
        <v>1.0820168794633195E-3</v>
      </c>
      <c r="AD53" s="16"/>
      <c r="AE53" s="16"/>
      <c r="AF53" s="1" t="s">
        <v>194</v>
      </c>
    </row>
    <row r="54" spans="1:32" ht="16.5" x14ac:dyDescent="0.45">
      <c r="A54" s="6" t="s">
        <v>139</v>
      </c>
      <c r="B54" s="6" t="s">
        <v>3</v>
      </c>
      <c r="C54" s="6" t="s">
        <v>206</v>
      </c>
      <c r="D54" s="16">
        <v>126.751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46"/>
      <c r="Q54" s="46"/>
      <c r="R54" s="46"/>
      <c r="S54" s="46"/>
      <c r="T54" s="46"/>
      <c r="U54" s="54">
        <f>0.001*0.9435</f>
        <v>9.435E-4</v>
      </c>
      <c r="V54" s="46"/>
      <c r="W54" s="46"/>
      <c r="X54" s="16"/>
      <c r="Y54" s="16"/>
      <c r="Z54" s="16"/>
      <c r="AA54" s="16"/>
      <c r="AB54" s="16"/>
      <c r="AC54" s="16"/>
      <c r="AD54" s="16"/>
      <c r="AE54" s="16"/>
    </row>
    <row r="55" spans="1:32" ht="16.5" x14ac:dyDescent="0.45">
      <c r="A55" s="6" t="s">
        <v>74</v>
      </c>
      <c r="B55" s="6" t="s">
        <v>3</v>
      </c>
      <c r="C55" s="6" t="s">
        <v>206</v>
      </c>
      <c r="D55" s="16">
        <v>198.75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46"/>
      <c r="Q55" s="46"/>
      <c r="R55" s="46">
        <f>1.5*0.002</f>
        <v>3.0000000000000001E-3</v>
      </c>
      <c r="S55" s="46"/>
      <c r="T55" s="46"/>
      <c r="U55" s="46"/>
      <c r="V55" s="46"/>
      <c r="W55" s="46"/>
      <c r="X55" s="16"/>
      <c r="Y55" s="16"/>
      <c r="Z55" s="16"/>
      <c r="AA55" s="16"/>
      <c r="AB55" s="16"/>
      <c r="AC55" s="16"/>
      <c r="AD55" s="16"/>
      <c r="AE55" s="16"/>
    </row>
    <row r="56" spans="1:32" ht="16.5" x14ac:dyDescent="0.45">
      <c r="A56" s="6" t="s">
        <v>86</v>
      </c>
      <c r="B56" s="6" t="s">
        <v>3</v>
      </c>
      <c r="C56" s="6" t="s">
        <v>207</v>
      </c>
      <c r="D56" s="16">
        <v>270.29570000000001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46"/>
      <c r="Q56" s="46"/>
      <c r="R56" s="46"/>
      <c r="S56" s="46"/>
      <c r="T56" s="46"/>
      <c r="U56" s="46"/>
      <c r="V56" s="46"/>
      <c r="W56" s="46"/>
      <c r="X56" s="16"/>
      <c r="Y56" s="16">
        <v>0.1</v>
      </c>
      <c r="Z56" s="16"/>
      <c r="AA56" s="16"/>
      <c r="AB56" s="16"/>
      <c r="AC56" s="16"/>
      <c r="AD56" s="16"/>
      <c r="AE56" s="16"/>
    </row>
    <row r="57" spans="1:32" x14ac:dyDescent="0.35">
      <c r="A57" s="6" t="s">
        <v>91</v>
      </c>
      <c r="B57" s="6" t="s">
        <v>3</v>
      </c>
      <c r="C57" s="6" t="s">
        <v>208</v>
      </c>
      <c r="D57" s="16">
        <v>367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46"/>
      <c r="Q57" s="46"/>
      <c r="R57" s="46"/>
      <c r="S57" s="46"/>
      <c r="T57" s="46"/>
      <c r="U57" s="46"/>
      <c r="V57" s="46">
        <f>69/1000</f>
        <v>6.9000000000000006E-2</v>
      </c>
      <c r="W57" s="46"/>
      <c r="X57" s="16">
        <v>0.27500000000000002</v>
      </c>
      <c r="Y57" s="16"/>
      <c r="Z57" s="16"/>
      <c r="AA57" s="16"/>
      <c r="AB57" s="16"/>
      <c r="AC57" s="16"/>
      <c r="AD57" s="16">
        <v>0.27500000000000002</v>
      </c>
      <c r="AE57" s="16">
        <v>0.27500000000000002</v>
      </c>
    </row>
    <row r="58" spans="1:32" ht="16.5" x14ac:dyDescent="0.45">
      <c r="A58" s="5" t="s">
        <v>75</v>
      </c>
      <c r="B58" s="5" t="s">
        <v>3</v>
      </c>
      <c r="C58" s="5" t="s">
        <v>35</v>
      </c>
      <c r="D58" s="15">
        <v>237.93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45">
        <f>0.2*0.002/1</f>
        <v>4.0000000000000002E-4</v>
      </c>
      <c r="Q58" s="45">
        <f>0.2*0.004/1</f>
        <v>8.0000000000000004E-4</v>
      </c>
      <c r="R58" s="56">
        <f>0.19*0.002</f>
        <v>3.8000000000000002E-4</v>
      </c>
      <c r="S58" s="45"/>
      <c r="T58" s="45">
        <f>0.002*0.2</f>
        <v>4.0000000000000002E-4</v>
      </c>
      <c r="U58" s="45"/>
      <c r="V58" s="45">
        <v>6.9000000000000006E-2</v>
      </c>
      <c r="W58" s="45">
        <f>0.2*0.002/1</f>
        <v>4.0000000000000002E-4</v>
      </c>
      <c r="X58" s="15"/>
      <c r="Y58" s="15"/>
      <c r="Z58" s="15"/>
      <c r="AA58" s="15"/>
      <c r="AB58" s="15"/>
      <c r="AC58" s="15"/>
      <c r="AD58" s="15"/>
      <c r="AE58" s="15"/>
    </row>
    <row r="59" spans="1:32" ht="16.5" x14ac:dyDescent="0.45">
      <c r="A59" s="5" t="s">
        <v>140</v>
      </c>
      <c r="B59" s="5" t="s">
        <v>3</v>
      </c>
      <c r="C59" s="5" t="s">
        <v>35</v>
      </c>
      <c r="D59" s="15">
        <v>129.839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45"/>
      <c r="Q59" s="45"/>
      <c r="R59" s="56"/>
      <c r="S59" s="45"/>
      <c r="T59" s="45"/>
      <c r="U59" s="55">
        <f>0.001*0.0645</f>
        <v>6.4500000000000009E-5</v>
      </c>
      <c r="V59" s="45"/>
      <c r="W59" s="45"/>
      <c r="X59" s="15"/>
      <c r="Y59" s="15"/>
      <c r="Z59" s="15"/>
      <c r="AA59" s="15"/>
      <c r="AB59" s="15"/>
      <c r="AC59" s="15"/>
      <c r="AD59" s="15"/>
      <c r="AE59" s="15"/>
    </row>
    <row r="60" spans="1:32" ht="16.5" x14ac:dyDescent="0.45">
      <c r="A60" s="5" t="s">
        <v>107</v>
      </c>
      <c r="B60" s="5" t="s">
        <v>3</v>
      </c>
      <c r="C60" s="5" t="s">
        <v>202</v>
      </c>
      <c r="D60" s="15">
        <v>154.99600000000001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45"/>
      <c r="Q60" s="45"/>
      <c r="R60" s="56"/>
      <c r="S60" s="45"/>
      <c r="T60" s="45"/>
      <c r="U60" s="55"/>
      <c r="V60" s="45"/>
      <c r="W60" s="45"/>
      <c r="X60" s="15"/>
      <c r="Y60" s="15"/>
      <c r="Z60" s="15"/>
      <c r="AA60" s="15"/>
      <c r="AB60" s="34">
        <f>0.01*0.18</f>
        <v>1.8E-3</v>
      </c>
      <c r="AC60" s="15"/>
      <c r="AD60" s="15"/>
      <c r="AE60" s="15"/>
    </row>
    <row r="61" spans="1:32" ht="16.5" x14ac:dyDescent="0.45">
      <c r="A61" s="6" t="s">
        <v>76</v>
      </c>
      <c r="B61" s="6" t="s">
        <v>3</v>
      </c>
      <c r="C61" s="6" t="s">
        <v>38</v>
      </c>
      <c r="D61" s="16">
        <v>136.286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54">
        <f>0.07*0.002/1</f>
        <v>1.4000000000000001E-4</v>
      </c>
      <c r="Q61" s="54">
        <f>0.07*0.004/1</f>
        <v>2.8000000000000003E-4</v>
      </c>
      <c r="R61" s="54">
        <f>0.07*0.002</f>
        <v>1.4000000000000001E-4</v>
      </c>
      <c r="S61" s="46"/>
      <c r="T61" s="46">
        <f>0.002*0.7</f>
        <v>1.4E-3</v>
      </c>
      <c r="U61" s="53">
        <f>0.001*0.0677</f>
        <v>6.7699999999999992E-5</v>
      </c>
      <c r="V61" s="46"/>
      <c r="W61" s="46">
        <f>0.07*0.002/1</f>
        <v>1.4000000000000001E-4</v>
      </c>
      <c r="X61" s="16"/>
      <c r="Y61" s="16"/>
      <c r="Z61" s="16"/>
      <c r="AA61" s="16"/>
      <c r="AB61" s="36"/>
      <c r="AC61" s="16"/>
      <c r="AD61" s="16"/>
      <c r="AE61" s="16"/>
    </row>
    <row r="62" spans="1:32" ht="16.5" x14ac:dyDescent="0.45">
      <c r="A62" s="6" t="s">
        <v>108</v>
      </c>
      <c r="B62" s="6" t="s">
        <v>3</v>
      </c>
      <c r="C62" s="6" t="s">
        <v>203</v>
      </c>
      <c r="D62" s="16">
        <v>287.5496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54"/>
      <c r="Q62" s="54"/>
      <c r="R62" s="54"/>
      <c r="S62" s="46"/>
      <c r="T62" s="46"/>
      <c r="U62" s="53"/>
      <c r="V62" s="46"/>
      <c r="W62" s="46"/>
      <c r="X62" s="16"/>
      <c r="Y62" s="16"/>
      <c r="Z62" s="16"/>
      <c r="AA62" s="16"/>
      <c r="AB62" s="36">
        <f>0.01*0.18</f>
        <v>1.8E-3</v>
      </c>
      <c r="AC62" s="16"/>
      <c r="AD62" s="16"/>
      <c r="AE62" s="16"/>
    </row>
    <row r="63" spans="1:32" ht="16.5" x14ac:dyDescent="0.45">
      <c r="A63" s="5" t="s">
        <v>77</v>
      </c>
      <c r="B63" s="5" t="s">
        <v>3</v>
      </c>
      <c r="C63" s="5" t="s">
        <v>39</v>
      </c>
      <c r="D63" s="15">
        <v>61.83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56">
        <f>0.06*0.002/1</f>
        <v>1.2E-4</v>
      </c>
      <c r="Q63" s="56">
        <f>0.06*0.004/1</f>
        <v>2.4000000000000001E-4</v>
      </c>
      <c r="R63" s="56">
        <f>0.062*0.002</f>
        <v>1.2400000000000001E-4</v>
      </c>
      <c r="S63" s="45"/>
      <c r="T63" s="45">
        <f>0.002*0.06</f>
        <v>1.2E-4</v>
      </c>
      <c r="U63" s="55">
        <f>0.001*0.0618</f>
        <v>6.1799999999999998E-5</v>
      </c>
      <c r="V63" s="45"/>
      <c r="W63" s="45">
        <f>0.06*0.002/1</f>
        <v>1.2E-4</v>
      </c>
      <c r="X63" s="15"/>
      <c r="Y63" s="15"/>
      <c r="Z63" s="15"/>
      <c r="AA63" s="15"/>
      <c r="AB63" s="15">
        <f>0.01*0.01</f>
        <v>1E-4</v>
      </c>
      <c r="AC63" s="15"/>
      <c r="AD63" s="15"/>
      <c r="AE63" s="15"/>
    </row>
    <row r="64" spans="1:32" ht="16.5" x14ac:dyDescent="0.45">
      <c r="A64" s="6" t="s">
        <v>78</v>
      </c>
      <c r="B64" s="6" t="s">
        <v>3</v>
      </c>
      <c r="C64" s="6" t="s">
        <v>36</v>
      </c>
      <c r="D64" s="16">
        <v>237.69110000000001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46">
        <f>0.02*0.002/1</f>
        <v>4.0000000000000003E-5</v>
      </c>
      <c r="Q64" s="46">
        <f>0.02*0.004/1</f>
        <v>8.0000000000000007E-5</v>
      </c>
      <c r="R64" s="53">
        <f>0.024*0.002</f>
        <v>4.8000000000000001E-5</v>
      </c>
      <c r="S64" s="46"/>
      <c r="T64" s="46">
        <f>0.002*0.02</f>
        <v>4.0000000000000003E-5</v>
      </c>
      <c r="U64" s="53"/>
      <c r="V64" s="46"/>
      <c r="W64" s="46">
        <f>0.02*0.002/1</f>
        <v>4.0000000000000003E-5</v>
      </c>
      <c r="X64" s="16"/>
      <c r="Y64" s="16"/>
      <c r="Z64" s="16"/>
      <c r="AA64" s="16"/>
      <c r="AB64" s="16">
        <f>0.01*0.03</f>
        <v>2.9999999999999997E-4</v>
      </c>
      <c r="AC64" s="16"/>
      <c r="AD64" s="16"/>
      <c r="AE64" s="16"/>
    </row>
    <row r="65" spans="1:31" ht="16.5" x14ac:dyDescent="0.45">
      <c r="A65" s="6" t="s">
        <v>141</v>
      </c>
      <c r="B65" s="6" t="s">
        <v>3</v>
      </c>
      <c r="C65" s="6" t="s">
        <v>36</v>
      </c>
      <c r="D65" s="16">
        <v>129.5994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46"/>
      <c r="Q65" s="46"/>
      <c r="R65" s="53"/>
      <c r="S65" s="46"/>
      <c r="T65" s="46"/>
      <c r="U65" s="53">
        <f>0.001*0.0129</f>
        <v>1.29E-5</v>
      </c>
      <c r="V65" s="46"/>
      <c r="W65" s="46"/>
      <c r="X65" s="16"/>
      <c r="Y65" s="16"/>
      <c r="Z65" s="16"/>
      <c r="AA65" s="16"/>
      <c r="AB65" s="16"/>
      <c r="AC65" s="16"/>
      <c r="AD65" s="16"/>
      <c r="AE65" s="16"/>
    </row>
    <row r="66" spans="1:31" ht="16.5" x14ac:dyDescent="0.45">
      <c r="A66" s="5" t="s">
        <v>79</v>
      </c>
      <c r="B66" s="5" t="s">
        <v>3</v>
      </c>
      <c r="C66" s="5" t="s">
        <v>37</v>
      </c>
      <c r="D66" s="15">
        <v>170.48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45">
        <f>0.02*0.002/1</f>
        <v>4.0000000000000003E-5</v>
      </c>
      <c r="Q66" s="45">
        <f>0.02*0.004/1</f>
        <v>8.0000000000000007E-5</v>
      </c>
      <c r="R66" s="55">
        <f>0.017*0.002</f>
        <v>3.4000000000000007E-5</v>
      </c>
      <c r="S66" s="45"/>
      <c r="T66" s="45">
        <f>0.002*0.02</f>
        <v>4.0000000000000003E-5</v>
      </c>
      <c r="U66" s="45"/>
      <c r="V66" s="45"/>
      <c r="W66" s="45">
        <f>0.02*0.002/1</f>
        <v>4.0000000000000003E-5</v>
      </c>
      <c r="X66" s="15"/>
      <c r="Y66" s="15"/>
      <c r="Z66" s="15"/>
      <c r="AA66" s="15"/>
      <c r="AB66" s="15"/>
      <c r="AC66" s="15"/>
      <c r="AD66" s="15"/>
      <c r="AE66" s="15"/>
    </row>
    <row r="67" spans="1:31" ht="16.5" x14ac:dyDescent="0.45">
      <c r="A67" s="5" t="s">
        <v>109</v>
      </c>
      <c r="B67" s="5" t="s">
        <v>3</v>
      </c>
      <c r="C67" s="5" t="s">
        <v>204</v>
      </c>
      <c r="D67" s="15">
        <v>249.685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45"/>
      <c r="Q67" s="45"/>
      <c r="R67" s="45"/>
      <c r="S67" s="45"/>
      <c r="T67" s="45"/>
      <c r="U67" s="45"/>
      <c r="V67" s="45"/>
      <c r="W67" s="45"/>
      <c r="X67" s="15"/>
      <c r="Y67" s="15"/>
      <c r="Z67" s="15"/>
      <c r="AA67" s="15"/>
      <c r="AB67" s="15">
        <f>0.01*0.01</f>
        <v>1E-4</v>
      </c>
      <c r="AC67" s="15"/>
      <c r="AD67" s="15"/>
      <c r="AE67" s="15"/>
    </row>
    <row r="68" spans="1:31" x14ac:dyDescent="0.35">
      <c r="A68" s="5" t="s">
        <v>90</v>
      </c>
      <c r="B68" s="5" t="s">
        <v>3</v>
      </c>
      <c r="C68" s="5" t="s">
        <v>212</v>
      </c>
      <c r="D68" s="15">
        <v>74.551299999999998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>
        <v>0.59599999999999997</v>
      </c>
      <c r="W68" s="15"/>
      <c r="X68" s="15"/>
      <c r="Y68" s="15"/>
      <c r="Z68" s="15"/>
      <c r="AA68" s="15"/>
      <c r="AB68" s="15">
        <v>0.3</v>
      </c>
      <c r="AC68" s="15"/>
      <c r="AD68" s="15"/>
      <c r="AE68" s="15"/>
    </row>
    <row r="69" spans="1:31" ht="16.5" x14ac:dyDescent="0.45">
      <c r="A69" s="5" t="s">
        <v>110</v>
      </c>
      <c r="B69" s="5" t="s">
        <v>3</v>
      </c>
      <c r="C69" s="5" t="s">
        <v>213</v>
      </c>
      <c r="D69" s="15">
        <v>474.38799999999998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>
        <f>0.01*0.02</f>
        <v>2.0000000000000001E-4</v>
      </c>
      <c r="AC69" s="15"/>
      <c r="AD69" s="15"/>
      <c r="AE69" s="15"/>
    </row>
    <row r="70" spans="1:31" ht="16.5" x14ac:dyDescent="0.45">
      <c r="A70" s="7" t="s">
        <v>80</v>
      </c>
      <c r="B70" s="7" t="s">
        <v>3</v>
      </c>
      <c r="C70" s="7" t="s">
        <v>214</v>
      </c>
      <c r="D70" s="18">
        <v>136.08600000000001</v>
      </c>
      <c r="E70" s="18"/>
      <c r="F70" s="18"/>
      <c r="G70" s="18"/>
      <c r="H70" s="25">
        <v>0.75</v>
      </c>
      <c r="I70" s="18">
        <f>50*0.01</f>
        <v>0.5</v>
      </c>
      <c r="J70" s="25">
        <v>0.5</v>
      </c>
      <c r="K70" s="18"/>
      <c r="L70" s="18"/>
      <c r="M70" s="18"/>
      <c r="N70" s="25">
        <v>0.5</v>
      </c>
      <c r="O70" s="18">
        <v>0.5</v>
      </c>
      <c r="P70" s="18">
        <v>0.5</v>
      </c>
      <c r="Q70" s="18">
        <v>0.5</v>
      </c>
      <c r="R70" s="18">
        <v>0.5</v>
      </c>
      <c r="S70" s="18">
        <v>0.5</v>
      </c>
      <c r="T70" s="25">
        <v>0.5</v>
      </c>
      <c r="U70" s="25">
        <v>0.5</v>
      </c>
      <c r="V70" s="25">
        <v>1.74</v>
      </c>
      <c r="W70" s="18">
        <v>0.5</v>
      </c>
      <c r="X70" s="19">
        <f>0.05*136.086</f>
        <v>6.8043000000000013</v>
      </c>
      <c r="Y70" s="25">
        <v>0.5</v>
      </c>
      <c r="Z70" s="25">
        <v>1.4</v>
      </c>
      <c r="AA70" s="25">
        <v>1.4</v>
      </c>
      <c r="AB70" s="25"/>
      <c r="AC70" s="25">
        <f>0.5*100/(790+20+100+1+2.2+11)</f>
        <v>5.4100843973165981E-2</v>
      </c>
      <c r="AD70" s="19">
        <f>0.05*0.385*136.086</f>
        <v>2.6196555000000008</v>
      </c>
      <c r="AE70" s="19"/>
    </row>
    <row r="71" spans="1:31" ht="16.5" x14ac:dyDescent="0.45">
      <c r="A71" s="7" t="s">
        <v>81</v>
      </c>
      <c r="B71" s="7" t="s">
        <v>3</v>
      </c>
      <c r="C71" s="7" t="s">
        <v>214</v>
      </c>
      <c r="D71" s="18">
        <v>174.2</v>
      </c>
      <c r="E71" s="18"/>
      <c r="F71" s="18"/>
      <c r="G71" s="18"/>
      <c r="H71" s="25">
        <v>0.75</v>
      </c>
      <c r="I71" s="18">
        <f>50*0.01</f>
        <v>0.5</v>
      </c>
      <c r="J71" s="25">
        <v>0.5</v>
      </c>
      <c r="K71" s="18"/>
      <c r="L71" s="18"/>
      <c r="M71" s="18"/>
      <c r="N71" s="25"/>
      <c r="O71" s="18">
        <v>0.5</v>
      </c>
      <c r="P71" s="18">
        <v>0.5</v>
      </c>
      <c r="Q71" s="18">
        <v>0.5</v>
      </c>
      <c r="R71" s="18">
        <v>0.5</v>
      </c>
      <c r="S71" s="18">
        <v>0.5</v>
      </c>
      <c r="T71" s="25">
        <v>0.5</v>
      </c>
      <c r="U71" s="25">
        <v>0.5</v>
      </c>
      <c r="V71" s="25"/>
      <c r="W71" s="18">
        <v>0.5</v>
      </c>
      <c r="X71" s="19"/>
      <c r="Y71" s="25">
        <v>0.5</v>
      </c>
      <c r="Z71" s="25">
        <v>15.6</v>
      </c>
      <c r="AA71" s="25">
        <v>15.6</v>
      </c>
      <c r="AB71" s="25"/>
      <c r="AC71" s="25">
        <f>0.5*100/(790+20+100+1+2.2+11)</f>
        <v>5.4100843973165981E-2</v>
      </c>
      <c r="AD71" s="19">
        <f>0.05*0.615*174.2</f>
        <v>5.3566499999999992</v>
      </c>
      <c r="AE71" s="19"/>
    </row>
    <row r="72" spans="1:31" ht="16.5" x14ac:dyDescent="0.45">
      <c r="A72" s="7" t="s">
        <v>102</v>
      </c>
      <c r="B72" s="7" t="s">
        <v>3</v>
      </c>
      <c r="C72" s="7" t="s">
        <v>215</v>
      </c>
      <c r="D72" s="18">
        <v>156</v>
      </c>
      <c r="E72" s="18"/>
      <c r="F72" s="18"/>
      <c r="G72" s="18"/>
      <c r="H72" s="18"/>
      <c r="I72" s="18"/>
      <c r="J72" s="25"/>
      <c r="K72" s="18"/>
      <c r="L72" s="18"/>
      <c r="M72" s="18"/>
      <c r="N72" s="25"/>
      <c r="O72" s="18"/>
      <c r="P72" s="18"/>
      <c r="Q72" s="18"/>
      <c r="R72" s="18"/>
      <c r="S72" s="18"/>
      <c r="T72" s="25"/>
      <c r="U72" s="25"/>
      <c r="V72" s="25"/>
      <c r="W72" s="18"/>
      <c r="X72" s="19"/>
      <c r="Y72" s="25"/>
      <c r="Z72" s="25"/>
      <c r="AA72" s="25"/>
      <c r="AB72" s="25">
        <v>3.2</v>
      </c>
      <c r="AC72" s="25"/>
      <c r="AD72" s="25"/>
      <c r="AE72" s="25"/>
    </row>
    <row r="73" spans="1:31" ht="16.5" x14ac:dyDescent="0.45">
      <c r="A73" s="7" t="s">
        <v>103</v>
      </c>
      <c r="B73" s="7" t="s">
        <v>3</v>
      </c>
      <c r="C73" s="7" t="s">
        <v>215</v>
      </c>
      <c r="D73" s="18">
        <v>177.99</v>
      </c>
      <c r="E73" s="18"/>
      <c r="F73" s="18"/>
      <c r="G73" s="18"/>
      <c r="H73" s="18"/>
      <c r="I73" s="18"/>
      <c r="J73" s="25"/>
      <c r="K73" s="18"/>
      <c r="L73" s="18"/>
      <c r="M73" s="18"/>
      <c r="N73" s="25"/>
      <c r="O73" s="18"/>
      <c r="P73" s="18"/>
      <c r="Q73" s="18"/>
      <c r="R73" s="18"/>
      <c r="S73" s="18"/>
      <c r="T73" s="25"/>
      <c r="U73" s="25"/>
      <c r="V73" s="25"/>
      <c r="W73" s="18"/>
      <c r="X73" s="19"/>
      <c r="Y73" s="25"/>
      <c r="Z73" s="25"/>
      <c r="AA73" s="25"/>
      <c r="AB73" s="25">
        <v>4.5</v>
      </c>
      <c r="AC73" s="25"/>
      <c r="AD73" s="25"/>
      <c r="AE73" s="25"/>
    </row>
    <row r="74" spans="1:31" x14ac:dyDescent="0.35">
      <c r="A74" s="7" t="s">
        <v>130</v>
      </c>
      <c r="B74" s="7" t="s">
        <v>3</v>
      </c>
      <c r="C74" s="7" t="s">
        <v>31</v>
      </c>
      <c r="D74" s="18">
        <v>195.2</v>
      </c>
      <c r="E74" s="18"/>
      <c r="F74" s="18"/>
      <c r="G74" s="18"/>
      <c r="H74" s="18"/>
      <c r="I74" s="18"/>
      <c r="J74" s="25"/>
      <c r="K74" s="18"/>
      <c r="L74" s="18"/>
      <c r="M74" s="18"/>
      <c r="N74" s="25"/>
      <c r="O74" s="19">
        <f>100/1000*D75</f>
        <v>12.114000000000001</v>
      </c>
      <c r="P74" s="19"/>
      <c r="Q74" s="18"/>
      <c r="R74" s="18"/>
      <c r="S74" s="18"/>
      <c r="T74" s="25"/>
      <c r="U74" s="25"/>
      <c r="V74" s="25"/>
      <c r="W74" s="19"/>
      <c r="X74" s="19"/>
      <c r="Y74" s="25"/>
      <c r="Z74" s="25"/>
      <c r="AA74" s="25"/>
      <c r="AB74" s="25"/>
      <c r="AC74" s="25">
        <f>0.1*195.2</f>
        <v>19.52</v>
      </c>
      <c r="AD74" s="25"/>
      <c r="AE74" s="25"/>
    </row>
    <row r="75" spans="1:31" x14ac:dyDescent="0.35">
      <c r="A75" s="7" t="s">
        <v>145</v>
      </c>
      <c r="B75" s="7" t="s">
        <v>3</v>
      </c>
      <c r="C75" s="7" t="s">
        <v>31</v>
      </c>
      <c r="D75" s="18">
        <v>121.14</v>
      </c>
      <c r="E75" s="18"/>
      <c r="F75" s="18"/>
      <c r="G75" s="18"/>
      <c r="H75" s="18"/>
      <c r="I75" s="18"/>
      <c r="J75" s="25"/>
      <c r="K75" s="18"/>
      <c r="L75" s="18"/>
      <c r="M75" s="18"/>
      <c r="N75" s="25"/>
      <c r="O75" s="18"/>
      <c r="P75" s="18"/>
      <c r="Q75" s="18"/>
      <c r="R75" s="18"/>
      <c r="S75" s="18"/>
      <c r="T75" s="25"/>
      <c r="U75" s="25"/>
      <c r="V75" s="25"/>
      <c r="W75" s="18"/>
      <c r="X75" s="19"/>
      <c r="Y75" s="25"/>
      <c r="Z75" s="25"/>
      <c r="AA75" s="25"/>
      <c r="AB75" s="25"/>
      <c r="AC75" s="25"/>
      <c r="AD75" s="25"/>
      <c r="AE75" s="25">
        <v>0.121</v>
      </c>
    </row>
    <row r="76" spans="1:31" x14ac:dyDescent="0.35">
      <c r="A76" s="39" t="s">
        <v>12</v>
      </c>
      <c r="B76" s="39" t="s">
        <v>3</v>
      </c>
      <c r="C76" s="39"/>
      <c r="D76" s="40"/>
      <c r="E76" s="40"/>
      <c r="F76" s="40"/>
      <c r="G76" s="40">
        <v>6.5</v>
      </c>
      <c r="H76" s="40">
        <v>6.8</v>
      </c>
      <c r="I76" s="40"/>
      <c r="J76" s="40">
        <v>6.9</v>
      </c>
      <c r="K76" s="40">
        <v>6.8</v>
      </c>
      <c r="L76" s="40">
        <v>6.8</v>
      </c>
      <c r="M76" s="40"/>
      <c r="N76" s="40"/>
      <c r="O76" s="40"/>
      <c r="P76" s="40"/>
      <c r="Q76" s="40"/>
      <c r="R76" s="40"/>
      <c r="S76" s="40"/>
      <c r="T76" s="40"/>
      <c r="U76" s="40"/>
      <c r="V76" s="40" t="s">
        <v>96</v>
      </c>
      <c r="W76" s="40"/>
      <c r="X76" s="40">
        <v>7</v>
      </c>
      <c r="Y76" s="41"/>
      <c r="Z76" s="40"/>
      <c r="AA76" s="40"/>
      <c r="AB76" s="40">
        <v>6.5</v>
      </c>
      <c r="AC76" s="40" t="s">
        <v>129</v>
      </c>
      <c r="AD76" s="40"/>
      <c r="AE76" s="40"/>
    </row>
    <row r="77" spans="1:31" x14ac:dyDescent="0.35">
      <c r="A77" s="8" t="s">
        <v>13</v>
      </c>
      <c r="B77" s="8" t="s">
        <v>88</v>
      </c>
      <c r="C77" s="8" t="s">
        <v>216</v>
      </c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>
        <v>0.2</v>
      </c>
      <c r="S77" s="20"/>
      <c r="T77" s="20"/>
      <c r="U77" s="20"/>
      <c r="V77" s="20"/>
      <c r="W77" s="20"/>
      <c r="X77" s="20"/>
      <c r="Y77" s="20"/>
      <c r="Z77" s="20">
        <v>0.5</v>
      </c>
      <c r="AA77" s="20">
        <v>0.5</v>
      </c>
      <c r="AB77" s="20"/>
      <c r="AC77" s="20"/>
      <c r="AD77" s="20"/>
      <c r="AE77" s="20"/>
    </row>
    <row r="78" spans="1:31" x14ac:dyDescent="0.35">
      <c r="A78" s="8" t="s">
        <v>4</v>
      </c>
      <c r="B78" s="8" t="s">
        <v>3</v>
      </c>
      <c r="C78" s="8" t="s">
        <v>20</v>
      </c>
      <c r="D78" s="20"/>
      <c r="E78" s="20"/>
      <c r="F78" s="21">
        <v>17</v>
      </c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</row>
    <row r="79" spans="1:31" x14ac:dyDescent="0.35">
      <c r="A79" s="8" t="s">
        <v>166</v>
      </c>
      <c r="B79" s="8" t="s">
        <v>3</v>
      </c>
      <c r="C79" s="8"/>
      <c r="D79" s="20"/>
      <c r="E79" s="20"/>
      <c r="F79" s="21"/>
      <c r="G79" s="20"/>
      <c r="H79" s="20"/>
      <c r="I79" s="20"/>
      <c r="J79" s="20"/>
      <c r="K79" s="20"/>
      <c r="L79" s="20"/>
      <c r="M79" s="20"/>
      <c r="N79" s="20"/>
      <c r="O79" s="20"/>
      <c r="P79" s="20">
        <v>1</v>
      </c>
      <c r="Q79" s="20"/>
      <c r="R79" s="20"/>
      <c r="S79" s="20"/>
      <c r="T79" s="20"/>
      <c r="U79" s="20"/>
      <c r="V79" s="20"/>
      <c r="W79" s="20">
        <v>1</v>
      </c>
      <c r="X79" s="20"/>
      <c r="Y79" s="20"/>
      <c r="Z79" s="20"/>
      <c r="AA79" s="20"/>
      <c r="AB79" s="20"/>
      <c r="AC79" s="20"/>
      <c r="AD79" s="20"/>
      <c r="AE79" s="20"/>
    </row>
    <row r="80" spans="1:31" x14ac:dyDescent="0.35">
      <c r="A80" s="8" t="s">
        <v>167</v>
      </c>
      <c r="B80" s="8" t="s">
        <v>88</v>
      </c>
      <c r="C80" s="8" t="s">
        <v>217</v>
      </c>
      <c r="D80" s="20"/>
      <c r="E80" s="20"/>
      <c r="F80" s="21"/>
      <c r="G80" s="20"/>
      <c r="H80" s="20"/>
      <c r="I80" s="20"/>
      <c r="J80" s="20"/>
      <c r="K80" s="20"/>
      <c r="L80" s="20"/>
      <c r="M80" s="20"/>
      <c r="N80" s="20"/>
      <c r="O80" s="20"/>
      <c r="P80" s="20">
        <v>1</v>
      </c>
      <c r="Q80" s="20"/>
      <c r="R80" s="20">
        <v>10</v>
      </c>
      <c r="S80" s="20"/>
      <c r="T80" s="20"/>
      <c r="U80" s="20"/>
      <c r="V80" s="20"/>
      <c r="W80" s="20">
        <v>1</v>
      </c>
      <c r="X80" s="20"/>
      <c r="Y80" s="20"/>
      <c r="Z80" s="20"/>
      <c r="AA80" s="20"/>
      <c r="AB80" s="20"/>
      <c r="AC80" s="20"/>
      <c r="AD80" s="20"/>
      <c r="AE80" s="20"/>
    </row>
    <row r="81" spans="1:31" x14ac:dyDescent="0.35">
      <c r="A81" t="s">
        <v>42</v>
      </c>
      <c r="B81" t="s">
        <v>3</v>
      </c>
      <c r="C81"/>
      <c r="D81" s="22"/>
      <c r="E81" s="22" t="s">
        <v>58</v>
      </c>
      <c r="F81" s="23" t="s">
        <v>59</v>
      </c>
      <c r="G81" s="22" t="s">
        <v>135</v>
      </c>
      <c r="H81" s="22" t="s">
        <v>52</v>
      </c>
      <c r="I81" s="22" t="s">
        <v>58</v>
      </c>
      <c r="J81" s="26" t="s">
        <v>124</v>
      </c>
      <c r="K81" s="22" t="s">
        <v>55</v>
      </c>
      <c r="L81" s="22" t="s">
        <v>100</v>
      </c>
      <c r="M81" s="22" t="s">
        <v>134</v>
      </c>
      <c r="N81" s="26" t="s">
        <v>127</v>
      </c>
      <c r="O81" s="22" t="s">
        <v>100</v>
      </c>
      <c r="P81" s="22" t="s">
        <v>134</v>
      </c>
      <c r="Q81" s="22" t="s">
        <v>100</v>
      </c>
      <c r="R81" s="22" t="s">
        <v>55</v>
      </c>
      <c r="S81" s="22" t="s">
        <v>52</v>
      </c>
      <c r="T81" s="26" t="s">
        <v>133</v>
      </c>
      <c r="U81" s="26" t="s">
        <v>143</v>
      </c>
      <c r="V81" s="26" t="s">
        <v>97</v>
      </c>
      <c r="W81" s="22" t="s">
        <v>134</v>
      </c>
      <c r="X81" s="22" t="s">
        <v>83</v>
      </c>
      <c r="Y81" s="22" t="s">
        <v>87</v>
      </c>
      <c r="Z81" s="26" t="s">
        <v>178</v>
      </c>
      <c r="AA81" s="26" t="s">
        <v>179</v>
      </c>
      <c r="AB81" s="26" t="s">
        <v>183</v>
      </c>
      <c r="AC81" s="26" t="s">
        <v>224</v>
      </c>
      <c r="AD81" s="26" t="s">
        <v>190</v>
      </c>
      <c r="AE81" s="26" t="s">
        <v>146</v>
      </c>
    </row>
    <row r="82" spans="1:31" s="10" customFormat="1" ht="58" x14ac:dyDescent="0.35">
      <c r="A82" s="9" t="s">
        <v>41</v>
      </c>
      <c r="B82" s="9" t="s">
        <v>3</v>
      </c>
      <c r="C82" s="9"/>
      <c r="D82" s="23"/>
      <c r="E82" s="23" t="s">
        <v>218</v>
      </c>
      <c r="F82" s="23" t="s">
        <v>191</v>
      </c>
      <c r="G82" s="23" t="s">
        <v>57</v>
      </c>
      <c r="H82" s="23" t="s">
        <v>57</v>
      </c>
      <c r="I82" s="23" t="s">
        <v>164</v>
      </c>
      <c r="J82" s="23" t="s">
        <v>125</v>
      </c>
      <c r="K82" s="23" t="s">
        <v>56</v>
      </c>
      <c r="L82" s="23" t="s">
        <v>89</v>
      </c>
      <c r="M82" s="23" t="s">
        <v>170</v>
      </c>
      <c r="N82" s="23" t="s">
        <v>128</v>
      </c>
      <c r="O82" s="23" t="s">
        <v>161</v>
      </c>
      <c r="P82" s="23" t="s">
        <v>168</v>
      </c>
      <c r="Q82" s="23" t="s">
        <v>161</v>
      </c>
      <c r="R82" s="23" t="s">
        <v>54</v>
      </c>
      <c r="S82" s="23" t="s">
        <v>57</v>
      </c>
      <c r="T82" s="23" t="s">
        <v>89</v>
      </c>
      <c r="U82" s="23" t="s">
        <v>189</v>
      </c>
      <c r="V82" s="23" t="s">
        <v>98</v>
      </c>
      <c r="W82" s="23" t="s">
        <v>169</v>
      </c>
      <c r="X82" s="23" t="s">
        <v>53</v>
      </c>
      <c r="Y82" s="23" t="s">
        <v>89</v>
      </c>
      <c r="Z82" s="23" t="s">
        <v>181</v>
      </c>
      <c r="AA82" s="23" t="s">
        <v>180</v>
      </c>
      <c r="AB82" s="23" t="s">
        <v>89</v>
      </c>
      <c r="AC82" s="23" t="s">
        <v>89</v>
      </c>
      <c r="AD82" s="23" t="s">
        <v>89</v>
      </c>
      <c r="AE82" s="23" t="s">
        <v>89</v>
      </c>
    </row>
    <row r="83" spans="1:31" s="42" customFormat="1" ht="130.5" x14ac:dyDescent="0.35">
      <c r="A83" s="9" t="s">
        <v>219</v>
      </c>
      <c r="B83" s="23"/>
      <c r="C83" s="23"/>
      <c r="D83" s="23"/>
      <c r="E83" s="23"/>
      <c r="F83" s="23"/>
      <c r="G83" s="23" t="s">
        <v>171</v>
      </c>
      <c r="H83" s="23" t="s">
        <v>174</v>
      </c>
      <c r="I83" s="23" t="s">
        <v>173</v>
      </c>
      <c r="J83" s="23" t="s">
        <v>176</v>
      </c>
      <c r="K83" s="23" t="s">
        <v>172</v>
      </c>
      <c r="L83" s="23" t="s">
        <v>174</v>
      </c>
      <c r="M83" s="23" t="s">
        <v>175</v>
      </c>
      <c r="N83" s="23" t="s">
        <v>185</v>
      </c>
      <c r="O83" s="23" t="s">
        <v>174</v>
      </c>
      <c r="P83" s="23" t="s">
        <v>175</v>
      </c>
      <c r="Q83" s="23" t="s">
        <v>174</v>
      </c>
      <c r="R83" s="23" t="s">
        <v>172</v>
      </c>
      <c r="S83" s="23" t="s">
        <v>174</v>
      </c>
      <c r="T83" s="23" t="s">
        <v>187</v>
      </c>
      <c r="U83" s="23" t="s">
        <v>188</v>
      </c>
      <c r="V83" s="23"/>
      <c r="W83" s="23" t="s">
        <v>175</v>
      </c>
      <c r="X83" s="23" t="s">
        <v>177</v>
      </c>
      <c r="Y83" s="23" t="s">
        <v>158</v>
      </c>
      <c r="Z83" s="23"/>
      <c r="AA83" s="23" t="s">
        <v>182</v>
      </c>
      <c r="AB83" s="23" t="s">
        <v>184</v>
      </c>
      <c r="AC83" s="23" t="s">
        <v>186</v>
      </c>
      <c r="AD83" s="23"/>
      <c r="AE83" s="23" t="s">
        <v>176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0150-FBCA-4175-85D5-9B9CA7283B20}">
  <dimension ref="A1:A20"/>
  <sheetViews>
    <sheetView workbookViewId="0">
      <selection activeCell="A19" sqref="A19"/>
    </sheetView>
  </sheetViews>
  <sheetFormatPr defaultRowHeight="14.5" x14ac:dyDescent="0.35"/>
  <cols>
    <col min="1" max="1" width="91.7265625" style="62" customWidth="1"/>
    <col min="2" max="16384" width="8.7265625" style="60"/>
  </cols>
  <sheetData>
    <row r="1" spans="1:1" ht="43.5" x14ac:dyDescent="0.35">
      <c r="A1" s="59" t="s">
        <v>222</v>
      </c>
    </row>
    <row r="2" spans="1:1" ht="58" x14ac:dyDescent="0.35">
      <c r="A2" s="59" t="s">
        <v>225</v>
      </c>
    </row>
    <row r="3" spans="1:1" ht="58" x14ac:dyDescent="0.35">
      <c r="A3" s="59" t="s">
        <v>226</v>
      </c>
    </row>
    <row r="4" spans="1:1" ht="29" x14ac:dyDescent="0.35">
      <c r="A4" s="59" t="s">
        <v>227</v>
      </c>
    </row>
    <row r="5" spans="1:1" ht="29" x14ac:dyDescent="0.35">
      <c r="A5" s="59" t="s">
        <v>228</v>
      </c>
    </row>
    <row r="6" spans="1:1" ht="43.5" x14ac:dyDescent="0.35">
      <c r="A6" s="59" t="s">
        <v>229</v>
      </c>
    </row>
    <row r="7" spans="1:1" ht="43.5" x14ac:dyDescent="0.35">
      <c r="A7" s="59" t="s">
        <v>230</v>
      </c>
    </row>
    <row r="8" spans="1:1" ht="43.5" x14ac:dyDescent="0.35">
      <c r="A8" s="59" t="s">
        <v>231</v>
      </c>
    </row>
    <row r="9" spans="1:1" ht="29" x14ac:dyDescent="0.35">
      <c r="A9" s="59" t="s">
        <v>232</v>
      </c>
    </row>
    <row r="10" spans="1:1" ht="43.5" x14ac:dyDescent="0.35">
      <c r="A10" s="59" t="s">
        <v>233</v>
      </c>
    </row>
    <row r="11" spans="1:1" ht="58" x14ac:dyDescent="0.35">
      <c r="A11" s="59" t="s">
        <v>234</v>
      </c>
    </row>
    <row r="12" spans="1:1" ht="35" customHeight="1" x14ac:dyDescent="0.35">
      <c r="A12" s="59" t="s">
        <v>221</v>
      </c>
    </row>
    <row r="13" spans="1:1" ht="43.5" x14ac:dyDescent="0.35">
      <c r="A13" s="59" t="s">
        <v>235</v>
      </c>
    </row>
    <row r="14" spans="1:1" ht="37.5" customHeight="1" x14ac:dyDescent="0.35">
      <c r="A14" s="59" t="s">
        <v>236</v>
      </c>
    </row>
    <row r="15" spans="1:1" ht="29" x14ac:dyDescent="0.35">
      <c r="A15" s="59" t="s">
        <v>237</v>
      </c>
    </row>
    <row r="16" spans="1:1" ht="29" x14ac:dyDescent="0.35">
      <c r="A16" s="59" t="s">
        <v>238</v>
      </c>
    </row>
    <row r="17" spans="1:1" ht="43.5" x14ac:dyDescent="0.35">
      <c r="A17" s="59" t="s">
        <v>239</v>
      </c>
    </row>
    <row r="18" spans="1:1" ht="43.5" x14ac:dyDescent="0.35">
      <c r="A18" s="59" t="s">
        <v>240</v>
      </c>
    </row>
    <row r="19" spans="1:1" ht="29" x14ac:dyDescent="0.35">
      <c r="A19" s="59" t="s">
        <v>241</v>
      </c>
    </row>
    <row r="20" spans="1:1" ht="58" x14ac:dyDescent="0.35">
      <c r="A20" s="61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media</vt:lpstr>
      <vt:lpstr>Sources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Nadal Alemany</dc:creator>
  <cp:lastModifiedBy>Natalia Nadal Alemany</cp:lastModifiedBy>
  <cp:lastPrinted>2023-11-09T08:39:00Z</cp:lastPrinted>
  <dcterms:created xsi:type="dcterms:W3CDTF">2023-07-04T08:40:50Z</dcterms:created>
  <dcterms:modified xsi:type="dcterms:W3CDTF">2025-08-07T14:55:51Z</dcterms:modified>
</cp:coreProperties>
</file>