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sterdamumc-my.sharepoint.com/personal/m_a_vanbree_amsterdamumc_nl/Documents/!Oude N schijf/Documenten/Eigen documenten/PEARLS/WP1/WP 1 - Ontwikkeling maaltijden/Manuscript/Submissions/European Journal of Nutrition/Rebuttal Juni 2026/"/>
    </mc:Choice>
  </mc:AlternateContent>
  <xr:revisionPtr revIDLastSave="0" documentId="8_{02A295CB-7E67-454D-8380-C82FE2A9309F}" xr6:coauthVersionLast="47" xr6:coauthVersionMax="47" xr10:uidLastSave="{00000000-0000-0000-0000-000000000000}"/>
  <bookViews>
    <workbookView xWindow="-120" yWindow="-120" windowWidth="29040" windowHeight="15720" xr2:uid="{F95BC073-CE04-4F4F-A0B1-EE462301DCBC}"/>
  </bookViews>
  <sheets>
    <sheet name="Protein quality calculation" sheetId="1" r:id="rId1"/>
    <sheet name="Sensitivity tes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2" i="3" l="1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X6" i="3"/>
  <c r="X5" i="3"/>
  <c r="X4" i="3"/>
  <c r="W4" i="3"/>
  <c r="X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V5" i="3"/>
  <c r="V4" i="3"/>
  <c r="V3" i="3"/>
  <c r="V2" i="3"/>
  <c r="X2" i="3"/>
  <c r="I22" i="3"/>
  <c r="W22" i="3" s="1"/>
  <c r="I21" i="3"/>
  <c r="W21" i="3" s="1"/>
  <c r="I20" i="3"/>
  <c r="W20" i="3" s="1"/>
  <c r="I19" i="3"/>
  <c r="W19" i="3" s="1"/>
  <c r="I18" i="3"/>
  <c r="W18" i="3" s="1"/>
  <c r="I17" i="3"/>
  <c r="W17" i="3" s="1"/>
  <c r="I16" i="3"/>
  <c r="W16" i="3" s="1"/>
  <c r="I15" i="3"/>
  <c r="W15" i="3" s="1"/>
  <c r="I14" i="3"/>
  <c r="W14" i="3" s="1"/>
  <c r="I13" i="3"/>
  <c r="W13" i="3" s="1"/>
  <c r="I12" i="3"/>
  <c r="W12" i="3" s="1"/>
  <c r="I11" i="3"/>
  <c r="W11" i="3" s="1"/>
  <c r="I10" i="3"/>
  <c r="W10" i="3" s="1"/>
  <c r="I9" i="3"/>
  <c r="W9" i="3" s="1"/>
  <c r="I8" i="3"/>
  <c r="W8" i="3" s="1"/>
  <c r="I7" i="3"/>
  <c r="W7" i="3" s="1"/>
  <c r="I6" i="3"/>
  <c r="W6" i="3" s="1"/>
  <c r="I5" i="3"/>
  <c r="W5" i="3" s="1"/>
  <c r="I4" i="3"/>
  <c r="I3" i="3"/>
  <c r="W3" i="3" s="1"/>
  <c r="I2" i="3"/>
  <c r="W2" i="3" s="1"/>
  <c r="G22" i="1"/>
  <c r="S22" i="1" s="1"/>
  <c r="S21" i="1"/>
  <c r="G21" i="1"/>
  <c r="G20" i="1"/>
  <c r="S20" i="1" s="1"/>
  <c r="S19" i="1"/>
  <c r="G19" i="1"/>
  <c r="G18" i="1"/>
  <c r="S18" i="1" s="1"/>
  <c r="S17" i="1"/>
  <c r="G17" i="1"/>
  <c r="G16" i="1"/>
  <c r="S16" i="1" s="1"/>
  <c r="S15" i="1"/>
  <c r="G15" i="1"/>
  <c r="G14" i="1"/>
  <c r="S14" i="1" s="1"/>
  <c r="S13" i="1"/>
  <c r="G13" i="1"/>
  <c r="G12" i="1"/>
  <c r="S12" i="1" s="1"/>
  <c r="S11" i="1"/>
  <c r="G11" i="1"/>
  <c r="G10" i="1"/>
  <c r="S10" i="1" s="1"/>
  <c r="S9" i="1"/>
  <c r="G9" i="1"/>
  <c r="G8" i="1"/>
  <c r="S8" i="1" s="1"/>
  <c r="S7" i="1"/>
  <c r="G7" i="1"/>
  <c r="G6" i="1"/>
  <c r="S6" i="1" s="1"/>
  <c r="S5" i="1"/>
  <c r="G5" i="1"/>
  <c r="G4" i="1"/>
  <c r="S4" i="1" s="1"/>
  <c r="S3" i="1"/>
  <c r="G3" i="1"/>
  <c r="G2" i="1"/>
  <c r="S2" i="1" s="1"/>
</calcChain>
</file>

<file path=xl/sharedStrings.xml><?xml version="1.0" encoding="utf-8"?>
<sst xmlns="http://schemas.openxmlformats.org/spreadsheetml/2006/main" count="251" uniqueCount="150">
  <si>
    <t>Total protein (g)</t>
  </si>
  <si>
    <t>∑ protein from main protein sources (g)</t>
  </si>
  <si>
    <t>Protein Sources (PDi)</t>
  </si>
  <si>
    <t>Proportional contribution  (Ri)</t>
  </si>
  <si>
    <t xml:space="preserve">Weighted mean digestibility </t>
  </si>
  <si>
    <t>(wPD)</t>
  </si>
  <si>
    <t>AAS his</t>
  </si>
  <si>
    <t>AAS ile</t>
  </si>
  <si>
    <t>AAS leu</t>
  </si>
  <si>
    <t>AAS lys</t>
  </si>
  <si>
    <t>AAS met+cys</t>
  </si>
  <si>
    <t>AAS phe+tyr</t>
  </si>
  <si>
    <t>AAS thr</t>
  </si>
  <si>
    <t>AAS try</t>
  </si>
  <si>
    <t xml:space="preserve">AAS val </t>
  </si>
  <si>
    <t>Oats/soy/pea isolate</t>
  </si>
  <si>
    <t>26/37/37</t>
  </si>
  <si>
    <t>(0,26*0,7)+(0,37*0,94)+(0,37*1) =</t>
  </si>
  <si>
    <t>Overnight oats</t>
  </si>
  <si>
    <t>31/42/27</t>
  </si>
  <si>
    <t>(0,31*0,7)+(0,42*0,94)+(0,27*1) =</t>
  </si>
  <si>
    <t>Wheat/peanut/cashew/soy</t>
  </si>
  <si>
    <t>31/35/8/26</t>
  </si>
  <si>
    <t xml:space="preserve">(0,31*0,9)+(0,35*0,75)+(0,08*0,75)+(0,26*0,94) = </t>
  </si>
  <si>
    <t>Soy/pea isolate/chiaseed</t>
  </si>
  <si>
    <t>31/60/9</t>
  </si>
  <si>
    <t>(0,31*0,94)+(0,60*1)+(0,09*0,75) =</t>
  </si>
  <si>
    <t>Soy/ walnut/oats/sunflower seeds</t>
  </si>
  <si>
    <t>63/16/11/10</t>
  </si>
  <si>
    <t>Wheat/almond/soy</t>
  </si>
  <si>
    <t>32/41/27</t>
  </si>
  <si>
    <t>(0,32*0,9)+(0,41*0,75) + (0,27*0,94) =</t>
  </si>
  <si>
    <t>Soy/oats/almond</t>
  </si>
  <si>
    <t>57/15/28</t>
  </si>
  <si>
    <t xml:space="preserve">(0,57*0,94)+(0,15*0,7)+(0,28*0,75) = </t>
  </si>
  <si>
    <t xml:space="preserve">Poke bowl </t>
  </si>
  <si>
    <t>Rice/soy/soy-bean/lentil</t>
  </si>
  <si>
    <t>16/39/26/19</t>
  </si>
  <si>
    <t>(0,16*0,7)+(0,39*0,94)+(0,26*0,75)+(0,19*0,75)</t>
  </si>
  <si>
    <t>Wheat/lupin/soy</t>
  </si>
  <si>
    <t>36/32/32</t>
  </si>
  <si>
    <t>(0,36*0,9)+(0,32*0,75)+(0,32*0,94) =</t>
  </si>
  <si>
    <t xml:space="preserve">Kidney bean/soy/wheat </t>
  </si>
  <si>
    <t>12/69/19</t>
  </si>
  <si>
    <t>(0,12*0,75)+(0,69*0,94)+(0,19*0,9) =</t>
  </si>
  <si>
    <t>Wheat/chickpea/soy</t>
  </si>
  <si>
    <t>43/25/32</t>
  </si>
  <si>
    <t>(0,43*0,9)+(0,25*0,75)+(0,32*0,94) =</t>
  </si>
  <si>
    <t>Wheat/pea/soy</t>
  </si>
  <si>
    <t>38/29/33</t>
  </si>
  <si>
    <t>(0,38*0,9)+(0,29*0,75)+(0,33*0,94) =</t>
  </si>
  <si>
    <t>Soy/lentil/wheat</t>
  </si>
  <si>
    <t>58/24/18</t>
  </si>
  <si>
    <t xml:space="preserve">(0,58*0,94)+(0,24*0,75)+(0,18*0,9) = </t>
  </si>
  <si>
    <t>Lentil/white beans/soy</t>
  </si>
  <si>
    <t>55/18/27</t>
  </si>
  <si>
    <t>(0,55*0,75)+(0,18*0,75)+(0,27*0,94) =</t>
  </si>
  <si>
    <t>Soy/potato/walnut</t>
  </si>
  <si>
    <t>80/8/12</t>
  </si>
  <si>
    <t xml:space="preserve">(0,80*0,94)+(0,08*0,55)+(0,12*0,75) = </t>
  </si>
  <si>
    <t>Lentil/soy/cashew</t>
  </si>
  <si>
    <t>53/34/13</t>
  </si>
  <si>
    <t>(0,53*0,75)+(0,34*0,94)+(0,13*0,75) =</t>
  </si>
  <si>
    <t>Chickpea/lentil/rice /soy</t>
  </si>
  <si>
    <t>38/21/14/27</t>
  </si>
  <si>
    <t xml:space="preserve">Lentil/soy/mushroom </t>
  </si>
  <si>
    <t>48/45/7</t>
  </si>
  <si>
    <t>(0,48*0,75)+(0,45*0,94)+(0,07*0,65) =</t>
  </si>
  <si>
    <t xml:space="preserve">Rice/soy/legumes </t>
  </si>
  <si>
    <t>10/48/43</t>
  </si>
  <si>
    <t>(0,10*0,7)+(0,48*0,94)+(0,43*0,75) =</t>
  </si>
  <si>
    <t>Green bean/rice/soy</t>
  </si>
  <si>
    <t>7/13/80</t>
  </si>
  <si>
    <t>(0,07*0,65)+(0,13*0,7)+(0,80*0,94) =</t>
  </si>
  <si>
    <t xml:space="preserve">Soy/lentil/wheat </t>
  </si>
  <si>
    <t>53/24/23</t>
  </si>
  <si>
    <t>(0,53*0,94)+(0,24*0,75)+(0,23*0,9) =</t>
  </si>
  <si>
    <t xml:space="preserve">Soy based quark bowl </t>
  </si>
  <si>
    <t xml:space="preserve">Almond and apple sandwich + soy drink  </t>
  </si>
  <si>
    <t xml:space="preserve">Hazelnut pancakes + mango smoothie </t>
  </si>
  <si>
    <t xml:space="preserve">Banana peanutbutter sandwich + soy drink </t>
  </si>
  <si>
    <t xml:space="preserve">Blueberry smoothie </t>
  </si>
  <si>
    <t xml:space="preserve">Soy quark with fruits and muesli </t>
  </si>
  <si>
    <t>Veggie omelette with roasted pepper spread + soy drink</t>
  </si>
  <si>
    <t xml:space="preserve">Mediterranean tomato soup + soy drink </t>
  </si>
  <si>
    <r>
      <rPr>
        <sz val="11"/>
        <rFont val="Aptos Narrow"/>
        <family val="2"/>
        <scheme val="minor"/>
      </rPr>
      <t>Sandwich with chickpea and paprika spread 
+ apple cinnamon dessert</t>
    </r>
    <r>
      <rPr>
        <sz val="11"/>
        <color rgb="FFFF0000"/>
        <rFont val="Aptos Narrow"/>
        <family val="2"/>
        <scheme val="minor"/>
      </rPr>
      <t xml:space="preserve"> </t>
    </r>
  </si>
  <si>
    <t>Sandwich with pea spread + apple cinnamon dessert</t>
  </si>
  <si>
    <t>Spinach pie with soy mince</t>
  </si>
  <si>
    <t xml:space="preserve">Sweet potato and bean salad + soy drink </t>
  </si>
  <si>
    <t xml:space="preserve">Eggplant pilaf with bean cassoulet </t>
  </si>
  <si>
    <t xml:space="preserve">Vegetable Besengek </t>
  </si>
  <si>
    <t>Vegetable quiche</t>
  </si>
  <si>
    <t xml:space="preserve">Green lentil risotto </t>
  </si>
  <si>
    <t xml:space="preserve">Chickpea curry + fruit salad with soy yoghurt </t>
  </si>
  <si>
    <t xml:space="preserve">Lentil pasta pesto with soy mince </t>
  </si>
  <si>
    <t xml:space="preserve">Chicory casserole with Dutch-style soy beef stew </t>
  </si>
  <si>
    <t>Weighted mean digestibility (lower)</t>
  </si>
  <si>
    <t>Weighted mean digestibility (higher)</t>
  </si>
  <si>
    <t>(low wPD)</t>
  </si>
  <si>
    <t>(0,26*0,77)+(0,37*0,1)+(0,37*1) =</t>
  </si>
  <si>
    <t>(0,31*0,846)+(0,60*0,90)+(0,09*0,675) =</t>
  </si>
  <si>
    <t>Name</t>
  </si>
  <si>
    <t xml:space="preserve">(0,31*0,81)+(0,35*0,675)+(0,08*0,675)+(0,26*0,846) = </t>
  </si>
  <si>
    <t>(0,31*0,63)+(0,42*0,846)+(0,27*0,90) =</t>
  </si>
  <si>
    <t>(0,26*0,63)+(0,37*0,846)+(0,37*0,9) =</t>
  </si>
  <si>
    <t>(high wPD)*</t>
  </si>
  <si>
    <t>*Digestibility factors were varied by ±10%, with upper values capped at 1.00 to reflect the biological maximum digestibility of protein</t>
  </si>
  <si>
    <t>(0,31*0,77)+(0,42*1)+(0,27*1)=</t>
  </si>
  <si>
    <t>(0,31*0,99)+(0,35*0,825)+(0,08*0,825)+(0,26*1) =</t>
  </si>
  <si>
    <t>(0,31*1)+(0,60*1)+(0,09*0,825) =</t>
  </si>
  <si>
    <t>(0,32*0,99)+(0,41*0,825)+(0,27*1) =</t>
  </si>
  <si>
    <t>(0,57*1)+(0,15*0,77)+(0,28*0,825) =</t>
  </si>
  <si>
    <t>(0,16*0,77)+(0,39*1)+(0,26*0,825)+(0,19*0,825) =</t>
  </si>
  <si>
    <t>(0,36*0,99)+(0,32*0,825)+(0,32*1) =</t>
  </si>
  <si>
    <t>(0,12*0,825)+(0,69*1)+(0,19*0,99) =</t>
  </si>
  <si>
    <t>(0,43*0,99)+(0,25*0,825)+(0,32*1) =</t>
  </si>
  <si>
    <t>(0,38*0,99)+(0,29*0,825)+(0,33*1) =</t>
  </si>
  <si>
    <t>(0,58*1)+(0,24*0,825)+(0,18*0,99) =</t>
  </si>
  <si>
    <t>(0,55*0,825)+(0,18*0,825)+(0,27*1) =</t>
  </si>
  <si>
    <t>(0,80*1)+(0,08*0,605)+(0,12*0,825) =</t>
  </si>
  <si>
    <t>(0,53*0,825)+(0,34*1)+(0,13*0,825) =</t>
  </si>
  <si>
    <t>(0,38*0,825)+(0,21*0,825)+(0,14*0,77)+(0,27*1) =</t>
  </si>
  <si>
    <t>(0,48*0,825)+(0,45*1)+(0,07*0,715) =</t>
  </si>
  <si>
    <t>(0,10*0,77)+(0,48*1)+(0,43*0,825) =</t>
  </si>
  <si>
    <t>(0,07*0,715)+(0,13*0,77)+(0,80*1) =</t>
  </si>
  <si>
    <t>(0,53*1)+(0,24*0,825)+(0,23*0,99) =</t>
  </si>
  <si>
    <t>Meal quality score (Lowest AAS * low wPD)</t>
  </si>
  <si>
    <t>Meal quality score (Lowest AAS * wPD)</t>
  </si>
  <si>
    <t>Meal quality score (Lowest AAS * high wPD)</t>
  </si>
  <si>
    <t>(0,16*0,7)+(0,39*0,94)+(0,26*0,75)+(0,19*0,75) =</t>
  </si>
  <si>
    <t>(0,63*0,94)+(0,16*0,75)+(0,11*0,7)+(0,10*0,75) =</t>
  </si>
  <si>
    <t>(0,38*0,75)+(0,21*0,75)+(0,14*0,7)+(0,27*0,94) =</t>
  </si>
  <si>
    <t>(0,63*0,846)+(0,16*0,68)+(0,11*0,63)+(0,10*0,675) =</t>
  </si>
  <si>
    <t>(0,32*0,81)+(0,41*0,675)+(0,27*0,846) =</t>
  </si>
  <si>
    <t>(0,57*0,846)+(0,15*0,63)+(0,28*0,675) =</t>
  </si>
  <si>
    <t>(0,16*0,63)+(0,39*0,846)+(0,26*0,675)+(0,19*0,675) =</t>
  </si>
  <si>
    <t>(0,36*0,81)+(0,32*0,675)+(0,32*0,846) =</t>
  </si>
  <si>
    <t>(0,12*0,675)+(0,69*0,846)+(0,19*0,81) =</t>
  </si>
  <si>
    <t>(0,43*0,81)+(0,25*0,675)+(0,32*0,846) =</t>
  </si>
  <si>
    <t>(0,38*0,81)+(0,29*0,675)+(0,33*0,846) =</t>
  </si>
  <si>
    <t>(0,58*0,846)+(0,24*0,675)+(0,18*0,81) =</t>
  </si>
  <si>
    <t>(0,55*0,675)+(0,18*0,675)+(0,27*0,846) =</t>
  </si>
  <si>
    <t>(0,80*0,846)+(0,08*0,495)+(0,12*0,675) =</t>
  </si>
  <si>
    <t>(0,53*0,675)+(0,34*0,846)+(0,13*0,675) =</t>
  </si>
  <si>
    <t>(0,38*0,675)+(0,21*0,675)+(0,14*0,63)+(0,27*0,846) =</t>
  </si>
  <si>
    <t>(0,48*0,675)+(0,45*0,846)+(0,07*0,585) =</t>
  </si>
  <si>
    <t>(0,10*0,63)+(0,48*0,846)+(0,43*0,675) =</t>
  </si>
  <si>
    <t>(0,07*0,585)+(0,13*0,63)+(0,80*0,846) =</t>
  </si>
  <si>
    <t>(0,53*0,846)+(0,24*0,675)+(0,23*0,81) =</t>
  </si>
  <si>
    <t>(0,63*1)+(0,16*0,825)+(0,11*0,77)+(0,10*0,825)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</si>
</sst>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38296D"/>
      <name val="Arial"/>
      <family val="2"/>
    </font>
    <font>
      <b/>
      <sz val="11"/>
      <color rgb="FFEF4444"/>
      <name val="Arial"/>
      <family val="2"/>
    </font>
    <font>
      <b/>
      <sz val="11"/>
      <color rgb="FFFF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EEEEEE"/>
      </left>
      <right/>
      <top style="medium">
        <color rgb="FFEEEEEE"/>
      </top>
      <bottom style="medium">
        <color rgb="FFEEEEEE"/>
      </bottom>
      <diagonal/>
    </border>
    <border>
      <left/>
      <right/>
      <top style="medium">
        <color rgb="FFEEEEEE"/>
      </top>
      <bottom style="medium">
        <color rgb="FFEEEEEE"/>
      </bottom>
      <diagonal/>
    </border>
    <border>
      <left/>
      <right style="medium">
        <color rgb="FFEEEEEE"/>
      </right>
      <top style="medium">
        <color rgb="FFEEEEEE"/>
      </top>
      <bottom style="medium">
        <color rgb="FFEEEEEE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2" fontId="0" fillId="0" borderId="0" xfId="0" applyNumberFormat="1"/>
    <xf numFmtId="2" fontId="2" fillId="0" borderId="0" xfId="0" applyNumberFormat="1" applyFont="1"/>
    <xf numFmtId="0" fontId="4" fillId="0" borderId="0" xfId="0" applyFont="1"/>
    <xf numFmtId="2" fontId="4" fillId="0" borderId="0" xfId="0" applyNumberFormat="1" applyFont="1"/>
    <xf numFmtId="2" fontId="5" fillId="0" borderId="0" xfId="0" applyNumberFormat="1" applyFont="1"/>
    <xf numFmtId="14" fontId="0" fillId="0" borderId="0" xfId="0" applyNumberFormat="1"/>
    <xf numFmtId="0" fontId="6" fillId="5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1" fillId="3" borderId="0" xfId="0" applyFont="1" applyFill="1" applyAlignment="1">
      <alignment wrapText="1"/>
    </xf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3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vertical="top" wrapText="1"/>
    </xf>
    <xf numFmtId="2" fontId="0" fillId="7" borderId="0" xfId="0" applyNumberFormat="1" applyFill="1"/>
    <xf numFmtId="0" fontId="2" fillId="7" borderId="1" xfId="0" applyFont="1" applyFill="1" applyBorder="1" applyAlignment="1">
      <alignment vertical="top"/>
    </xf>
    <xf numFmtId="0" fontId="0" fillId="7" borderId="0" xfId="0" applyFill="1" applyAlignment="1">
      <alignment horizontal="left"/>
    </xf>
    <xf numFmtId="0" fontId="4" fillId="7" borderId="0" xfId="0" applyFont="1" applyFill="1" applyAlignment="1">
      <alignment horizontal="left"/>
    </xf>
    <xf numFmtId="0" fontId="2" fillId="6" borderId="1" xfId="0" applyFont="1" applyFill="1" applyBorder="1" applyAlignment="1">
      <alignment vertical="top"/>
    </xf>
    <xf numFmtId="0" fontId="2" fillId="8" borderId="1" xfId="0" applyFont="1" applyFill="1" applyBorder="1" applyAlignment="1">
      <alignment vertical="top"/>
    </xf>
    <xf numFmtId="0" fontId="2" fillId="8" borderId="1" xfId="0" applyFont="1" applyFill="1" applyBorder="1" applyAlignment="1">
      <alignment horizontal="left" vertical="top" wrapText="1"/>
    </xf>
    <xf numFmtId="0" fontId="0" fillId="8" borderId="0" xfId="0" applyFill="1" applyAlignment="1">
      <alignment horizontal="left"/>
    </xf>
    <xf numFmtId="0" fontId="4" fillId="8" borderId="0" xfId="0" applyFont="1" applyFill="1" applyAlignment="1">
      <alignment horizontal="left"/>
    </xf>
    <xf numFmtId="0" fontId="2" fillId="3" borderId="1" xfId="0" applyFont="1" applyFill="1" applyBorder="1" applyAlignment="1">
      <alignment vertical="top"/>
    </xf>
    <xf numFmtId="0" fontId="5" fillId="7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4" fillId="6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2" fontId="0" fillId="3" borderId="0" xfId="0" applyNumberFormat="1" applyFill="1"/>
    <xf numFmtId="2" fontId="0" fillId="6" borderId="0" xfId="0" applyNumberFormat="1" applyFill="1"/>
    <xf numFmtId="0" fontId="5" fillId="3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8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1" fontId="0" fillId="0" borderId="0" xfId="0" applyNumberFormat="1" applyFill="1" applyBorder="1"/>
    <xf numFmtId="0" fontId="0" fillId="0" borderId="0" xfId="0" applyFill="1" applyBorder="1"/>
    <xf numFmtId="0" fontId="4" fillId="6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0" fillId="8" borderId="0" xfId="0" applyFill="1" applyAlignment="1">
      <alignment horizontal="right"/>
    </xf>
    <xf numFmtId="0" fontId="4" fillId="8" borderId="0" xfId="0" applyFont="1" applyFill="1" applyAlignment="1">
      <alignment horizontal="right"/>
    </xf>
    <xf numFmtId="0" fontId="4" fillId="6" borderId="0" xfId="0" applyFont="1" applyFill="1" applyAlignment="1">
      <alignment horizontal="right"/>
    </xf>
    <xf numFmtId="0" fontId="0" fillId="7" borderId="0" xfId="0" applyFill="1" applyAlignment="1">
      <alignment horizontal="right"/>
    </xf>
    <xf numFmtId="0" fontId="4" fillId="7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3EB31-28E4-46EF-9889-E43CBBB6024A}">
  <dimension ref="A1:U28"/>
  <sheetViews>
    <sheetView tabSelected="1" zoomScale="80" zoomScaleNormal="80" workbookViewId="0">
      <selection activeCell="F30" sqref="F30"/>
    </sheetView>
  </sheetViews>
  <sheetFormatPr defaultRowHeight="15" x14ac:dyDescent="0.25"/>
  <cols>
    <col min="1" max="1" width="47.28515625" customWidth="1"/>
    <col min="2" max="2" width="13.85546875" customWidth="1"/>
    <col min="3" max="3" width="16.85546875" customWidth="1"/>
    <col min="4" max="4" width="28.85546875" customWidth="1"/>
    <col min="5" max="5" width="15.7109375" customWidth="1"/>
    <col min="6" max="6" width="46.42578125" customWidth="1"/>
    <col min="7" max="7" width="20.140625" customWidth="1"/>
    <col min="8" max="16" width="9.5703125" bestFit="1" customWidth="1"/>
    <col min="18" max="18" width="6" customWidth="1"/>
    <col min="19" max="19" width="17.7109375" customWidth="1"/>
    <col min="21" max="21" width="12.140625" customWidth="1"/>
    <col min="23" max="23" width="16.85546875" customWidth="1"/>
  </cols>
  <sheetData>
    <row r="1" spans="1:21" ht="45" x14ac:dyDescent="0.25">
      <c r="A1" s="1" t="s">
        <v>101</v>
      </c>
      <c r="B1" s="2" t="s">
        <v>0</v>
      </c>
      <c r="C1" s="3" t="s">
        <v>1</v>
      </c>
      <c r="D1" s="4" t="s">
        <v>2</v>
      </c>
      <c r="E1" s="4" t="s">
        <v>3</v>
      </c>
      <c r="F1" s="30" t="s">
        <v>4</v>
      </c>
      <c r="G1" s="31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5" t="s">
        <v>10</v>
      </c>
      <c r="M1" s="5" t="s">
        <v>11</v>
      </c>
      <c r="N1" s="2" t="s">
        <v>12</v>
      </c>
      <c r="O1" s="2" t="s">
        <v>13</v>
      </c>
      <c r="P1" s="2" t="s">
        <v>14</v>
      </c>
      <c r="Q1" s="6"/>
      <c r="S1" s="5" t="s">
        <v>127</v>
      </c>
      <c r="U1" s="51"/>
    </row>
    <row r="2" spans="1:21" x14ac:dyDescent="0.25">
      <c r="A2" s="18" t="s">
        <v>79</v>
      </c>
      <c r="B2" s="22">
        <v>16.399999999999999</v>
      </c>
      <c r="C2" s="22">
        <v>14.8</v>
      </c>
      <c r="D2" t="s">
        <v>15</v>
      </c>
      <c r="E2" t="s">
        <v>16</v>
      </c>
      <c r="F2" s="52" t="s">
        <v>17</v>
      </c>
      <c r="G2" s="32">
        <f>SUM(0.26*0.7)+(0.37*0.94)+(0.37*1)</f>
        <v>0.89980000000000004</v>
      </c>
      <c r="H2" s="7">
        <v>2.0266264555544069</v>
      </c>
      <c r="I2" s="7">
        <v>1.7187003889910961</v>
      </c>
      <c r="J2" s="7">
        <v>1.5448547407432056</v>
      </c>
      <c r="K2" s="7">
        <v>1.5618239999637094</v>
      </c>
      <c r="L2" s="8">
        <v>1.5185030131278778</v>
      </c>
      <c r="M2" s="7">
        <v>2.5836064165641641</v>
      </c>
      <c r="N2" s="7">
        <v>1.7619951378652861</v>
      </c>
      <c r="O2" s="7">
        <v>2.0385194404822982</v>
      </c>
      <c r="P2" s="7">
        <v>1.4997849145189113</v>
      </c>
      <c r="S2" s="7">
        <f>SUM(G2*1.5)</f>
        <v>1.3497000000000001</v>
      </c>
    </row>
    <row r="3" spans="1:21" x14ac:dyDescent="0.25">
      <c r="A3" s="18" t="s">
        <v>18</v>
      </c>
      <c r="B3" s="22">
        <v>17.600000000000001</v>
      </c>
      <c r="C3" s="22">
        <v>14.5</v>
      </c>
      <c r="D3" t="s">
        <v>15</v>
      </c>
      <c r="E3" t="s">
        <v>19</v>
      </c>
      <c r="F3" s="52" t="s">
        <v>20</v>
      </c>
      <c r="G3" s="32">
        <f>SUM(0.31*0.7)+(0.42*0.94)+(0.27*1)</f>
        <v>0.88180000000000003</v>
      </c>
      <c r="H3" s="7">
        <v>1.9481087472158989</v>
      </c>
      <c r="I3" s="7">
        <v>1.6571268224410034</v>
      </c>
      <c r="J3" s="8">
        <v>1.4740249770383924</v>
      </c>
      <c r="K3" s="7">
        <v>1.4903684978444813</v>
      </c>
      <c r="L3" s="7">
        <v>1.6019538059335141</v>
      </c>
      <c r="M3" s="7">
        <v>2.5349548245810176</v>
      </c>
      <c r="N3" s="7">
        <v>1.7442967935256402</v>
      </c>
      <c r="O3" s="7">
        <v>2.13235830399111</v>
      </c>
      <c r="P3" s="7">
        <v>1.4688081491205176</v>
      </c>
      <c r="S3" s="7">
        <f t="shared" ref="S3" si="0">SUM(G3*1.5)</f>
        <v>1.3227</v>
      </c>
    </row>
    <row r="4" spans="1:21" x14ac:dyDescent="0.25">
      <c r="A4" s="18" t="s">
        <v>80</v>
      </c>
      <c r="B4" s="23">
        <v>26.8</v>
      </c>
      <c r="C4" s="23">
        <v>25.7</v>
      </c>
      <c r="D4" s="9" t="s">
        <v>21</v>
      </c>
      <c r="E4" s="9" t="s">
        <v>22</v>
      </c>
      <c r="F4" s="53" t="s">
        <v>23</v>
      </c>
      <c r="G4" s="33">
        <f>SUM(0.31*0.9)+(0.35*0.75)+(0.08*0.75)+(0.26*0.94)</f>
        <v>0.84589999999999987</v>
      </c>
      <c r="H4" s="10">
        <v>1.8551977504648363</v>
      </c>
      <c r="I4" s="10">
        <v>1.4122282418576197</v>
      </c>
      <c r="J4" s="10">
        <v>1.3019594572347037</v>
      </c>
      <c r="K4" s="11">
        <v>1.0118786835724727</v>
      </c>
      <c r="L4" s="10">
        <v>1.2807332452333671</v>
      </c>
      <c r="M4" s="10">
        <v>2.2348243384649744</v>
      </c>
      <c r="N4" s="10">
        <v>1.4058762804268317</v>
      </c>
      <c r="O4" s="10">
        <v>2.3895441829183075</v>
      </c>
      <c r="P4" s="10">
        <v>1.293657588524725</v>
      </c>
      <c r="S4" s="7">
        <f>SUM(G4*1)</f>
        <v>0.84589999999999987</v>
      </c>
    </row>
    <row r="5" spans="1:21" x14ac:dyDescent="0.25">
      <c r="A5" s="18" t="s">
        <v>81</v>
      </c>
      <c r="B5" s="22">
        <v>20</v>
      </c>
      <c r="C5" s="22">
        <v>19.399999999999999</v>
      </c>
      <c r="D5" t="s">
        <v>24</v>
      </c>
      <c r="E5" t="s">
        <v>25</v>
      </c>
      <c r="F5" s="52" t="s">
        <v>26</v>
      </c>
      <c r="G5" s="32">
        <f>SUM(0.31*0.94)+(0.6*1)+(0.09*0.75)</f>
        <v>0.95889999999999997</v>
      </c>
      <c r="H5" s="7">
        <v>2.0351861271530387</v>
      </c>
      <c r="I5" s="7">
        <v>1.9579145268608851</v>
      </c>
      <c r="J5" s="7">
        <v>1.7279479579546377</v>
      </c>
      <c r="K5" s="7">
        <v>1.9140610496151915</v>
      </c>
      <c r="L5" s="8">
        <v>1.6088057127320448</v>
      </c>
      <c r="M5" s="7">
        <v>2.9134721814454583</v>
      </c>
      <c r="N5" s="7">
        <v>1.9215418935837725</v>
      </c>
      <c r="O5" s="7">
        <v>1.8920925618411339</v>
      </c>
      <c r="P5" s="7">
        <v>1.6111945649926092</v>
      </c>
      <c r="S5" s="7">
        <f>SUM(G5*1.6)</f>
        <v>1.53424</v>
      </c>
    </row>
    <row r="6" spans="1:21" x14ac:dyDescent="0.25">
      <c r="A6" s="18" t="s">
        <v>82</v>
      </c>
      <c r="B6" s="22">
        <v>15.3</v>
      </c>
      <c r="C6" s="22">
        <v>15.2</v>
      </c>
      <c r="D6" t="s">
        <v>27</v>
      </c>
      <c r="E6" t="s">
        <v>28</v>
      </c>
      <c r="F6" s="52" t="s">
        <v>130</v>
      </c>
      <c r="G6" s="32">
        <f>SUM(0.63*0.94)+(0.16*0.75)+(0.11*0.7)+(0.1*0.75)</f>
        <v>0.86419999999999986</v>
      </c>
      <c r="H6" s="7">
        <v>1.8021811540305857</v>
      </c>
      <c r="I6" s="7">
        <v>1.5422459266747217</v>
      </c>
      <c r="J6" s="7">
        <v>1.363769595877147</v>
      </c>
      <c r="K6" s="8">
        <v>1.3193147750919827</v>
      </c>
      <c r="L6" s="7">
        <v>1.3884760056096739</v>
      </c>
      <c r="M6" s="7">
        <v>2.3890122570150547</v>
      </c>
      <c r="N6" s="7">
        <v>1.7161931829884449</v>
      </c>
      <c r="O6" s="7">
        <v>2.3373100658276309</v>
      </c>
      <c r="P6" s="7">
        <v>1.3504794880606554</v>
      </c>
      <c r="S6" s="7">
        <f>SUM(G6*1.3)</f>
        <v>1.1234599999999999</v>
      </c>
    </row>
    <row r="7" spans="1:21" x14ac:dyDescent="0.25">
      <c r="A7" s="18" t="s">
        <v>78</v>
      </c>
      <c r="B7" s="23">
        <v>24.7</v>
      </c>
      <c r="C7" s="23">
        <v>24.7</v>
      </c>
      <c r="D7" s="9" t="s">
        <v>29</v>
      </c>
      <c r="E7" s="9" t="s">
        <v>30</v>
      </c>
      <c r="F7" s="53" t="s">
        <v>31</v>
      </c>
      <c r="G7" s="33">
        <f>SUM(0.32*0.9)+(0.41*0.75) + (0.27*0.94)</f>
        <v>0.84930000000000005</v>
      </c>
      <c r="H7" s="10">
        <v>1.6886329691251372</v>
      </c>
      <c r="I7" s="10">
        <v>1.3889428637575878</v>
      </c>
      <c r="J7" s="10">
        <v>1.2662203320917327</v>
      </c>
      <c r="K7" s="11">
        <v>0.95594946057044461</v>
      </c>
      <c r="L7" s="10">
        <v>1.1568335586289686</v>
      </c>
      <c r="M7" s="10">
        <v>2.1854474515437259</v>
      </c>
      <c r="N7" s="10">
        <v>1.4276955910407341</v>
      </c>
      <c r="O7" s="10">
        <v>2.0430371855315936</v>
      </c>
      <c r="P7" s="10">
        <v>1.2215695069726222</v>
      </c>
      <c r="S7" s="7">
        <f>SUM(G7*1)</f>
        <v>0.84930000000000005</v>
      </c>
    </row>
    <row r="8" spans="1:21" x14ac:dyDescent="0.25">
      <c r="A8" s="18" t="s">
        <v>77</v>
      </c>
      <c r="B8" s="22">
        <v>18.3</v>
      </c>
      <c r="C8" s="22">
        <v>17.899999999999999</v>
      </c>
      <c r="D8" t="s">
        <v>32</v>
      </c>
      <c r="E8" t="s">
        <v>33</v>
      </c>
      <c r="F8" s="52" t="s">
        <v>34</v>
      </c>
      <c r="G8" s="32">
        <f>SUM(0.57*0.94)+(0.15*0.7)+(0.28*0.75)</f>
        <v>0.8508</v>
      </c>
      <c r="H8" s="7">
        <v>1.7903047617336769</v>
      </c>
      <c r="I8" s="7">
        <v>1.5030459805455911</v>
      </c>
      <c r="J8" s="7">
        <v>1.3558989488748852</v>
      </c>
      <c r="K8" s="7">
        <v>1.298258524703283</v>
      </c>
      <c r="L8" s="8">
        <v>1.2350351113976989</v>
      </c>
      <c r="M8" s="7">
        <v>2.3776923006212165</v>
      </c>
      <c r="N8" s="7">
        <v>1.6897295831695769</v>
      </c>
      <c r="O8" s="7">
        <v>2.1254447902752895</v>
      </c>
      <c r="P8" s="7">
        <v>1.3245156227621999</v>
      </c>
      <c r="S8" s="7">
        <f>SUM(G8*1.2)</f>
        <v>1.0209599999999999</v>
      </c>
    </row>
    <row r="9" spans="1:21" x14ac:dyDescent="0.25">
      <c r="A9" s="19" t="s">
        <v>35</v>
      </c>
      <c r="B9" s="22">
        <v>19.2</v>
      </c>
      <c r="C9" s="22">
        <v>18.100000000000001</v>
      </c>
      <c r="D9" t="s">
        <v>36</v>
      </c>
      <c r="E9" t="s">
        <v>37</v>
      </c>
      <c r="F9" s="52" t="s">
        <v>129</v>
      </c>
      <c r="G9" s="32">
        <f>SUM(0.16*0.7)+(0.39*0.94)+(0.26*0.75)+(0.19*0.75)</f>
        <v>0.81610000000000005</v>
      </c>
      <c r="H9" s="7">
        <v>1.8154307798854425</v>
      </c>
      <c r="I9" s="7">
        <v>1.6015101671849492</v>
      </c>
      <c r="J9" s="7">
        <v>1.3970115530991187</v>
      </c>
      <c r="K9" s="7">
        <v>1.4837553347738328</v>
      </c>
      <c r="L9" s="8">
        <v>1.2310690878200319</v>
      </c>
      <c r="M9" s="7">
        <v>2.4005784131380334</v>
      </c>
      <c r="N9" s="7">
        <v>1.8354775581681744</v>
      </c>
      <c r="O9" s="7">
        <v>1.6566663571919051</v>
      </c>
      <c r="P9" s="7">
        <v>1.3356338155380265</v>
      </c>
      <c r="S9" s="7">
        <f>SUM(G9*1.2)</f>
        <v>0.97931999999999997</v>
      </c>
    </row>
    <row r="10" spans="1:21" x14ac:dyDescent="0.25">
      <c r="A10" s="19" t="s">
        <v>83</v>
      </c>
      <c r="B10" s="22">
        <v>23</v>
      </c>
      <c r="C10" s="22">
        <v>21.6</v>
      </c>
      <c r="D10" t="s">
        <v>39</v>
      </c>
      <c r="E10" t="s">
        <v>40</v>
      </c>
      <c r="F10" s="52" t="s">
        <v>41</v>
      </c>
      <c r="G10" s="32">
        <f>SUM(0.36*0.9)+(0.32*0.75)+(0.32*0.94)</f>
        <v>0.86480000000000001</v>
      </c>
      <c r="H10" s="7">
        <v>1.7290000000000001</v>
      </c>
      <c r="I10" s="7">
        <v>1.4390000000000001</v>
      </c>
      <c r="J10" s="7">
        <v>1.2729999999999999</v>
      </c>
      <c r="K10" s="8">
        <v>1.117</v>
      </c>
      <c r="L10" s="7">
        <v>1.123</v>
      </c>
      <c r="M10" s="7">
        <v>2.069</v>
      </c>
      <c r="N10" s="7">
        <v>1.516</v>
      </c>
      <c r="O10" s="7">
        <v>1.845</v>
      </c>
      <c r="P10" s="7">
        <v>1.1679999999999999</v>
      </c>
      <c r="S10" s="7">
        <f>SUM(G10*1.1)</f>
        <v>0.95128000000000013</v>
      </c>
    </row>
    <row r="11" spans="1:21" x14ac:dyDescent="0.25">
      <c r="A11" s="19" t="s">
        <v>84</v>
      </c>
      <c r="B11" s="22">
        <v>22.6</v>
      </c>
      <c r="C11" s="22">
        <v>20.6</v>
      </c>
      <c r="D11" t="s">
        <v>42</v>
      </c>
      <c r="E11" t="s">
        <v>43</v>
      </c>
      <c r="F11" s="52" t="s">
        <v>44</v>
      </c>
      <c r="G11" s="32">
        <f>SUM(0.12*0.75)+(0.69*0.94)+(0.19*0.9)</f>
        <v>0.90959999999999996</v>
      </c>
      <c r="H11" s="7">
        <v>1.9208170375509264</v>
      </c>
      <c r="I11" s="7">
        <v>1.6396073657784247</v>
      </c>
      <c r="J11" s="7">
        <v>1.459352404662783</v>
      </c>
      <c r="K11" s="7">
        <v>1.4261357268552901</v>
      </c>
      <c r="L11" s="8">
        <v>1.2982777805707606</v>
      </c>
      <c r="M11" s="7">
        <v>2.5323255390925761</v>
      </c>
      <c r="N11" s="7">
        <v>1.8123840001196723</v>
      </c>
      <c r="O11" s="7">
        <v>2.4695632327381509</v>
      </c>
      <c r="P11" s="7">
        <v>1.3509468242531513</v>
      </c>
      <c r="S11" s="7">
        <f>SUM(G11*1.3)</f>
        <v>1.18248</v>
      </c>
    </row>
    <row r="12" spans="1:21" ht="30" x14ac:dyDescent="0.25">
      <c r="A12" s="17" t="s">
        <v>85</v>
      </c>
      <c r="B12" s="22">
        <v>19.8</v>
      </c>
      <c r="C12" s="22">
        <v>18.2</v>
      </c>
      <c r="D12" t="s">
        <v>45</v>
      </c>
      <c r="E12" t="s">
        <v>46</v>
      </c>
      <c r="F12" s="52" t="s">
        <v>47</v>
      </c>
      <c r="G12" s="32">
        <f>SUM(0.43*0.9)+(0.25*0.75)+(0.32*0.94)</f>
        <v>0.87529999999999997</v>
      </c>
      <c r="H12" s="7">
        <v>1.6943108666685598</v>
      </c>
      <c r="I12" s="7">
        <v>1.4561764298976976</v>
      </c>
      <c r="J12" s="7">
        <v>1.2754182971339774</v>
      </c>
      <c r="K12" s="8">
        <v>1.1252403251878245</v>
      </c>
      <c r="L12" s="7">
        <v>1.3262621312837659</v>
      </c>
      <c r="M12" s="7">
        <v>2.0987090395894796</v>
      </c>
      <c r="N12" s="7">
        <v>1.5278181945550169</v>
      </c>
      <c r="O12" s="7">
        <v>2.1011467329913351</v>
      </c>
      <c r="P12" s="7">
        <v>1.2665687119356692</v>
      </c>
      <c r="S12" s="7">
        <f>SUM(G12*1.1)</f>
        <v>0.96283000000000007</v>
      </c>
    </row>
    <row r="13" spans="1:21" ht="18" customHeight="1" x14ac:dyDescent="0.25">
      <c r="A13" s="21" t="s">
        <v>86</v>
      </c>
      <c r="B13" s="22">
        <v>22.7</v>
      </c>
      <c r="C13" s="22">
        <v>20.6</v>
      </c>
      <c r="D13" t="s">
        <v>48</v>
      </c>
      <c r="E13" t="s">
        <v>49</v>
      </c>
      <c r="F13" s="52" t="s">
        <v>50</v>
      </c>
      <c r="G13" s="32">
        <f>SUM(0.38*0.9)+(0.29*0.75)+(0.33*0.94)</f>
        <v>0.86969999999999992</v>
      </c>
      <c r="H13" s="7">
        <v>1.5408214635244057</v>
      </c>
      <c r="I13" s="7">
        <v>1.3503323255593216</v>
      </c>
      <c r="J13" s="7">
        <v>1.2181717941172947</v>
      </c>
      <c r="K13" s="7">
        <v>1.2170231316218123</v>
      </c>
      <c r="L13" s="8">
        <v>1.1203978351415631</v>
      </c>
      <c r="M13" s="7">
        <v>2.0209761664997079</v>
      </c>
      <c r="N13" s="7">
        <v>1.5128062574784424</v>
      </c>
      <c r="O13" s="7">
        <v>1.8916130461277445</v>
      </c>
      <c r="P13" s="7">
        <v>1.192820991357932</v>
      </c>
      <c r="S13" s="7">
        <f>SUM(G13*1.1)</f>
        <v>0.95667000000000002</v>
      </c>
    </row>
    <row r="14" spans="1:21" x14ac:dyDescent="0.25">
      <c r="A14" s="19" t="s">
        <v>87</v>
      </c>
      <c r="B14" s="23">
        <v>17.399999999999999</v>
      </c>
      <c r="C14" s="23">
        <v>12.7</v>
      </c>
      <c r="D14" s="9" t="s">
        <v>51</v>
      </c>
      <c r="E14" s="9" t="s">
        <v>52</v>
      </c>
      <c r="F14" s="53" t="s">
        <v>53</v>
      </c>
      <c r="G14" s="33">
        <f>SUM(0.58*0.94)+(0.24*0.75)+(0.18*0.9)</f>
        <v>0.88719999999999988</v>
      </c>
      <c r="H14" s="7">
        <v>1.8890282493923309</v>
      </c>
      <c r="I14" s="7">
        <v>1.6190424942992963</v>
      </c>
      <c r="J14" s="7">
        <v>1.4325311057219587</v>
      </c>
      <c r="K14" s="7">
        <v>1.458142893525272</v>
      </c>
      <c r="L14" s="8">
        <v>1.2857329586241923</v>
      </c>
      <c r="M14" s="7">
        <v>2.5610692622022206</v>
      </c>
      <c r="N14" s="7">
        <v>1.8798528305280127</v>
      </c>
      <c r="O14" s="7">
        <v>2.4591535171324015</v>
      </c>
      <c r="P14" s="7">
        <v>1.3513295134177947</v>
      </c>
      <c r="S14" s="7">
        <f>SUM(G14*1.3)</f>
        <v>1.1533599999999999</v>
      </c>
    </row>
    <row r="15" spans="1:21" x14ac:dyDescent="0.25">
      <c r="A15" s="19" t="s">
        <v>88</v>
      </c>
      <c r="B15" s="22">
        <v>28.6</v>
      </c>
      <c r="C15" s="22">
        <v>25.6</v>
      </c>
      <c r="D15" t="s">
        <v>54</v>
      </c>
      <c r="E15" t="s">
        <v>55</v>
      </c>
      <c r="F15" s="52" t="s">
        <v>56</v>
      </c>
      <c r="G15" s="32">
        <f>SUM(0.55*0.75)+(0.18*0.75)+(0.27*0.94)</f>
        <v>0.80130000000000012</v>
      </c>
      <c r="H15" s="7">
        <v>1.9940408432333987</v>
      </c>
      <c r="I15" s="7">
        <v>1.6145730527857169</v>
      </c>
      <c r="J15" s="7">
        <v>1.4769682233715913</v>
      </c>
      <c r="K15" s="7">
        <v>1.6385737729448104</v>
      </c>
      <c r="L15" s="8">
        <v>1.0962794028167175</v>
      </c>
      <c r="M15" s="7">
        <v>2.619634318697404</v>
      </c>
      <c r="N15" s="7">
        <v>2.0320435887146262</v>
      </c>
      <c r="O15" s="7">
        <v>2.2025830396038919</v>
      </c>
      <c r="P15" s="7">
        <v>1.4179041275622162</v>
      </c>
      <c r="S15" s="7">
        <f>SUM(G15*1.1)</f>
        <v>0.88143000000000016</v>
      </c>
    </row>
    <row r="16" spans="1:21" x14ac:dyDescent="0.25">
      <c r="A16" s="20" t="s">
        <v>95</v>
      </c>
      <c r="B16" s="22">
        <v>24.7</v>
      </c>
      <c r="C16" s="22">
        <v>20</v>
      </c>
      <c r="D16" t="s">
        <v>57</v>
      </c>
      <c r="E16" s="12" t="s">
        <v>58</v>
      </c>
      <c r="F16" s="52" t="s">
        <v>59</v>
      </c>
      <c r="G16" s="32">
        <f>SUM(0.8*0.94)+(0.08*0.55)+(0.12*0.75)</f>
        <v>0.88600000000000001</v>
      </c>
      <c r="H16" s="7">
        <v>1.7382494002664304</v>
      </c>
      <c r="I16" s="7">
        <v>1.5210756844094468</v>
      </c>
      <c r="J16" s="7">
        <v>1.2967693156051801</v>
      </c>
      <c r="K16" s="7">
        <v>1.3742762184758102</v>
      </c>
      <c r="L16" s="8">
        <v>1.1956929988715093</v>
      </c>
      <c r="M16" s="7">
        <v>2.2415467425516797</v>
      </c>
      <c r="N16" s="7">
        <v>1.6984066963375888</v>
      </c>
      <c r="O16" s="7">
        <v>1.583213423730448</v>
      </c>
      <c r="P16" s="7">
        <v>1.2499935207098356</v>
      </c>
      <c r="S16" s="7">
        <f>SUM(G16*1.2)</f>
        <v>1.0631999999999999</v>
      </c>
    </row>
    <row r="17" spans="1:19" x14ac:dyDescent="0.25">
      <c r="A17" s="20" t="s">
        <v>94</v>
      </c>
      <c r="B17" s="22">
        <v>32.9</v>
      </c>
      <c r="C17" s="22">
        <v>28.1</v>
      </c>
      <c r="D17" t="s">
        <v>60</v>
      </c>
      <c r="E17" t="s">
        <v>61</v>
      </c>
      <c r="F17" s="52" t="s">
        <v>62</v>
      </c>
      <c r="G17" s="32">
        <f>SUM(0.53*0.75)+(0.34*0.94)+(0.13*0.75)</f>
        <v>0.8146000000000001</v>
      </c>
      <c r="H17" s="7">
        <v>1.8882570232665519</v>
      </c>
      <c r="I17" s="7">
        <v>1.5363472059149599</v>
      </c>
      <c r="J17" s="7">
        <v>1.3974277327038183</v>
      </c>
      <c r="K17" s="7">
        <v>1.5362234544432758</v>
      </c>
      <c r="L17" s="8">
        <v>1.1496270310610819</v>
      </c>
      <c r="M17" s="7">
        <v>2.3985627097353799</v>
      </c>
      <c r="N17" s="7">
        <v>1.8459540921760444</v>
      </c>
      <c r="O17" s="7">
        <v>1.7662647553086424</v>
      </c>
      <c r="P17" s="7">
        <v>1.3141083594456009</v>
      </c>
      <c r="S17" s="7">
        <f>SUM(G17*1.1)</f>
        <v>0.89606000000000019</v>
      </c>
    </row>
    <row r="18" spans="1:19" x14ac:dyDescent="0.25">
      <c r="A18" s="20" t="s">
        <v>93</v>
      </c>
      <c r="B18" s="22">
        <v>24</v>
      </c>
      <c r="C18" s="22">
        <v>21.8</v>
      </c>
      <c r="D18" t="s">
        <v>63</v>
      </c>
      <c r="E18" t="s">
        <v>64</v>
      </c>
      <c r="F18" s="52" t="s">
        <v>131</v>
      </c>
      <c r="G18" s="32">
        <f>SUM(0.38*0.75)+(0.21*0.75)+(0.14*0.7)+(0.27*0.94)</f>
        <v>0.79430000000000001</v>
      </c>
      <c r="H18" s="7">
        <v>1.7494935481972049</v>
      </c>
      <c r="I18" s="7">
        <v>1.4999624086777912</v>
      </c>
      <c r="J18" s="7">
        <v>1.2725026482946302</v>
      </c>
      <c r="K18" s="7">
        <v>1.445572000214836</v>
      </c>
      <c r="L18" s="8">
        <v>1.1660013506102784</v>
      </c>
      <c r="M18" s="7">
        <v>2.1801495987597619</v>
      </c>
      <c r="N18" s="7">
        <v>1.7266370489464227</v>
      </c>
      <c r="O18" s="7">
        <v>1.7362800812816765</v>
      </c>
      <c r="P18" s="7">
        <v>1.2722478062107672</v>
      </c>
      <c r="S18" s="7">
        <f>SUM(G18*1.2)</f>
        <v>0.95316000000000001</v>
      </c>
    </row>
    <row r="19" spans="1:19" x14ac:dyDescent="0.25">
      <c r="A19" s="20" t="s">
        <v>92</v>
      </c>
      <c r="B19" s="23">
        <v>34.299999999999997</v>
      </c>
      <c r="C19" s="23">
        <v>29.6</v>
      </c>
      <c r="D19" s="9" t="s">
        <v>65</v>
      </c>
      <c r="E19" t="s">
        <v>66</v>
      </c>
      <c r="F19" s="52" t="s">
        <v>67</v>
      </c>
      <c r="G19" s="32">
        <f>SUM(0.48*0.75)+(0.45*0.94)+(0.07*0.65)</f>
        <v>0.8284999999999999</v>
      </c>
      <c r="H19" s="7">
        <v>1.9</v>
      </c>
      <c r="I19" s="7">
        <v>1.5</v>
      </c>
      <c r="J19" s="7">
        <v>1.4</v>
      </c>
      <c r="K19" s="7">
        <v>1.5</v>
      </c>
      <c r="L19" s="8">
        <v>1.1000000000000001</v>
      </c>
      <c r="M19" s="7">
        <v>2.4</v>
      </c>
      <c r="N19" s="7">
        <v>1.8</v>
      </c>
      <c r="O19" s="7">
        <v>1.8</v>
      </c>
      <c r="P19" s="7">
        <v>1.3</v>
      </c>
      <c r="S19" s="7">
        <f>SUM(G19*1.1)</f>
        <v>0.91134999999999999</v>
      </c>
    </row>
    <row r="20" spans="1:19" x14ac:dyDescent="0.25">
      <c r="A20" s="20" t="s">
        <v>89</v>
      </c>
      <c r="B20" s="22">
        <v>29</v>
      </c>
      <c r="C20" s="22">
        <v>23.7</v>
      </c>
      <c r="D20" t="s">
        <v>68</v>
      </c>
      <c r="E20" t="s">
        <v>69</v>
      </c>
      <c r="F20" s="52" t="s">
        <v>70</v>
      </c>
      <c r="G20" s="32">
        <f>SUM(0.1*0.7)+(0.48*0.94)+(0.43*0.75)</f>
        <v>0.84369999999999989</v>
      </c>
      <c r="H20" s="7">
        <v>1.9616311496696495</v>
      </c>
      <c r="I20" s="7">
        <v>1.6926916109069694</v>
      </c>
      <c r="J20" s="7">
        <v>1.4866889505808745</v>
      </c>
      <c r="K20" s="7">
        <v>1.5800775874917756</v>
      </c>
      <c r="L20" s="8">
        <v>1.2632071413161159</v>
      </c>
      <c r="M20" s="7">
        <v>2.5925513582836528</v>
      </c>
      <c r="N20" s="7">
        <v>1.9464293421392063</v>
      </c>
      <c r="O20" s="7">
        <v>2.3722078840068455</v>
      </c>
      <c r="P20" s="7">
        <v>1.4260892999295929</v>
      </c>
      <c r="S20" s="7">
        <f>SUM(G20*1.3)</f>
        <v>1.0968099999999998</v>
      </c>
    </row>
    <row r="21" spans="1:19" x14ac:dyDescent="0.25">
      <c r="A21" s="20" t="s">
        <v>90</v>
      </c>
      <c r="B21" s="22">
        <v>26.8</v>
      </c>
      <c r="C21" s="22">
        <v>24.5</v>
      </c>
      <c r="D21" t="s">
        <v>71</v>
      </c>
      <c r="E21" t="s">
        <v>72</v>
      </c>
      <c r="F21" s="52" t="s">
        <v>73</v>
      </c>
      <c r="G21" s="32">
        <f>SUM(0.07*0.65)+(0.13*0.7)+(0.8*0.94)</f>
        <v>0.88850000000000007</v>
      </c>
      <c r="H21" s="7">
        <v>1.7</v>
      </c>
      <c r="I21" s="7">
        <v>1.5</v>
      </c>
      <c r="J21" s="7">
        <v>1.3</v>
      </c>
      <c r="K21" s="7">
        <v>1.4</v>
      </c>
      <c r="L21" s="8">
        <v>1.2</v>
      </c>
      <c r="M21" s="7">
        <v>2.2999999999999998</v>
      </c>
      <c r="N21" s="7">
        <v>1.7</v>
      </c>
      <c r="O21" s="7">
        <v>1.5</v>
      </c>
      <c r="P21" s="7">
        <v>1.3</v>
      </c>
      <c r="S21" s="7">
        <f>SUM(G21*1.2)</f>
        <v>1.0662</v>
      </c>
    </row>
    <row r="22" spans="1:19" x14ac:dyDescent="0.25">
      <c r="A22" s="20" t="s">
        <v>91</v>
      </c>
      <c r="B22" s="22">
        <v>22.7</v>
      </c>
      <c r="C22" s="22">
        <v>15.9</v>
      </c>
      <c r="D22" t="s">
        <v>74</v>
      </c>
      <c r="E22" t="s">
        <v>75</v>
      </c>
      <c r="F22" s="52" t="s">
        <v>76</v>
      </c>
      <c r="G22" s="32">
        <f>SUM(0.53*0.94)+(0.24*0.75)+(0.23*0.9)</f>
        <v>0.88519999999999999</v>
      </c>
      <c r="H22" s="7">
        <v>1.8192675549087725</v>
      </c>
      <c r="I22" s="7">
        <v>1.5917892313125279</v>
      </c>
      <c r="J22" s="7">
        <v>1.387727765820677</v>
      </c>
      <c r="K22" s="7">
        <v>1.4109870962093745</v>
      </c>
      <c r="L22" s="8">
        <v>1.264467620335809</v>
      </c>
      <c r="M22" s="7">
        <v>2.4633328764113611</v>
      </c>
      <c r="N22" s="7">
        <v>1.8349723735442038</v>
      </c>
      <c r="O22" s="7">
        <v>2.2641244318306866</v>
      </c>
      <c r="P22" s="7">
        <v>1.3393573543475723</v>
      </c>
      <c r="S22" s="7">
        <f>SUM(G22*1.3)</f>
        <v>1.15076</v>
      </c>
    </row>
    <row r="25" spans="1:19" ht="15.75" thickBot="1" x14ac:dyDescent="0.3"/>
    <row r="26" spans="1:19" ht="15.75" thickBot="1" x14ac:dyDescent="0.3">
      <c r="H26" s="13"/>
      <c r="I26" s="14"/>
      <c r="J26" s="14"/>
      <c r="K26" s="15"/>
      <c r="L26" s="14"/>
      <c r="M26" s="14"/>
      <c r="N26" s="14"/>
      <c r="O26" s="14"/>
      <c r="P26" s="16"/>
    </row>
    <row r="28" spans="1:19" x14ac:dyDescent="0.25">
      <c r="K28" s="7"/>
      <c r="L28" s="7"/>
      <c r="M28" s="7"/>
      <c r="N2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2FAD4-1508-4128-8D03-675D89128CBF}">
  <dimension ref="A1:AC28"/>
  <sheetViews>
    <sheetView zoomScale="80" zoomScaleNormal="80" workbookViewId="0">
      <selection activeCell="J12" sqref="J12"/>
    </sheetView>
  </sheetViews>
  <sheetFormatPr defaultRowHeight="15" x14ac:dyDescent="0.25"/>
  <cols>
    <col min="1" max="1" width="47.28515625" customWidth="1"/>
    <col min="2" max="2" width="13.85546875" customWidth="1"/>
    <col min="3" max="3" width="16.85546875" customWidth="1"/>
    <col min="4" max="4" width="28.85546875" customWidth="1"/>
    <col min="5" max="5" width="15.7109375" customWidth="1"/>
    <col min="6" max="6" width="44.85546875" customWidth="1"/>
    <col min="7" max="7" width="15.7109375" customWidth="1"/>
    <col min="8" max="8" width="42" customWidth="1"/>
    <col min="9" max="9" width="20.140625" customWidth="1"/>
    <col min="10" max="10" width="45.28515625" customWidth="1"/>
    <col min="11" max="11" width="20.140625" customWidth="1"/>
    <col min="12" max="20" width="9.5703125" bestFit="1" customWidth="1"/>
    <col min="22" max="22" width="18.5703125" customWidth="1"/>
    <col min="23" max="23" width="18.140625" customWidth="1"/>
    <col min="24" max="24" width="20.85546875" customWidth="1"/>
    <col min="25" max="26" width="13.42578125" customWidth="1"/>
    <col min="27" max="27" width="12.140625" customWidth="1"/>
    <col min="28" max="28" width="11.7109375" customWidth="1"/>
    <col min="29" max="29" width="16.85546875" customWidth="1"/>
  </cols>
  <sheetData>
    <row r="1" spans="1:29" ht="45" x14ac:dyDescent="0.25">
      <c r="A1" s="1" t="s">
        <v>101</v>
      </c>
      <c r="B1" s="2" t="s">
        <v>0</v>
      </c>
      <c r="C1" s="3" t="s">
        <v>1</v>
      </c>
      <c r="D1" s="4" t="s">
        <v>2</v>
      </c>
      <c r="E1" s="4" t="s">
        <v>3</v>
      </c>
      <c r="F1" s="29" t="s">
        <v>96</v>
      </c>
      <c r="G1" s="36" t="s">
        <v>98</v>
      </c>
      <c r="H1" s="26" t="s">
        <v>4</v>
      </c>
      <c r="I1" s="35" t="s">
        <v>5</v>
      </c>
      <c r="J1" s="34" t="s">
        <v>97</v>
      </c>
      <c r="K1" s="41" t="s">
        <v>105</v>
      </c>
      <c r="L1" s="2" t="s">
        <v>6</v>
      </c>
      <c r="M1" s="2" t="s">
        <v>7</v>
      </c>
      <c r="N1" s="2" t="s">
        <v>8</v>
      </c>
      <c r="O1" s="2" t="s">
        <v>9</v>
      </c>
      <c r="P1" s="5" t="s">
        <v>10</v>
      </c>
      <c r="Q1" s="5" t="s">
        <v>11</v>
      </c>
      <c r="R1" s="2" t="s">
        <v>12</v>
      </c>
      <c r="S1" s="2" t="s">
        <v>13</v>
      </c>
      <c r="T1" s="2" t="s">
        <v>14</v>
      </c>
      <c r="U1" s="6"/>
      <c r="V1" s="48" t="s">
        <v>126</v>
      </c>
      <c r="W1" s="49" t="s">
        <v>127</v>
      </c>
      <c r="X1" s="50" t="s">
        <v>128</v>
      </c>
      <c r="Y1" s="24"/>
      <c r="AC1" s="43"/>
    </row>
    <row r="2" spans="1:29" x14ac:dyDescent="0.25">
      <c r="A2" s="18" t="s">
        <v>79</v>
      </c>
      <c r="B2" s="22">
        <v>16.399999999999999</v>
      </c>
      <c r="C2" s="22">
        <v>14.8</v>
      </c>
      <c r="D2" t="s">
        <v>15</v>
      </c>
      <c r="E2" t="s">
        <v>16</v>
      </c>
      <c r="F2" s="54" t="s">
        <v>104</v>
      </c>
      <c r="G2" s="37">
        <v>0.80979999999999996</v>
      </c>
      <c r="H2" s="55" t="s">
        <v>17</v>
      </c>
      <c r="I2" s="27">
        <f>SUM(0.26*0.7)+(0.37*0.94)+(0.37*1)</f>
        <v>0.89980000000000004</v>
      </c>
      <c r="J2" s="57" t="s">
        <v>99</v>
      </c>
      <c r="K2" s="38">
        <v>0.94020000000000004</v>
      </c>
      <c r="L2" s="7">
        <v>2.0266264555544069</v>
      </c>
      <c r="M2" s="7">
        <v>1.7187003889910961</v>
      </c>
      <c r="N2" s="7">
        <v>1.5448547407432056</v>
      </c>
      <c r="O2" s="7">
        <v>1.5618239999637094</v>
      </c>
      <c r="P2" s="8">
        <v>1.5185030131278778</v>
      </c>
      <c r="Q2" s="7">
        <v>2.5836064165641641</v>
      </c>
      <c r="R2" s="7">
        <v>1.7619951378652861</v>
      </c>
      <c r="S2" s="7">
        <v>2.0385194404822982</v>
      </c>
      <c r="T2" s="7">
        <v>1.4997849145189113</v>
      </c>
      <c r="V2" s="40">
        <f>SUM(G2*1.5)</f>
        <v>1.2146999999999999</v>
      </c>
      <c r="W2" s="25">
        <f>SUM(I2*1.5)</f>
        <v>1.3497000000000001</v>
      </c>
      <c r="X2" s="39">
        <f>SUM(K2*1.5)</f>
        <v>1.4103000000000001</v>
      </c>
      <c r="AA2" s="44"/>
      <c r="AB2" s="45"/>
      <c r="AC2" s="44"/>
    </row>
    <row r="3" spans="1:29" x14ac:dyDescent="0.25">
      <c r="A3" s="18" t="s">
        <v>18</v>
      </c>
      <c r="B3" s="22">
        <v>17.600000000000001</v>
      </c>
      <c r="C3" s="22">
        <v>14.5</v>
      </c>
      <c r="D3" t="s">
        <v>15</v>
      </c>
      <c r="E3" t="s">
        <v>19</v>
      </c>
      <c r="F3" s="54" t="s">
        <v>103</v>
      </c>
      <c r="G3" s="37">
        <v>0.79359999999999997</v>
      </c>
      <c r="H3" s="55" t="s">
        <v>20</v>
      </c>
      <c r="I3" s="27">
        <f>SUM(0.31*0.7)+(0.42*0.94)+(0.27*1)</f>
        <v>0.88180000000000003</v>
      </c>
      <c r="J3" s="58" t="s">
        <v>107</v>
      </c>
      <c r="K3" s="38">
        <v>0.92869999999999997</v>
      </c>
      <c r="L3" s="7">
        <v>1.9481087472158989</v>
      </c>
      <c r="M3" s="7">
        <v>1.6571268224410034</v>
      </c>
      <c r="N3" s="8">
        <v>1.4740249770383924</v>
      </c>
      <c r="O3" s="7">
        <v>1.4903684978444813</v>
      </c>
      <c r="P3" s="7">
        <v>1.6019538059335141</v>
      </c>
      <c r="Q3" s="7">
        <v>2.5349548245810176</v>
      </c>
      <c r="R3" s="7">
        <v>1.7442967935256402</v>
      </c>
      <c r="S3" s="7">
        <v>2.13235830399111</v>
      </c>
      <c r="T3" s="7">
        <v>1.4688081491205176</v>
      </c>
      <c r="V3" s="40">
        <f t="shared" ref="V3" si="0">SUM(G3*1.5)</f>
        <v>1.1903999999999999</v>
      </c>
      <c r="W3" s="25">
        <f t="shared" ref="W3" si="1">SUM(I3*1.5)</f>
        <v>1.3227</v>
      </c>
      <c r="X3" s="39">
        <f>SUM(K3*1.5)</f>
        <v>1.3930499999999999</v>
      </c>
      <c r="AA3" s="46"/>
      <c r="AB3" s="47"/>
      <c r="AC3" s="46"/>
    </row>
    <row r="4" spans="1:29" x14ac:dyDescent="0.25">
      <c r="A4" s="18" t="s">
        <v>80</v>
      </c>
      <c r="B4" s="23">
        <v>26.8</v>
      </c>
      <c r="C4" s="23">
        <v>25.7</v>
      </c>
      <c r="D4" s="9" t="s">
        <v>21</v>
      </c>
      <c r="E4" s="9" t="s">
        <v>22</v>
      </c>
      <c r="F4" s="54" t="s">
        <v>102</v>
      </c>
      <c r="G4" s="37">
        <v>0.76129999999999998</v>
      </c>
      <c r="H4" s="56" t="s">
        <v>23</v>
      </c>
      <c r="I4" s="28">
        <f>SUM(0.31*0.9)+(0.35*0.75)+(0.08*0.75)+(0.26*0.94)</f>
        <v>0.84589999999999987</v>
      </c>
      <c r="J4" s="57" t="s">
        <v>108</v>
      </c>
      <c r="K4" s="38">
        <v>0.92169999999999996</v>
      </c>
      <c r="L4" s="10">
        <v>1.8551977504648363</v>
      </c>
      <c r="M4" s="10">
        <v>1.4122282418576197</v>
      </c>
      <c r="N4" s="10">
        <v>1.3019594572347037</v>
      </c>
      <c r="O4" s="11">
        <v>1.0118786835724727</v>
      </c>
      <c r="P4" s="10">
        <v>1.2807332452333671</v>
      </c>
      <c r="Q4" s="10">
        <v>2.2348243384649744</v>
      </c>
      <c r="R4" s="10">
        <v>1.4058762804268317</v>
      </c>
      <c r="S4" s="10">
        <v>2.3895441829183075</v>
      </c>
      <c r="T4" s="10">
        <v>1.293657588524725</v>
      </c>
      <c r="V4" s="40">
        <f>SUM(G4*1)</f>
        <v>0.76129999999999998</v>
      </c>
      <c r="W4" s="25">
        <f>SUM(I4*1)</f>
        <v>0.84589999999999987</v>
      </c>
      <c r="X4" s="39">
        <f>SUM(K4*1)</f>
        <v>0.92169999999999996</v>
      </c>
      <c r="AA4" s="46"/>
      <c r="AB4" s="47"/>
      <c r="AC4" s="46"/>
    </row>
    <row r="5" spans="1:29" x14ac:dyDescent="0.25">
      <c r="A5" s="18" t="s">
        <v>81</v>
      </c>
      <c r="B5" s="22">
        <v>20</v>
      </c>
      <c r="C5" s="22">
        <v>19.399999999999999</v>
      </c>
      <c r="D5" t="s">
        <v>24</v>
      </c>
      <c r="E5" t="s">
        <v>25</v>
      </c>
      <c r="F5" s="54" t="s">
        <v>100</v>
      </c>
      <c r="G5" s="37">
        <v>0.86299999999999999</v>
      </c>
      <c r="H5" s="55" t="s">
        <v>26</v>
      </c>
      <c r="I5" s="27">
        <f>SUM(0.31*0.94)+(0.6*1)+(0.09*0.75)</f>
        <v>0.95889999999999997</v>
      </c>
      <c r="J5" s="57" t="s">
        <v>109</v>
      </c>
      <c r="K5" s="38">
        <v>0.98429999999999995</v>
      </c>
      <c r="L5" s="7">
        <v>2.0351861271530387</v>
      </c>
      <c r="M5" s="7">
        <v>1.9579145268608851</v>
      </c>
      <c r="N5" s="7">
        <v>1.7279479579546377</v>
      </c>
      <c r="O5" s="7">
        <v>1.9140610496151915</v>
      </c>
      <c r="P5" s="8">
        <v>1.6088057127320448</v>
      </c>
      <c r="Q5" s="7">
        <v>2.9134721814454583</v>
      </c>
      <c r="R5" s="7">
        <v>1.9215418935837725</v>
      </c>
      <c r="S5" s="7">
        <v>1.8920925618411339</v>
      </c>
      <c r="T5" s="7">
        <v>1.6111945649926092</v>
      </c>
      <c r="V5" s="40">
        <f>SUM(G5*1.6)</f>
        <v>1.3808</v>
      </c>
      <c r="W5" s="25">
        <f>SUM(I5*1.6)</f>
        <v>1.53424</v>
      </c>
      <c r="X5" s="39">
        <f>SUM(K5*1.6)</f>
        <v>1.5748800000000001</v>
      </c>
      <c r="AA5" s="46"/>
      <c r="AB5" s="47"/>
      <c r="AC5" s="46"/>
    </row>
    <row r="6" spans="1:29" x14ac:dyDescent="0.25">
      <c r="A6" s="18" t="s">
        <v>82</v>
      </c>
      <c r="B6" s="22">
        <v>15.3</v>
      </c>
      <c r="C6" s="22">
        <v>15.2</v>
      </c>
      <c r="D6" t="s">
        <v>27</v>
      </c>
      <c r="E6" t="s">
        <v>28</v>
      </c>
      <c r="F6" s="54" t="s">
        <v>132</v>
      </c>
      <c r="G6" s="37">
        <v>0.77780000000000005</v>
      </c>
      <c r="H6" s="55" t="s">
        <v>130</v>
      </c>
      <c r="I6" s="27">
        <f>SUM(0.63*0.94)+(0.16*0.75)+(0.11*0.7)+(0.1*0.75)</f>
        <v>0.86419999999999986</v>
      </c>
      <c r="J6" s="57" t="s">
        <v>149</v>
      </c>
      <c r="K6" s="38">
        <v>0.92920000000000003</v>
      </c>
      <c r="L6" s="7">
        <v>1.8021811540305857</v>
      </c>
      <c r="M6" s="7">
        <v>1.5422459266747217</v>
      </c>
      <c r="N6" s="7">
        <v>1.363769595877147</v>
      </c>
      <c r="O6" s="8">
        <v>1.3193147750919827</v>
      </c>
      <c r="P6" s="7">
        <v>1.3884760056096739</v>
      </c>
      <c r="Q6" s="7">
        <v>2.3890122570150547</v>
      </c>
      <c r="R6" s="7">
        <v>1.7161931829884449</v>
      </c>
      <c r="S6" s="7">
        <v>2.3373100658276309</v>
      </c>
      <c r="T6" s="7">
        <v>1.3504794880606554</v>
      </c>
      <c r="V6" s="40">
        <f>SUM(G6*1.3)</f>
        <v>1.0111400000000001</v>
      </c>
      <c r="W6" s="25">
        <f>SUM(I6*1.3)</f>
        <v>1.1234599999999999</v>
      </c>
      <c r="X6" s="39">
        <f>SUM(K6*1.3)</f>
        <v>1.2079600000000001</v>
      </c>
      <c r="AA6" s="46"/>
      <c r="AB6" s="47"/>
      <c r="AC6" s="46"/>
    </row>
    <row r="7" spans="1:29" x14ac:dyDescent="0.25">
      <c r="A7" s="18" t="s">
        <v>78</v>
      </c>
      <c r="B7" s="23">
        <v>24.7</v>
      </c>
      <c r="C7" s="23">
        <v>24.7</v>
      </c>
      <c r="D7" s="9" t="s">
        <v>29</v>
      </c>
      <c r="E7" s="9" t="s">
        <v>30</v>
      </c>
      <c r="F7" s="54" t="s">
        <v>133</v>
      </c>
      <c r="G7" s="37">
        <v>0.76439999999999997</v>
      </c>
      <c r="H7" s="56" t="s">
        <v>31</v>
      </c>
      <c r="I7" s="28">
        <f>SUM(0.32*0.9)+(0.41*0.75) + (0.27*0.94)</f>
        <v>0.84930000000000005</v>
      </c>
      <c r="J7" s="57" t="s">
        <v>110</v>
      </c>
      <c r="K7" s="38">
        <v>0.92449999999999999</v>
      </c>
      <c r="L7" s="10">
        <v>1.6886329691251372</v>
      </c>
      <c r="M7" s="10">
        <v>1.3889428637575878</v>
      </c>
      <c r="N7" s="10">
        <v>1.2662203320917327</v>
      </c>
      <c r="O7" s="11">
        <v>0.95594946057044461</v>
      </c>
      <c r="P7" s="10">
        <v>1.1568335586289686</v>
      </c>
      <c r="Q7" s="10">
        <v>2.1854474515437259</v>
      </c>
      <c r="R7" s="10">
        <v>1.4276955910407341</v>
      </c>
      <c r="S7" s="10">
        <v>2.0430371855315936</v>
      </c>
      <c r="T7" s="10">
        <v>1.2215695069726222</v>
      </c>
      <c r="V7" s="40">
        <f>SUM(G7*1)</f>
        <v>0.76439999999999997</v>
      </c>
      <c r="W7" s="25">
        <f>SUM(I7*1)</f>
        <v>0.84930000000000005</v>
      </c>
      <c r="X7" s="39">
        <f>SUM(K7*1)</f>
        <v>0.92449999999999999</v>
      </c>
      <c r="AA7" s="46"/>
      <c r="AB7" s="47"/>
      <c r="AC7" s="46"/>
    </row>
    <row r="8" spans="1:29" x14ac:dyDescent="0.25">
      <c r="A8" s="18" t="s">
        <v>77</v>
      </c>
      <c r="B8" s="22">
        <v>18.3</v>
      </c>
      <c r="C8" s="22">
        <v>17.899999999999999</v>
      </c>
      <c r="D8" t="s">
        <v>32</v>
      </c>
      <c r="E8" t="s">
        <v>33</v>
      </c>
      <c r="F8" s="54" t="s">
        <v>134</v>
      </c>
      <c r="G8" s="37">
        <v>0.76570000000000005</v>
      </c>
      <c r="H8" s="55" t="s">
        <v>34</v>
      </c>
      <c r="I8" s="27">
        <f>SUM(0.57*0.94)+(0.15*0.7)+(0.28*0.75)</f>
        <v>0.8508</v>
      </c>
      <c r="J8" s="57" t="s">
        <v>111</v>
      </c>
      <c r="K8" s="38">
        <v>0.91649999999999998</v>
      </c>
      <c r="L8" s="7">
        <v>1.7903047617336769</v>
      </c>
      <c r="M8" s="7">
        <v>1.5030459805455911</v>
      </c>
      <c r="N8" s="7">
        <v>1.3558989488748852</v>
      </c>
      <c r="O8" s="7">
        <v>1.298258524703283</v>
      </c>
      <c r="P8" s="8">
        <v>1.2350351113976989</v>
      </c>
      <c r="Q8" s="7">
        <v>2.3776923006212165</v>
      </c>
      <c r="R8" s="7">
        <v>1.6897295831695769</v>
      </c>
      <c r="S8" s="7">
        <v>2.1254447902752895</v>
      </c>
      <c r="T8" s="7">
        <v>1.3245156227621999</v>
      </c>
      <c r="V8" s="40">
        <f>SUM(G8*1.2)</f>
        <v>0.91883999999999999</v>
      </c>
      <c r="W8" s="25">
        <f>SUM(I8*1.2)</f>
        <v>1.0209599999999999</v>
      </c>
      <c r="X8" s="39">
        <f>SUM(K8*1.2)</f>
        <v>1.0997999999999999</v>
      </c>
      <c r="AA8" s="46"/>
      <c r="AB8" s="47"/>
      <c r="AC8" s="46"/>
    </row>
    <row r="9" spans="1:29" x14ac:dyDescent="0.25">
      <c r="A9" s="19" t="s">
        <v>35</v>
      </c>
      <c r="B9" s="22">
        <v>19.2</v>
      </c>
      <c r="C9" s="22">
        <v>18.100000000000001</v>
      </c>
      <c r="D9" t="s">
        <v>36</v>
      </c>
      <c r="E9" t="s">
        <v>37</v>
      </c>
      <c r="F9" s="54" t="s">
        <v>135</v>
      </c>
      <c r="G9" s="37">
        <v>0.73450000000000004</v>
      </c>
      <c r="H9" s="55" t="s">
        <v>38</v>
      </c>
      <c r="I9" s="27">
        <f>SUM(0.16*0.7)+(0.39*0.94)+(0.26*0.75)+(0.19*0.75)</f>
        <v>0.81610000000000005</v>
      </c>
      <c r="J9" s="57" t="s">
        <v>112</v>
      </c>
      <c r="K9" s="38">
        <v>0.88480000000000003</v>
      </c>
      <c r="L9" s="7">
        <v>1.8154307798854425</v>
      </c>
      <c r="M9" s="7">
        <v>1.6015101671849492</v>
      </c>
      <c r="N9" s="7">
        <v>1.3970115530991187</v>
      </c>
      <c r="O9" s="7">
        <v>1.4837553347738328</v>
      </c>
      <c r="P9" s="8">
        <v>1.2310690878200319</v>
      </c>
      <c r="Q9" s="7">
        <v>2.4005784131380334</v>
      </c>
      <c r="R9" s="7">
        <v>1.8354775581681744</v>
      </c>
      <c r="S9" s="7">
        <v>1.6566663571919051</v>
      </c>
      <c r="T9" s="7">
        <v>1.3356338155380265</v>
      </c>
      <c r="V9" s="40">
        <f>SUM(G9*1.2)</f>
        <v>0.88140000000000007</v>
      </c>
      <c r="W9" s="25">
        <f>SUM(I9*1.2)</f>
        <v>0.97931999999999997</v>
      </c>
      <c r="X9" s="39">
        <f>SUM(K9*1.2)</f>
        <v>1.06176</v>
      </c>
      <c r="AA9" s="46"/>
      <c r="AB9" s="47"/>
      <c r="AC9" s="46"/>
    </row>
    <row r="10" spans="1:29" x14ac:dyDescent="0.25">
      <c r="A10" s="19" t="s">
        <v>83</v>
      </c>
      <c r="B10" s="22">
        <v>23</v>
      </c>
      <c r="C10" s="22">
        <v>21.6</v>
      </c>
      <c r="D10" t="s">
        <v>39</v>
      </c>
      <c r="E10" t="s">
        <v>40</v>
      </c>
      <c r="F10" s="54" t="s">
        <v>136</v>
      </c>
      <c r="G10" s="37">
        <v>0.77829999999999999</v>
      </c>
      <c r="H10" s="55" t="s">
        <v>41</v>
      </c>
      <c r="I10" s="27">
        <f>SUM(0.36*0.9)+(0.32*0.75)+(0.32*0.94)</f>
        <v>0.86480000000000001</v>
      </c>
      <c r="J10" s="57" t="s">
        <v>113</v>
      </c>
      <c r="K10" s="38">
        <v>0.94079999999999997</v>
      </c>
      <c r="L10" s="7">
        <v>1.7290000000000001</v>
      </c>
      <c r="M10" s="7">
        <v>1.4390000000000001</v>
      </c>
      <c r="N10" s="7">
        <v>1.2729999999999999</v>
      </c>
      <c r="O10" s="8">
        <v>1.117</v>
      </c>
      <c r="P10" s="7">
        <v>1.123</v>
      </c>
      <c r="Q10" s="7">
        <v>2.069</v>
      </c>
      <c r="R10" s="7">
        <v>1.516</v>
      </c>
      <c r="S10" s="7">
        <v>1.845</v>
      </c>
      <c r="T10" s="7">
        <v>1.1679999999999999</v>
      </c>
      <c r="V10" s="40">
        <f>SUM(G10*1.1)</f>
        <v>0.85613000000000006</v>
      </c>
      <c r="W10" s="25">
        <f>SUM(I10*1.1)</f>
        <v>0.95128000000000013</v>
      </c>
      <c r="X10" s="39">
        <f>SUM(K10*1.1)</f>
        <v>1.03488</v>
      </c>
      <c r="AA10" s="46"/>
      <c r="AB10" s="47"/>
      <c r="AC10" s="46"/>
    </row>
    <row r="11" spans="1:29" x14ac:dyDescent="0.25">
      <c r="A11" s="19" t="s">
        <v>84</v>
      </c>
      <c r="B11" s="22">
        <v>22.6</v>
      </c>
      <c r="C11" s="22">
        <v>20.6</v>
      </c>
      <c r="D11" t="s">
        <v>42</v>
      </c>
      <c r="E11" t="s">
        <v>43</v>
      </c>
      <c r="F11" s="54" t="s">
        <v>137</v>
      </c>
      <c r="G11" s="37">
        <v>0.81859999999999999</v>
      </c>
      <c r="H11" s="55" t="s">
        <v>44</v>
      </c>
      <c r="I11" s="27">
        <f>SUM(0.12*0.75)+(0.69*0.94)+(0.19*0.9)</f>
        <v>0.90959999999999996</v>
      </c>
      <c r="J11" s="57" t="s">
        <v>114</v>
      </c>
      <c r="K11" s="38">
        <v>0.97709999999999997</v>
      </c>
      <c r="L11" s="7">
        <v>1.9208170375509264</v>
      </c>
      <c r="M11" s="7">
        <v>1.6396073657784247</v>
      </c>
      <c r="N11" s="7">
        <v>1.459352404662783</v>
      </c>
      <c r="O11" s="7">
        <v>1.4261357268552901</v>
      </c>
      <c r="P11" s="8">
        <v>1.2982777805707606</v>
      </c>
      <c r="Q11" s="7">
        <v>2.5323255390925761</v>
      </c>
      <c r="R11" s="7">
        <v>1.8123840001196723</v>
      </c>
      <c r="S11" s="7">
        <v>2.4695632327381509</v>
      </c>
      <c r="T11" s="7">
        <v>1.3509468242531513</v>
      </c>
      <c r="V11" s="40">
        <f>SUM(G11*1.3)</f>
        <v>1.0641800000000001</v>
      </c>
      <c r="W11" s="25">
        <f>SUM(I11*1.3)</f>
        <v>1.18248</v>
      </c>
      <c r="X11" s="39">
        <f>SUM(K11*1.3)</f>
        <v>1.27023</v>
      </c>
      <c r="AA11" s="46"/>
      <c r="AB11" s="47"/>
      <c r="AC11" s="46"/>
    </row>
    <row r="12" spans="1:29" ht="30" x14ac:dyDescent="0.25">
      <c r="A12" s="17" t="s">
        <v>85</v>
      </c>
      <c r="B12" s="22">
        <v>19.8</v>
      </c>
      <c r="C12" s="22">
        <v>18.2</v>
      </c>
      <c r="D12" t="s">
        <v>45</v>
      </c>
      <c r="E12" t="s">
        <v>46</v>
      </c>
      <c r="F12" s="54" t="s">
        <v>138</v>
      </c>
      <c r="G12" s="37">
        <v>0.78779999999999994</v>
      </c>
      <c r="H12" s="55" t="s">
        <v>47</v>
      </c>
      <c r="I12" s="27">
        <f>SUM(0.43*0.9)+(0.25*0.75)+(0.32*0.94)</f>
        <v>0.87529999999999997</v>
      </c>
      <c r="J12" s="57" t="s">
        <v>115</v>
      </c>
      <c r="K12" s="38">
        <v>0.95199999999999996</v>
      </c>
      <c r="L12" s="7">
        <v>1.6943108666685598</v>
      </c>
      <c r="M12" s="7">
        <v>1.4561764298976976</v>
      </c>
      <c r="N12" s="7">
        <v>1.2754182971339774</v>
      </c>
      <c r="O12" s="8">
        <v>1.1252403251878245</v>
      </c>
      <c r="P12" s="7">
        <v>1.3262621312837659</v>
      </c>
      <c r="Q12" s="7">
        <v>2.0987090395894796</v>
      </c>
      <c r="R12" s="7">
        <v>1.5278181945550169</v>
      </c>
      <c r="S12" s="7">
        <v>2.1011467329913351</v>
      </c>
      <c r="T12" s="7">
        <v>1.2665687119356692</v>
      </c>
      <c r="V12" s="40">
        <f>SUM(G12*1.1)</f>
        <v>0.86658000000000002</v>
      </c>
      <c r="W12" s="25">
        <f>SUM(I12*1.1)</f>
        <v>0.96283000000000007</v>
      </c>
      <c r="X12" s="39">
        <f>SUM(K12*1.1)</f>
        <v>1.0472000000000001</v>
      </c>
      <c r="AA12" s="46"/>
      <c r="AB12" s="47"/>
      <c r="AC12" s="46"/>
    </row>
    <row r="13" spans="1:29" ht="18" customHeight="1" x14ac:dyDescent="0.25">
      <c r="A13" s="21" t="s">
        <v>86</v>
      </c>
      <c r="B13" s="22">
        <v>22.7</v>
      </c>
      <c r="C13" s="22">
        <v>20.6</v>
      </c>
      <c r="D13" t="s">
        <v>48</v>
      </c>
      <c r="E13" t="s">
        <v>49</v>
      </c>
      <c r="F13" s="54" t="s">
        <v>139</v>
      </c>
      <c r="G13" s="37">
        <v>0.78269999999999995</v>
      </c>
      <c r="H13" s="55" t="s">
        <v>50</v>
      </c>
      <c r="I13" s="27">
        <f>SUM(0.38*0.9)+(0.29*0.75)+(0.33*0.94)</f>
        <v>0.86969999999999992</v>
      </c>
      <c r="J13" s="57" t="s">
        <v>116</v>
      </c>
      <c r="K13" s="38">
        <v>0.94499999999999995</v>
      </c>
      <c r="L13" s="7">
        <v>1.5408214635244057</v>
      </c>
      <c r="M13" s="7">
        <v>1.3503323255593216</v>
      </c>
      <c r="N13" s="7">
        <v>1.2181717941172947</v>
      </c>
      <c r="O13" s="7">
        <v>1.2170231316218123</v>
      </c>
      <c r="P13" s="8">
        <v>1.1203978351415631</v>
      </c>
      <c r="Q13" s="7">
        <v>2.0209761664997079</v>
      </c>
      <c r="R13" s="7">
        <v>1.5128062574784424</v>
      </c>
      <c r="S13" s="7">
        <v>1.8916130461277445</v>
      </c>
      <c r="T13" s="7">
        <v>1.192820991357932</v>
      </c>
      <c r="V13" s="40">
        <f>SUM(G13*1.1)</f>
        <v>0.86097000000000001</v>
      </c>
      <c r="W13" s="25">
        <f>SUM(I13*1.1)</f>
        <v>0.95667000000000002</v>
      </c>
      <c r="X13" s="39">
        <f>SUM(K13*1.1)</f>
        <v>1.0395000000000001</v>
      </c>
      <c r="AA13" s="46"/>
      <c r="AB13" s="47"/>
      <c r="AC13" s="46"/>
    </row>
    <row r="14" spans="1:29" x14ac:dyDescent="0.25">
      <c r="A14" s="19" t="s">
        <v>87</v>
      </c>
      <c r="B14" s="23">
        <v>17.399999999999999</v>
      </c>
      <c r="C14" s="23">
        <v>12.7</v>
      </c>
      <c r="D14" s="9" t="s">
        <v>51</v>
      </c>
      <c r="E14" s="9" t="s">
        <v>52</v>
      </c>
      <c r="F14" s="54" t="s">
        <v>140</v>
      </c>
      <c r="G14" s="37">
        <v>0.79849999999999999</v>
      </c>
      <c r="H14" s="56" t="s">
        <v>53</v>
      </c>
      <c r="I14" s="28">
        <f>SUM(0.58*0.94)+(0.24*0.75)+(0.18*0.9)</f>
        <v>0.88719999999999988</v>
      </c>
      <c r="J14" s="57" t="s">
        <v>117</v>
      </c>
      <c r="K14" s="38">
        <v>0.95620000000000005</v>
      </c>
      <c r="L14" s="7">
        <v>1.8890282493923309</v>
      </c>
      <c r="M14" s="7">
        <v>1.6190424942992963</v>
      </c>
      <c r="N14" s="7">
        <v>1.4325311057219587</v>
      </c>
      <c r="O14" s="7">
        <v>1.458142893525272</v>
      </c>
      <c r="P14" s="8">
        <v>1.2857329586241923</v>
      </c>
      <c r="Q14" s="7">
        <v>2.5610692622022206</v>
      </c>
      <c r="R14" s="7">
        <v>1.8798528305280127</v>
      </c>
      <c r="S14" s="7">
        <v>2.4591535171324015</v>
      </c>
      <c r="T14" s="7">
        <v>1.3513295134177947</v>
      </c>
      <c r="V14" s="40">
        <f>SUM(G14*1.3)</f>
        <v>1.0380499999999999</v>
      </c>
      <c r="W14" s="25">
        <f>SUM(I14*1.3)</f>
        <v>1.1533599999999999</v>
      </c>
      <c r="X14" s="39">
        <f>SUM(K14*1.3)</f>
        <v>1.2430600000000001</v>
      </c>
      <c r="AA14" s="46"/>
      <c r="AB14" s="47"/>
      <c r="AC14" s="46"/>
    </row>
    <row r="15" spans="1:29" x14ac:dyDescent="0.25">
      <c r="A15" s="19" t="s">
        <v>88</v>
      </c>
      <c r="B15" s="22">
        <v>28.6</v>
      </c>
      <c r="C15" s="22">
        <v>25.6</v>
      </c>
      <c r="D15" t="s">
        <v>54</v>
      </c>
      <c r="E15" t="s">
        <v>55</v>
      </c>
      <c r="F15" s="54" t="s">
        <v>141</v>
      </c>
      <c r="G15" s="37">
        <v>0.72119999999999995</v>
      </c>
      <c r="H15" s="55" t="s">
        <v>56</v>
      </c>
      <c r="I15" s="27">
        <f>SUM(0.55*0.75)+(0.18*0.75)+(0.27*0.94)</f>
        <v>0.80130000000000012</v>
      </c>
      <c r="J15" s="57" t="s">
        <v>118</v>
      </c>
      <c r="K15" s="38">
        <v>0.872</v>
      </c>
      <c r="L15" s="7">
        <v>1.9940408432333987</v>
      </c>
      <c r="M15" s="7">
        <v>1.6145730527857169</v>
      </c>
      <c r="N15" s="7">
        <v>1.4769682233715913</v>
      </c>
      <c r="O15" s="7">
        <v>1.6385737729448104</v>
      </c>
      <c r="P15" s="8">
        <v>1.0962794028167175</v>
      </c>
      <c r="Q15" s="7">
        <v>2.619634318697404</v>
      </c>
      <c r="R15" s="7">
        <v>2.0320435887146262</v>
      </c>
      <c r="S15" s="7">
        <v>2.2025830396038919</v>
      </c>
      <c r="T15" s="7">
        <v>1.4179041275622162</v>
      </c>
      <c r="V15" s="40">
        <f>SUM(G15*1.1)</f>
        <v>0.79332000000000003</v>
      </c>
      <c r="W15" s="25">
        <f>SUM(I15*1.1)</f>
        <v>0.88143000000000016</v>
      </c>
      <c r="X15" s="39">
        <f>SUM(K15*1.1)</f>
        <v>0.95920000000000005</v>
      </c>
      <c r="AA15" s="46"/>
      <c r="AB15" s="47"/>
      <c r="AC15" s="46"/>
    </row>
    <row r="16" spans="1:29" x14ac:dyDescent="0.25">
      <c r="A16" s="20" t="s">
        <v>95</v>
      </c>
      <c r="B16" s="22">
        <v>24.7</v>
      </c>
      <c r="C16" s="22">
        <v>20</v>
      </c>
      <c r="D16" t="s">
        <v>57</v>
      </c>
      <c r="E16" s="12" t="s">
        <v>58</v>
      </c>
      <c r="F16" s="54" t="s">
        <v>142</v>
      </c>
      <c r="G16" s="37">
        <v>0.7974</v>
      </c>
      <c r="H16" s="55" t="s">
        <v>59</v>
      </c>
      <c r="I16" s="27">
        <f>SUM(0.8*0.94)+(0.08*0.55)+(0.12*0.75)</f>
        <v>0.88600000000000001</v>
      </c>
      <c r="J16" s="58" t="s">
        <v>119</v>
      </c>
      <c r="K16" s="42">
        <v>0.94740000000000002</v>
      </c>
      <c r="L16" s="7">
        <v>1.7382494002664304</v>
      </c>
      <c r="M16" s="7">
        <v>1.5210756844094468</v>
      </c>
      <c r="N16" s="7">
        <v>1.2967693156051801</v>
      </c>
      <c r="O16" s="7">
        <v>1.3742762184758102</v>
      </c>
      <c r="P16" s="8">
        <v>1.1956929988715093</v>
      </c>
      <c r="Q16" s="7">
        <v>2.2415467425516797</v>
      </c>
      <c r="R16" s="7">
        <v>1.6984066963375888</v>
      </c>
      <c r="S16" s="7">
        <v>1.583213423730448</v>
      </c>
      <c r="T16" s="7">
        <v>1.2499935207098356</v>
      </c>
      <c r="V16" s="40">
        <f>SUM(G16*1.2)</f>
        <v>0.95687999999999995</v>
      </c>
      <c r="W16" s="25">
        <f>SUM(I16*1.2)</f>
        <v>1.0631999999999999</v>
      </c>
      <c r="X16" s="39">
        <f>SUM(K16*1.2)</f>
        <v>1.1368799999999999</v>
      </c>
      <c r="AA16" s="46"/>
      <c r="AB16" s="47"/>
      <c r="AC16" s="46"/>
    </row>
    <row r="17" spans="1:29" x14ac:dyDescent="0.25">
      <c r="A17" s="20" t="s">
        <v>94</v>
      </c>
      <c r="B17" s="22">
        <v>32.9</v>
      </c>
      <c r="C17" s="22">
        <v>28.1</v>
      </c>
      <c r="D17" t="s">
        <v>60</v>
      </c>
      <c r="E17" t="s">
        <v>61</v>
      </c>
      <c r="F17" s="54" t="s">
        <v>143</v>
      </c>
      <c r="G17" s="37">
        <v>0.73309999999999997</v>
      </c>
      <c r="H17" s="55" t="s">
        <v>62</v>
      </c>
      <c r="I17" s="27">
        <f>SUM(0.53*0.75)+(0.34*0.94)+(0.13*0.75)</f>
        <v>0.8146000000000001</v>
      </c>
      <c r="J17" s="58" t="s">
        <v>120</v>
      </c>
      <c r="K17" s="42">
        <v>0.88400000000000001</v>
      </c>
      <c r="L17" s="7">
        <v>1.8882570232665519</v>
      </c>
      <c r="M17" s="7">
        <v>1.5363472059149599</v>
      </c>
      <c r="N17" s="7">
        <v>1.3974277327038183</v>
      </c>
      <c r="O17" s="7">
        <v>1.5362234544432758</v>
      </c>
      <c r="P17" s="8">
        <v>1.1496270310610819</v>
      </c>
      <c r="Q17" s="7">
        <v>2.3985627097353799</v>
      </c>
      <c r="R17" s="7">
        <v>1.8459540921760444</v>
      </c>
      <c r="S17" s="7">
        <v>1.7662647553086424</v>
      </c>
      <c r="T17" s="7">
        <v>1.3141083594456009</v>
      </c>
      <c r="V17" s="40">
        <f>SUM(G17*1.1)</f>
        <v>0.80641000000000007</v>
      </c>
      <c r="W17" s="25">
        <f>SUM(I17*1.1)</f>
        <v>0.89606000000000019</v>
      </c>
      <c r="X17" s="39">
        <f>SUM(K17*1.1)</f>
        <v>0.97240000000000004</v>
      </c>
      <c r="AA17" s="46"/>
      <c r="AB17" s="47"/>
      <c r="AC17" s="46"/>
    </row>
    <row r="18" spans="1:29" x14ac:dyDescent="0.25">
      <c r="A18" s="20" t="s">
        <v>93</v>
      </c>
      <c r="B18" s="22">
        <v>24</v>
      </c>
      <c r="C18" s="22">
        <v>21.8</v>
      </c>
      <c r="D18" t="s">
        <v>63</v>
      </c>
      <c r="E18" t="s">
        <v>64</v>
      </c>
      <c r="F18" s="54" t="s">
        <v>144</v>
      </c>
      <c r="G18" s="37">
        <v>0.71489999999999998</v>
      </c>
      <c r="H18" s="55" t="s">
        <v>131</v>
      </c>
      <c r="I18" s="27">
        <f>SUM(0.38*0.75)+(0.21*0.75)+(0.14*0.7)+(0.27*0.94)</f>
        <v>0.79430000000000001</v>
      </c>
      <c r="J18" s="58" t="s">
        <v>121</v>
      </c>
      <c r="K18" s="42">
        <v>0.86399999999999999</v>
      </c>
      <c r="L18" s="7">
        <v>1.7494935481972049</v>
      </c>
      <c r="M18" s="7">
        <v>1.4999624086777912</v>
      </c>
      <c r="N18" s="7">
        <v>1.2725026482946302</v>
      </c>
      <c r="O18" s="7">
        <v>1.445572000214836</v>
      </c>
      <c r="P18" s="8">
        <v>1.1660013506102784</v>
      </c>
      <c r="Q18" s="7">
        <v>2.1801495987597619</v>
      </c>
      <c r="R18" s="7">
        <v>1.7266370489464227</v>
      </c>
      <c r="S18" s="7">
        <v>1.7362800812816765</v>
      </c>
      <c r="T18" s="7">
        <v>1.2722478062107672</v>
      </c>
      <c r="V18" s="40">
        <f>SUM(G18*1.2)</f>
        <v>0.85787999999999998</v>
      </c>
      <c r="W18" s="25">
        <f>SUM(I18*1.2)</f>
        <v>0.95316000000000001</v>
      </c>
      <c r="X18" s="39">
        <f>SUM(K18*1.2)</f>
        <v>1.0367999999999999</v>
      </c>
      <c r="AA18" s="46"/>
      <c r="AB18" s="47"/>
      <c r="AC18" s="46"/>
    </row>
    <row r="19" spans="1:29" x14ac:dyDescent="0.25">
      <c r="A19" s="20" t="s">
        <v>92</v>
      </c>
      <c r="B19" s="23">
        <v>34.299999999999997</v>
      </c>
      <c r="C19" s="23">
        <v>29.6</v>
      </c>
      <c r="D19" s="9" t="s">
        <v>65</v>
      </c>
      <c r="E19" t="s">
        <v>66</v>
      </c>
      <c r="F19" s="54" t="s">
        <v>145</v>
      </c>
      <c r="G19" s="37">
        <v>0.74570000000000003</v>
      </c>
      <c r="H19" s="55" t="s">
        <v>67</v>
      </c>
      <c r="I19" s="27">
        <f>SUM(0.48*0.75)+(0.45*0.94)+(0.07*0.65)</f>
        <v>0.8284999999999999</v>
      </c>
      <c r="J19" s="58" t="s">
        <v>122</v>
      </c>
      <c r="K19" s="42">
        <v>0.89649999999999996</v>
      </c>
      <c r="L19" s="7">
        <v>1.9</v>
      </c>
      <c r="M19" s="7">
        <v>1.5</v>
      </c>
      <c r="N19" s="7">
        <v>1.4</v>
      </c>
      <c r="O19" s="7">
        <v>1.5</v>
      </c>
      <c r="P19" s="8">
        <v>1.1000000000000001</v>
      </c>
      <c r="Q19" s="7">
        <v>2.4</v>
      </c>
      <c r="R19" s="7">
        <v>1.8</v>
      </c>
      <c r="S19" s="7">
        <v>1.8</v>
      </c>
      <c r="T19" s="7">
        <v>1.3</v>
      </c>
      <c r="V19" s="40">
        <f>SUM(G19*1.1)</f>
        <v>0.82027000000000005</v>
      </c>
      <c r="W19" s="25">
        <f>SUM(I19*1.1)</f>
        <v>0.91134999999999999</v>
      </c>
      <c r="X19" s="39">
        <f>SUM(K19*1.1)</f>
        <v>0.98615000000000008</v>
      </c>
      <c r="AA19" s="46"/>
      <c r="AB19" s="47"/>
      <c r="AC19" s="46"/>
    </row>
    <row r="20" spans="1:29" x14ac:dyDescent="0.25">
      <c r="A20" s="20" t="s">
        <v>89</v>
      </c>
      <c r="B20" s="22">
        <v>29</v>
      </c>
      <c r="C20" s="22">
        <v>23.7</v>
      </c>
      <c r="D20" t="s">
        <v>68</v>
      </c>
      <c r="E20" t="s">
        <v>69</v>
      </c>
      <c r="F20" s="54" t="s">
        <v>146</v>
      </c>
      <c r="G20" s="37">
        <v>0.75929999999999997</v>
      </c>
      <c r="H20" s="55" t="s">
        <v>70</v>
      </c>
      <c r="I20" s="27">
        <f>SUM(0.1*0.7)+(0.48*0.94)+(0.43*0.75)</f>
        <v>0.84369999999999989</v>
      </c>
      <c r="J20" s="58" t="s">
        <v>123</v>
      </c>
      <c r="K20" s="42">
        <v>0.91180000000000005</v>
      </c>
      <c r="L20" s="7">
        <v>1.9616311496696495</v>
      </c>
      <c r="M20" s="7">
        <v>1.6926916109069694</v>
      </c>
      <c r="N20" s="7">
        <v>1.4866889505808745</v>
      </c>
      <c r="O20" s="7">
        <v>1.5800775874917756</v>
      </c>
      <c r="P20" s="8">
        <v>1.2632071413161159</v>
      </c>
      <c r="Q20" s="7">
        <v>2.5925513582836528</v>
      </c>
      <c r="R20" s="7">
        <v>1.9464293421392063</v>
      </c>
      <c r="S20" s="7">
        <v>2.3722078840068455</v>
      </c>
      <c r="T20" s="7">
        <v>1.4260892999295929</v>
      </c>
      <c r="V20" s="40">
        <f>SUM(G20*1.3)</f>
        <v>0.98709000000000002</v>
      </c>
      <c r="W20" s="25">
        <f>SUM(I20*1.3)</f>
        <v>1.0968099999999998</v>
      </c>
      <c r="X20" s="39">
        <f>SUM(K20*1.3)</f>
        <v>1.1853400000000001</v>
      </c>
      <c r="AA20" s="46"/>
      <c r="AB20" s="47"/>
      <c r="AC20" s="46"/>
    </row>
    <row r="21" spans="1:29" x14ac:dyDescent="0.25">
      <c r="A21" s="20" t="s">
        <v>90</v>
      </c>
      <c r="B21" s="22">
        <v>26.8</v>
      </c>
      <c r="C21" s="22">
        <v>24.5</v>
      </c>
      <c r="D21" t="s">
        <v>71</v>
      </c>
      <c r="E21" t="s">
        <v>72</v>
      </c>
      <c r="F21" s="54" t="s">
        <v>147</v>
      </c>
      <c r="G21" s="37">
        <v>0.79969999999999997</v>
      </c>
      <c r="H21" s="55" t="s">
        <v>73</v>
      </c>
      <c r="I21" s="27">
        <f>SUM(0.07*0.65)+(0.13*0.7)+(0.8*0.94)</f>
        <v>0.88850000000000007</v>
      </c>
      <c r="J21" s="58" t="s">
        <v>124</v>
      </c>
      <c r="K21" s="42">
        <v>0.95009999999999994</v>
      </c>
      <c r="L21" s="7">
        <v>1.7</v>
      </c>
      <c r="M21" s="7">
        <v>1.5</v>
      </c>
      <c r="N21" s="7">
        <v>1.3</v>
      </c>
      <c r="O21" s="7">
        <v>1.4</v>
      </c>
      <c r="P21" s="8">
        <v>1.2</v>
      </c>
      <c r="Q21" s="7">
        <v>2.2999999999999998</v>
      </c>
      <c r="R21" s="7">
        <v>1.7</v>
      </c>
      <c r="S21" s="7">
        <v>1.5</v>
      </c>
      <c r="T21" s="7">
        <v>1.3</v>
      </c>
      <c r="V21" s="40">
        <f>SUM(G21*1.2)</f>
        <v>0.95963999999999994</v>
      </c>
      <c r="W21" s="25">
        <f>SUM(I21*1.2)</f>
        <v>1.0662</v>
      </c>
      <c r="X21" s="39">
        <f>SUM(K21*1.2)</f>
        <v>1.1401199999999998</v>
      </c>
      <c r="AA21" s="46"/>
      <c r="AB21" s="47"/>
      <c r="AC21" s="46"/>
    </row>
    <row r="22" spans="1:29" x14ac:dyDescent="0.25">
      <c r="A22" s="20" t="s">
        <v>91</v>
      </c>
      <c r="B22" s="22">
        <v>22.7</v>
      </c>
      <c r="C22" s="22">
        <v>15.9</v>
      </c>
      <c r="D22" t="s">
        <v>74</v>
      </c>
      <c r="E22" t="s">
        <v>75</v>
      </c>
      <c r="F22" s="54" t="s">
        <v>148</v>
      </c>
      <c r="G22" s="37">
        <v>0.79669999999999996</v>
      </c>
      <c r="H22" s="55" t="s">
        <v>76</v>
      </c>
      <c r="I22" s="27">
        <f>SUM(0.53*0.94)+(0.24*0.75)+(0.23*0.9)</f>
        <v>0.88519999999999999</v>
      </c>
      <c r="J22" s="58" t="s">
        <v>125</v>
      </c>
      <c r="K22" s="42">
        <v>0.95569999999999999</v>
      </c>
      <c r="L22" s="7">
        <v>1.8192675549087725</v>
      </c>
      <c r="M22" s="7">
        <v>1.5917892313125279</v>
      </c>
      <c r="N22" s="7">
        <v>1.387727765820677</v>
      </c>
      <c r="O22" s="7">
        <v>1.4109870962093745</v>
      </c>
      <c r="P22" s="8">
        <v>1.264467620335809</v>
      </c>
      <c r="Q22" s="7">
        <v>2.4633328764113611</v>
      </c>
      <c r="R22" s="7">
        <v>1.8349723735442038</v>
      </c>
      <c r="S22" s="7">
        <v>2.2641244318306866</v>
      </c>
      <c r="T22" s="7">
        <v>1.3393573543475723</v>
      </c>
      <c r="V22" s="40">
        <f>SUM(G22*1.3)</f>
        <v>1.0357099999999999</v>
      </c>
      <c r="W22" s="25">
        <f>SUM(I22*1.3)</f>
        <v>1.15076</v>
      </c>
      <c r="X22" s="39">
        <f>SUM(K22*1.3)</f>
        <v>1.24241</v>
      </c>
      <c r="AA22" s="46"/>
      <c r="AB22" s="47"/>
      <c r="AC22" s="46"/>
    </row>
    <row r="23" spans="1:29" x14ac:dyDescent="0.25">
      <c r="AA23" s="46"/>
      <c r="AB23" s="47"/>
      <c r="AC23" s="46"/>
    </row>
    <row r="25" spans="1:29" ht="15.75" thickBot="1" x14ac:dyDescent="0.3">
      <c r="J25" t="s">
        <v>106</v>
      </c>
    </row>
    <row r="26" spans="1:29" ht="15.75" thickBot="1" x14ac:dyDescent="0.3">
      <c r="L26" s="13"/>
      <c r="M26" s="14"/>
      <c r="N26" s="14"/>
      <c r="O26" s="15"/>
      <c r="P26" s="14"/>
      <c r="Q26" s="14"/>
      <c r="R26" s="14"/>
      <c r="S26" s="14"/>
      <c r="T26" s="16"/>
    </row>
    <row r="28" spans="1:29" x14ac:dyDescent="0.25">
      <c r="O28" s="7"/>
      <c r="P28" s="7"/>
      <c r="Q28" s="7"/>
      <c r="R2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Protein quality calculation</vt:lpstr>
      <vt:lpstr>Sensitivity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Bree, M.A. van (Maaike)</dc:creator>
  <cp:lastModifiedBy>Bree, M.A. van (Maaike)</cp:lastModifiedBy>
  <dcterms:created xsi:type="dcterms:W3CDTF">2026-05-27T18:48:23Z</dcterms:created>
  <dcterms:modified xsi:type="dcterms:W3CDTF">2026-06-10T08:42:02Z</dcterms:modified>
</cp:coreProperties>
</file>