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b241\Google_drive\PD_project\Kangankunde_O_isotope_paper\"/>
    </mc:Choice>
  </mc:AlternateContent>
  <bookViews>
    <workbookView xWindow="120" yWindow="90" windowWidth="25875" windowHeight="13350" activeTab="1"/>
  </bookViews>
  <sheets>
    <sheet name="Model calc, low T alteration" sheetId="1" r:id="rId1"/>
    <sheet name="Model calc, CO2-rich alteration" sheetId="5" r:id="rId2"/>
    <sheet name="Richet B factors" sheetId="4" r:id="rId3"/>
  </sheets>
  <calcPr calcId="152511"/>
</workbook>
</file>

<file path=xl/calcChain.xml><?xml version="1.0" encoding="utf-8"?>
<calcChain xmlns="http://schemas.openxmlformats.org/spreadsheetml/2006/main">
  <c r="F18" i="5" l="1"/>
  <c r="F7" i="5"/>
  <c r="F8" i="5"/>
  <c r="F9" i="5"/>
  <c r="F10" i="5"/>
  <c r="F11" i="5"/>
  <c r="F12" i="5"/>
  <c r="F13" i="5"/>
  <c r="H7" i="5"/>
  <c r="I7" i="5" s="1"/>
  <c r="J7" i="5"/>
  <c r="M7" i="5" s="1"/>
  <c r="O7" i="5"/>
  <c r="R7" i="5"/>
  <c r="H8" i="5"/>
  <c r="I8" i="5"/>
  <c r="L8" i="5" s="1"/>
  <c r="J8" i="5"/>
  <c r="M8" i="5" s="1"/>
  <c r="N8" i="5" s="1"/>
  <c r="O8" i="5"/>
  <c r="R8" i="5"/>
  <c r="H9" i="5"/>
  <c r="I9" i="5"/>
  <c r="L9" i="5" s="1"/>
  <c r="J9" i="5"/>
  <c r="M9" i="5" s="1"/>
  <c r="N9" i="5" s="1"/>
  <c r="O9" i="5"/>
  <c r="R9" i="5"/>
  <c r="H10" i="5"/>
  <c r="I10" i="5"/>
  <c r="J10" i="5"/>
  <c r="M10" i="5" s="1"/>
  <c r="N10" i="5" s="1"/>
  <c r="L10" i="5"/>
  <c r="O10" i="5"/>
  <c r="R10" i="5"/>
  <c r="H11" i="5"/>
  <c r="I11" i="5" s="1"/>
  <c r="J11" i="5"/>
  <c r="M11" i="5"/>
  <c r="O11" i="5"/>
  <c r="R11" i="5"/>
  <c r="H12" i="5"/>
  <c r="I12" i="5"/>
  <c r="L12" i="5" s="1"/>
  <c r="J12" i="5"/>
  <c r="M12" i="5"/>
  <c r="N12" i="5" s="1"/>
  <c r="O12" i="5"/>
  <c r="R12" i="5"/>
  <c r="U12" i="5"/>
  <c r="H13" i="5"/>
  <c r="I13" i="5"/>
  <c r="L13" i="5" s="1"/>
  <c r="J13" i="5"/>
  <c r="M13" i="5" s="1"/>
  <c r="N13" i="5" s="1"/>
  <c r="O13" i="5"/>
  <c r="P13" i="5" s="1"/>
  <c r="R13" i="5"/>
  <c r="U13" i="5"/>
  <c r="H14" i="5"/>
  <c r="I14" i="5" s="1"/>
  <c r="J14" i="5"/>
  <c r="M14" i="5" s="1"/>
  <c r="O14" i="5"/>
  <c r="R14" i="5"/>
  <c r="U14" i="5" s="1"/>
  <c r="H18" i="5"/>
  <c r="I18" i="5" s="1"/>
  <c r="J18" i="5"/>
  <c r="M18" i="5"/>
  <c r="O18" i="5"/>
  <c r="H19" i="5"/>
  <c r="I19" i="5"/>
  <c r="L19" i="5" s="1"/>
  <c r="J19" i="5"/>
  <c r="M19" i="5" s="1"/>
  <c r="N19" i="5" s="1"/>
  <c r="O19" i="5"/>
  <c r="R19" i="5"/>
  <c r="H20" i="5"/>
  <c r="I20" i="5"/>
  <c r="J20" i="5"/>
  <c r="M20" i="5" s="1"/>
  <c r="N20" i="5" s="1"/>
  <c r="L20" i="5"/>
  <c r="O20" i="5"/>
  <c r="R20" i="5"/>
  <c r="H21" i="5"/>
  <c r="I21" i="5" s="1"/>
  <c r="N21" i="5" s="1"/>
  <c r="J21" i="5"/>
  <c r="M21" i="5"/>
  <c r="O21" i="5"/>
  <c r="H22" i="5"/>
  <c r="R22" i="5" s="1"/>
  <c r="I22" i="5"/>
  <c r="L22" i="5" s="1"/>
  <c r="J22" i="5"/>
  <c r="M22" i="5" s="1"/>
  <c r="O22" i="5"/>
  <c r="H23" i="5"/>
  <c r="I23" i="5"/>
  <c r="L23" i="5" s="1"/>
  <c r="J23" i="5"/>
  <c r="M23" i="5" s="1"/>
  <c r="O23" i="5"/>
  <c r="R23" i="5"/>
  <c r="F24" i="5"/>
  <c r="H24" i="5"/>
  <c r="I24" i="5"/>
  <c r="J24" i="5"/>
  <c r="M24" i="5" s="1"/>
  <c r="N24" i="5" s="1"/>
  <c r="P24" i="5" s="1"/>
  <c r="L24" i="5"/>
  <c r="O24" i="5"/>
  <c r="R24" i="5"/>
  <c r="H25" i="5"/>
  <c r="I25" i="5"/>
  <c r="L25" i="5" s="1"/>
  <c r="J25" i="5"/>
  <c r="M25" i="5"/>
  <c r="O25" i="5"/>
  <c r="R25" i="5"/>
  <c r="U25" i="5" s="1"/>
  <c r="H29" i="5"/>
  <c r="I29" i="5"/>
  <c r="L29" i="5" s="1"/>
  <c r="J29" i="5"/>
  <c r="M29" i="5" s="1"/>
  <c r="O29" i="5"/>
  <c r="R29" i="5"/>
  <c r="H30" i="5"/>
  <c r="I30" i="5"/>
  <c r="J30" i="5"/>
  <c r="M30" i="5" s="1"/>
  <c r="N30" i="5" s="1"/>
  <c r="L30" i="5"/>
  <c r="O30" i="5"/>
  <c r="R30" i="5"/>
  <c r="H31" i="5"/>
  <c r="I31" i="5" s="1"/>
  <c r="J31" i="5"/>
  <c r="M31" i="5" s="1"/>
  <c r="L31" i="5"/>
  <c r="O31" i="5"/>
  <c r="R31" i="5"/>
  <c r="H32" i="5"/>
  <c r="I32" i="5"/>
  <c r="L32" i="5" s="1"/>
  <c r="J32" i="5"/>
  <c r="M32" i="5" s="1"/>
  <c r="O32" i="5"/>
  <c r="R32" i="5"/>
  <c r="H33" i="5"/>
  <c r="I33" i="5"/>
  <c r="L33" i="5" s="1"/>
  <c r="J33" i="5"/>
  <c r="M33" i="5" s="1"/>
  <c r="N33" i="5" s="1"/>
  <c r="O33" i="5"/>
  <c r="R33" i="5"/>
  <c r="H34" i="5"/>
  <c r="I34" i="5"/>
  <c r="J34" i="5"/>
  <c r="M34" i="5" s="1"/>
  <c r="N34" i="5" s="1"/>
  <c r="L34" i="5"/>
  <c r="O34" i="5"/>
  <c r="R34" i="5"/>
  <c r="F35" i="5"/>
  <c r="U35" i="5" s="1"/>
  <c r="H35" i="5"/>
  <c r="I35" i="5" s="1"/>
  <c r="J35" i="5"/>
  <c r="M35" i="5" s="1"/>
  <c r="L35" i="5"/>
  <c r="O35" i="5"/>
  <c r="R35" i="5"/>
  <c r="H36" i="5"/>
  <c r="I36" i="5"/>
  <c r="L36" i="5" s="1"/>
  <c r="J36" i="5"/>
  <c r="M36" i="5" s="1"/>
  <c r="N36" i="5"/>
  <c r="O36" i="5"/>
  <c r="R36" i="5"/>
  <c r="U36" i="5"/>
  <c r="N31" i="5" l="1"/>
  <c r="P36" i="5"/>
  <c r="P12" i="5"/>
  <c r="P10" i="5"/>
  <c r="L18" i="5"/>
  <c r="N18" i="5"/>
  <c r="F34" i="5"/>
  <c r="N22" i="5"/>
  <c r="N25" i="5"/>
  <c r="P25" i="5" s="1"/>
  <c r="F23" i="5"/>
  <c r="U24" i="5"/>
  <c r="L21" i="5"/>
  <c r="R18" i="5"/>
  <c r="N11" i="5"/>
  <c r="P11" i="5" s="1"/>
  <c r="L11" i="5"/>
  <c r="N14" i="5"/>
  <c r="P14" i="5" s="1"/>
  <c r="L14" i="5"/>
  <c r="P9" i="5"/>
  <c r="N7" i="5"/>
  <c r="L7" i="5"/>
  <c r="N23" i="5"/>
  <c r="R21" i="5"/>
  <c r="N35" i="5"/>
  <c r="P35" i="5" s="1"/>
  <c r="N32" i="5"/>
  <c r="N29" i="5"/>
  <c r="U11" i="5"/>
  <c r="U10" i="5"/>
  <c r="J33" i="1"/>
  <c r="J29" i="1"/>
  <c r="J22" i="1"/>
  <c r="J18" i="1"/>
  <c r="J10" i="1"/>
  <c r="J11" i="1"/>
  <c r="J14" i="1"/>
  <c r="J7" i="1"/>
  <c r="D26" i="4"/>
  <c r="E26" i="4" s="1"/>
  <c r="D25" i="4"/>
  <c r="E25" i="4" s="1"/>
  <c r="D24" i="4"/>
  <c r="E24" i="4" s="1"/>
  <c r="D23" i="4"/>
  <c r="E23" i="4" s="1"/>
  <c r="D22" i="4"/>
  <c r="E22" i="4" s="1"/>
  <c r="D21" i="4"/>
  <c r="E21" i="4" s="1"/>
  <c r="D20" i="4"/>
  <c r="E20" i="4" s="1"/>
  <c r="D19" i="4"/>
  <c r="E19" i="4" s="1"/>
  <c r="D18" i="4"/>
  <c r="E18" i="4" s="1"/>
  <c r="D17" i="4"/>
  <c r="E17" i="4" s="1"/>
  <c r="J36" i="1" s="1"/>
  <c r="D16" i="4"/>
  <c r="E16" i="4" s="1"/>
  <c r="J35" i="1" s="1"/>
  <c r="D15" i="4"/>
  <c r="E15" i="4" s="1"/>
  <c r="J12" i="1" s="1"/>
  <c r="D14" i="4"/>
  <c r="E14" i="4" s="1"/>
  <c r="D13" i="4"/>
  <c r="E13" i="4" s="1"/>
  <c r="J32" i="1" s="1"/>
  <c r="D12" i="4"/>
  <c r="E12" i="4" s="1"/>
  <c r="J31" i="1" s="1"/>
  <c r="D11" i="4"/>
  <c r="E11" i="4" s="1"/>
  <c r="J8" i="1" s="1"/>
  <c r="D10" i="4"/>
  <c r="E10" i="4" s="1"/>
  <c r="D9" i="4"/>
  <c r="E9" i="4" s="1"/>
  <c r="D8" i="4"/>
  <c r="E8" i="4" s="1"/>
  <c r="D7" i="4"/>
  <c r="E7" i="4" s="1"/>
  <c r="D6" i="4"/>
  <c r="E6" i="4" s="1"/>
  <c r="D5" i="4"/>
  <c r="E5" i="4" s="1"/>
  <c r="D4" i="4"/>
  <c r="E4" i="4" s="1"/>
  <c r="D3" i="4"/>
  <c r="E3" i="4" s="1"/>
  <c r="F22" i="5" l="1"/>
  <c r="U23" i="5"/>
  <c r="F33" i="5"/>
  <c r="U34" i="5"/>
  <c r="P34" i="5"/>
  <c r="P23" i="5"/>
  <c r="U9" i="5"/>
  <c r="J19" i="1"/>
  <c r="J23" i="1"/>
  <c r="J30" i="1"/>
  <c r="M30" i="1" s="1"/>
  <c r="J34" i="1"/>
  <c r="M34" i="1" s="1"/>
  <c r="J13" i="1"/>
  <c r="J9" i="1"/>
  <c r="J20" i="1"/>
  <c r="J24" i="1"/>
  <c r="M24" i="1" s="1"/>
  <c r="J21" i="1"/>
  <c r="J25" i="1"/>
  <c r="O36" i="1"/>
  <c r="M36" i="1"/>
  <c r="H36" i="1"/>
  <c r="I36" i="1" s="1"/>
  <c r="O35" i="1"/>
  <c r="M35" i="1"/>
  <c r="H35" i="1"/>
  <c r="R35" i="1" s="1"/>
  <c r="U35" i="1" s="1"/>
  <c r="F35" i="1"/>
  <c r="O34" i="1"/>
  <c r="H34" i="1"/>
  <c r="I34" i="1" s="1"/>
  <c r="F34" i="1"/>
  <c r="O33" i="1"/>
  <c r="M33" i="1"/>
  <c r="H33" i="1"/>
  <c r="I33" i="1" s="1"/>
  <c r="O32" i="1"/>
  <c r="M32" i="1"/>
  <c r="H32" i="1"/>
  <c r="R32" i="1" s="1"/>
  <c r="O31" i="1"/>
  <c r="M31" i="1"/>
  <c r="H31" i="1"/>
  <c r="R31" i="1" s="1"/>
  <c r="O30" i="1"/>
  <c r="H30" i="1"/>
  <c r="I30" i="1" s="1"/>
  <c r="O29" i="1"/>
  <c r="M29" i="1"/>
  <c r="H29" i="1"/>
  <c r="I29" i="1" s="1"/>
  <c r="O25" i="1"/>
  <c r="M25" i="1"/>
  <c r="I25" i="1"/>
  <c r="H25" i="1"/>
  <c r="R25" i="1" s="1"/>
  <c r="U25" i="1" s="1"/>
  <c r="O24" i="1"/>
  <c r="H24" i="1"/>
  <c r="R24" i="1" s="1"/>
  <c r="F24" i="1"/>
  <c r="F23" i="1" s="1"/>
  <c r="O23" i="1"/>
  <c r="M23" i="1"/>
  <c r="H23" i="1"/>
  <c r="R23" i="1" s="1"/>
  <c r="O22" i="1"/>
  <c r="M22" i="1"/>
  <c r="H22" i="1"/>
  <c r="R22" i="1" s="1"/>
  <c r="O21" i="1"/>
  <c r="M21" i="1"/>
  <c r="H21" i="1"/>
  <c r="I21" i="1" s="1"/>
  <c r="O20" i="1"/>
  <c r="M20" i="1"/>
  <c r="H20" i="1"/>
  <c r="I20" i="1" s="1"/>
  <c r="O19" i="1"/>
  <c r="M19" i="1"/>
  <c r="I19" i="1"/>
  <c r="L19" i="1" s="1"/>
  <c r="H19" i="1"/>
  <c r="R19" i="1" s="1"/>
  <c r="O18" i="1"/>
  <c r="M18" i="1"/>
  <c r="I18" i="1"/>
  <c r="H18" i="1"/>
  <c r="R18" i="1" s="1"/>
  <c r="O14" i="1"/>
  <c r="M14" i="1"/>
  <c r="H14" i="1"/>
  <c r="I14" i="1" s="1"/>
  <c r="O13" i="1"/>
  <c r="M13" i="1"/>
  <c r="I13" i="1"/>
  <c r="L13" i="1" s="1"/>
  <c r="H13" i="1"/>
  <c r="R13" i="1" s="1"/>
  <c r="F13" i="1"/>
  <c r="U13" i="1" s="1"/>
  <c r="O12" i="1"/>
  <c r="M12" i="1"/>
  <c r="H12" i="1"/>
  <c r="R12" i="1" s="1"/>
  <c r="O11" i="1"/>
  <c r="M11" i="1"/>
  <c r="H11" i="1"/>
  <c r="R11" i="1" s="1"/>
  <c r="O10" i="1"/>
  <c r="M10" i="1"/>
  <c r="H10" i="1"/>
  <c r="R10" i="1" s="1"/>
  <c r="O9" i="1"/>
  <c r="M9" i="1"/>
  <c r="I9" i="1"/>
  <c r="L9" i="1" s="1"/>
  <c r="H9" i="1"/>
  <c r="R9" i="1" s="1"/>
  <c r="O8" i="1"/>
  <c r="M8" i="1"/>
  <c r="I8" i="1"/>
  <c r="L8" i="1" s="1"/>
  <c r="H8" i="1"/>
  <c r="R8" i="1" s="1"/>
  <c r="O7" i="1"/>
  <c r="M7" i="1"/>
  <c r="H7" i="1"/>
  <c r="I7" i="1" s="1"/>
  <c r="N25" i="1" l="1"/>
  <c r="P8" i="5"/>
  <c r="U8" i="5"/>
  <c r="F32" i="5"/>
  <c r="U33" i="5"/>
  <c r="P33" i="5"/>
  <c r="P22" i="5"/>
  <c r="U22" i="5"/>
  <c r="F21" i="5"/>
  <c r="N8" i="1"/>
  <c r="I32" i="1"/>
  <c r="L32" i="1" s="1"/>
  <c r="I12" i="1"/>
  <c r="L12" i="1" s="1"/>
  <c r="I22" i="1"/>
  <c r="L22" i="1" s="1"/>
  <c r="I23" i="1"/>
  <c r="L23" i="1" s="1"/>
  <c r="N9" i="1"/>
  <c r="N23" i="1"/>
  <c r="P23" i="1" s="1"/>
  <c r="P25" i="1"/>
  <c r="U23" i="1"/>
  <c r="F22" i="1"/>
  <c r="L30" i="1"/>
  <c r="N30" i="1"/>
  <c r="L34" i="1"/>
  <c r="N34" i="1"/>
  <c r="R7" i="1"/>
  <c r="N29" i="1"/>
  <c r="L29" i="1"/>
  <c r="N36" i="1"/>
  <c r="P36" i="1" s="1"/>
  <c r="L36" i="1"/>
  <c r="N13" i="1"/>
  <c r="P13" i="1" s="1"/>
  <c r="L14" i="1"/>
  <c r="N14" i="1"/>
  <c r="P14" i="1" s="1"/>
  <c r="N33" i="1"/>
  <c r="P33" i="1" s="1"/>
  <c r="L33" i="1"/>
  <c r="L7" i="1"/>
  <c r="N7" i="1"/>
  <c r="N18" i="1"/>
  <c r="N19" i="1"/>
  <c r="L20" i="1"/>
  <c r="N20" i="1"/>
  <c r="L21" i="1"/>
  <c r="N21" i="1"/>
  <c r="R14" i="1"/>
  <c r="U14" i="1" s="1"/>
  <c r="N32" i="1"/>
  <c r="P34" i="1"/>
  <c r="I11" i="1"/>
  <c r="R20" i="1"/>
  <c r="R30" i="1"/>
  <c r="I31" i="1"/>
  <c r="F33" i="1"/>
  <c r="R34" i="1"/>
  <c r="U34" i="1" s="1"/>
  <c r="I35" i="1"/>
  <c r="I10" i="1"/>
  <c r="F12" i="1"/>
  <c r="L18" i="1"/>
  <c r="I24" i="1"/>
  <c r="U24" i="1"/>
  <c r="L25" i="1"/>
  <c r="R29" i="1"/>
  <c r="R33" i="1"/>
  <c r="R36" i="1"/>
  <c r="U36" i="1" s="1"/>
  <c r="R21" i="1"/>
  <c r="P32" i="5" l="1"/>
  <c r="F31" i="5"/>
  <c r="U32" i="5"/>
  <c r="U7" i="5"/>
  <c r="P7" i="5"/>
  <c r="U21" i="5"/>
  <c r="P21" i="5"/>
  <c r="F20" i="5"/>
  <c r="N22" i="1"/>
  <c r="P22" i="1" s="1"/>
  <c r="N12" i="1"/>
  <c r="P12" i="1" s="1"/>
  <c r="L35" i="1"/>
  <c r="N35" i="1"/>
  <c r="P35" i="1" s="1"/>
  <c r="F11" i="1"/>
  <c r="U12" i="1"/>
  <c r="U33" i="1"/>
  <c r="F32" i="1"/>
  <c r="L11" i="1"/>
  <c r="N11" i="1"/>
  <c r="F21" i="1"/>
  <c r="U22" i="1"/>
  <c r="N24" i="1"/>
  <c r="P24" i="1" s="1"/>
  <c r="L24" i="1"/>
  <c r="L10" i="1"/>
  <c r="N10" i="1"/>
  <c r="L31" i="1"/>
  <c r="N31" i="1"/>
  <c r="F19" i="5" l="1"/>
  <c r="U20" i="5"/>
  <c r="P20" i="5"/>
  <c r="U31" i="5"/>
  <c r="F30" i="5"/>
  <c r="P31" i="5"/>
  <c r="F31" i="1"/>
  <c r="U32" i="1"/>
  <c r="P32" i="1"/>
  <c r="P11" i="1"/>
  <c r="F10" i="1"/>
  <c r="U11" i="1"/>
  <c r="P21" i="1"/>
  <c r="U21" i="1"/>
  <c r="F20" i="1"/>
  <c r="F29" i="5" l="1"/>
  <c r="U30" i="5"/>
  <c r="P30" i="5"/>
  <c r="U19" i="5"/>
  <c r="P19" i="5"/>
  <c r="P10" i="1"/>
  <c r="U10" i="1"/>
  <c r="F9" i="1"/>
  <c r="P20" i="1"/>
  <c r="U20" i="1"/>
  <c r="F19" i="1"/>
  <c r="U31" i="1"/>
  <c r="F30" i="1"/>
  <c r="P31" i="1"/>
  <c r="P18" i="5" l="1"/>
  <c r="U18" i="5"/>
  <c r="U29" i="5"/>
  <c r="P29" i="5"/>
  <c r="P30" i="1"/>
  <c r="U30" i="1"/>
  <c r="F29" i="1"/>
  <c r="U9" i="1"/>
  <c r="F8" i="1"/>
  <c r="P9" i="1"/>
  <c r="U19" i="1"/>
  <c r="F18" i="1"/>
  <c r="P19" i="1"/>
  <c r="U29" i="1" l="1"/>
  <c r="P29" i="1"/>
  <c r="U18" i="1"/>
  <c r="P18" i="1"/>
  <c r="F7" i="1"/>
  <c r="U8" i="1"/>
  <c r="P8" i="1"/>
  <c r="P7" i="1" l="1"/>
  <c r="U7" i="1"/>
</calcChain>
</file>

<file path=xl/sharedStrings.xml><?xml version="1.0" encoding="utf-8"?>
<sst xmlns="http://schemas.openxmlformats.org/spreadsheetml/2006/main" count="114" uniqueCount="29">
  <si>
    <t>Initial d13C calcite</t>
  </si>
  <si>
    <t>Initial d18O calcite</t>
  </si>
  <si>
    <t>initial d13C fluid</t>
  </si>
  <si>
    <t>initial d18O fluid</t>
  </si>
  <si>
    <t>r</t>
  </si>
  <si>
    <t>Fc/Rc (amount of alteration)</t>
  </si>
  <si>
    <t>T ( C )</t>
  </si>
  <si>
    <t>T (K)</t>
  </si>
  <si>
    <t>1000lna CO2-cal O</t>
  </si>
  <si>
    <t>1000lna h20-co2</t>
  </si>
  <si>
    <t>a co2-cal</t>
  </si>
  <si>
    <t>ah20-co2</t>
  </si>
  <si>
    <t>DO r-f</t>
  </si>
  <si>
    <t>2r+1/3r</t>
  </si>
  <si>
    <t>d18O f rock</t>
  </si>
  <si>
    <t>Co2-cc C 1000lna</t>
  </si>
  <si>
    <t>d13c r</t>
  </si>
  <si>
    <t>T ©</t>
  </si>
  <si>
    <t>CO2</t>
  </si>
  <si>
    <t>H2O</t>
  </si>
  <si>
    <t>a</t>
  </si>
  <si>
    <t>1000 ln a</t>
  </si>
  <si>
    <t>From: Richet P, Bottinga Y, Janoy M (1977) A review of hydrogen, carbon, nitrogen, oxygen, sulphur, and chlorine stable isotope enrichment among gaseous molecules. Annu Rev Earth Pl Sci 5:65–110</t>
  </si>
  <si>
    <t>Fluid interaction, high CO2 component, different T, different degrees of alteration</t>
  </si>
  <si>
    <t>Fluid interaction, low CO2 component, different T, different degrees of alteration</t>
  </si>
  <si>
    <t>Strontianite starting composition.</t>
  </si>
  <si>
    <t>Beforsite starting composition</t>
  </si>
  <si>
    <t>Model outcomes in Figure 6c</t>
  </si>
  <si>
    <t>Model outcomes in Figure 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</si>
</sst>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readingOrder="1"/>
    </xf>
    <xf numFmtId="164" fontId="2" fillId="0" borderId="0" xfId="0" applyNumberFormat="1" applyFont="1"/>
    <xf numFmtId="2" fontId="2" fillId="0" borderId="0" xfId="0" applyNumberFormat="1" applyFont="1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Alignment="1">
      <alignment horizontal="center" readingOrder="1"/>
    </xf>
    <xf numFmtId="0" fontId="1" fillId="0" borderId="0" xfId="1" applyFill="1"/>
    <xf numFmtId="164" fontId="2" fillId="0" borderId="0" xfId="0" applyNumberFormat="1" applyFont="1" applyFill="1"/>
    <xf numFmtId="2" fontId="2" fillId="0" borderId="0" xfId="0" applyNumberFormat="1" applyFont="1" applyFill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>
      <selection activeCell="A3" sqref="A3"/>
    </sheetView>
  </sheetViews>
  <sheetFormatPr defaultRowHeight="15" x14ac:dyDescent="0.25"/>
  <sheetData>
    <row r="1" spans="1:21" ht="23.25" x14ac:dyDescent="0.35">
      <c r="A1" s="5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5">
      <c r="A2" s="6" t="s">
        <v>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6" t="s">
        <v>27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/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/>
      <c r="R5" s="6" t="s">
        <v>15</v>
      </c>
      <c r="S5" s="6"/>
      <c r="T5" s="6"/>
      <c r="U5" s="6" t="s">
        <v>16</v>
      </c>
    </row>
    <row r="6" spans="1:21" x14ac:dyDescent="0.25">
      <c r="A6" s="6"/>
      <c r="B6" s="6"/>
      <c r="C6" s="6"/>
      <c r="D6" s="6"/>
      <c r="E6" s="6"/>
      <c r="F6" s="7"/>
      <c r="G6" s="7"/>
      <c r="H6" s="7"/>
      <c r="I6" s="8"/>
      <c r="J6" s="9"/>
      <c r="K6" s="6"/>
      <c r="L6" s="6"/>
      <c r="M6" s="6"/>
      <c r="N6" s="6"/>
      <c r="O6" s="6"/>
      <c r="P6" s="10"/>
      <c r="Q6" s="6"/>
      <c r="R6" s="8"/>
      <c r="S6" s="6"/>
      <c r="T6" s="6"/>
      <c r="U6" s="11"/>
    </row>
    <row r="7" spans="1:21" x14ac:dyDescent="0.25">
      <c r="A7" s="6">
        <v>-3.5</v>
      </c>
      <c r="B7" s="6">
        <v>4.5</v>
      </c>
      <c r="C7" s="6">
        <v>3</v>
      </c>
      <c r="D7" s="6">
        <v>6</v>
      </c>
      <c r="E7" s="6">
        <v>1E-3</v>
      </c>
      <c r="F7" s="7">
        <f t="shared" ref="F7:F12" si="0">F8+((G8-G7)*0.002)</f>
        <v>0.5</v>
      </c>
      <c r="G7" s="7">
        <v>100</v>
      </c>
      <c r="H7" s="7">
        <f t="shared" ref="H7:H14" si="1">G7+273</f>
        <v>373</v>
      </c>
      <c r="I7" s="8">
        <f t="shared" ref="I7:I14" si="2">(-2.0893E-16*H7^6+1.03873207E-12*H7^5-2.11364056322E-09*H7^4+0.0000022465908182681*H7^3-0.00130132655483685*H7^2+0.370793702270638*H7-28.1964334404269)*-1</f>
        <v>-11.668060466921631</v>
      </c>
      <c r="J7">
        <f>LOOKUP(G7,'Richet B factors'!A$3:A$26,'Richet B factors'!E$3:E$26)</f>
        <v>-33.211307470422682</v>
      </c>
      <c r="K7" s="6"/>
      <c r="L7" s="6">
        <f t="shared" ref="L7:M14" si="3">EXP(I7/1000)</f>
        <v>0.98839974736574387</v>
      </c>
      <c r="M7" s="6">
        <f t="shared" si="3"/>
        <v>0.96733413306265559</v>
      </c>
      <c r="N7" s="6">
        <f t="shared" ref="N7:N12" si="4">I7+1000*LN(1+(2*E7))-1000*LN(2*E7+M7)</f>
        <v>21.4758461626786</v>
      </c>
      <c r="O7" s="6">
        <f t="shared" ref="O7" si="5">(2*E7+1)/(3*E7)</f>
        <v>334</v>
      </c>
      <c r="P7" s="10">
        <f t="shared" ref="P7:P14" si="6">(O7*F7*(D7+N7)+B7)/(1+O7*F7)</f>
        <v>27.33908517361504</v>
      </c>
      <c r="Q7" s="6"/>
      <c r="R7" s="8">
        <f t="shared" ref="R7:R14" si="7">(-1.4141E-16*H7^6+7.7735999E-13*H7^5-1.79625049456E-09*H7^4+2.25083373932551E-06*H7^3-0.00162736366130507*H7^2+0.645718783307246*H7-105.644922769935)*-1</f>
        <v>3.9360206372082303</v>
      </c>
      <c r="S7" s="6"/>
      <c r="T7" s="6"/>
      <c r="U7" s="11">
        <f>(F7*(C7+R7)+A7)/(1+F7)</f>
        <v>-2.1326454263923249E-2</v>
      </c>
    </row>
    <row r="8" spans="1:21" x14ac:dyDescent="0.25">
      <c r="A8" s="6">
        <v>-3.5</v>
      </c>
      <c r="B8" s="6">
        <v>4.5</v>
      </c>
      <c r="C8" s="6">
        <v>3</v>
      </c>
      <c r="D8" s="6">
        <v>6</v>
      </c>
      <c r="E8" s="6">
        <v>1E-3</v>
      </c>
      <c r="F8" s="7">
        <f t="shared" si="0"/>
        <v>0.45</v>
      </c>
      <c r="G8" s="7">
        <v>125</v>
      </c>
      <c r="H8" s="7">
        <f t="shared" si="1"/>
        <v>398</v>
      </c>
      <c r="I8" s="8">
        <f t="shared" si="2"/>
        <v>-11.387799640458852</v>
      </c>
      <c r="J8">
        <f>LOOKUP(G8,'Richet B factors'!A$3:A$26,'Richet B factors'!E$3:E$26)</f>
        <v>-29.433310441339408</v>
      </c>
      <c r="K8" s="6"/>
      <c r="L8" s="6">
        <f t="shared" si="3"/>
        <v>0.9886767959169307</v>
      </c>
      <c r="M8" s="6">
        <f t="shared" si="3"/>
        <v>0.97099563075206829</v>
      </c>
      <c r="N8" s="6">
        <f t="shared" si="4"/>
        <v>17.98589031962242</v>
      </c>
      <c r="O8" s="6">
        <f>(2*E8+1)/(3*E8)</f>
        <v>334</v>
      </c>
      <c r="P8" s="10">
        <f t="shared" si="6"/>
        <v>23.85710056205717</v>
      </c>
      <c r="Q8" s="6"/>
      <c r="R8" s="8">
        <f t="shared" si="7"/>
        <v>2.3965349487781396</v>
      </c>
      <c r="S8" s="6"/>
      <c r="T8" s="6"/>
      <c r="U8" s="11">
        <f t="shared" ref="U8:U14" si="8">(F8*(C8+R8)+A8)/(1+F8)</f>
        <v>-0.73900639520678424</v>
      </c>
    </row>
    <row r="9" spans="1:21" x14ac:dyDescent="0.25">
      <c r="A9" s="6">
        <v>-3.5</v>
      </c>
      <c r="B9" s="6">
        <v>4.5</v>
      </c>
      <c r="C9" s="6">
        <v>3</v>
      </c>
      <c r="D9" s="6">
        <v>6</v>
      </c>
      <c r="E9" s="6">
        <v>1E-3</v>
      </c>
      <c r="F9" s="7">
        <f t="shared" si="0"/>
        <v>0.4</v>
      </c>
      <c r="G9" s="7">
        <v>150</v>
      </c>
      <c r="H9" s="7">
        <f t="shared" si="1"/>
        <v>423</v>
      </c>
      <c r="I9" s="8">
        <f t="shared" si="2"/>
        <v>-11.042712128676754</v>
      </c>
      <c r="J9">
        <f>LOOKUP(G9,'Richet B factors'!A$3:A$26,'Richet B factors'!E$3:E$26)</f>
        <v>-26.162629661971028</v>
      </c>
      <c r="K9" s="6"/>
      <c r="L9" s="6">
        <f t="shared" si="3"/>
        <v>0.98901803480764394</v>
      </c>
      <c r="M9" s="6">
        <f t="shared" si="3"/>
        <v>0.97417664670658677</v>
      </c>
      <c r="N9" s="6">
        <f t="shared" si="4"/>
        <v>15.067009001781225</v>
      </c>
      <c r="O9" s="6">
        <f t="shared" ref="O9:O14" si="9">(2*E9+1)/(3*E9)</f>
        <v>334</v>
      </c>
      <c r="P9" s="10">
        <f t="shared" si="6"/>
        <v>20.943925725393548</v>
      </c>
      <c r="Q9" s="6"/>
      <c r="R9" s="8">
        <f t="shared" si="7"/>
        <v>1.1202644685572523</v>
      </c>
      <c r="S9" s="6"/>
      <c r="T9" s="6"/>
      <c r="U9" s="11">
        <f t="shared" si="8"/>
        <v>-1.3227815804122136</v>
      </c>
    </row>
    <row r="10" spans="1:21" x14ac:dyDescent="0.25">
      <c r="A10" s="6">
        <v>-3.5</v>
      </c>
      <c r="B10" s="6">
        <v>4.5</v>
      </c>
      <c r="C10" s="6">
        <v>3</v>
      </c>
      <c r="D10" s="6">
        <v>6</v>
      </c>
      <c r="E10" s="6">
        <v>1E-3</v>
      </c>
      <c r="F10" s="7">
        <f t="shared" si="0"/>
        <v>0.35000000000000003</v>
      </c>
      <c r="G10" s="7">
        <v>175</v>
      </c>
      <c r="H10" s="7">
        <f t="shared" si="1"/>
        <v>448</v>
      </c>
      <c r="I10" s="8">
        <f t="shared" si="2"/>
        <v>-10.655122973096766</v>
      </c>
      <c r="J10">
        <f>LOOKUP(G10,'Richet B factors'!A$3:A$26,'Richet B factors'!E$3:E$26)</f>
        <v>-23.322174576250109</v>
      </c>
      <c r="K10" s="6"/>
      <c r="L10" s="6">
        <f t="shared" si="3"/>
        <v>0.989401441769999</v>
      </c>
      <c r="M10" s="6">
        <f t="shared" si="3"/>
        <v>0.976947685359428</v>
      </c>
      <c r="N10" s="6">
        <f t="shared" si="4"/>
        <v>12.619954382659186</v>
      </c>
      <c r="O10" s="6">
        <f t="shared" si="9"/>
        <v>334</v>
      </c>
      <c r="P10" s="10">
        <f t="shared" si="6"/>
        <v>18.500192258972508</v>
      </c>
      <c r="Q10" s="6"/>
      <c r="R10" s="8">
        <f t="shared" si="7"/>
        <v>6.8175846446422383E-2</v>
      </c>
      <c r="S10" s="6"/>
      <c r="T10" s="6"/>
      <c r="U10" s="11">
        <f t="shared" si="8"/>
        <v>-1.7971395953657419</v>
      </c>
    </row>
    <row r="11" spans="1:21" x14ac:dyDescent="0.25">
      <c r="A11" s="6">
        <v>-3.5</v>
      </c>
      <c r="B11" s="6">
        <v>4.5</v>
      </c>
      <c r="C11" s="6">
        <v>3</v>
      </c>
      <c r="D11" s="6">
        <v>6</v>
      </c>
      <c r="E11" s="6">
        <v>1E-3</v>
      </c>
      <c r="F11" s="7">
        <f t="shared" si="0"/>
        <v>0.30000000000000004</v>
      </c>
      <c r="G11" s="7">
        <v>200</v>
      </c>
      <c r="H11" s="7">
        <f t="shared" si="1"/>
        <v>473</v>
      </c>
      <c r="I11" s="8">
        <f t="shared" si="2"/>
        <v>-10.242874749481345</v>
      </c>
      <c r="J11">
        <f>LOOKUP(G11,'Richet B factors'!A$3:A$26,'Richet B factors'!E$3:E$26)</f>
        <v>-20.830105325599888</v>
      </c>
      <c r="K11" s="6"/>
      <c r="L11" s="6">
        <f t="shared" si="3"/>
        <v>0.98980940484205937</v>
      </c>
      <c r="M11" s="6">
        <f t="shared" si="3"/>
        <v>0.9793853427895981</v>
      </c>
      <c r="N11" s="6">
        <f t="shared" si="4"/>
        <v>10.545218352482452</v>
      </c>
      <c r="O11" s="6">
        <f t="shared" si="9"/>
        <v>334</v>
      </c>
      <c r="P11" s="10">
        <f t="shared" si="6"/>
        <v>16.42619445571879</v>
      </c>
      <c r="Q11" s="6"/>
      <c r="R11" s="8">
        <f t="shared" si="7"/>
        <v>-0.79377572449416789</v>
      </c>
      <c r="S11" s="6"/>
      <c r="T11" s="6"/>
      <c r="U11" s="11">
        <f t="shared" si="8"/>
        <v>-2.1831790133448075</v>
      </c>
    </row>
    <row r="12" spans="1:21" x14ac:dyDescent="0.25">
      <c r="A12" s="6">
        <v>-3.5</v>
      </c>
      <c r="B12" s="6">
        <v>4.5</v>
      </c>
      <c r="C12" s="6">
        <v>3</v>
      </c>
      <c r="D12" s="6">
        <v>6</v>
      </c>
      <c r="E12" s="6">
        <v>1E-3</v>
      </c>
      <c r="F12" s="7">
        <f t="shared" si="0"/>
        <v>0.2</v>
      </c>
      <c r="G12" s="7">
        <v>250</v>
      </c>
      <c r="H12" s="7">
        <f t="shared" si="1"/>
        <v>523</v>
      </c>
      <c r="I12" s="8">
        <f t="shared" si="2"/>
        <v>-9.3967873322180679</v>
      </c>
      <c r="J12">
        <f>LOOKUP(G12,'Richet B factors'!A$3:A$26,'Richet B factors'!E$3:E$26)</f>
        <v>-16.826511127466674</v>
      </c>
      <c r="K12" s="6"/>
      <c r="L12" s="6">
        <f t="shared" si="3"/>
        <v>0.99064722450934384</v>
      </c>
      <c r="M12" s="6">
        <f t="shared" si="3"/>
        <v>0.98331426392067134</v>
      </c>
      <c r="N12" s="6">
        <f t="shared" si="4"/>
        <v>7.3958543603685056</v>
      </c>
      <c r="O12" s="6">
        <f t="shared" si="9"/>
        <v>334</v>
      </c>
      <c r="P12" s="10">
        <f t="shared" si="6"/>
        <v>13.264647068917643</v>
      </c>
      <c r="Q12" s="6"/>
      <c r="R12" s="8">
        <f t="shared" si="7"/>
        <v>-2.0613471027109256</v>
      </c>
      <c r="S12" s="6"/>
      <c r="T12" s="6"/>
      <c r="U12" s="11">
        <f t="shared" si="8"/>
        <v>-2.7602245171184876</v>
      </c>
    </row>
    <row r="13" spans="1:21" x14ac:dyDescent="0.25">
      <c r="A13" s="6">
        <v>-3.5</v>
      </c>
      <c r="B13" s="6">
        <v>4.5</v>
      </c>
      <c r="C13" s="6">
        <v>3</v>
      </c>
      <c r="D13" s="6">
        <v>6</v>
      </c>
      <c r="E13" s="6">
        <v>1E-3</v>
      </c>
      <c r="F13" s="7">
        <f>F14+((G14-G13)*0.002)</f>
        <v>0.1</v>
      </c>
      <c r="G13" s="7">
        <v>300</v>
      </c>
      <c r="H13" s="7">
        <f t="shared" si="1"/>
        <v>573</v>
      </c>
      <c r="I13" s="8">
        <f t="shared" si="2"/>
        <v>-8.5785679284368115</v>
      </c>
      <c r="J13">
        <f>LOOKUP(G13,'Richet B factors'!A$3:A$26,'Richet B factors'!E$3:E$26)</f>
        <v>-13.722673787110628</v>
      </c>
      <c r="K13" s="6"/>
      <c r="L13" s="6">
        <f t="shared" si="3"/>
        <v>0.9914581229919357</v>
      </c>
      <c r="M13" s="6">
        <f t="shared" si="3"/>
        <v>0.98637105288415394</v>
      </c>
      <c r="N13" s="6">
        <f>I13+1000*LN(1+2*E13)-1000*LN(2*E13+M13)</f>
        <v>5.1165268740137533</v>
      </c>
      <c r="O13" s="6">
        <f t="shared" si="9"/>
        <v>334</v>
      </c>
      <c r="P13" s="10">
        <f t="shared" si="6"/>
        <v>10.924185976513355</v>
      </c>
      <c r="Q13" s="6"/>
      <c r="R13" s="8">
        <f t="shared" si="7"/>
        <v>-2.8725781501241556</v>
      </c>
      <c r="S13" s="6"/>
      <c r="T13" s="6"/>
      <c r="U13" s="11">
        <f t="shared" si="8"/>
        <v>-3.1702343772840136</v>
      </c>
    </row>
    <row r="14" spans="1:21" x14ac:dyDescent="0.25">
      <c r="A14" s="6">
        <v>-3.5</v>
      </c>
      <c r="B14" s="6">
        <v>4.5</v>
      </c>
      <c r="C14" s="6">
        <v>3</v>
      </c>
      <c r="D14" s="6">
        <v>6</v>
      </c>
      <c r="E14" s="6">
        <v>1E-3</v>
      </c>
      <c r="F14" s="7">
        <v>0</v>
      </c>
      <c r="G14" s="7">
        <v>350</v>
      </c>
      <c r="H14" s="7">
        <f t="shared" si="1"/>
        <v>623</v>
      </c>
      <c r="I14" s="8">
        <f t="shared" si="2"/>
        <v>-7.8237554844791219</v>
      </c>
      <c r="J14">
        <f>LOOKUP(G14,'Richet B factors'!A$3:A$26,'Richet B factors'!E$3:E$26)</f>
        <v>-11.256790384499519</v>
      </c>
      <c r="K14" s="6"/>
      <c r="L14" s="6">
        <f t="shared" si="3"/>
        <v>0.99220677042948935</v>
      </c>
      <c r="M14" s="6">
        <f t="shared" si="3"/>
        <v>0.9888063302132587</v>
      </c>
      <c r="N14" s="6">
        <f>I14+1000*LN(1+2*E14)-1000*LN(2*E14+M14)</f>
        <v>3.4104395735510549</v>
      </c>
      <c r="O14" s="6">
        <f t="shared" si="9"/>
        <v>334</v>
      </c>
      <c r="P14" s="10">
        <f t="shared" si="6"/>
        <v>4.5</v>
      </c>
      <c r="Q14" s="6"/>
      <c r="R14" s="8">
        <f t="shared" si="7"/>
        <v>-3.3657846831558516</v>
      </c>
      <c r="S14" s="6"/>
      <c r="T14" s="6"/>
      <c r="U14" s="11">
        <f t="shared" si="8"/>
        <v>-3.5</v>
      </c>
    </row>
    <row r="15" spans="1:21" x14ac:dyDescent="0.25">
      <c r="A15" s="6"/>
      <c r="B15" s="6"/>
      <c r="C15" s="6"/>
      <c r="D15" s="6"/>
      <c r="E15" s="6"/>
      <c r="F15" s="7"/>
      <c r="G15" s="7"/>
      <c r="H15" s="7"/>
      <c r="I15" s="8"/>
      <c r="J15" s="9"/>
      <c r="K15" s="6"/>
      <c r="L15" s="6"/>
      <c r="M15" s="6"/>
      <c r="N15" s="6"/>
      <c r="O15" s="6"/>
      <c r="P15" s="10"/>
      <c r="Q15" s="6"/>
      <c r="R15" s="8"/>
      <c r="S15" s="6"/>
      <c r="T15" s="6"/>
      <c r="U15" s="11"/>
    </row>
    <row r="16" spans="1:21" x14ac:dyDescent="0.25">
      <c r="A16" s="6" t="s">
        <v>0</v>
      </c>
      <c r="B16" s="6" t="s">
        <v>1</v>
      </c>
      <c r="C16" s="6" t="s">
        <v>2</v>
      </c>
      <c r="D16" s="6" t="s">
        <v>3</v>
      </c>
      <c r="E16" s="6" t="s">
        <v>4</v>
      </c>
      <c r="F16" s="6" t="s">
        <v>5</v>
      </c>
      <c r="G16" s="6" t="s">
        <v>6</v>
      </c>
      <c r="H16" s="6" t="s">
        <v>7</v>
      </c>
      <c r="I16" s="6" t="s">
        <v>8</v>
      </c>
      <c r="J16" s="6" t="s">
        <v>9</v>
      </c>
      <c r="K16" s="6"/>
      <c r="L16" s="6" t="s">
        <v>10</v>
      </c>
      <c r="M16" s="6" t="s">
        <v>11</v>
      </c>
      <c r="N16" s="6" t="s">
        <v>12</v>
      </c>
      <c r="O16" s="6" t="s">
        <v>13</v>
      </c>
      <c r="P16" s="6" t="s">
        <v>14</v>
      </c>
      <c r="Q16" s="6"/>
      <c r="R16" s="6" t="s">
        <v>15</v>
      </c>
      <c r="S16" s="6"/>
      <c r="T16" s="6"/>
      <c r="U16" s="6" t="s">
        <v>16</v>
      </c>
    </row>
    <row r="17" spans="1:21" x14ac:dyDescent="0.25">
      <c r="A17" s="6"/>
      <c r="B17" s="6"/>
      <c r="C17" s="6"/>
      <c r="D17" s="6"/>
      <c r="E17" s="6"/>
      <c r="F17" s="7"/>
      <c r="G17" s="7"/>
      <c r="H17" s="7"/>
      <c r="I17" s="8"/>
      <c r="J17" s="9"/>
      <c r="K17" s="6"/>
      <c r="L17" s="6"/>
      <c r="M17" s="6"/>
      <c r="N17" s="6"/>
      <c r="O17" s="6"/>
      <c r="P17" s="10"/>
      <c r="Q17" s="6"/>
      <c r="R17" s="8"/>
      <c r="S17" s="6"/>
      <c r="T17" s="6"/>
      <c r="U17" s="11"/>
    </row>
    <row r="18" spans="1:21" x14ac:dyDescent="0.25">
      <c r="A18" s="6">
        <v>-3.5</v>
      </c>
      <c r="B18" s="6">
        <v>4.5</v>
      </c>
      <c r="C18" s="6">
        <v>3</v>
      </c>
      <c r="D18" s="6">
        <v>6</v>
      </c>
      <c r="E18" s="6">
        <v>1E-3</v>
      </c>
      <c r="F18" s="7">
        <f t="shared" ref="F18:F23" si="10">((G19-G18)*0.004)+F19</f>
        <v>1</v>
      </c>
      <c r="G18" s="7">
        <v>100</v>
      </c>
      <c r="H18" s="7">
        <f t="shared" ref="H18:H25" si="11">G18+273</f>
        <v>373</v>
      </c>
      <c r="I18" s="8">
        <f t="shared" ref="I18:I25" si="12">(-2.0893E-16*H18^6+1.03873207E-12*H18^5-2.11364056322E-09*H18^4+0.0000022465908182681*H18^3-0.00130132655483685*H18^2+0.370793702270638*H18-28.1964334404269)*-1</f>
        <v>-11.668060466921631</v>
      </c>
      <c r="J18">
        <f>LOOKUP(G18,'Richet B factors'!A$3:A$26,'Richet B factors'!E$3:E$26)</f>
        <v>-33.211307470422682</v>
      </c>
      <c r="K18" s="6"/>
      <c r="L18" s="6">
        <f t="shared" ref="L18:M25" si="13">EXP(I18/1000)</f>
        <v>0.98839974736574387</v>
      </c>
      <c r="M18" s="6">
        <f t="shared" si="13"/>
        <v>0.96733413306265559</v>
      </c>
      <c r="N18" s="6">
        <f>I18+1000*LN(1+2*E18)-1000*LN(2*E18+M18)</f>
        <v>21.4758461626786</v>
      </c>
      <c r="O18" s="6">
        <f t="shared" ref="O18:O25" si="14">(2*E18+1)/(3*E18)</f>
        <v>334</v>
      </c>
      <c r="P18" s="10">
        <f t="shared" ref="P18:P25" si="15">(O18*F18*(D18+N18)+B18)/(1+O18*F18)</f>
        <v>27.40726154726762</v>
      </c>
      <c r="Q18" s="6"/>
      <c r="R18" s="8">
        <f t="shared" ref="R18:R25" si="16">(-1.4141E-16*H18^6+7.7735999E-13*H18^5-1.79625049456E-09*H18^4+2.25083373932551E-06*H18^3-0.00162736366130507*H18^2+0.645718783307246*H18-105.644922769935)*-1</f>
        <v>3.9360206372082303</v>
      </c>
      <c r="S18" s="6"/>
      <c r="T18" s="6"/>
      <c r="U18" s="11">
        <f t="shared" ref="U18:U25" si="17">(F18*(C18+R18)+A18)/(1+F18)</f>
        <v>1.7180103186041151</v>
      </c>
    </row>
    <row r="19" spans="1:21" x14ac:dyDescent="0.25">
      <c r="A19" s="6">
        <v>-3.5</v>
      </c>
      <c r="B19" s="6">
        <v>4.5</v>
      </c>
      <c r="C19" s="6">
        <v>3</v>
      </c>
      <c r="D19" s="6">
        <v>6</v>
      </c>
      <c r="E19" s="6">
        <v>1E-3</v>
      </c>
      <c r="F19" s="7">
        <f t="shared" si="10"/>
        <v>0.9</v>
      </c>
      <c r="G19" s="7">
        <v>125</v>
      </c>
      <c r="H19" s="7">
        <f t="shared" si="11"/>
        <v>398</v>
      </c>
      <c r="I19" s="8">
        <f t="shared" si="12"/>
        <v>-11.387799640458852</v>
      </c>
      <c r="J19">
        <f>LOOKUP(G19,'Richet B factors'!A$3:A$26,'Richet B factors'!E$3:E$26)</f>
        <v>-29.433310441339408</v>
      </c>
      <c r="K19" s="6"/>
      <c r="L19" s="6">
        <f t="shared" si="13"/>
        <v>0.9886767959169307</v>
      </c>
      <c r="M19" s="6">
        <f t="shared" si="13"/>
        <v>0.97099563075206829</v>
      </c>
      <c r="N19" s="6">
        <f t="shared" ref="N19:N25" si="18">I19+1000*LN(1+2*E19)-1000*LN(2*E19+M19)</f>
        <v>17.98589031962242</v>
      </c>
      <c r="O19" s="6">
        <f t="shared" si="14"/>
        <v>334</v>
      </c>
      <c r="P19" s="10">
        <f t="shared" si="15"/>
        <v>23.921281929968501</v>
      </c>
      <c r="Q19" s="6"/>
      <c r="R19" s="8">
        <f t="shared" si="16"/>
        <v>2.3965349487781396</v>
      </c>
      <c r="S19" s="6"/>
      <c r="T19" s="6"/>
      <c r="U19" s="11">
        <f t="shared" si="17"/>
        <v>0.71414813363175045</v>
      </c>
    </row>
    <row r="20" spans="1:21" x14ac:dyDescent="0.25">
      <c r="A20" s="6">
        <v>-3.5</v>
      </c>
      <c r="B20" s="6">
        <v>4.5</v>
      </c>
      <c r="C20" s="6">
        <v>3</v>
      </c>
      <c r="D20" s="6">
        <v>6</v>
      </c>
      <c r="E20" s="6">
        <v>1E-3</v>
      </c>
      <c r="F20" s="7">
        <f t="shared" si="10"/>
        <v>0.8</v>
      </c>
      <c r="G20" s="7">
        <v>150</v>
      </c>
      <c r="H20" s="7">
        <f t="shared" si="11"/>
        <v>423</v>
      </c>
      <c r="I20" s="8">
        <f t="shared" si="12"/>
        <v>-11.042712128676754</v>
      </c>
      <c r="J20">
        <f>LOOKUP(G20,'Richet B factors'!A$3:A$26,'Richet B factors'!E$3:E$26)</f>
        <v>-26.162629661971028</v>
      </c>
      <c r="K20" s="6"/>
      <c r="L20" s="6">
        <f t="shared" si="13"/>
        <v>0.98901803480764394</v>
      </c>
      <c r="M20" s="6">
        <f t="shared" si="13"/>
        <v>0.97417664670658677</v>
      </c>
      <c r="N20" s="6">
        <f t="shared" si="18"/>
        <v>15.067009001781225</v>
      </c>
      <c r="O20" s="6">
        <f t="shared" si="14"/>
        <v>334</v>
      </c>
      <c r="P20" s="10">
        <f t="shared" si="15"/>
        <v>21.005237901849153</v>
      </c>
      <c r="Q20" s="6"/>
      <c r="R20" s="8">
        <f t="shared" si="16"/>
        <v>1.1202644685572523</v>
      </c>
      <c r="S20" s="6"/>
      <c r="T20" s="6"/>
      <c r="U20" s="11">
        <f t="shared" si="17"/>
        <v>-0.11321579175233218</v>
      </c>
    </row>
    <row r="21" spans="1:21" x14ac:dyDescent="0.25">
      <c r="A21" s="6">
        <v>-3.5</v>
      </c>
      <c r="B21" s="6">
        <v>4.5</v>
      </c>
      <c r="C21" s="6">
        <v>3</v>
      </c>
      <c r="D21" s="6">
        <v>6</v>
      </c>
      <c r="E21" s="6">
        <v>1E-3</v>
      </c>
      <c r="F21" s="7">
        <f t="shared" si="10"/>
        <v>0.70000000000000007</v>
      </c>
      <c r="G21" s="7">
        <v>175</v>
      </c>
      <c r="H21" s="7">
        <f t="shared" si="11"/>
        <v>448</v>
      </c>
      <c r="I21" s="8">
        <f t="shared" si="12"/>
        <v>-10.655122973096766</v>
      </c>
      <c r="J21">
        <f>LOOKUP(G21,'Richet B factors'!A$3:A$26,'Richet B factors'!E$3:E$26)</f>
        <v>-23.322174576250109</v>
      </c>
      <c r="K21" s="6"/>
      <c r="L21" s="6">
        <f t="shared" si="13"/>
        <v>0.989401441769999</v>
      </c>
      <c r="M21" s="6">
        <f t="shared" si="13"/>
        <v>0.976947685359428</v>
      </c>
      <c r="N21" s="6">
        <f t="shared" si="18"/>
        <v>12.619954382659186</v>
      </c>
      <c r="O21" s="6">
        <f t="shared" si="14"/>
        <v>334</v>
      </c>
      <c r="P21" s="10">
        <f t="shared" si="15"/>
        <v>18.559818290739855</v>
      </c>
      <c r="Q21" s="6"/>
      <c r="R21" s="8">
        <f t="shared" si="16"/>
        <v>6.8175846446422383E-2</v>
      </c>
      <c r="S21" s="6"/>
      <c r="T21" s="6"/>
      <c r="U21" s="11">
        <f t="shared" si="17"/>
        <v>-0.79545700440441403</v>
      </c>
    </row>
    <row r="22" spans="1:21" x14ac:dyDescent="0.25">
      <c r="A22" s="6">
        <v>-3.5</v>
      </c>
      <c r="B22" s="6">
        <v>4.5</v>
      </c>
      <c r="C22" s="6">
        <v>3</v>
      </c>
      <c r="D22" s="6">
        <v>6</v>
      </c>
      <c r="E22" s="6">
        <v>1E-3</v>
      </c>
      <c r="F22" s="7">
        <f t="shared" si="10"/>
        <v>0.60000000000000009</v>
      </c>
      <c r="G22" s="7">
        <v>200</v>
      </c>
      <c r="H22" s="7">
        <f t="shared" si="11"/>
        <v>473</v>
      </c>
      <c r="I22" s="8">
        <f t="shared" si="12"/>
        <v>-10.242874749481345</v>
      </c>
      <c r="J22">
        <f>LOOKUP(G22,'Richet B factors'!A$3:A$26,'Richet B factors'!E$3:E$26)</f>
        <v>-20.830105325599888</v>
      </c>
      <c r="K22" s="6"/>
      <c r="L22" s="6">
        <f t="shared" si="13"/>
        <v>0.98980940484205937</v>
      </c>
      <c r="M22" s="6">
        <f t="shared" si="13"/>
        <v>0.9793853427895981</v>
      </c>
      <c r="N22" s="6">
        <f t="shared" si="18"/>
        <v>10.545218352482452</v>
      </c>
      <c r="O22" s="6">
        <f t="shared" si="14"/>
        <v>334</v>
      </c>
      <c r="P22" s="10">
        <f t="shared" si="15"/>
        <v>16.485410912797828</v>
      </c>
      <c r="Q22" s="6"/>
      <c r="R22" s="8">
        <f t="shared" si="16"/>
        <v>-0.79377572449416789</v>
      </c>
      <c r="S22" s="6"/>
      <c r="T22" s="6"/>
      <c r="U22" s="11">
        <f t="shared" si="17"/>
        <v>-1.3601658966853127</v>
      </c>
    </row>
    <row r="23" spans="1:21" x14ac:dyDescent="0.25">
      <c r="A23" s="6">
        <v>-3.5</v>
      </c>
      <c r="B23" s="6">
        <v>4.5</v>
      </c>
      <c r="C23" s="6">
        <v>3</v>
      </c>
      <c r="D23" s="6">
        <v>6</v>
      </c>
      <c r="E23" s="6">
        <v>1E-3</v>
      </c>
      <c r="F23" s="7">
        <f t="shared" si="10"/>
        <v>0.4</v>
      </c>
      <c r="G23" s="7">
        <v>250</v>
      </c>
      <c r="H23" s="7">
        <f t="shared" si="11"/>
        <v>523</v>
      </c>
      <c r="I23" s="8">
        <f t="shared" si="12"/>
        <v>-9.3967873322180679</v>
      </c>
      <c r="J23">
        <f>LOOKUP(G23,'Richet B factors'!A$3:A$26,'Richet B factors'!E$3:E$26)</f>
        <v>-16.826511127466674</v>
      </c>
      <c r="K23" s="6"/>
      <c r="L23" s="6">
        <f t="shared" si="13"/>
        <v>0.99064722450934384</v>
      </c>
      <c r="M23" s="6">
        <f t="shared" si="13"/>
        <v>0.98331426392067134</v>
      </c>
      <c r="N23" s="6">
        <f t="shared" si="18"/>
        <v>7.3958543603685056</v>
      </c>
      <c r="O23" s="6">
        <f t="shared" si="14"/>
        <v>334</v>
      </c>
      <c r="P23" s="10">
        <f t="shared" si="15"/>
        <v>13.329763317572306</v>
      </c>
      <c r="Q23" s="6"/>
      <c r="R23" s="8">
        <f t="shared" si="16"/>
        <v>-2.0613471027109256</v>
      </c>
      <c r="S23" s="6"/>
      <c r="T23" s="6"/>
      <c r="U23" s="11">
        <f t="shared" si="17"/>
        <v>-2.2318134579174074</v>
      </c>
    </row>
    <row r="24" spans="1:21" x14ac:dyDescent="0.25">
      <c r="A24" s="6">
        <v>-3.5</v>
      </c>
      <c r="B24" s="6">
        <v>4.5</v>
      </c>
      <c r="C24" s="6">
        <v>3</v>
      </c>
      <c r="D24" s="6">
        <v>6</v>
      </c>
      <c r="E24" s="6">
        <v>1E-3</v>
      </c>
      <c r="F24" s="7">
        <f>((G25-G24)*0.004)+F25</f>
        <v>0.2</v>
      </c>
      <c r="G24" s="7">
        <v>300</v>
      </c>
      <c r="H24" s="7">
        <f t="shared" si="11"/>
        <v>573</v>
      </c>
      <c r="I24" s="8">
        <f t="shared" si="12"/>
        <v>-8.5785679284368115</v>
      </c>
      <c r="J24">
        <f>LOOKUP(G24,'Richet B factors'!A$3:A$26,'Richet B factors'!E$3:E$26)</f>
        <v>-13.722673787110628</v>
      </c>
      <c r="K24" s="6"/>
      <c r="L24" s="6">
        <f t="shared" si="13"/>
        <v>0.9914581229919357</v>
      </c>
      <c r="M24" s="6">
        <f t="shared" si="13"/>
        <v>0.98637105288415394</v>
      </c>
      <c r="N24" s="6">
        <f t="shared" si="18"/>
        <v>5.1165268740137533</v>
      </c>
      <c r="O24" s="6">
        <f t="shared" si="14"/>
        <v>334</v>
      </c>
      <c r="P24" s="10">
        <f t="shared" si="15"/>
        <v>11.01893798206665</v>
      </c>
      <c r="Q24" s="6"/>
      <c r="R24" s="8">
        <f t="shared" si="16"/>
        <v>-2.8725781501241556</v>
      </c>
      <c r="S24" s="6"/>
      <c r="T24" s="6"/>
      <c r="U24" s="11">
        <f t="shared" si="17"/>
        <v>-2.8954296916873594</v>
      </c>
    </row>
    <row r="25" spans="1:21" x14ac:dyDescent="0.25">
      <c r="A25" s="6">
        <v>-3.5</v>
      </c>
      <c r="B25" s="6">
        <v>4.5</v>
      </c>
      <c r="C25" s="6">
        <v>3</v>
      </c>
      <c r="D25" s="6">
        <v>6</v>
      </c>
      <c r="E25" s="6">
        <v>1E-3</v>
      </c>
      <c r="F25" s="7">
        <v>0</v>
      </c>
      <c r="G25" s="7">
        <v>350</v>
      </c>
      <c r="H25" s="7">
        <f t="shared" si="11"/>
        <v>623</v>
      </c>
      <c r="I25" s="8">
        <f t="shared" si="12"/>
        <v>-7.8237554844791219</v>
      </c>
      <c r="J25">
        <f>LOOKUP(G25,'Richet B factors'!A$3:A$26,'Richet B factors'!E$3:E$26)</f>
        <v>-11.256790384499519</v>
      </c>
      <c r="K25" s="6"/>
      <c r="L25" s="6">
        <f t="shared" si="13"/>
        <v>0.99220677042948935</v>
      </c>
      <c r="M25" s="6">
        <f t="shared" si="13"/>
        <v>0.9888063302132587</v>
      </c>
      <c r="N25" s="6">
        <f t="shared" si="18"/>
        <v>3.4104395735510549</v>
      </c>
      <c r="O25" s="6">
        <f t="shared" si="14"/>
        <v>334</v>
      </c>
      <c r="P25" s="10">
        <f t="shared" si="15"/>
        <v>4.5</v>
      </c>
      <c r="Q25" s="6"/>
      <c r="R25" s="8">
        <f t="shared" si="16"/>
        <v>-3.3657846831558516</v>
      </c>
      <c r="S25" s="6"/>
      <c r="T25" s="6"/>
      <c r="U25" s="11">
        <f t="shared" si="17"/>
        <v>-3.5</v>
      </c>
    </row>
    <row r="26" spans="1:2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6" t="s">
        <v>0</v>
      </c>
      <c r="B27" s="6" t="s">
        <v>1</v>
      </c>
      <c r="C27" s="6" t="s">
        <v>2</v>
      </c>
      <c r="D27" s="6" t="s">
        <v>3</v>
      </c>
      <c r="E27" s="6" t="s">
        <v>4</v>
      </c>
      <c r="F27" s="6" t="s">
        <v>5</v>
      </c>
      <c r="G27" s="6" t="s">
        <v>6</v>
      </c>
      <c r="H27" s="6" t="s">
        <v>7</v>
      </c>
      <c r="I27" s="6" t="s">
        <v>8</v>
      </c>
      <c r="J27" s="6" t="s">
        <v>9</v>
      </c>
      <c r="K27" s="6"/>
      <c r="L27" s="6" t="s">
        <v>10</v>
      </c>
      <c r="M27" s="6" t="s">
        <v>11</v>
      </c>
      <c r="N27" s="6" t="s">
        <v>12</v>
      </c>
      <c r="O27" s="6" t="s">
        <v>13</v>
      </c>
      <c r="P27" s="6" t="s">
        <v>14</v>
      </c>
      <c r="Q27" s="6"/>
      <c r="R27" s="6" t="s">
        <v>15</v>
      </c>
      <c r="S27" s="6"/>
      <c r="T27" s="6"/>
      <c r="U27" s="6" t="s">
        <v>16</v>
      </c>
    </row>
    <row r="28" spans="1:21" x14ac:dyDescent="0.25">
      <c r="A28" s="6"/>
      <c r="B28" s="6"/>
      <c r="C28" s="6"/>
      <c r="D28" s="6"/>
      <c r="E28" s="6"/>
      <c r="F28" s="7"/>
      <c r="G28" s="7"/>
      <c r="H28" s="7"/>
      <c r="I28" s="8"/>
      <c r="J28" s="9"/>
      <c r="K28" s="6"/>
      <c r="L28" s="6"/>
      <c r="M28" s="6"/>
      <c r="N28" s="6"/>
      <c r="O28" s="6"/>
      <c r="P28" s="10"/>
      <c r="Q28" s="6"/>
      <c r="R28" s="8"/>
      <c r="S28" s="6"/>
      <c r="T28" s="6"/>
      <c r="U28" s="11"/>
    </row>
    <row r="29" spans="1:21" x14ac:dyDescent="0.25">
      <c r="A29" s="6">
        <v>-3.5</v>
      </c>
      <c r="B29" s="6">
        <v>4.5</v>
      </c>
      <c r="C29" s="6">
        <v>3</v>
      </c>
      <c r="D29" s="6">
        <v>6</v>
      </c>
      <c r="E29" s="6">
        <v>1E-3</v>
      </c>
      <c r="F29" s="7">
        <f t="shared" ref="F29:F34" si="19">((G30-G29)*0.0004)+F30</f>
        <v>9.9999999999999978E-2</v>
      </c>
      <c r="G29" s="7">
        <v>100</v>
      </c>
      <c r="H29" s="7">
        <f t="shared" ref="H29:H36" si="20">G29+273</f>
        <v>373</v>
      </c>
      <c r="I29" s="8">
        <f t="shared" ref="I29:I36" si="21">(-2.0893E-16*H29^6+1.03873207E-12*H29^5-2.11364056322E-09*H29^4+0.0000022465908182681*H29^3-0.00130132655483685*H29^2+0.370793702270638*H29-28.1964334404269)*-1</f>
        <v>-11.668060466921631</v>
      </c>
      <c r="J29">
        <f>LOOKUP(G29,'Richet B factors'!A$3:A$26,'Richet B factors'!E$3:E$26)</f>
        <v>-33.211307470422682</v>
      </c>
      <c r="K29" s="6"/>
      <c r="L29" s="6">
        <f t="shared" ref="L29:M36" si="22">EXP(I29/1000)</f>
        <v>0.98839974736574387</v>
      </c>
      <c r="M29" s="6">
        <f t="shared" si="22"/>
        <v>0.96733413306265559</v>
      </c>
      <c r="N29" s="6">
        <f t="shared" ref="N29:N34" si="23">I29+1000*LN(1+(2*E29))-1000*LN(2*E29+M29)</f>
        <v>21.4758461626786</v>
      </c>
      <c r="O29" s="6">
        <f t="shared" ref="O29" si="24">(2*E29+1)/(3*E29)</f>
        <v>334</v>
      </c>
      <c r="P29" s="10">
        <f t="shared" ref="P29:P36" si="25">(O29*F29*(D29+N29)+B29)/(1+O29*F29)</f>
        <v>26.807943657949572</v>
      </c>
      <c r="Q29" s="6"/>
      <c r="R29" s="8">
        <f t="shared" ref="R29:R36" si="26">(-1.4141E-16*H29^6+7.7735999E-13*H29^5-1.79625049456E-09*H29^4+2.25083373932551E-06*H29^3-0.00162736366130507*H29^2+0.645718783307246*H29-105.644922769935)*-1</f>
        <v>3.9360206372082303</v>
      </c>
      <c r="S29" s="6"/>
      <c r="T29" s="6"/>
      <c r="U29" s="11">
        <f t="shared" ref="U29:U36" si="27">(F29*(C29+R29)+A29)/(1+F29)</f>
        <v>-2.5512708511628883</v>
      </c>
    </row>
    <row r="30" spans="1:21" x14ac:dyDescent="0.25">
      <c r="A30" s="6">
        <v>-3.5</v>
      </c>
      <c r="B30" s="6">
        <v>4.5</v>
      </c>
      <c r="C30" s="6">
        <v>3</v>
      </c>
      <c r="D30" s="6">
        <v>6</v>
      </c>
      <c r="E30" s="6">
        <v>1E-3</v>
      </c>
      <c r="F30" s="7">
        <f t="shared" si="19"/>
        <v>8.9999999999999983E-2</v>
      </c>
      <c r="G30" s="7">
        <v>125</v>
      </c>
      <c r="H30" s="7">
        <f t="shared" si="20"/>
        <v>398</v>
      </c>
      <c r="I30" s="8">
        <f t="shared" si="21"/>
        <v>-11.387799640458852</v>
      </c>
      <c r="J30">
        <f>LOOKUP(G30,'Richet B factors'!A$3:A$26,'Richet B factors'!E$3:E$26)</f>
        <v>-29.433310441339408</v>
      </c>
      <c r="K30" s="6"/>
      <c r="L30" s="6">
        <f t="shared" si="22"/>
        <v>0.9886767959169307</v>
      </c>
      <c r="M30" s="6">
        <f t="shared" si="22"/>
        <v>0.97099563075206829</v>
      </c>
      <c r="N30" s="6">
        <f t="shared" si="23"/>
        <v>17.98589031962242</v>
      </c>
      <c r="O30" s="6">
        <f t="shared" ref="O30:O36" si="28">(2*E30+1)/(3*E30)</f>
        <v>334</v>
      </c>
      <c r="P30" s="10">
        <f t="shared" si="25"/>
        <v>23.35852746322762</v>
      </c>
      <c r="Q30" s="6"/>
      <c r="R30" s="8">
        <f t="shared" si="26"/>
        <v>2.3965349487781396</v>
      </c>
      <c r="S30" s="6"/>
      <c r="T30" s="6"/>
      <c r="U30" s="11">
        <f t="shared" si="27"/>
        <v>-2.7654237198256579</v>
      </c>
    </row>
    <row r="31" spans="1:21" x14ac:dyDescent="0.25">
      <c r="A31" s="6">
        <v>-3.5</v>
      </c>
      <c r="B31" s="6">
        <v>4.5</v>
      </c>
      <c r="C31" s="6">
        <v>3</v>
      </c>
      <c r="D31" s="6">
        <v>6</v>
      </c>
      <c r="E31" s="6">
        <v>1E-3</v>
      </c>
      <c r="F31" s="7">
        <f t="shared" si="19"/>
        <v>7.9999999999999988E-2</v>
      </c>
      <c r="G31" s="7">
        <v>150</v>
      </c>
      <c r="H31" s="7">
        <f t="shared" si="20"/>
        <v>423</v>
      </c>
      <c r="I31" s="8">
        <f t="shared" si="21"/>
        <v>-11.042712128676754</v>
      </c>
      <c r="J31">
        <f>LOOKUP(G31,'Richet B factors'!A$3:A$26,'Richet B factors'!E$3:E$26)</f>
        <v>-26.162629661971028</v>
      </c>
      <c r="K31" s="6"/>
      <c r="L31" s="6">
        <f t="shared" si="22"/>
        <v>0.98901803480764394</v>
      </c>
      <c r="M31" s="6">
        <f t="shared" si="22"/>
        <v>0.97417664670658677</v>
      </c>
      <c r="N31" s="6">
        <f t="shared" si="23"/>
        <v>15.067009001781225</v>
      </c>
      <c r="O31" s="6">
        <f t="shared" si="28"/>
        <v>334</v>
      </c>
      <c r="P31" s="10">
        <f t="shared" si="25"/>
        <v>20.469353554386515</v>
      </c>
      <c r="Q31" s="6"/>
      <c r="R31" s="8">
        <f t="shared" si="26"/>
        <v>1.1202644685572523</v>
      </c>
      <c r="S31" s="6"/>
      <c r="T31" s="6"/>
      <c r="U31" s="11">
        <f t="shared" si="27"/>
        <v>-2.9355359652920554</v>
      </c>
    </row>
    <row r="32" spans="1:21" x14ac:dyDescent="0.25">
      <c r="A32" s="6">
        <v>-3.5</v>
      </c>
      <c r="B32" s="6">
        <v>4.5</v>
      </c>
      <c r="C32" s="6">
        <v>3</v>
      </c>
      <c r="D32" s="6">
        <v>6</v>
      </c>
      <c r="E32" s="6">
        <v>1E-3</v>
      </c>
      <c r="F32" s="7">
        <f t="shared" si="19"/>
        <v>6.9999999999999993E-2</v>
      </c>
      <c r="G32" s="7">
        <v>175</v>
      </c>
      <c r="H32" s="7">
        <f t="shared" si="20"/>
        <v>448</v>
      </c>
      <c r="I32" s="8">
        <f t="shared" si="21"/>
        <v>-10.655122973096766</v>
      </c>
      <c r="J32">
        <f>LOOKUP(G32,'Richet B factors'!A$3:A$26,'Richet B factors'!E$3:E$26)</f>
        <v>-23.322174576250109</v>
      </c>
      <c r="K32" s="6"/>
      <c r="L32" s="6">
        <f t="shared" si="22"/>
        <v>0.989401441769999</v>
      </c>
      <c r="M32" s="6">
        <f t="shared" si="22"/>
        <v>0.976947685359428</v>
      </c>
      <c r="N32" s="6">
        <f t="shared" si="23"/>
        <v>12.619954382659186</v>
      </c>
      <c r="O32" s="6">
        <f t="shared" si="28"/>
        <v>334</v>
      </c>
      <c r="P32" s="10">
        <f t="shared" si="25"/>
        <v>18.040793005191624</v>
      </c>
      <c r="Q32" s="6"/>
      <c r="R32" s="8">
        <f t="shared" si="26"/>
        <v>6.8175846446422383E-2</v>
      </c>
      <c r="S32" s="6"/>
      <c r="T32" s="6"/>
      <c r="U32" s="11">
        <f t="shared" si="27"/>
        <v>-3.0703062530362151</v>
      </c>
    </row>
    <row r="33" spans="1:21" x14ac:dyDescent="0.25">
      <c r="A33" s="6">
        <v>-3.5</v>
      </c>
      <c r="B33" s="6">
        <v>4.5</v>
      </c>
      <c r="C33" s="6">
        <v>3</v>
      </c>
      <c r="D33" s="6">
        <v>6</v>
      </c>
      <c r="E33" s="6">
        <v>1E-3</v>
      </c>
      <c r="F33" s="7">
        <f t="shared" si="19"/>
        <v>0.06</v>
      </c>
      <c r="G33" s="7">
        <v>200</v>
      </c>
      <c r="H33" s="7">
        <f t="shared" si="20"/>
        <v>473</v>
      </c>
      <c r="I33" s="8">
        <f t="shared" si="21"/>
        <v>-10.242874749481345</v>
      </c>
      <c r="J33">
        <f>LOOKUP(G33,'Richet B factors'!A$3:A$26,'Richet B factors'!E$3:E$26)</f>
        <v>-20.830105325599888</v>
      </c>
      <c r="K33" s="6"/>
      <c r="L33" s="6">
        <f t="shared" si="22"/>
        <v>0.98980940484205937</v>
      </c>
      <c r="M33" s="6">
        <f t="shared" si="22"/>
        <v>0.9793853427895981</v>
      </c>
      <c r="N33" s="6">
        <f t="shared" si="23"/>
        <v>10.545218352482452</v>
      </c>
      <c r="O33" s="6">
        <f t="shared" si="28"/>
        <v>334</v>
      </c>
      <c r="P33" s="10">
        <f t="shared" si="25"/>
        <v>15.972726985919596</v>
      </c>
      <c r="Q33" s="6"/>
      <c r="R33" s="8">
        <f t="shared" si="26"/>
        <v>-0.79377572449416789</v>
      </c>
      <c r="S33" s="6"/>
      <c r="T33" s="6"/>
      <c r="U33" s="11">
        <f t="shared" si="27"/>
        <v>-3.1770061730845756</v>
      </c>
    </row>
    <row r="34" spans="1:21" x14ac:dyDescent="0.25">
      <c r="A34" s="6">
        <v>-3.5</v>
      </c>
      <c r="B34" s="6">
        <v>4.5</v>
      </c>
      <c r="C34" s="6">
        <v>3</v>
      </c>
      <c r="D34" s="6">
        <v>6</v>
      </c>
      <c r="E34" s="6">
        <v>1E-3</v>
      </c>
      <c r="F34" s="7">
        <f t="shared" si="19"/>
        <v>0.04</v>
      </c>
      <c r="G34" s="7">
        <v>250</v>
      </c>
      <c r="H34" s="7">
        <f t="shared" si="20"/>
        <v>523</v>
      </c>
      <c r="I34" s="8">
        <f t="shared" si="21"/>
        <v>-9.3967873322180679</v>
      </c>
      <c r="J34">
        <f>LOOKUP(G34,'Richet B factors'!A$3:A$26,'Richet B factors'!E$3:E$26)</f>
        <v>-16.826511127466674</v>
      </c>
      <c r="K34" s="6"/>
      <c r="L34" s="6">
        <f t="shared" si="22"/>
        <v>0.99064722450934384</v>
      </c>
      <c r="M34" s="6">
        <f t="shared" si="22"/>
        <v>0.98331426392067134</v>
      </c>
      <c r="N34" s="6">
        <f t="shared" si="23"/>
        <v>7.3958543603685056</v>
      </c>
      <c r="O34" s="6">
        <f t="shared" si="28"/>
        <v>334</v>
      </c>
      <c r="P34" s="10">
        <f t="shared" si="25"/>
        <v>12.776365895161785</v>
      </c>
      <c r="Q34" s="6"/>
      <c r="R34" s="8">
        <f t="shared" si="26"/>
        <v>-2.0613471027109256</v>
      </c>
      <c r="S34" s="6"/>
      <c r="T34" s="6"/>
      <c r="U34" s="11">
        <f t="shared" si="27"/>
        <v>-3.3292825808734969</v>
      </c>
    </row>
    <row r="35" spans="1:21" x14ac:dyDescent="0.25">
      <c r="A35" s="6">
        <v>-3.5</v>
      </c>
      <c r="B35" s="6">
        <v>4.5</v>
      </c>
      <c r="C35" s="6">
        <v>3</v>
      </c>
      <c r="D35" s="6">
        <v>6</v>
      </c>
      <c r="E35" s="6">
        <v>1E-3</v>
      </c>
      <c r="F35" s="7">
        <f>((G36-G35)*0.0004)+F36</f>
        <v>0.02</v>
      </c>
      <c r="G35" s="7">
        <v>300</v>
      </c>
      <c r="H35" s="7">
        <f t="shared" si="20"/>
        <v>573</v>
      </c>
      <c r="I35" s="8">
        <f t="shared" si="21"/>
        <v>-8.5785679284368115</v>
      </c>
      <c r="J35">
        <f>LOOKUP(G35,'Richet B factors'!A$3:A$26,'Richet B factors'!E$3:E$26)</f>
        <v>-13.722673787110628</v>
      </c>
      <c r="K35" s="6"/>
      <c r="L35" s="6">
        <f t="shared" si="22"/>
        <v>0.9914581229919357</v>
      </c>
      <c r="M35" s="6">
        <f t="shared" si="22"/>
        <v>0.98637105288415394</v>
      </c>
      <c r="N35" s="6">
        <f>I35+1000*LN(1+2*E35)-1000*LN(2*E35+M35)</f>
        <v>5.1165268740137533</v>
      </c>
      <c r="O35" s="6">
        <f t="shared" si="28"/>
        <v>334</v>
      </c>
      <c r="P35" s="10">
        <f t="shared" si="25"/>
        <v>10.254999937293213</v>
      </c>
      <c r="Q35" s="6"/>
      <c r="R35" s="8">
        <f t="shared" si="26"/>
        <v>-2.8725781501241556</v>
      </c>
      <c r="S35" s="6"/>
      <c r="T35" s="6"/>
      <c r="U35" s="11">
        <f t="shared" si="27"/>
        <v>-3.4288740813749836</v>
      </c>
    </row>
    <row r="36" spans="1:21" x14ac:dyDescent="0.25">
      <c r="A36" s="6">
        <v>-3.5</v>
      </c>
      <c r="B36" s="6">
        <v>4.5</v>
      </c>
      <c r="C36" s="6">
        <v>3</v>
      </c>
      <c r="D36" s="6">
        <v>6</v>
      </c>
      <c r="E36" s="6">
        <v>1E-3</v>
      </c>
      <c r="F36" s="7">
        <v>0</v>
      </c>
      <c r="G36" s="7">
        <v>350</v>
      </c>
      <c r="H36" s="7">
        <f t="shared" si="20"/>
        <v>623</v>
      </c>
      <c r="I36" s="8">
        <f t="shared" si="21"/>
        <v>-7.8237554844791219</v>
      </c>
      <c r="J36">
        <f>LOOKUP(G36,'Richet B factors'!A$3:A$26,'Richet B factors'!E$3:E$26)</f>
        <v>-11.256790384499519</v>
      </c>
      <c r="K36" s="6"/>
      <c r="L36" s="6">
        <f t="shared" si="22"/>
        <v>0.99220677042948935</v>
      </c>
      <c r="M36" s="6">
        <f t="shared" si="22"/>
        <v>0.9888063302132587</v>
      </c>
      <c r="N36" s="6">
        <f>I36+1000*LN(1+2*E36)-1000*LN(2*E36+M36)</f>
        <v>3.4104395735510549</v>
      </c>
      <c r="O36" s="6">
        <f t="shared" si="28"/>
        <v>334</v>
      </c>
      <c r="P36" s="10">
        <f t="shared" si="25"/>
        <v>4.5</v>
      </c>
      <c r="Q36" s="6"/>
      <c r="R36" s="8">
        <f t="shared" si="26"/>
        <v>-3.3657846831558516</v>
      </c>
      <c r="S36" s="6"/>
      <c r="T36" s="6"/>
      <c r="U36" s="11">
        <f t="shared" si="27"/>
        <v>-3.5</v>
      </c>
    </row>
    <row r="37" spans="1:21" x14ac:dyDescent="0.25">
      <c r="F37" s="1"/>
      <c r="G37" s="1"/>
      <c r="H37" s="1"/>
      <c r="I37" s="8"/>
      <c r="J37" s="9"/>
      <c r="K37" s="6"/>
      <c r="P37" s="3"/>
      <c r="R37" s="2"/>
      <c r="U37" s="4"/>
    </row>
    <row r="38" spans="1:21" x14ac:dyDescent="0.25">
      <c r="F38" s="1"/>
      <c r="G38" s="1"/>
      <c r="H38" s="1"/>
      <c r="I38" s="8"/>
      <c r="J38" s="9"/>
      <c r="K38" s="6"/>
      <c r="P38" s="3"/>
      <c r="R38" s="2"/>
      <c r="U38" s="4"/>
    </row>
    <row r="39" spans="1:21" x14ac:dyDescent="0.25">
      <c r="I39" s="6"/>
      <c r="J39" s="6"/>
      <c r="K3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zoomScale="115" zoomScaleNormal="115" workbookViewId="0">
      <selection activeCell="A4" sqref="A4"/>
    </sheetView>
  </sheetViews>
  <sheetFormatPr defaultRowHeight="15" x14ac:dyDescent="0.25"/>
  <sheetData>
    <row r="1" spans="1:21" ht="23.25" x14ac:dyDescent="0.35">
      <c r="A1" s="5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5">
      <c r="A2" s="6" t="s">
        <v>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6" t="s">
        <v>28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/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/>
      <c r="R5" s="6" t="s">
        <v>15</v>
      </c>
      <c r="S5" s="6"/>
      <c r="T5" s="6"/>
      <c r="U5" s="6" t="s">
        <v>16</v>
      </c>
    </row>
    <row r="6" spans="1:21" x14ac:dyDescent="0.25">
      <c r="A6" s="6"/>
      <c r="B6" s="6"/>
      <c r="C6" s="6"/>
      <c r="D6" s="6"/>
      <c r="E6" s="6"/>
      <c r="F6" s="7"/>
      <c r="G6" s="7"/>
      <c r="H6" s="7"/>
      <c r="I6" s="8"/>
      <c r="J6" s="9"/>
      <c r="K6" s="6"/>
      <c r="L6" s="6"/>
      <c r="M6" s="6"/>
      <c r="N6" s="6"/>
      <c r="O6" s="6"/>
      <c r="P6" s="10"/>
      <c r="Q6" s="6"/>
      <c r="R6" s="8"/>
      <c r="S6" s="6"/>
      <c r="T6" s="6"/>
      <c r="U6" s="11"/>
    </row>
    <row r="7" spans="1:21" x14ac:dyDescent="0.25">
      <c r="A7" s="6">
        <v>-5.5</v>
      </c>
      <c r="B7" s="6">
        <v>9</v>
      </c>
      <c r="C7" s="6">
        <v>-5.5</v>
      </c>
      <c r="D7" s="6">
        <v>9</v>
      </c>
      <c r="E7" s="6">
        <v>1000</v>
      </c>
      <c r="F7" s="7">
        <f t="shared" ref="F7:F12" si="0">F8+((G8-G7)*0.002)</f>
        <v>0.5</v>
      </c>
      <c r="G7" s="7">
        <v>100</v>
      </c>
      <c r="H7" s="7">
        <f t="shared" ref="H7:H14" si="1">G7+273</f>
        <v>373</v>
      </c>
      <c r="I7" s="8">
        <f t="shared" ref="I7:I14" si="2">(-2.0893E-16*H7^6+1.03873207E-12*H7^5-2.11364056322E-09*H7^4+0.0000022465908182681*H7^3-0.00130132655483685*H7^2+0.370793702270638*H7-28.1964334404269)*-1</f>
        <v>-11.668060466921631</v>
      </c>
      <c r="J7">
        <f>LOOKUP(G7,'Richet B factors'!A$3:A$26,'Richet B factors'!E$3:E$26)</f>
        <v>-33.211307470422682</v>
      </c>
      <c r="K7" s="6"/>
      <c r="L7" s="6">
        <f t="shared" ref="L7:M14" si="3">EXP(I7/1000)</f>
        <v>0.98839974736574387</v>
      </c>
      <c r="M7" s="6">
        <f t="shared" si="3"/>
        <v>0.96733413306265559</v>
      </c>
      <c r="N7" s="6">
        <f t="shared" ref="N7:N12" si="4">I7+1000*LN(1+(2*E7))-1000*LN(2*E7+M7)</f>
        <v>-11.651735562589238</v>
      </c>
      <c r="O7" s="6">
        <f t="shared" ref="O7" si="5">(2*E7+1)/(3*E7)</f>
        <v>0.66700000000000004</v>
      </c>
      <c r="P7" s="10">
        <f t="shared" ref="P7:P14" si="6">(O7*F7*(D7+N7)+B7)/(1+O7*F7)</f>
        <v>6.085973895670409</v>
      </c>
      <c r="Q7" s="6"/>
      <c r="R7" s="8">
        <f t="shared" ref="R7:R14" si="7">(-1.4141E-16*H7^6+7.7735999E-13*H7^5-1.79625049456E-09*H7^4+2.25083373932551E-06*H7^3-0.00162736366130507*H7^2+0.645718783307246*H7-105.644922769935)*-1</f>
        <v>3.9360206372082303</v>
      </c>
      <c r="S7" s="6"/>
      <c r="T7" s="6"/>
      <c r="U7" s="11">
        <f>(F7*(C7+R7)+A7)/(1+F7)</f>
        <v>-4.1879931209305896</v>
      </c>
    </row>
    <row r="8" spans="1:21" x14ac:dyDescent="0.25">
      <c r="A8" s="6">
        <v>-5.5</v>
      </c>
      <c r="B8" s="6">
        <v>9</v>
      </c>
      <c r="C8" s="6">
        <v>-5.5</v>
      </c>
      <c r="D8" s="6">
        <v>9</v>
      </c>
      <c r="E8" s="6">
        <v>1000</v>
      </c>
      <c r="F8" s="7">
        <f t="shared" si="0"/>
        <v>0.45</v>
      </c>
      <c r="G8" s="7">
        <v>125</v>
      </c>
      <c r="H8" s="7">
        <f t="shared" si="1"/>
        <v>398</v>
      </c>
      <c r="I8" s="8">
        <f t="shared" si="2"/>
        <v>-11.387799640458852</v>
      </c>
      <c r="J8">
        <f>LOOKUP(G8,'Richet B factors'!A$3:A$26,'Richet B factors'!E$3:E$26)</f>
        <v>-29.433310441339408</v>
      </c>
      <c r="K8" s="6"/>
      <c r="L8" s="6">
        <f t="shared" si="3"/>
        <v>0.9886767959169307</v>
      </c>
      <c r="M8" s="6">
        <f t="shared" si="3"/>
        <v>0.97099563075206829</v>
      </c>
      <c r="N8" s="6">
        <f t="shared" si="4"/>
        <v>-11.373304598250797</v>
      </c>
      <c r="O8" s="6">
        <f>(2*E8+1)/(3*E8)</f>
        <v>0.66700000000000004</v>
      </c>
      <c r="P8" s="10">
        <f t="shared" si="6"/>
        <v>6.3743818981156197</v>
      </c>
      <c r="Q8" s="6"/>
      <c r="R8" s="8">
        <f t="shared" si="7"/>
        <v>2.3965349487781396</v>
      </c>
      <c r="S8" s="6"/>
      <c r="T8" s="6"/>
      <c r="U8" s="11">
        <f t="shared" ref="U8:U14" si="8">(F8*(C8+R8)+A8)/(1+F8)</f>
        <v>-4.7562477745171288</v>
      </c>
    </row>
    <row r="9" spans="1:21" x14ac:dyDescent="0.25">
      <c r="A9" s="6">
        <v>-5.5</v>
      </c>
      <c r="B9" s="6">
        <v>9</v>
      </c>
      <c r="C9" s="6">
        <v>-5.5</v>
      </c>
      <c r="D9" s="6">
        <v>9</v>
      </c>
      <c r="E9" s="6">
        <v>1000</v>
      </c>
      <c r="F9" s="7">
        <f t="shared" si="0"/>
        <v>0.4</v>
      </c>
      <c r="G9" s="7">
        <v>150</v>
      </c>
      <c r="H9" s="7">
        <f t="shared" si="1"/>
        <v>423</v>
      </c>
      <c r="I9" s="8">
        <f t="shared" si="2"/>
        <v>-11.042712128676754</v>
      </c>
      <c r="J9">
        <f>LOOKUP(G9,'Richet B factors'!A$3:A$26,'Richet B factors'!E$3:E$26)</f>
        <v>-26.162629661971028</v>
      </c>
      <c r="K9" s="6"/>
      <c r="L9" s="6">
        <f t="shared" si="3"/>
        <v>0.98901803480764394</v>
      </c>
      <c r="M9" s="6">
        <f t="shared" si="3"/>
        <v>0.97417664670658677</v>
      </c>
      <c r="N9" s="6">
        <f t="shared" si="4"/>
        <v>-11.029806821368766</v>
      </c>
      <c r="O9" s="6">
        <f t="shared" ref="O9:O14" si="9">(2*E9+1)/(3*E9)</f>
        <v>0.66700000000000004</v>
      </c>
      <c r="P9" s="10">
        <f t="shared" si="6"/>
        <v>6.6770188980571623</v>
      </c>
      <c r="Q9" s="6"/>
      <c r="R9" s="8">
        <f t="shared" si="7"/>
        <v>1.1202644685572523</v>
      </c>
      <c r="S9" s="6"/>
      <c r="T9" s="6"/>
      <c r="U9" s="11">
        <f t="shared" si="8"/>
        <v>-5.179924437555071</v>
      </c>
    </row>
    <row r="10" spans="1:21" x14ac:dyDescent="0.25">
      <c r="A10" s="6">
        <v>-5.5</v>
      </c>
      <c r="B10" s="6">
        <v>9</v>
      </c>
      <c r="C10" s="6">
        <v>-5.5</v>
      </c>
      <c r="D10" s="6">
        <v>9</v>
      </c>
      <c r="E10" s="6">
        <v>1000</v>
      </c>
      <c r="F10" s="7">
        <f t="shared" si="0"/>
        <v>0.35000000000000003</v>
      </c>
      <c r="G10" s="7">
        <v>175</v>
      </c>
      <c r="H10" s="7">
        <f t="shared" si="1"/>
        <v>448</v>
      </c>
      <c r="I10" s="8">
        <f t="shared" si="2"/>
        <v>-10.655122973096766</v>
      </c>
      <c r="J10">
        <f>LOOKUP(G10,'Richet B factors'!A$3:A$26,'Richet B factors'!E$3:E$26)</f>
        <v>-23.322174576250109</v>
      </c>
      <c r="K10" s="6"/>
      <c r="L10" s="6">
        <f t="shared" si="3"/>
        <v>0.989401441769999</v>
      </c>
      <c r="M10" s="6">
        <f t="shared" si="3"/>
        <v>0.976947685359428</v>
      </c>
      <c r="N10" s="6">
        <f t="shared" si="4"/>
        <v>-10.643602509615448</v>
      </c>
      <c r="O10" s="6">
        <f t="shared" si="9"/>
        <v>0.66700000000000004</v>
      </c>
      <c r="P10" s="10">
        <f t="shared" si="6"/>
        <v>6.9855292019378767</v>
      </c>
      <c r="Q10" s="6"/>
      <c r="R10" s="8">
        <f t="shared" si="7"/>
        <v>6.8175846446422383E-2</v>
      </c>
      <c r="S10" s="6"/>
      <c r="T10" s="6"/>
      <c r="U10" s="11">
        <f t="shared" si="8"/>
        <v>-5.4823247805509272</v>
      </c>
    </row>
    <row r="11" spans="1:21" x14ac:dyDescent="0.25">
      <c r="A11" s="6">
        <v>-5.5</v>
      </c>
      <c r="B11" s="6">
        <v>9</v>
      </c>
      <c r="C11" s="6">
        <v>-5.5</v>
      </c>
      <c r="D11" s="6">
        <v>9</v>
      </c>
      <c r="E11" s="6">
        <v>1000</v>
      </c>
      <c r="F11" s="7">
        <f t="shared" si="0"/>
        <v>0.30000000000000004</v>
      </c>
      <c r="G11" s="7">
        <v>200</v>
      </c>
      <c r="H11" s="7">
        <f t="shared" si="1"/>
        <v>473</v>
      </c>
      <c r="I11" s="8">
        <f t="shared" si="2"/>
        <v>-10.242874749481345</v>
      </c>
      <c r="J11">
        <f>LOOKUP(G11,'Richet B factors'!A$3:A$26,'Richet B factors'!E$3:E$26)</f>
        <v>-20.830105325599888</v>
      </c>
      <c r="K11" s="6"/>
      <c r="L11" s="6">
        <f t="shared" si="3"/>
        <v>0.98980940484205937</v>
      </c>
      <c r="M11" s="6">
        <f t="shared" si="3"/>
        <v>0.9793853427895981</v>
      </c>
      <c r="N11" s="6">
        <f t="shared" si="4"/>
        <v>-10.232572518897541</v>
      </c>
      <c r="O11" s="6">
        <f t="shared" si="9"/>
        <v>0.66700000000000004</v>
      </c>
      <c r="P11" s="10">
        <f t="shared" si="6"/>
        <v>7.2938607107479401</v>
      </c>
      <c r="Q11" s="6"/>
      <c r="R11" s="8">
        <f t="shared" si="7"/>
        <v>-0.79377572449416789</v>
      </c>
      <c r="S11" s="6"/>
      <c r="T11" s="6"/>
      <c r="U11" s="11">
        <f t="shared" si="8"/>
        <v>-5.6831790133448079</v>
      </c>
    </row>
    <row r="12" spans="1:21" x14ac:dyDescent="0.25">
      <c r="A12" s="6">
        <v>-5.5</v>
      </c>
      <c r="B12" s="6">
        <v>9</v>
      </c>
      <c r="C12" s="6">
        <v>-5.5</v>
      </c>
      <c r="D12" s="6">
        <v>9</v>
      </c>
      <c r="E12" s="6">
        <v>1000</v>
      </c>
      <c r="F12" s="7">
        <f t="shared" si="0"/>
        <v>0.2</v>
      </c>
      <c r="G12" s="7">
        <v>250</v>
      </c>
      <c r="H12" s="7">
        <f t="shared" si="1"/>
        <v>523</v>
      </c>
      <c r="I12" s="8">
        <f t="shared" si="2"/>
        <v>-9.3967873322180679</v>
      </c>
      <c r="J12">
        <f>LOOKUP(G12,'Richet B factors'!A$3:A$26,'Richet B factors'!E$3:E$26)</f>
        <v>-16.826511127466674</v>
      </c>
      <c r="K12" s="6"/>
      <c r="L12" s="6">
        <f t="shared" si="3"/>
        <v>0.99064722450934384</v>
      </c>
      <c r="M12" s="6">
        <f t="shared" si="3"/>
        <v>0.98331426392067134</v>
      </c>
      <c r="N12" s="6">
        <f t="shared" si="4"/>
        <v>-9.3884485987609878</v>
      </c>
      <c r="O12" s="6">
        <f t="shared" si="9"/>
        <v>0.66700000000000004</v>
      </c>
      <c r="P12" s="10">
        <f t="shared" si="6"/>
        <v>7.8949893743826403</v>
      </c>
      <c r="Q12" s="6"/>
      <c r="R12" s="8">
        <f t="shared" si="7"/>
        <v>-2.0613471027109256</v>
      </c>
      <c r="S12" s="6"/>
      <c r="T12" s="6"/>
      <c r="U12" s="11">
        <f t="shared" si="8"/>
        <v>-5.8435578504518206</v>
      </c>
    </row>
    <row r="13" spans="1:21" x14ac:dyDescent="0.25">
      <c r="A13" s="6">
        <v>-5.5</v>
      </c>
      <c r="B13" s="6">
        <v>9</v>
      </c>
      <c r="C13" s="6">
        <v>-5.5</v>
      </c>
      <c r="D13" s="6">
        <v>9</v>
      </c>
      <c r="E13" s="6">
        <v>1000</v>
      </c>
      <c r="F13" s="7">
        <f>F14+((G14-G13)*0.002)</f>
        <v>0.1</v>
      </c>
      <c r="G13" s="7">
        <v>300</v>
      </c>
      <c r="H13" s="7">
        <f t="shared" si="1"/>
        <v>573</v>
      </c>
      <c r="I13" s="8">
        <f t="shared" si="2"/>
        <v>-8.5785679284368115</v>
      </c>
      <c r="J13">
        <f>LOOKUP(G13,'Richet B factors'!A$3:A$26,'Richet B factors'!E$3:E$26)</f>
        <v>-13.722673787110628</v>
      </c>
      <c r="K13" s="6"/>
      <c r="L13" s="6">
        <f t="shared" si="3"/>
        <v>0.9914581229919357</v>
      </c>
      <c r="M13" s="6">
        <f t="shared" si="3"/>
        <v>0.98637105288415394</v>
      </c>
      <c r="N13" s="6">
        <f>I13+1000*LN(1+2*E13)-1000*LN(2*E13+M13)</f>
        <v>-8.571756837218345</v>
      </c>
      <c r="O13" s="6">
        <f t="shared" si="9"/>
        <v>0.66700000000000004</v>
      </c>
      <c r="P13" s="10">
        <f t="shared" si="6"/>
        <v>8.4640140798326957</v>
      </c>
      <c r="Q13" s="6"/>
      <c r="R13" s="8">
        <f t="shared" si="7"/>
        <v>-2.8725781501241556</v>
      </c>
      <c r="S13" s="6"/>
      <c r="T13" s="6"/>
      <c r="U13" s="11">
        <f t="shared" si="8"/>
        <v>-5.7611434681931053</v>
      </c>
    </row>
    <row r="14" spans="1:21" x14ac:dyDescent="0.25">
      <c r="A14" s="6">
        <v>-5.5</v>
      </c>
      <c r="B14" s="6">
        <v>9</v>
      </c>
      <c r="C14" s="6">
        <v>-5.5</v>
      </c>
      <c r="D14" s="6">
        <v>9</v>
      </c>
      <c r="E14" s="6">
        <v>1000</v>
      </c>
      <c r="F14" s="7">
        <v>0</v>
      </c>
      <c r="G14" s="7">
        <v>350</v>
      </c>
      <c r="H14" s="7">
        <f t="shared" si="1"/>
        <v>623</v>
      </c>
      <c r="I14" s="8">
        <f t="shared" si="2"/>
        <v>-7.8237554844791219</v>
      </c>
      <c r="J14">
        <f>LOOKUP(G14,'Richet B factors'!A$3:A$26,'Richet B factors'!E$3:E$26)</f>
        <v>-11.256790384499519</v>
      </c>
      <c r="K14" s="6"/>
      <c r="L14" s="6">
        <f t="shared" si="3"/>
        <v>0.99220677042948935</v>
      </c>
      <c r="M14" s="6">
        <f t="shared" si="3"/>
        <v>0.9888063302132587</v>
      </c>
      <c r="N14" s="6">
        <f>I14+1000*LN(1+2*E14)-1000*LN(2*E14+M14)</f>
        <v>-7.818161430958753</v>
      </c>
      <c r="O14" s="6">
        <f t="shared" si="9"/>
        <v>0.66700000000000004</v>
      </c>
      <c r="P14" s="10">
        <f t="shared" si="6"/>
        <v>9</v>
      </c>
      <c r="Q14" s="6"/>
      <c r="R14" s="8">
        <f t="shared" si="7"/>
        <v>-3.3657846831558516</v>
      </c>
      <c r="S14" s="6"/>
      <c r="T14" s="6"/>
      <c r="U14" s="11">
        <f t="shared" si="8"/>
        <v>-5.5</v>
      </c>
    </row>
    <row r="15" spans="1:21" x14ac:dyDescent="0.25">
      <c r="A15" s="6"/>
      <c r="B15" s="6"/>
      <c r="C15" s="6"/>
      <c r="D15" s="6"/>
      <c r="E15" s="6"/>
      <c r="F15" s="7"/>
      <c r="G15" s="7"/>
      <c r="H15" s="7"/>
      <c r="I15" s="8"/>
      <c r="J15" s="9"/>
      <c r="K15" s="6"/>
      <c r="L15" s="6"/>
      <c r="M15" s="6"/>
      <c r="N15" s="6"/>
      <c r="O15" s="6"/>
      <c r="P15" s="10"/>
      <c r="Q15" s="6"/>
      <c r="R15" s="8"/>
      <c r="S15" s="6"/>
      <c r="T15" s="6"/>
      <c r="U15" s="11"/>
    </row>
    <row r="16" spans="1:21" x14ac:dyDescent="0.25">
      <c r="A16" s="6" t="s">
        <v>0</v>
      </c>
      <c r="B16" s="6" t="s">
        <v>1</v>
      </c>
      <c r="C16" s="6" t="s">
        <v>2</v>
      </c>
      <c r="D16" s="6" t="s">
        <v>3</v>
      </c>
      <c r="E16" s="6" t="s">
        <v>4</v>
      </c>
      <c r="F16" s="6" t="s">
        <v>5</v>
      </c>
      <c r="G16" s="6" t="s">
        <v>6</v>
      </c>
      <c r="H16" s="6" t="s">
        <v>7</v>
      </c>
      <c r="I16" s="6" t="s">
        <v>8</v>
      </c>
      <c r="J16" s="6" t="s">
        <v>9</v>
      </c>
      <c r="K16" s="6"/>
      <c r="L16" s="6" t="s">
        <v>10</v>
      </c>
      <c r="M16" s="6" t="s">
        <v>11</v>
      </c>
      <c r="N16" s="6" t="s">
        <v>12</v>
      </c>
      <c r="O16" s="6" t="s">
        <v>13</v>
      </c>
      <c r="P16" s="6" t="s">
        <v>14</v>
      </c>
      <c r="Q16" s="6"/>
      <c r="R16" s="6" t="s">
        <v>15</v>
      </c>
      <c r="S16" s="6"/>
      <c r="T16" s="6"/>
      <c r="U16" s="6" t="s">
        <v>16</v>
      </c>
    </row>
    <row r="17" spans="1:21" x14ac:dyDescent="0.25">
      <c r="A17" s="6"/>
      <c r="B17" s="6"/>
      <c r="C17" s="6"/>
      <c r="D17" s="6"/>
      <c r="E17" s="6"/>
      <c r="F17" s="7"/>
      <c r="G17" s="7"/>
      <c r="H17" s="7"/>
      <c r="I17" s="8"/>
      <c r="J17" s="9"/>
      <c r="K17" s="6"/>
      <c r="L17" s="6"/>
      <c r="M17" s="6"/>
      <c r="N17" s="6"/>
      <c r="O17" s="6"/>
      <c r="P17" s="10"/>
      <c r="Q17" s="6"/>
      <c r="R17" s="8"/>
      <c r="S17" s="6"/>
      <c r="T17" s="6"/>
      <c r="U17" s="11"/>
    </row>
    <row r="18" spans="1:21" x14ac:dyDescent="0.25">
      <c r="A18" s="6">
        <v>-5.5</v>
      </c>
      <c r="B18" s="6">
        <v>9</v>
      </c>
      <c r="C18" s="6">
        <v>-5.5</v>
      </c>
      <c r="D18" s="6">
        <v>9</v>
      </c>
      <c r="E18" s="6">
        <v>1000</v>
      </c>
      <c r="F18" s="7">
        <f t="shared" ref="F18:F23" si="10">((G19-G18)*0.004)+F19</f>
        <v>1</v>
      </c>
      <c r="G18" s="7">
        <v>100</v>
      </c>
      <c r="H18" s="7">
        <f t="shared" ref="H18:H25" si="11">G18+273</f>
        <v>373</v>
      </c>
      <c r="I18" s="8">
        <f t="shared" ref="I18:I25" si="12">(-2.0893E-16*H18^6+1.03873207E-12*H18^5-2.11364056322E-09*H18^4+0.0000022465908182681*H18^3-0.00130132655483685*H18^2+0.370793702270638*H18-28.1964334404269)*-1</f>
        <v>-11.668060466921631</v>
      </c>
      <c r="J18">
        <f>LOOKUP(G18,'Richet B factors'!A$3:A$26,'Richet B factors'!E$3:E$26)</f>
        <v>-33.211307470422682</v>
      </c>
      <c r="K18" s="6"/>
      <c r="L18" s="6">
        <f t="shared" ref="L18:M25" si="13">EXP(I18/1000)</f>
        <v>0.98839974736574387</v>
      </c>
      <c r="M18" s="6">
        <f t="shared" si="13"/>
        <v>0.96733413306265559</v>
      </c>
      <c r="N18" s="6">
        <f>I18+1000*LN(1+2*E18)-1000*LN(2*E18+M18)</f>
        <v>-11.651735562589238</v>
      </c>
      <c r="O18" s="6">
        <f t="shared" ref="O18:O25" si="14">(2*E18+1)/(3*E18)</f>
        <v>0.66700000000000004</v>
      </c>
      <c r="P18" s="10">
        <f t="shared" ref="P18:P25" si="15">(O18*F18*(D18+N18)+B18)/(1+O18*F18)</f>
        <v>4.3379078462825307</v>
      </c>
      <c r="Q18" s="6"/>
      <c r="R18" s="8">
        <f t="shared" ref="R18:R25" si="16">(-1.4141E-16*H18^6+7.7735999E-13*H18^5-1.79625049456E-09*H18^4+2.25083373932551E-06*H18^3-0.00162736366130507*H18^2+0.645718783307246*H18-105.644922769935)*-1</f>
        <v>3.9360206372082303</v>
      </c>
      <c r="S18" s="6"/>
      <c r="T18" s="6"/>
      <c r="U18" s="11">
        <f t="shared" ref="U18:U25" si="17">(F18*(C18+R18)+A18)/(1+F18)</f>
        <v>-3.5319896813958849</v>
      </c>
    </row>
    <row r="19" spans="1:21" x14ac:dyDescent="0.25">
      <c r="A19" s="6">
        <v>-5.5</v>
      </c>
      <c r="B19" s="6">
        <v>9</v>
      </c>
      <c r="C19" s="6">
        <v>-5.5</v>
      </c>
      <c r="D19" s="6">
        <v>9</v>
      </c>
      <c r="E19" s="6">
        <v>1000</v>
      </c>
      <c r="F19" s="7">
        <f t="shared" si="10"/>
        <v>0.9</v>
      </c>
      <c r="G19" s="7">
        <v>125</v>
      </c>
      <c r="H19" s="7">
        <f t="shared" si="11"/>
        <v>398</v>
      </c>
      <c r="I19" s="8">
        <f t="shared" si="12"/>
        <v>-11.387799640458852</v>
      </c>
      <c r="J19">
        <f>LOOKUP(G19,'Richet B factors'!A$3:A$26,'Richet B factors'!E$3:E$26)</f>
        <v>-29.433310441339408</v>
      </c>
      <c r="K19" s="6"/>
      <c r="L19" s="6">
        <f t="shared" si="13"/>
        <v>0.9886767959169307</v>
      </c>
      <c r="M19" s="6">
        <f t="shared" si="13"/>
        <v>0.97099563075206829</v>
      </c>
      <c r="N19" s="6">
        <f t="shared" ref="N19:N25" si="18">I19+1000*LN(1+2*E19)-1000*LN(2*E19+M19)</f>
        <v>-11.373304598250797</v>
      </c>
      <c r="O19" s="6">
        <f t="shared" si="14"/>
        <v>0.66700000000000004</v>
      </c>
      <c r="P19" s="10">
        <f t="shared" si="15"/>
        <v>4.7336782163782081</v>
      </c>
      <c r="Q19" s="6"/>
      <c r="R19" s="8">
        <f t="shared" si="16"/>
        <v>2.3965349487781396</v>
      </c>
      <c r="S19" s="6"/>
      <c r="T19" s="6"/>
      <c r="U19" s="11">
        <f t="shared" si="17"/>
        <v>-4.3647992347893023</v>
      </c>
    </row>
    <row r="20" spans="1:21" x14ac:dyDescent="0.25">
      <c r="A20" s="6">
        <v>-5.5</v>
      </c>
      <c r="B20" s="6">
        <v>9</v>
      </c>
      <c r="C20" s="6">
        <v>-5.5</v>
      </c>
      <c r="D20" s="6">
        <v>9</v>
      </c>
      <c r="E20" s="6">
        <v>1000</v>
      </c>
      <c r="F20" s="7">
        <f t="shared" si="10"/>
        <v>0.8</v>
      </c>
      <c r="G20" s="7">
        <v>150</v>
      </c>
      <c r="H20" s="7">
        <f t="shared" si="11"/>
        <v>423</v>
      </c>
      <c r="I20" s="8">
        <f t="shared" si="12"/>
        <v>-11.042712128676754</v>
      </c>
      <c r="J20">
        <f>LOOKUP(G20,'Richet B factors'!A$3:A$26,'Richet B factors'!E$3:E$26)</f>
        <v>-26.162629661971028</v>
      </c>
      <c r="K20" s="6"/>
      <c r="L20" s="6">
        <f t="shared" si="13"/>
        <v>0.98901803480764394</v>
      </c>
      <c r="M20" s="6">
        <f t="shared" si="13"/>
        <v>0.97417664670658677</v>
      </c>
      <c r="N20" s="6">
        <f t="shared" si="18"/>
        <v>-11.029806821368766</v>
      </c>
      <c r="O20" s="6">
        <f t="shared" si="14"/>
        <v>0.66700000000000004</v>
      </c>
      <c r="P20" s="10">
        <f t="shared" si="15"/>
        <v>5.1622946531805072</v>
      </c>
      <c r="Q20" s="6"/>
      <c r="R20" s="8">
        <f t="shared" si="16"/>
        <v>1.1202644685572523</v>
      </c>
      <c r="S20" s="6"/>
      <c r="T20" s="6"/>
      <c r="U20" s="11">
        <f t="shared" si="17"/>
        <v>-5.0021046806412208</v>
      </c>
    </row>
    <row r="21" spans="1:21" x14ac:dyDescent="0.25">
      <c r="A21" s="6">
        <v>-5.5</v>
      </c>
      <c r="B21" s="6">
        <v>9</v>
      </c>
      <c r="C21" s="6">
        <v>-5.5</v>
      </c>
      <c r="D21" s="6">
        <v>9</v>
      </c>
      <c r="E21" s="6">
        <v>1000</v>
      </c>
      <c r="F21" s="7">
        <f t="shared" si="10"/>
        <v>0.70000000000000007</v>
      </c>
      <c r="G21" s="7">
        <v>175</v>
      </c>
      <c r="H21" s="7">
        <f t="shared" si="11"/>
        <v>448</v>
      </c>
      <c r="I21" s="8">
        <f t="shared" si="12"/>
        <v>-10.655122973096766</v>
      </c>
      <c r="J21">
        <f>LOOKUP(G21,'Richet B factors'!A$3:A$26,'Richet B factors'!E$3:E$26)</f>
        <v>-23.322174576250109</v>
      </c>
      <c r="K21" s="6"/>
      <c r="L21" s="6">
        <f t="shared" si="13"/>
        <v>0.989401441769999</v>
      </c>
      <c r="M21" s="6">
        <f t="shared" si="13"/>
        <v>0.976947685359428</v>
      </c>
      <c r="N21" s="6">
        <f t="shared" si="18"/>
        <v>-10.643602509615448</v>
      </c>
      <c r="O21" s="6">
        <f t="shared" si="14"/>
        <v>0.66700000000000004</v>
      </c>
      <c r="P21" s="10">
        <f t="shared" si="15"/>
        <v>5.6122448621313978</v>
      </c>
      <c r="Q21" s="6"/>
      <c r="R21" s="8">
        <f t="shared" si="16"/>
        <v>6.8175846446422383E-2</v>
      </c>
      <c r="S21" s="6"/>
      <c r="T21" s="6"/>
      <c r="U21" s="11">
        <f t="shared" si="17"/>
        <v>-5.471927592639708</v>
      </c>
    </row>
    <row r="22" spans="1:21" x14ac:dyDescent="0.25">
      <c r="A22" s="6">
        <v>-5.5</v>
      </c>
      <c r="B22" s="6">
        <v>9</v>
      </c>
      <c r="C22" s="6">
        <v>-5.5</v>
      </c>
      <c r="D22" s="6">
        <v>9</v>
      </c>
      <c r="E22" s="6">
        <v>1000</v>
      </c>
      <c r="F22" s="7">
        <f t="shared" si="10"/>
        <v>0.60000000000000009</v>
      </c>
      <c r="G22" s="7">
        <v>200</v>
      </c>
      <c r="H22" s="7">
        <f t="shared" si="11"/>
        <v>473</v>
      </c>
      <c r="I22" s="8">
        <f t="shared" si="12"/>
        <v>-10.242874749481345</v>
      </c>
      <c r="J22">
        <f>LOOKUP(G22,'Richet B factors'!A$3:A$26,'Richet B factors'!E$3:E$26)</f>
        <v>-20.830105325599888</v>
      </c>
      <c r="K22" s="6"/>
      <c r="L22" s="6">
        <f t="shared" si="13"/>
        <v>0.98980940484205937</v>
      </c>
      <c r="M22" s="6">
        <f t="shared" si="13"/>
        <v>0.9793853427895981</v>
      </c>
      <c r="N22" s="6">
        <f t="shared" si="18"/>
        <v>-10.232572518897541</v>
      </c>
      <c r="O22" s="6">
        <f t="shared" si="14"/>
        <v>0.66700000000000004</v>
      </c>
      <c r="P22" s="10">
        <f t="shared" si="15"/>
        <v>6.0753638608321694</v>
      </c>
      <c r="Q22" s="6"/>
      <c r="R22" s="8">
        <f t="shared" si="16"/>
        <v>-0.79377572449416789</v>
      </c>
      <c r="S22" s="6"/>
      <c r="T22" s="6"/>
      <c r="U22" s="11">
        <f t="shared" si="17"/>
        <v>-5.797665896685313</v>
      </c>
    </row>
    <row r="23" spans="1:21" x14ac:dyDescent="0.25">
      <c r="A23" s="6">
        <v>-5.5</v>
      </c>
      <c r="B23" s="6">
        <v>9</v>
      </c>
      <c r="C23" s="6">
        <v>-5.5</v>
      </c>
      <c r="D23" s="6">
        <v>9</v>
      </c>
      <c r="E23" s="6">
        <v>1000</v>
      </c>
      <c r="F23" s="7">
        <f t="shared" si="10"/>
        <v>0.4</v>
      </c>
      <c r="G23" s="7">
        <v>250</v>
      </c>
      <c r="H23" s="7">
        <f t="shared" si="11"/>
        <v>523</v>
      </c>
      <c r="I23" s="8">
        <f t="shared" si="12"/>
        <v>-9.3967873322180679</v>
      </c>
      <c r="J23">
        <f>LOOKUP(G23,'Richet B factors'!A$3:A$26,'Richet B factors'!E$3:E$26)</f>
        <v>-16.826511127466674</v>
      </c>
      <c r="K23" s="6"/>
      <c r="L23" s="6">
        <f t="shared" si="13"/>
        <v>0.99064722450934384</v>
      </c>
      <c r="M23" s="6">
        <f t="shared" si="13"/>
        <v>0.98331426392067134</v>
      </c>
      <c r="N23" s="6">
        <f t="shared" si="18"/>
        <v>-9.3884485987609878</v>
      </c>
      <c r="O23" s="6">
        <f t="shared" si="14"/>
        <v>0.66700000000000004</v>
      </c>
      <c r="P23" s="10">
        <f t="shared" si="15"/>
        <v>7.0227043841573806</v>
      </c>
      <c r="Q23" s="6"/>
      <c r="R23" s="8">
        <f t="shared" si="16"/>
        <v>-2.0613471027109256</v>
      </c>
      <c r="S23" s="6"/>
      <c r="T23" s="6"/>
      <c r="U23" s="11">
        <f t="shared" si="17"/>
        <v>-6.0889563150602646</v>
      </c>
    </row>
    <row r="24" spans="1:21" x14ac:dyDescent="0.25">
      <c r="A24" s="6">
        <v>-5.5</v>
      </c>
      <c r="B24" s="6">
        <v>9</v>
      </c>
      <c r="C24" s="6">
        <v>-5.5</v>
      </c>
      <c r="D24" s="6">
        <v>9</v>
      </c>
      <c r="E24" s="6">
        <v>1000</v>
      </c>
      <c r="F24" s="7">
        <f>((G25-G24)*0.004)+F25</f>
        <v>0.2</v>
      </c>
      <c r="G24" s="7">
        <v>300</v>
      </c>
      <c r="H24" s="7">
        <f t="shared" si="11"/>
        <v>573</v>
      </c>
      <c r="I24" s="8">
        <f t="shared" si="12"/>
        <v>-8.5785679284368115</v>
      </c>
      <c r="J24">
        <f>LOOKUP(G24,'Richet B factors'!A$3:A$26,'Richet B factors'!E$3:E$26)</f>
        <v>-13.722673787110628</v>
      </c>
      <c r="K24" s="6"/>
      <c r="L24" s="6">
        <f t="shared" si="13"/>
        <v>0.9914581229919357</v>
      </c>
      <c r="M24" s="6">
        <f t="shared" si="13"/>
        <v>0.98637105288415394</v>
      </c>
      <c r="N24" s="6">
        <f t="shared" si="18"/>
        <v>-8.571756837218345</v>
      </c>
      <c r="O24" s="6">
        <f t="shared" si="14"/>
        <v>0.66700000000000004</v>
      </c>
      <c r="P24" s="10">
        <f t="shared" si="15"/>
        <v>7.99111314444598</v>
      </c>
      <c r="Q24" s="6"/>
      <c r="R24" s="8">
        <f t="shared" si="16"/>
        <v>-2.8725781501241556</v>
      </c>
      <c r="S24" s="6"/>
      <c r="T24" s="6"/>
      <c r="U24" s="11">
        <f t="shared" si="17"/>
        <v>-5.9787630250206929</v>
      </c>
    </row>
    <row r="25" spans="1:21" x14ac:dyDescent="0.25">
      <c r="A25" s="6">
        <v>-5.5</v>
      </c>
      <c r="B25" s="6">
        <v>9</v>
      </c>
      <c r="C25" s="6">
        <v>-5.5</v>
      </c>
      <c r="D25" s="6">
        <v>9</v>
      </c>
      <c r="E25" s="6">
        <v>1000</v>
      </c>
      <c r="F25" s="7">
        <v>0</v>
      </c>
      <c r="G25" s="7">
        <v>350</v>
      </c>
      <c r="H25" s="7">
        <f t="shared" si="11"/>
        <v>623</v>
      </c>
      <c r="I25" s="8">
        <f t="shared" si="12"/>
        <v>-7.8237554844791219</v>
      </c>
      <c r="J25">
        <f>LOOKUP(G25,'Richet B factors'!A$3:A$26,'Richet B factors'!E$3:E$26)</f>
        <v>-11.256790384499519</v>
      </c>
      <c r="K25" s="6"/>
      <c r="L25" s="6">
        <f t="shared" si="13"/>
        <v>0.99220677042948935</v>
      </c>
      <c r="M25" s="6">
        <f t="shared" si="13"/>
        <v>0.9888063302132587</v>
      </c>
      <c r="N25" s="6">
        <f t="shared" si="18"/>
        <v>-7.818161430958753</v>
      </c>
      <c r="O25" s="6">
        <f t="shared" si="14"/>
        <v>0.66700000000000004</v>
      </c>
      <c r="P25" s="10">
        <f t="shared" si="15"/>
        <v>9</v>
      </c>
      <c r="Q25" s="6"/>
      <c r="R25" s="8">
        <f t="shared" si="16"/>
        <v>-3.3657846831558516</v>
      </c>
      <c r="S25" s="6"/>
      <c r="T25" s="6"/>
      <c r="U25" s="11">
        <f t="shared" si="17"/>
        <v>-5.5</v>
      </c>
    </row>
    <row r="26" spans="1:2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6" t="s">
        <v>0</v>
      </c>
      <c r="B27" s="6" t="s">
        <v>1</v>
      </c>
      <c r="C27" s="6" t="s">
        <v>2</v>
      </c>
      <c r="D27" s="6" t="s">
        <v>3</v>
      </c>
      <c r="E27" s="6" t="s">
        <v>4</v>
      </c>
      <c r="F27" s="6" t="s">
        <v>5</v>
      </c>
      <c r="G27" s="6" t="s">
        <v>6</v>
      </c>
      <c r="H27" s="6" t="s">
        <v>7</v>
      </c>
      <c r="I27" s="6" t="s">
        <v>8</v>
      </c>
      <c r="J27" s="6" t="s">
        <v>9</v>
      </c>
      <c r="K27" s="6"/>
      <c r="L27" s="6" t="s">
        <v>10</v>
      </c>
      <c r="M27" s="6" t="s">
        <v>11</v>
      </c>
      <c r="N27" s="6" t="s">
        <v>12</v>
      </c>
      <c r="O27" s="6" t="s">
        <v>13</v>
      </c>
      <c r="P27" s="6" t="s">
        <v>14</v>
      </c>
      <c r="Q27" s="6"/>
      <c r="R27" s="6" t="s">
        <v>15</v>
      </c>
      <c r="S27" s="6"/>
      <c r="T27" s="6"/>
      <c r="U27" s="6" t="s">
        <v>16</v>
      </c>
    </row>
    <row r="28" spans="1:21" x14ac:dyDescent="0.25">
      <c r="A28" s="6"/>
      <c r="B28" s="6"/>
      <c r="C28" s="6"/>
      <c r="D28" s="6"/>
      <c r="E28" s="6"/>
      <c r="F28" s="7"/>
      <c r="G28" s="7"/>
      <c r="H28" s="7"/>
      <c r="I28" s="8"/>
      <c r="J28" s="9"/>
      <c r="K28" s="6"/>
      <c r="L28" s="6"/>
      <c r="M28" s="6"/>
      <c r="N28" s="6"/>
      <c r="O28" s="6"/>
      <c r="P28" s="10"/>
      <c r="Q28" s="6"/>
      <c r="R28" s="8"/>
      <c r="S28" s="6"/>
      <c r="T28" s="6"/>
      <c r="U28" s="11"/>
    </row>
    <row r="29" spans="1:21" x14ac:dyDescent="0.25">
      <c r="A29" s="6">
        <v>-5.5</v>
      </c>
      <c r="B29" s="6">
        <v>9</v>
      </c>
      <c r="C29" s="6">
        <v>-5.5</v>
      </c>
      <c r="D29" s="6">
        <v>9</v>
      </c>
      <c r="E29" s="6">
        <v>1000</v>
      </c>
      <c r="F29" s="7">
        <f t="shared" ref="F29:F34" si="19">((G30-G29)*0.0004)+F30</f>
        <v>9.9999999999999978E-2</v>
      </c>
      <c r="G29" s="7">
        <v>100</v>
      </c>
      <c r="H29" s="7">
        <f t="shared" ref="H29:H36" si="20">G29+273</f>
        <v>373</v>
      </c>
      <c r="I29" s="8">
        <f t="shared" ref="I29:I36" si="21">(-2.0893E-16*H29^6+1.03873207E-12*H29^5-2.11364056322E-09*H29^4+0.0000022465908182681*H29^3-0.00130132655483685*H29^2+0.370793702270638*H29-28.1964334404269)*-1</f>
        <v>-11.668060466921631</v>
      </c>
      <c r="J29">
        <f>LOOKUP(G29,'Richet B factors'!A$3:A$26,'Richet B factors'!E$3:E$26)</f>
        <v>-33.211307470422682</v>
      </c>
      <c r="K29" s="6"/>
      <c r="L29" s="6">
        <f t="shared" ref="L29:M36" si="22">EXP(I29/1000)</f>
        <v>0.98839974736574387</v>
      </c>
      <c r="M29" s="6">
        <f t="shared" si="22"/>
        <v>0.96733413306265559</v>
      </c>
      <c r="N29" s="6">
        <f t="shared" ref="N29:N34" si="23">I29+1000*LN(1+(2*E29))-1000*LN(2*E29+M29)</f>
        <v>-11.651735562589238</v>
      </c>
      <c r="O29" s="6">
        <f t="shared" ref="O29:O36" si="24">(2*E29+1)/(3*E29)</f>
        <v>0.66700000000000004</v>
      </c>
      <c r="P29" s="10">
        <f t="shared" ref="P29:P36" si="25">(O29*F29*(D29+N29)+B29)/(1+O29*F29)</f>
        <v>8.2714251785650124</v>
      </c>
      <c r="Q29" s="6"/>
      <c r="R29" s="8">
        <f t="shared" ref="R29:R36" si="26">(-1.4141E-16*H29^6+7.7735999E-13*H29^5-1.79625049456E-09*H29^4+2.25083373932551E-06*H29^3-0.00162736366130507*H29^2+0.645718783307246*H29-105.644922769935)*-1</f>
        <v>3.9360206372082303</v>
      </c>
      <c r="S29" s="6"/>
      <c r="T29" s="6"/>
      <c r="U29" s="11">
        <f t="shared" ref="U29:U36" si="27">(F29*(C29+R29)+A29)/(1+F29)</f>
        <v>-5.1421799420719783</v>
      </c>
    </row>
    <row r="30" spans="1:21" x14ac:dyDescent="0.25">
      <c r="A30" s="6">
        <v>-5.5</v>
      </c>
      <c r="B30" s="6">
        <v>9</v>
      </c>
      <c r="C30" s="6">
        <v>-5.5</v>
      </c>
      <c r="D30" s="6">
        <v>9</v>
      </c>
      <c r="E30" s="6">
        <v>1000</v>
      </c>
      <c r="F30" s="7">
        <f t="shared" si="19"/>
        <v>8.9999999999999983E-2</v>
      </c>
      <c r="G30" s="7">
        <v>125</v>
      </c>
      <c r="H30" s="7">
        <f t="shared" si="20"/>
        <v>398</v>
      </c>
      <c r="I30" s="8">
        <f t="shared" si="21"/>
        <v>-11.387799640458852</v>
      </c>
      <c r="J30">
        <f>LOOKUP(G30,'Richet B factors'!A$3:A$26,'Richet B factors'!E$3:E$26)</f>
        <v>-29.433310441339408</v>
      </c>
      <c r="K30" s="6"/>
      <c r="L30" s="6">
        <f t="shared" si="22"/>
        <v>0.9886767959169307</v>
      </c>
      <c r="M30" s="6">
        <f t="shared" si="22"/>
        <v>0.97099563075206829</v>
      </c>
      <c r="N30" s="6">
        <f t="shared" si="23"/>
        <v>-11.373304598250797</v>
      </c>
      <c r="O30" s="6">
        <f t="shared" si="24"/>
        <v>0.66700000000000004</v>
      </c>
      <c r="P30" s="10">
        <f t="shared" si="25"/>
        <v>8.355924384184414</v>
      </c>
      <c r="Q30" s="6"/>
      <c r="R30" s="8">
        <f t="shared" si="26"/>
        <v>2.3965349487781396</v>
      </c>
      <c r="S30" s="6"/>
      <c r="T30" s="6"/>
      <c r="U30" s="11">
        <f t="shared" si="27"/>
        <v>-5.3021209675320797</v>
      </c>
    </row>
    <row r="31" spans="1:21" x14ac:dyDescent="0.25">
      <c r="A31" s="6">
        <v>-5.5</v>
      </c>
      <c r="B31" s="6">
        <v>9</v>
      </c>
      <c r="C31" s="6">
        <v>-5.5</v>
      </c>
      <c r="D31" s="6">
        <v>9</v>
      </c>
      <c r="E31" s="6">
        <v>1000</v>
      </c>
      <c r="F31" s="7">
        <f t="shared" si="19"/>
        <v>7.9999999999999988E-2</v>
      </c>
      <c r="G31" s="7">
        <v>150</v>
      </c>
      <c r="H31" s="7">
        <f t="shared" si="20"/>
        <v>423</v>
      </c>
      <c r="I31" s="8">
        <f t="shared" si="21"/>
        <v>-11.042712128676754</v>
      </c>
      <c r="J31">
        <f>LOOKUP(G31,'Richet B factors'!A$3:A$26,'Richet B factors'!E$3:E$26)</f>
        <v>-26.162629661971028</v>
      </c>
      <c r="K31" s="6"/>
      <c r="L31" s="6">
        <f t="shared" si="22"/>
        <v>0.98901803480764394</v>
      </c>
      <c r="M31" s="6">
        <f t="shared" si="22"/>
        <v>0.97417664670658677</v>
      </c>
      <c r="N31" s="6">
        <f t="shared" si="23"/>
        <v>-11.029806821368766</v>
      </c>
      <c r="O31" s="6">
        <f t="shared" si="24"/>
        <v>0.66700000000000004</v>
      </c>
      <c r="P31" s="10">
        <f t="shared" si="25"/>
        <v>8.4412636781458961</v>
      </c>
      <c r="Q31" s="6"/>
      <c r="R31" s="8">
        <f t="shared" si="26"/>
        <v>1.1202644685572523</v>
      </c>
      <c r="S31" s="6"/>
      <c r="T31" s="6"/>
      <c r="U31" s="11">
        <f t="shared" si="27"/>
        <v>-5.4170174467735368</v>
      </c>
    </row>
    <row r="32" spans="1:21" x14ac:dyDescent="0.25">
      <c r="A32" s="6">
        <v>-5.5</v>
      </c>
      <c r="B32" s="6">
        <v>9</v>
      </c>
      <c r="C32" s="6">
        <v>-5.5</v>
      </c>
      <c r="D32" s="6">
        <v>9</v>
      </c>
      <c r="E32" s="6">
        <v>1000</v>
      </c>
      <c r="F32" s="7">
        <f t="shared" si="19"/>
        <v>6.9999999999999993E-2</v>
      </c>
      <c r="G32" s="7">
        <v>175</v>
      </c>
      <c r="H32" s="7">
        <f t="shared" si="20"/>
        <v>448</v>
      </c>
      <c r="I32" s="8">
        <f t="shared" si="21"/>
        <v>-10.655122973096766</v>
      </c>
      <c r="J32">
        <f>LOOKUP(G32,'Richet B factors'!A$3:A$26,'Richet B factors'!E$3:E$26)</f>
        <v>-23.322174576250109</v>
      </c>
      <c r="K32" s="6"/>
      <c r="L32" s="6">
        <f t="shared" si="22"/>
        <v>0.989401441769999</v>
      </c>
      <c r="M32" s="6">
        <f t="shared" si="22"/>
        <v>0.976947685359428</v>
      </c>
      <c r="N32" s="6">
        <f t="shared" si="23"/>
        <v>-10.643602509615448</v>
      </c>
      <c r="O32" s="6">
        <f t="shared" si="24"/>
        <v>0.66700000000000004</v>
      </c>
      <c r="P32" s="10">
        <f t="shared" si="25"/>
        <v>8.525217780647619</v>
      </c>
      <c r="Q32" s="6"/>
      <c r="R32" s="8">
        <f t="shared" si="26"/>
        <v>6.8175846446422383E-2</v>
      </c>
      <c r="S32" s="6"/>
      <c r="T32" s="6"/>
      <c r="U32" s="11">
        <f t="shared" si="27"/>
        <v>-5.4955398978960277</v>
      </c>
    </row>
    <row r="33" spans="1:21" x14ac:dyDescent="0.25">
      <c r="A33" s="6">
        <v>-5.5</v>
      </c>
      <c r="B33" s="6">
        <v>9</v>
      </c>
      <c r="C33" s="6">
        <v>-5.5</v>
      </c>
      <c r="D33" s="6">
        <v>9</v>
      </c>
      <c r="E33" s="6">
        <v>1000</v>
      </c>
      <c r="F33" s="7">
        <f t="shared" si="19"/>
        <v>0.06</v>
      </c>
      <c r="G33" s="7">
        <v>200</v>
      </c>
      <c r="H33" s="7">
        <f t="shared" si="20"/>
        <v>473</v>
      </c>
      <c r="I33" s="8">
        <f t="shared" si="21"/>
        <v>-10.242874749481345</v>
      </c>
      <c r="J33">
        <f>LOOKUP(G33,'Richet B factors'!A$3:A$26,'Richet B factors'!E$3:E$26)</f>
        <v>-20.830105325599888</v>
      </c>
      <c r="K33" s="6"/>
      <c r="L33" s="6">
        <f t="shared" si="22"/>
        <v>0.98980940484205937</v>
      </c>
      <c r="M33" s="6">
        <f t="shared" si="22"/>
        <v>0.9793853427895981</v>
      </c>
      <c r="N33" s="6">
        <f t="shared" si="23"/>
        <v>-10.232572518897541</v>
      </c>
      <c r="O33" s="6">
        <f t="shared" si="24"/>
        <v>0.66700000000000004</v>
      </c>
      <c r="P33" s="10">
        <f t="shared" si="25"/>
        <v>8.6062503103726105</v>
      </c>
      <c r="Q33" s="6"/>
      <c r="R33" s="8">
        <f t="shared" si="26"/>
        <v>-0.79377572449416789</v>
      </c>
      <c r="S33" s="6"/>
      <c r="T33" s="6"/>
      <c r="U33" s="11">
        <f t="shared" si="27"/>
        <v>-5.5449307013864617</v>
      </c>
    </row>
    <row r="34" spans="1:21" x14ac:dyDescent="0.25">
      <c r="A34" s="6">
        <v>-5.5</v>
      </c>
      <c r="B34" s="6">
        <v>9</v>
      </c>
      <c r="C34" s="6">
        <v>-5.5</v>
      </c>
      <c r="D34" s="6">
        <v>9</v>
      </c>
      <c r="E34" s="6">
        <v>1000</v>
      </c>
      <c r="F34" s="7">
        <f t="shared" si="19"/>
        <v>0.04</v>
      </c>
      <c r="G34" s="7">
        <v>250</v>
      </c>
      <c r="H34" s="7">
        <f t="shared" si="20"/>
        <v>523</v>
      </c>
      <c r="I34" s="8">
        <f t="shared" si="21"/>
        <v>-9.3967873322180679</v>
      </c>
      <c r="J34">
        <f>LOOKUP(G34,'Richet B factors'!A$3:A$26,'Richet B factors'!E$3:E$26)</f>
        <v>-16.826511127466674</v>
      </c>
      <c r="K34" s="6"/>
      <c r="L34" s="6">
        <f t="shared" si="22"/>
        <v>0.99064722450934384</v>
      </c>
      <c r="M34" s="6">
        <f t="shared" si="22"/>
        <v>0.98331426392067134</v>
      </c>
      <c r="N34" s="6">
        <f t="shared" si="23"/>
        <v>-9.3884485987609878</v>
      </c>
      <c r="O34" s="6">
        <f t="shared" si="24"/>
        <v>0.66700000000000004</v>
      </c>
      <c r="P34" s="10">
        <f t="shared" si="25"/>
        <v>8.7560254328369655</v>
      </c>
      <c r="Q34" s="6"/>
      <c r="R34" s="8">
        <f t="shared" si="26"/>
        <v>-2.0613471027109256</v>
      </c>
      <c r="S34" s="6"/>
      <c r="T34" s="6"/>
      <c r="U34" s="11">
        <f t="shared" si="27"/>
        <v>-5.5792825808734969</v>
      </c>
    </row>
    <row r="35" spans="1:21" x14ac:dyDescent="0.25">
      <c r="A35" s="6">
        <v>-5.5</v>
      </c>
      <c r="B35" s="6">
        <v>9</v>
      </c>
      <c r="C35" s="6">
        <v>-5.5</v>
      </c>
      <c r="D35" s="6">
        <v>9</v>
      </c>
      <c r="E35" s="6">
        <v>1000</v>
      </c>
      <c r="F35" s="7">
        <f>((G36-G35)*0.0004)+F36</f>
        <v>0.02</v>
      </c>
      <c r="G35" s="7">
        <v>300</v>
      </c>
      <c r="H35" s="7">
        <f t="shared" si="20"/>
        <v>573</v>
      </c>
      <c r="I35" s="8">
        <f t="shared" si="21"/>
        <v>-8.5785679284368115</v>
      </c>
      <c r="J35">
        <f>LOOKUP(G35,'Richet B factors'!A$3:A$26,'Richet B factors'!E$3:E$26)</f>
        <v>-13.722673787110628</v>
      </c>
      <c r="K35" s="6"/>
      <c r="L35" s="6">
        <f t="shared" si="22"/>
        <v>0.9914581229919357</v>
      </c>
      <c r="M35" s="6">
        <f t="shared" si="22"/>
        <v>0.98637105288415394</v>
      </c>
      <c r="N35" s="6">
        <f>I35+1000*LN(1+2*E35)-1000*LN(2*E35+M35)</f>
        <v>-8.571756837218345</v>
      </c>
      <c r="O35" s="6">
        <f t="shared" si="24"/>
        <v>0.66700000000000004</v>
      </c>
      <c r="P35" s="10">
        <f t="shared" si="25"/>
        <v>8.887158075070074</v>
      </c>
      <c r="Q35" s="6"/>
      <c r="R35" s="8">
        <f t="shared" si="26"/>
        <v>-2.8725781501241556</v>
      </c>
      <c r="S35" s="6"/>
      <c r="T35" s="6"/>
      <c r="U35" s="11">
        <f t="shared" si="27"/>
        <v>-5.5563250617671409</v>
      </c>
    </row>
    <row r="36" spans="1:21" x14ac:dyDescent="0.25">
      <c r="A36" s="6">
        <v>-5.5</v>
      </c>
      <c r="B36" s="6">
        <v>9</v>
      </c>
      <c r="C36" s="6">
        <v>-5.5</v>
      </c>
      <c r="D36" s="6">
        <v>9</v>
      </c>
      <c r="E36" s="6">
        <v>1000</v>
      </c>
      <c r="F36" s="7">
        <v>0</v>
      </c>
      <c r="G36" s="7">
        <v>350</v>
      </c>
      <c r="H36" s="7">
        <f t="shared" si="20"/>
        <v>623</v>
      </c>
      <c r="I36" s="8">
        <f t="shared" si="21"/>
        <v>-7.8237554844791219</v>
      </c>
      <c r="J36">
        <f>LOOKUP(G36,'Richet B factors'!A$3:A$26,'Richet B factors'!E$3:E$26)</f>
        <v>-11.256790384499519</v>
      </c>
      <c r="K36" s="6"/>
      <c r="L36" s="6">
        <f t="shared" si="22"/>
        <v>0.99220677042948935</v>
      </c>
      <c r="M36" s="6">
        <f t="shared" si="22"/>
        <v>0.9888063302132587</v>
      </c>
      <c r="N36" s="6">
        <f>I36+1000*LN(1+2*E36)-1000*LN(2*E36+M36)</f>
        <v>-7.818161430958753</v>
      </c>
      <c r="O36" s="6">
        <f t="shared" si="24"/>
        <v>0.66700000000000004</v>
      </c>
      <c r="P36" s="10">
        <f t="shared" si="25"/>
        <v>9</v>
      </c>
      <c r="Q36" s="6"/>
      <c r="R36" s="8">
        <f t="shared" si="26"/>
        <v>-3.3657846831558516</v>
      </c>
      <c r="S36" s="6"/>
      <c r="T36" s="6"/>
      <c r="U36" s="11">
        <f t="shared" si="27"/>
        <v>-5.5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A29" sqref="A29"/>
    </sheetView>
  </sheetViews>
  <sheetFormatPr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</row>
    <row r="3" spans="1:5" x14ac:dyDescent="0.25">
      <c r="A3">
        <v>0</v>
      </c>
      <c r="B3">
        <v>1.1333</v>
      </c>
      <c r="C3">
        <v>1.0705</v>
      </c>
      <c r="D3">
        <f t="shared" ref="D3:D9" si="0">C3/B3</f>
        <v>0.94458660548839679</v>
      </c>
      <c r="E3" s="1">
        <f t="shared" ref="E3:E9" si="1">1000*LN(D3)</f>
        <v>-57.007901709165182</v>
      </c>
    </row>
    <row r="4" spans="1:5" x14ac:dyDescent="0.25">
      <c r="A4">
        <v>10</v>
      </c>
      <c r="B4">
        <v>1.1265000000000001</v>
      </c>
      <c r="C4">
        <v>1.0674999999999999</v>
      </c>
      <c r="D4">
        <f t="shared" si="0"/>
        <v>0.9476253883710607</v>
      </c>
      <c r="E4" s="1">
        <f t="shared" si="1"/>
        <v>-53.796014769519623</v>
      </c>
    </row>
    <row r="5" spans="1:5" x14ac:dyDescent="0.25">
      <c r="A5">
        <v>20</v>
      </c>
      <c r="B5">
        <v>1.1203000000000001</v>
      </c>
      <c r="C5">
        <v>1.0648</v>
      </c>
      <c r="D5">
        <f t="shared" si="0"/>
        <v>0.95045969829509946</v>
      </c>
      <c r="E5" s="1">
        <f t="shared" si="1"/>
        <v>-50.809518483775804</v>
      </c>
    </row>
    <row r="6" spans="1:5" x14ac:dyDescent="0.25">
      <c r="A6">
        <v>30</v>
      </c>
      <c r="B6">
        <v>1.1145</v>
      </c>
      <c r="C6">
        <v>1.0622</v>
      </c>
      <c r="D6">
        <f t="shared" si="0"/>
        <v>0.95307312696276358</v>
      </c>
      <c r="E6" s="1">
        <f t="shared" si="1"/>
        <v>-48.06364483762475</v>
      </c>
    </row>
    <row r="7" spans="1:5" x14ac:dyDescent="0.25">
      <c r="A7">
        <v>40</v>
      </c>
      <c r="B7">
        <v>1.1091</v>
      </c>
      <c r="C7">
        <v>1.0598000000000001</v>
      </c>
      <c r="D7">
        <f t="shared" si="0"/>
        <v>0.95554954467586339</v>
      </c>
      <c r="E7" s="1">
        <f t="shared" si="1"/>
        <v>-45.468664552034134</v>
      </c>
    </row>
    <row r="8" spans="1:5" x14ac:dyDescent="0.25">
      <c r="A8">
        <v>50</v>
      </c>
      <c r="B8">
        <v>1.1041000000000001</v>
      </c>
      <c r="C8">
        <v>1.0576000000000001</v>
      </c>
      <c r="D8">
        <f t="shared" si="0"/>
        <v>0.95788424961507113</v>
      </c>
      <c r="E8" s="1">
        <f t="shared" si="1"/>
        <v>-43.028333347669445</v>
      </c>
    </row>
    <row r="9" spans="1:5" x14ac:dyDescent="0.25">
      <c r="A9">
        <v>75</v>
      </c>
      <c r="B9">
        <v>1.0931</v>
      </c>
      <c r="C9">
        <v>1.0526</v>
      </c>
      <c r="D9">
        <f t="shared" si="0"/>
        <v>0.96294940993504718</v>
      </c>
      <c r="E9" s="1">
        <f t="shared" si="1"/>
        <v>-37.754402380111124</v>
      </c>
    </row>
    <row r="10" spans="1:5" x14ac:dyDescent="0.25">
      <c r="A10" s="1">
        <v>100</v>
      </c>
      <c r="B10">
        <v>1.0837000000000001</v>
      </c>
      <c r="C10">
        <v>1.0483</v>
      </c>
      <c r="D10">
        <f>C10/B10</f>
        <v>0.96733413306265559</v>
      </c>
      <c r="E10" s="1">
        <f>1000*LN(D10)</f>
        <v>-33.211307470422682</v>
      </c>
    </row>
    <row r="11" spans="1:5" x14ac:dyDescent="0.25">
      <c r="A11" s="1">
        <v>125</v>
      </c>
      <c r="B11">
        <v>1.0757000000000001</v>
      </c>
      <c r="C11">
        <v>1.0445</v>
      </c>
      <c r="D11">
        <f t="shared" ref="D11:D26" si="2">C11/B11</f>
        <v>0.97099563075206829</v>
      </c>
      <c r="E11" s="1">
        <f t="shared" ref="E11:E26" si="3">1000*LN(D11)</f>
        <v>-29.433310441339408</v>
      </c>
    </row>
    <row r="12" spans="1:5" x14ac:dyDescent="0.25">
      <c r="A12" s="1">
        <v>150</v>
      </c>
      <c r="B12">
        <v>1.0688</v>
      </c>
      <c r="C12">
        <v>1.0411999999999999</v>
      </c>
      <c r="D12">
        <f t="shared" si="2"/>
        <v>0.97417664670658677</v>
      </c>
      <c r="E12" s="1">
        <f t="shared" si="3"/>
        <v>-26.162629661971028</v>
      </c>
    </row>
    <row r="13" spans="1:5" x14ac:dyDescent="0.25">
      <c r="A13" s="1">
        <v>175</v>
      </c>
      <c r="B13">
        <v>1.0628</v>
      </c>
      <c r="C13">
        <v>1.0383</v>
      </c>
      <c r="D13">
        <f t="shared" si="2"/>
        <v>0.976947685359428</v>
      </c>
      <c r="E13" s="1">
        <f t="shared" si="3"/>
        <v>-23.322174576250109</v>
      </c>
    </row>
    <row r="14" spans="1:5" x14ac:dyDescent="0.25">
      <c r="A14" s="1">
        <v>200</v>
      </c>
      <c r="B14">
        <v>1.0575000000000001</v>
      </c>
      <c r="C14">
        <v>1.0357000000000001</v>
      </c>
      <c r="D14">
        <f t="shared" si="2"/>
        <v>0.9793853427895981</v>
      </c>
      <c r="E14" s="1">
        <f t="shared" si="3"/>
        <v>-20.830105325599888</v>
      </c>
    </row>
    <row r="15" spans="1:5" x14ac:dyDescent="0.25">
      <c r="A15" s="1">
        <v>250</v>
      </c>
      <c r="B15">
        <v>1.0488</v>
      </c>
      <c r="C15">
        <v>1.0313000000000001</v>
      </c>
      <c r="D15">
        <f t="shared" si="2"/>
        <v>0.98331426392067134</v>
      </c>
      <c r="E15" s="1">
        <f t="shared" si="3"/>
        <v>-16.826511127466674</v>
      </c>
    </row>
    <row r="16" spans="1:5" x14ac:dyDescent="0.25">
      <c r="A16" s="1">
        <v>300</v>
      </c>
      <c r="B16">
        <v>1.0419</v>
      </c>
      <c r="C16">
        <v>1.0277000000000001</v>
      </c>
      <c r="D16">
        <f t="shared" si="2"/>
        <v>0.98637105288415394</v>
      </c>
      <c r="E16" s="1">
        <f t="shared" si="3"/>
        <v>-13.722673787110628</v>
      </c>
    </row>
    <row r="17" spans="1:5" x14ac:dyDescent="0.25">
      <c r="A17" s="1">
        <v>350</v>
      </c>
      <c r="B17">
        <v>1.0363</v>
      </c>
      <c r="C17">
        <v>1.0246999999999999</v>
      </c>
      <c r="D17">
        <f t="shared" si="2"/>
        <v>0.9888063302132587</v>
      </c>
      <c r="E17" s="1">
        <f t="shared" si="3"/>
        <v>-11.256790384499519</v>
      </c>
    </row>
    <row r="18" spans="1:5" x14ac:dyDescent="0.25">
      <c r="A18" s="1">
        <v>400</v>
      </c>
      <c r="B18">
        <v>1.0318000000000001</v>
      </c>
      <c r="C18">
        <v>1.0222</v>
      </c>
      <c r="D18">
        <f t="shared" si="2"/>
        <v>0.99069587129288617</v>
      </c>
      <c r="E18" s="1">
        <f t="shared" si="3"/>
        <v>-9.3476824763703963</v>
      </c>
    </row>
    <row r="19" spans="1:5" x14ac:dyDescent="0.25">
      <c r="A19" s="1">
        <v>450</v>
      </c>
      <c r="B19">
        <v>1.028</v>
      </c>
      <c r="C19">
        <v>1.0201</v>
      </c>
      <c r="D19">
        <f t="shared" si="2"/>
        <v>0.99231517509727629</v>
      </c>
      <c r="E19" s="1">
        <f t="shared" si="3"/>
        <v>-7.7145053266371724</v>
      </c>
    </row>
    <row r="20" spans="1:5" x14ac:dyDescent="0.25">
      <c r="A20" s="1">
        <v>500</v>
      </c>
      <c r="B20">
        <v>1.0248999999999999</v>
      </c>
      <c r="C20">
        <v>1.0182</v>
      </c>
      <c r="D20">
        <f t="shared" si="2"/>
        <v>0.99346277685627871</v>
      </c>
      <c r="E20" s="1">
        <f t="shared" si="3"/>
        <v>-6.5586843692815826</v>
      </c>
    </row>
    <row r="21" spans="1:5" x14ac:dyDescent="0.25">
      <c r="A21" s="1">
        <v>600</v>
      </c>
      <c r="B21">
        <v>1.02</v>
      </c>
      <c r="C21">
        <v>1.0152000000000001</v>
      </c>
      <c r="D21">
        <f t="shared" si="2"/>
        <v>0.99529411764705888</v>
      </c>
      <c r="E21" s="1">
        <f t="shared" si="3"/>
        <v>-4.716989878138798</v>
      </c>
    </row>
    <row r="22" spans="1:5" x14ac:dyDescent="0.25">
      <c r="A22" s="1">
        <v>700</v>
      </c>
      <c r="B22">
        <v>1.0163</v>
      </c>
      <c r="C22">
        <v>1.0128999999999999</v>
      </c>
      <c r="D22">
        <f t="shared" si="2"/>
        <v>0.99665453114237912</v>
      </c>
      <c r="E22" s="1">
        <f t="shared" si="3"/>
        <v>-3.351077450969377</v>
      </c>
    </row>
    <row r="23" spans="1:5" x14ac:dyDescent="0.25">
      <c r="A23" s="1">
        <v>800</v>
      </c>
      <c r="B23">
        <v>1.0136000000000001</v>
      </c>
      <c r="C23">
        <v>1.0109999999999999</v>
      </c>
      <c r="D23">
        <f t="shared" si="2"/>
        <v>0.99743488555643234</v>
      </c>
      <c r="E23" s="1">
        <f t="shared" si="3"/>
        <v>-2.5684099864580605</v>
      </c>
    </row>
    <row r="24" spans="1:5" x14ac:dyDescent="0.25">
      <c r="A24" s="1">
        <v>900</v>
      </c>
      <c r="B24">
        <v>1.0115000000000001</v>
      </c>
      <c r="C24">
        <v>1.0095000000000001</v>
      </c>
      <c r="D24">
        <f t="shared" si="2"/>
        <v>0.99802273850716761</v>
      </c>
      <c r="E24" s="1">
        <f t="shared" si="3"/>
        <v>-1.9792188549079366</v>
      </c>
    </row>
    <row r="25" spans="1:5" x14ac:dyDescent="0.25">
      <c r="A25" s="1">
        <v>1100</v>
      </c>
      <c r="B25">
        <v>1.0085</v>
      </c>
      <c r="C25">
        <v>1.0073000000000001</v>
      </c>
      <c r="D25">
        <f t="shared" si="2"/>
        <v>0.99881011403073883</v>
      </c>
      <c r="E25" s="1">
        <f t="shared" si="3"/>
        <v>-1.1905944456309185</v>
      </c>
    </row>
    <row r="26" spans="1:5" x14ac:dyDescent="0.25">
      <c r="A26" s="1">
        <v>1300</v>
      </c>
      <c r="B26">
        <v>1.0065</v>
      </c>
      <c r="C26">
        <v>1.0058</v>
      </c>
      <c r="D26">
        <f t="shared" si="2"/>
        <v>0.99930452061599606</v>
      </c>
      <c r="E26" s="1">
        <f t="shared" si="3"/>
        <v>-0.69572134198175362</v>
      </c>
    </row>
    <row r="28" spans="1:5" x14ac:dyDescent="0.25">
      <c r="A2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calc, low T alteration</vt:lpstr>
      <vt:lpstr>Model calc, CO2-rich alteration</vt:lpstr>
      <vt:lpstr>Richet B factors</vt:lpstr>
    </vt:vector>
  </TitlesOfParts>
  <Company>University of Exeter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Broom-Fendley, Sam</dc:creator>
  <cp:lastModifiedBy>Broom-Fendley, Sam</cp:lastModifiedBy>
  <dcterms:created xsi:type="dcterms:W3CDTF">2016-04-01T15:21:31Z</dcterms:created>
  <dcterms:modified xsi:type="dcterms:W3CDTF">2017-09-26T13:48:23Z</dcterms:modified>
</cp:coreProperties>
</file>