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d.helsinki.fi\home\r\riketo\Desktop\submission\revision\Revision_submission\"/>
    </mc:Choice>
  </mc:AlternateContent>
  <bookViews>
    <workbookView xWindow="0" yWindow="0" windowWidth="21900" windowHeight="15630"/>
  </bookViews>
  <sheets>
    <sheet name="EMPA" sheetId="3" r:id="rId1"/>
    <sheet name="XRF, ICP-MS" sheetId="1" r:id="rId2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P8" i="1" l="1"/>
  <c r="AQ8" i="1"/>
  <c r="AT8" i="1"/>
  <c r="AY8" i="1"/>
  <c r="AP9" i="1"/>
  <c r="AQ9" i="1"/>
  <c r="AT9" i="1"/>
  <c r="AY9" i="1"/>
  <c r="AP10" i="1"/>
  <c r="AQ10" i="1"/>
  <c r="AT10" i="1"/>
  <c r="AY10" i="1"/>
  <c r="AP12" i="1"/>
  <c r="AQ12" i="1"/>
  <c r="AT12" i="1"/>
  <c r="AP13" i="1"/>
  <c r="AQ13" i="1"/>
  <c r="AT13" i="1"/>
  <c r="AY13" i="1"/>
  <c r="AP14" i="1"/>
  <c r="AQ14" i="1"/>
  <c r="AT14" i="1"/>
  <c r="AY14" i="1"/>
  <c r="AP15" i="1"/>
  <c r="AQ15" i="1"/>
  <c r="AT15" i="1"/>
  <c r="AY15" i="1"/>
  <c r="AP16" i="1"/>
  <c r="AQ16" i="1"/>
  <c r="AT16" i="1"/>
  <c r="AY16" i="1"/>
  <c r="AP17" i="1"/>
  <c r="AQ17" i="1"/>
  <c r="AT17" i="1"/>
  <c r="AY17" i="1"/>
  <c r="AP18" i="1"/>
  <c r="AQ18" i="1"/>
  <c r="AT18" i="1"/>
  <c r="AY18" i="1"/>
  <c r="B23" i="1"/>
  <c r="C23" i="1"/>
  <c r="D23" i="1"/>
  <c r="E23" i="1"/>
  <c r="F23" i="1"/>
  <c r="G23" i="1"/>
  <c r="H23" i="1"/>
  <c r="I23" i="1"/>
  <c r="J23" i="1"/>
  <c r="K23" i="1"/>
  <c r="L23" i="1"/>
  <c r="M23" i="1"/>
  <c r="N23" i="1"/>
  <c r="O23" i="1"/>
  <c r="P23" i="1"/>
  <c r="Q23" i="1"/>
  <c r="R23" i="1"/>
  <c r="S23" i="1"/>
  <c r="T23" i="1"/>
  <c r="U23" i="1"/>
  <c r="V23" i="1"/>
  <c r="W23" i="1"/>
  <c r="X23" i="1"/>
  <c r="Y23" i="1"/>
  <c r="Z23" i="1"/>
  <c r="AA23" i="1"/>
  <c r="AB23" i="1"/>
  <c r="AC23" i="1"/>
  <c r="AD23" i="1"/>
  <c r="AE23" i="1"/>
  <c r="AF23" i="1"/>
  <c r="AG23" i="1"/>
  <c r="AH23" i="1"/>
  <c r="AI23" i="1"/>
  <c r="AP25" i="1"/>
  <c r="AQ25" i="1"/>
  <c r="AT25" i="1"/>
  <c r="AY25" i="1"/>
  <c r="AP26" i="1"/>
  <c r="AQ26" i="1"/>
  <c r="AT26" i="1"/>
  <c r="AY26" i="1"/>
  <c r="AP27" i="1"/>
  <c r="AQ27" i="1"/>
  <c r="AT27" i="1"/>
  <c r="AY27" i="1"/>
  <c r="AP28" i="1"/>
  <c r="AQ28" i="1"/>
  <c r="AT28" i="1"/>
  <c r="AY28" i="1"/>
  <c r="AP29" i="1"/>
  <c r="AQ29" i="1"/>
  <c r="AT29" i="1"/>
  <c r="AY29" i="1"/>
  <c r="AP30" i="1"/>
  <c r="AQ30" i="1"/>
  <c r="AT30" i="1"/>
  <c r="AY30" i="1"/>
  <c r="AP31" i="1"/>
  <c r="AQ31" i="1"/>
  <c r="AT31" i="1"/>
  <c r="AY31" i="1"/>
  <c r="AP32" i="1"/>
  <c r="AQ32" i="1"/>
  <c r="AT32" i="1"/>
  <c r="AY32" i="1"/>
  <c r="AP33" i="1"/>
  <c r="AQ33" i="1"/>
  <c r="AT33" i="1"/>
  <c r="AY33" i="1"/>
  <c r="AP34" i="1"/>
  <c r="AQ34" i="1"/>
  <c r="AT34" i="1"/>
  <c r="AY34" i="1"/>
  <c r="AP35" i="1"/>
  <c r="AQ35" i="1"/>
  <c r="AT35" i="1"/>
  <c r="AP36" i="1"/>
  <c r="AQ36" i="1"/>
  <c r="AT36" i="1"/>
  <c r="AP37" i="1"/>
  <c r="AQ37" i="1"/>
  <c r="AT37" i="1"/>
  <c r="AY37" i="1"/>
  <c r="AP38" i="1"/>
  <c r="AQ38" i="1"/>
  <c r="AT38" i="1"/>
  <c r="AY38" i="1"/>
  <c r="AP39" i="1"/>
  <c r="AQ39" i="1"/>
  <c r="AT39" i="1"/>
  <c r="AP40" i="1"/>
  <c r="AT40" i="1"/>
  <c r="AY40" i="1"/>
  <c r="AP41" i="1"/>
  <c r="AQ41" i="1"/>
  <c r="AT41" i="1"/>
  <c r="AP42" i="1"/>
  <c r="AQ42" i="1"/>
  <c r="AT42" i="1"/>
  <c r="AY42" i="1"/>
  <c r="AP43" i="1"/>
  <c r="AQ43" i="1"/>
  <c r="AT43" i="1"/>
  <c r="AY43" i="1"/>
  <c r="AP44" i="1"/>
  <c r="AQ44" i="1"/>
  <c r="AT44" i="1"/>
  <c r="AY44" i="1"/>
  <c r="AP45" i="1"/>
  <c r="AQ45" i="1"/>
  <c r="AT45" i="1"/>
  <c r="AY45" i="1"/>
  <c r="AP46" i="1"/>
  <c r="AQ46" i="1"/>
  <c r="AT46" i="1"/>
  <c r="AY46" i="1"/>
  <c r="AP47" i="1"/>
  <c r="AQ47" i="1"/>
  <c r="AT47" i="1"/>
  <c r="AY47" i="1"/>
  <c r="AP48" i="1"/>
  <c r="AQ48" i="1"/>
  <c r="AT48" i="1"/>
  <c r="AY48" i="1"/>
  <c r="AP49" i="1"/>
  <c r="AQ49" i="1"/>
  <c r="AT49" i="1"/>
  <c r="AY49" i="1"/>
  <c r="AP50" i="1"/>
  <c r="AQ50" i="1"/>
  <c r="AT50" i="1"/>
  <c r="AY50" i="1"/>
  <c r="AP51" i="1"/>
  <c r="AQ51" i="1"/>
  <c r="AT51" i="1"/>
  <c r="AY51" i="1"/>
  <c r="AP52" i="1"/>
  <c r="AQ52" i="1"/>
  <c r="AT52" i="1"/>
  <c r="AY52" i="1"/>
  <c r="AP53" i="1"/>
  <c r="AQ53" i="1"/>
  <c r="AT53" i="1"/>
  <c r="AY53" i="1"/>
  <c r="AP54" i="1"/>
  <c r="AQ54" i="1"/>
  <c r="AT54" i="1"/>
  <c r="AY54" i="1"/>
  <c r="AP55" i="1"/>
  <c r="AQ55" i="1"/>
  <c r="AT55" i="1"/>
  <c r="AY55" i="1"/>
  <c r="AP56" i="1"/>
  <c r="AQ56" i="1"/>
  <c r="AT56" i="1"/>
  <c r="AY56" i="1"/>
  <c r="AP57" i="1"/>
  <c r="AQ57" i="1"/>
  <c r="AT57" i="1"/>
  <c r="AY57" i="1"/>
  <c r="AP58" i="1"/>
  <c r="AQ58" i="1"/>
  <c r="AT58" i="1"/>
  <c r="AY58" i="1"/>
  <c r="AP59" i="1"/>
  <c r="AQ59" i="1"/>
  <c r="AT59" i="1"/>
</calcChain>
</file>

<file path=xl/sharedStrings.xml><?xml version="1.0" encoding="utf-8"?>
<sst xmlns="http://schemas.openxmlformats.org/spreadsheetml/2006/main" count="1140" uniqueCount="451">
  <si>
    <t>Taggart, J.E., Siems, D.F., 2002. Major elemental analysis by wavelength dispersive x-ray fluorescence spectrometry: U.S. Geological Survey Open File Report 02-223-T, 9 p.</t>
  </si>
  <si>
    <t>Meier, A.L., Slowik, T., 2002. Rare earth elements by inductively coupled plasma-mass spectrometry. U.S. Geological Survey Open File Report 02-223-K, 8 p.</t>
  </si>
  <si>
    <t>Briggs, P.H., Meier, A.L., 2002. The determination of forty-two elements in geological materials by inductively coupled plasma - mass spectrometry. U.S. Geological Survey Open File Report 02-223-I, 14 p.</t>
  </si>
  <si>
    <t>References</t>
  </si>
  <si>
    <t>Elements Be, Bi, Cd, In, Mo, Sb, Sn, and Tl (and Ag, As, B, Ge, Se, and Te at USGS) were also analyzed with ICP-MS, but were consistently below or very close to the respective detection limits and are not reported here. W is also not reproted.</t>
  </si>
  <si>
    <r>
      <t>*Fe</t>
    </r>
    <r>
      <rPr>
        <vertAlign val="sub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>O</t>
    </r>
    <r>
      <rPr>
        <vertAlign val="sub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calculated from total Fe, reference material for Fe</t>
    </r>
    <r>
      <rPr>
        <vertAlign val="sub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>O</t>
    </r>
    <r>
      <rPr>
        <vertAlign val="subscript"/>
        <sz val="8"/>
        <color theme="1"/>
        <rFont val="Arial"/>
        <family val="2"/>
      </rPr>
      <t>3</t>
    </r>
    <r>
      <rPr>
        <vertAlign val="superscript"/>
        <sz val="8"/>
        <color theme="1"/>
        <rFont val="Arial"/>
        <family val="2"/>
      </rPr>
      <t>tot</t>
    </r>
    <r>
      <rPr>
        <sz val="8"/>
        <color theme="1"/>
        <rFont val="Arial"/>
        <family val="2"/>
      </rPr>
      <t xml:space="preserve"> from Hargreaves (2015)</t>
    </r>
  </si>
  <si>
    <r>
      <rPr>
        <vertAlign val="superscript"/>
        <sz val="8"/>
        <color theme="1"/>
        <rFont val="Arial"/>
        <family val="2"/>
      </rPr>
      <t>d</t>
    </r>
    <r>
      <rPr>
        <sz val="8"/>
        <color theme="1"/>
        <rFont val="Arial"/>
        <family val="2"/>
      </rPr>
      <t>FeO</t>
    </r>
    <r>
      <rPr>
        <vertAlign val="superscript"/>
        <sz val="8"/>
        <color theme="1"/>
        <rFont val="Arial"/>
        <family val="2"/>
      </rPr>
      <t xml:space="preserve">tot </t>
    </r>
    <r>
      <rPr>
        <sz val="8"/>
        <color theme="1"/>
        <rFont val="Arial"/>
        <family val="2"/>
      </rPr>
      <t>calculated as FeO+0.8998*Fe</t>
    </r>
    <r>
      <rPr>
        <vertAlign val="sub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>O</t>
    </r>
    <r>
      <rPr>
        <vertAlign val="subscript"/>
        <sz val="8"/>
        <color theme="1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</si>
  <si>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c</t>
    </r>
    <r>
      <rPr>
        <sz val="8"/>
        <color theme="1"/>
        <rFont val="Arial"/>
        <family val="2"/>
      </rPr>
      <t>Mg# calculated as Mg</t>
    </r>
    <r>
      <rPr>
        <vertAlign val="superscript"/>
        <sz val="8"/>
        <color theme="1"/>
        <rFont val="Arial"/>
        <family val="2"/>
      </rPr>
      <t>2+</t>
    </r>
    <r>
      <rPr>
        <sz val="8"/>
        <color theme="1"/>
        <rFont val="Arial"/>
        <family val="2"/>
      </rPr>
      <t>/(Mg</t>
    </r>
    <r>
      <rPr>
        <vertAlign val="superscript"/>
        <sz val="8"/>
        <color theme="1"/>
        <rFont val="Arial"/>
        <family val="2"/>
      </rPr>
      <t>2+</t>
    </r>
    <r>
      <rPr>
        <sz val="8"/>
        <color theme="1"/>
        <rFont val="Arial"/>
        <family val="2"/>
      </rPr>
      <t>+Fe</t>
    </r>
    <r>
      <rPr>
        <vertAlign val="superscript"/>
        <sz val="8"/>
        <color theme="1"/>
        <rFont val="Arial"/>
        <family val="2"/>
      </rPr>
      <t>2+</t>
    </r>
    <r>
      <rPr>
        <sz val="8"/>
        <color theme="1"/>
        <rFont val="Arial"/>
        <family val="2"/>
      </rPr>
      <t>)</t>
    </r>
  </si>
  <si>
    <r>
      <rPr>
        <vertAlign val="superscript"/>
        <sz val="8"/>
        <rFont val="Arial"/>
        <family val="2"/>
      </rPr>
      <t>b</t>
    </r>
    <r>
      <rPr>
        <sz val="8"/>
        <rFont val="Arial"/>
        <family val="2"/>
      </rPr>
      <t>The reference material for USGS analysis are from Taggart and Siems (2002) for XRF and from Meier and Slowik (2002), Briggs and Meier (2002), and USGS website (https://www.usgs.gov/energy-and-minerals/mineral-resources-program/science/analytical-chemistry) for ICP-MS.</t>
    </r>
  </si>
  <si>
    <r>
      <rPr>
        <vertAlign val="superscript"/>
        <sz val="8"/>
        <color theme="1"/>
        <rFont val="Arial"/>
        <family val="2"/>
      </rPr>
      <t>a</t>
    </r>
    <r>
      <rPr>
        <sz val="8"/>
        <color theme="1"/>
        <rFont val="Arial"/>
        <family val="2"/>
      </rPr>
      <t>The reference material for GeoLabs analysis are from Hargreaves (2015; XRF), Hargreaves (2017; ICP-MS), and Hargreaves (2019; FeO).</t>
    </r>
  </si>
  <si>
    <r>
      <rPr>
        <sz val="8"/>
        <rFont val="Calibri"/>
        <family val="2"/>
      </rPr>
      <t>≤</t>
    </r>
    <r>
      <rPr>
        <sz val="8"/>
        <rFont val="Arial"/>
        <family val="2"/>
      </rPr>
      <t>15 %</t>
    </r>
  </si>
  <si>
    <t>0.14 ± 0.03</t>
  </si>
  <si>
    <t>0.1238 ± 0.0030 (184)</t>
  </si>
  <si>
    <t>Lu</t>
  </si>
  <si>
    <t>3.4±0.05</t>
  </si>
  <si>
    <t>1.6 ± 0.2</t>
  </si>
  <si>
    <t>1.59 ± 0.06 (494)</t>
  </si>
  <si>
    <t>Yb</t>
  </si>
  <si>
    <t>0.57±0.01</t>
  </si>
  <si>
    <t>0.17 ± 0.04</t>
  </si>
  <si>
    <t>0.1302 ± 0.0030 (184)</t>
  </si>
  <si>
    <t>Tm</t>
  </si>
  <si>
    <t>3.5±0.02</t>
  </si>
  <si>
    <t>1.0 ± 0.2</t>
  </si>
  <si>
    <t>0.911 ± 0.022 (184)</t>
  </si>
  <si>
    <t>Er</t>
  </si>
  <si>
    <t>1.24±0.01</t>
  </si>
  <si>
    <t>0.33 ± 0.05</t>
  </si>
  <si>
    <t>0.317 ± 0.007 (184)</t>
  </si>
  <si>
    <t>Ho</t>
  </si>
  <si>
    <t>6.4±0.1</t>
  </si>
  <si>
    <t>3.6 ± 0.2</t>
  </si>
  <si>
    <t>3.43 ± 0.15 (494)</t>
  </si>
  <si>
    <t>Dy</t>
  </si>
  <si>
    <t>1.1±0.01</t>
  </si>
  <si>
    <t>0.35 ± 0.05</t>
  </si>
  <si>
    <t>0.276 ± 0.007 (184)</t>
  </si>
  <si>
    <t>Tb</t>
  </si>
  <si>
    <t>7.0±0.10</t>
  </si>
  <si>
    <t>1.9 ± 0.2</t>
  </si>
  <si>
    <t>1.88 ± 0.04 (184)</t>
  </si>
  <si>
    <t>Gd</t>
  </si>
  <si>
    <t>2.0±0.02</t>
  </si>
  <si>
    <t>1.54 ± 0.10</t>
  </si>
  <si>
    <t>1.51 ± 0.07 (494)</t>
  </si>
  <si>
    <t>Eu</t>
  </si>
  <si>
    <t>6.6±0.14</t>
  </si>
  <si>
    <t>6.2 ± 0.4</t>
  </si>
  <si>
    <t>6.10 ± 0.11 (361)</t>
  </si>
  <si>
    <t>Sm</t>
  </si>
  <si>
    <t>29±0.5</t>
  </si>
  <si>
    <t>25.0 ± 1.8</t>
  </si>
  <si>
    <t>24.7 ± 0.4 (361)</t>
  </si>
  <si>
    <t>Nd</t>
  </si>
  <si>
    <t>6.5±0.11</t>
  </si>
  <si>
    <t>8.3 ± 0.6</t>
  </si>
  <si>
    <t>7.9 ± 0.4 (494)</t>
  </si>
  <si>
    <t>Pr</t>
  </si>
  <si>
    <t>53.4±0.79</t>
  </si>
  <si>
    <t>38 ± 2</t>
  </si>
  <si>
    <t>36.9 ± 0.8 (361)</t>
  </si>
  <si>
    <t>Ce</t>
  </si>
  <si>
    <t>25.7±0.39</t>
  </si>
  <si>
    <t>15 ± 1</t>
  </si>
  <si>
    <t>15.21 ± 0.25 (361)</t>
  </si>
  <si>
    <t>La</t>
  </si>
  <si>
    <r>
      <t>40.32</t>
    </r>
    <r>
      <rPr>
        <sz val="8"/>
        <rFont val="Calibri"/>
        <family val="2"/>
      </rPr>
      <t>±</t>
    </r>
    <r>
      <rPr>
        <sz val="8"/>
        <rFont val="Arial"/>
        <family val="2"/>
      </rPr>
      <t>1.01</t>
    </r>
  </si>
  <si>
    <t>20 ± 3</t>
  </si>
  <si>
    <t>21.2 ± 1.0 (184)</t>
  </si>
  <si>
    <t>Li</t>
  </si>
  <si>
    <t>25.58±0.39</t>
  </si>
  <si>
    <t>18 ± 3</t>
  </si>
  <si>
    <t>15.0 ± 0.9 (183)</t>
  </si>
  <si>
    <t>Pb</t>
  </si>
  <si>
    <t>2.34±0.05</t>
  </si>
  <si>
    <t>1.9 ± 0.3</t>
  </si>
  <si>
    <t>1.89 ± 0.05 (184)</t>
  </si>
  <si>
    <t>U</t>
  </si>
  <si>
    <t>8.19±0.36</t>
  </si>
  <si>
    <t>6.1 ± 0.6</t>
  </si>
  <si>
    <t>5.97 ± 0.29 (494)</t>
  </si>
  <si>
    <t>Th</t>
  </si>
  <si>
    <t>3.2 ± 0.7</t>
  </si>
  <si>
    <t>2.72 ± 0.07 (184)</t>
  </si>
  <si>
    <t>Cs</t>
  </si>
  <si>
    <t>267.00±4.95</t>
  </si>
  <si>
    <t>389 ± 23</t>
  </si>
  <si>
    <t>388 ± 6 (361)</t>
  </si>
  <si>
    <t>Sr</t>
  </si>
  <si>
    <t>9.8 ± 1.0</t>
  </si>
  <si>
    <t>9.27 ± 0.22 (361)</t>
  </si>
  <si>
    <t>Rb</t>
  </si>
  <si>
    <t>330.80±7.26</t>
  </si>
  <si>
    <t>130 ± 13</t>
  </si>
  <si>
    <t>131.7 ± 1.9 (361)</t>
  </si>
  <si>
    <t>Ba</t>
  </si>
  <si>
    <t>19.78±0.17</t>
  </si>
  <si>
    <t>26 ± 2</t>
  </si>
  <si>
    <t>25.6 ± 0.4 (361)</t>
  </si>
  <si>
    <t>Y</t>
  </si>
  <si>
    <t>172 ± 11</t>
  </si>
  <si>
    <t>173 ± 4 (361)</t>
  </si>
  <si>
    <t>Zr</t>
  </si>
  <si>
    <t>4.1 ± 0.3</t>
  </si>
  <si>
    <t>4.43 ± 0.09 (361)</t>
  </si>
  <si>
    <t>Hf</t>
  </si>
  <si>
    <t>10.11±0.83</t>
  </si>
  <si>
    <t>27 ± 2</t>
  </si>
  <si>
    <t>25.3 ± 1.3 (326)</t>
  </si>
  <si>
    <t>Nb</t>
  </si>
  <si>
    <r>
      <t>12.32±0.85</t>
    </r>
    <r>
      <rPr>
        <vertAlign val="superscript"/>
        <sz val="8"/>
        <rFont val="Arial"/>
        <family val="2"/>
      </rPr>
      <t>#</t>
    </r>
  </si>
  <si>
    <t>0.42 ± 0.05</t>
  </si>
  <si>
    <t>0.410 ± 0.017 (184)</t>
  </si>
  <si>
    <t>Ta</t>
  </si>
  <si>
    <t>15.10±0.36</t>
  </si>
  <si>
    <t>21.7 ± 0.9</t>
  </si>
  <si>
    <t>21.1 ± 0.4 (361)</t>
  </si>
  <si>
    <t>Ga</t>
  </si>
  <si>
    <t>138.00±2.83</t>
  </si>
  <si>
    <t>103 ± 6</t>
  </si>
  <si>
    <t>104 ± 4 (361)</t>
  </si>
  <si>
    <t>Zn</t>
  </si>
  <si>
    <t>361.00±8.28</t>
  </si>
  <si>
    <t>127 ± 7</t>
  </si>
  <si>
    <t>132.7 ± 2.6 (361)</t>
  </si>
  <si>
    <t>Cu</t>
  </si>
  <si>
    <t>134.00±2.83</t>
  </si>
  <si>
    <t>317 ± 11</t>
  </si>
  <si>
    <t>320 ± 6 (355)</t>
  </si>
  <si>
    <t>V</t>
  </si>
  <si>
    <r>
      <t>15.32</t>
    </r>
    <r>
      <rPr>
        <sz val="8"/>
        <rFont val="Calibri"/>
        <family val="2"/>
      </rPr>
      <t>±</t>
    </r>
    <r>
      <rPr>
        <sz val="8"/>
        <rFont val="Arial"/>
        <family val="2"/>
      </rPr>
      <t>0.37</t>
    </r>
  </si>
  <si>
    <t>32 ± 1</t>
  </si>
  <si>
    <t>32.2 ± 0.8 (361)</t>
  </si>
  <si>
    <t>Sc</t>
  </si>
  <si>
    <r>
      <t>73.76</t>
    </r>
    <r>
      <rPr>
        <sz val="8"/>
        <rFont val="Calibri"/>
        <family val="2"/>
      </rPr>
      <t>±</t>
    </r>
    <r>
      <rPr>
        <sz val="8"/>
        <rFont val="Arial"/>
        <family val="2"/>
      </rPr>
      <t>1.69</t>
    </r>
  </si>
  <si>
    <t>119 ± 7</t>
  </si>
  <si>
    <t>122 ± 10 (361)</t>
  </si>
  <si>
    <t>Ni</t>
  </si>
  <si>
    <r>
      <t>25.16</t>
    </r>
    <r>
      <rPr>
        <sz val="8"/>
        <rFont val="Calibri"/>
        <family val="2"/>
      </rPr>
      <t>±</t>
    </r>
    <r>
      <rPr>
        <sz val="8"/>
        <rFont val="Arial"/>
        <family val="2"/>
      </rPr>
      <t>0.43</t>
    </r>
  </si>
  <si>
    <t>45 ± 3</t>
  </si>
  <si>
    <t>45.4 ± 1.1 (361)</t>
  </si>
  <si>
    <t>Co</t>
  </si>
  <si>
    <r>
      <t>185.20</t>
    </r>
    <r>
      <rPr>
        <sz val="8"/>
        <rFont val="Calibri"/>
        <family val="2"/>
      </rPr>
      <t>±</t>
    </r>
    <r>
      <rPr>
        <sz val="8"/>
        <rFont val="Arial"/>
        <family val="2"/>
      </rPr>
      <t>4.21</t>
    </r>
  </si>
  <si>
    <t>280 ± 19</t>
  </si>
  <si>
    <t>295 ± 6 (357)</t>
  </si>
  <si>
    <t>&lt;10</t>
  </si>
  <si>
    <t>Cr (ppm)</t>
  </si>
  <si>
    <r>
      <rPr>
        <vertAlign val="superscript"/>
        <sz val="8"/>
        <color theme="1"/>
        <rFont val="Arial"/>
        <family val="2"/>
      </rPr>
      <t>d</t>
    </r>
    <r>
      <rPr>
        <sz val="8"/>
        <color theme="1"/>
        <rFont val="Arial"/>
        <family val="2"/>
      </rPr>
      <t>FeO</t>
    </r>
    <r>
      <rPr>
        <vertAlign val="superscript"/>
        <sz val="8"/>
        <color theme="1"/>
        <rFont val="Arial"/>
        <family val="2"/>
      </rPr>
      <t>tot</t>
    </r>
  </si>
  <si>
    <r>
      <rPr>
        <vertAlign val="superscript"/>
        <sz val="8"/>
        <color theme="1"/>
        <rFont val="Arial"/>
        <family val="2"/>
      </rPr>
      <t>c</t>
    </r>
    <r>
      <rPr>
        <sz val="8"/>
        <color theme="1"/>
        <rFont val="Arial"/>
        <family val="2"/>
      </rPr>
      <t>Mg#</t>
    </r>
  </si>
  <si>
    <t>n.a.</t>
  </si>
  <si>
    <r>
      <t>H</t>
    </r>
    <r>
      <rPr>
        <vertAlign val="sub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>O</t>
    </r>
  </si>
  <si>
    <t>&lt;0.01</t>
  </si>
  <si>
    <t>LOI</t>
  </si>
  <si>
    <t>Sum</t>
  </si>
  <si>
    <t>0.187 0.004</t>
  </si>
  <si>
    <t>0.27 ± 0.02</t>
  </si>
  <si>
    <t>0.2708 ± 0.0026 (190)</t>
  </si>
  <si>
    <r>
      <t>P</t>
    </r>
    <r>
      <rPr>
        <vertAlign val="sub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>O</t>
    </r>
    <r>
      <rPr>
        <vertAlign val="subscript"/>
        <sz val="8"/>
        <color theme="1"/>
        <rFont val="Arial"/>
        <family val="2"/>
      </rPr>
      <t>5</t>
    </r>
  </si>
  <si>
    <t>1.77±0.01</t>
  </si>
  <si>
    <t>0.52 ± 0.01</t>
  </si>
  <si>
    <t>0.5242 ± 0.0031 (190)</t>
  </si>
  <si>
    <r>
      <t>K</t>
    </r>
    <r>
      <rPr>
        <vertAlign val="sub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>O</t>
    </r>
  </si>
  <si>
    <t>3.08±0.05</t>
  </si>
  <si>
    <t>2.22 ± 0.08</t>
  </si>
  <si>
    <t>2.248 ± 0.030 (190)</t>
  </si>
  <si>
    <r>
      <t>Na</t>
    </r>
    <r>
      <rPr>
        <vertAlign val="sub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>O</t>
    </r>
  </si>
  <si>
    <t>7.09±0.01</t>
  </si>
  <si>
    <t>11.4 ± 0.2</t>
  </si>
  <si>
    <t>11.34 ± 0.05 (190)</t>
  </si>
  <si>
    <t>CaO</t>
  </si>
  <si>
    <t>3.60±0.02</t>
  </si>
  <si>
    <t>7.23 ± 0.12</t>
  </si>
  <si>
    <t>7.37 ± 0.05 (190)</t>
  </si>
  <si>
    <t>MgO</t>
  </si>
  <si>
    <t>0.107±0.001</t>
  </si>
  <si>
    <t>0.166578 ± 0.005165</t>
  </si>
  <si>
    <t>0.1717 ± 0.0021 (190)</t>
  </si>
  <si>
    <t>MnO</t>
  </si>
  <si>
    <t>8.34 ± 0.10</t>
  </si>
  <si>
    <t>8.43 ± 0.04 (16)</t>
  </si>
  <si>
    <t>FeO</t>
  </si>
  <si>
    <t xml:space="preserve">* </t>
  </si>
  <si>
    <r>
      <t>Fe</t>
    </r>
    <r>
      <rPr>
        <vertAlign val="sub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>O</t>
    </r>
    <r>
      <rPr>
        <vertAlign val="subscript"/>
        <sz val="8"/>
        <color theme="1"/>
        <rFont val="Arial"/>
        <family val="2"/>
      </rPr>
      <t>3</t>
    </r>
  </si>
  <si>
    <t>13.48±0.02</t>
  </si>
  <si>
    <t>13.5 ± 0.2</t>
  </si>
  <si>
    <t>13.67 ± 0.08 (190)</t>
  </si>
  <si>
    <r>
      <t>Al</t>
    </r>
    <r>
      <rPr>
        <vertAlign val="sub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>O</t>
    </r>
    <r>
      <rPr>
        <vertAlign val="subscript"/>
        <sz val="8"/>
        <color theme="1"/>
        <rFont val="Arial"/>
        <family val="2"/>
      </rPr>
      <t>3</t>
    </r>
  </si>
  <si>
    <t>2.27±0.01</t>
  </si>
  <si>
    <t>2.73 ± 0.04</t>
  </si>
  <si>
    <t>2.730 ± 0.015 (190)</t>
  </si>
  <si>
    <r>
      <t>TiO</t>
    </r>
    <r>
      <rPr>
        <vertAlign val="subscript"/>
        <sz val="8"/>
        <color theme="1"/>
        <rFont val="Arial"/>
        <family val="2"/>
      </rPr>
      <t>2</t>
    </r>
  </si>
  <si>
    <t>54.17±0.13</t>
  </si>
  <si>
    <t>49.9 ± 0.6</t>
  </si>
  <si>
    <t>50.22 ± 0.17 (190)</t>
  </si>
  <si>
    <r>
      <t>SiO</t>
    </r>
    <r>
      <rPr>
        <vertAlign val="subscript"/>
        <sz val="8"/>
        <color theme="1"/>
        <rFont val="Arial"/>
        <family val="2"/>
      </rPr>
      <t xml:space="preserve">2 </t>
    </r>
    <r>
      <rPr>
        <sz val="8"/>
        <color theme="1"/>
        <rFont val="Arial"/>
        <family val="2"/>
      </rPr>
      <t>(wt.%)</t>
    </r>
  </si>
  <si>
    <t>X</t>
  </si>
  <si>
    <t>EMPA</t>
  </si>
  <si>
    <t>stream sediment</t>
  </si>
  <si>
    <t>andesite</t>
  </si>
  <si>
    <t>Basalt</t>
  </si>
  <si>
    <t>Limestone</t>
  </si>
  <si>
    <t>Andesite</t>
  </si>
  <si>
    <t>Granodiorite</t>
  </si>
  <si>
    <t>Leucotroctolite</t>
  </si>
  <si>
    <t>Ilm-ap-gabbro</t>
  </si>
  <si>
    <t>MD</t>
  </si>
  <si>
    <t>Ol-MD</t>
  </si>
  <si>
    <t>Rocktype</t>
  </si>
  <si>
    <r>
      <t>C</t>
    </r>
    <r>
      <rPr>
        <vertAlign val="subscript"/>
        <sz val="8"/>
        <rFont val="Arial"/>
        <family val="2"/>
      </rPr>
      <t>v</t>
    </r>
  </si>
  <si>
    <r>
      <t>GSD-6 (or GSD-2</t>
    </r>
    <r>
      <rPr>
        <vertAlign val="superscript"/>
        <sz val="8"/>
        <rFont val="Arial"/>
        <family val="2"/>
      </rPr>
      <t>#</t>
    </r>
    <r>
      <rPr>
        <sz val="8"/>
        <rFont val="Arial"/>
        <family val="2"/>
      </rPr>
      <t>)</t>
    </r>
  </si>
  <si>
    <t xml:space="preserve">JA-2 </t>
  </si>
  <si>
    <t>BCR-2</t>
  </si>
  <si>
    <t>BCR-1</t>
  </si>
  <si>
    <t>Deviation from standard</t>
  </si>
  <si>
    <t>Preferred value</t>
  </si>
  <si>
    <r>
      <t>C</t>
    </r>
    <r>
      <rPr>
        <vertAlign val="subscript"/>
        <sz val="8"/>
        <color theme="1"/>
        <rFont val="Arial"/>
        <family val="2"/>
      </rPr>
      <t>v</t>
    </r>
  </si>
  <si>
    <t>Certificate value</t>
  </si>
  <si>
    <t>BIR-1a</t>
  </si>
  <si>
    <t>GSR-6</t>
  </si>
  <si>
    <t>AVG-2</t>
  </si>
  <si>
    <t>GSP-2</t>
  </si>
  <si>
    <t xml:space="preserve"> BHVO-2</t>
  </si>
  <si>
    <t>RMF-18-211</t>
  </si>
  <si>
    <t>RMF-18-178</t>
  </si>
  <si>
    <t>RMF-18-175</t>
  </si>
  <si>
    <t>RMF-18-129</t>
  </si>
  <si>
    <t>RMF-18-252</t>
  </si>
  <si>
    <t>RMF-18-118</t>
  </si>
  <si>
    <t>RMF-18-110</t>
  </si>
  <si>
    <t>RMF-18-078</t>
  </si>
  <si>
    <t>RMF-18-188</t>
  </si>
  <si>
    <t>RMF-18-168</t>
  </si>
  <si>
    <t>RMF-18-077</t>
  </si>
  <si>
    <t>RMF-18-013</t>
  </si>
  <si>
    <t>RMF-15-116-A.X1</t>
  </si>
  <si>
    <t>RMF-15-112-A.X1</t>
  </si>
  <si>
    <t>RMF-15-126-A.X2</t>
  </si>
  <si>
    <t>APHE-14-013.B.X1</t>
  </si>
  <si>
    <t>APHE-14-013.1.X1</t>
  </si>
  <si>
    <t>APHE-14-013.1.X4</t>
  </si>
  <si>
    <t>APHE-14-012.1.X1</t>
  </si>
  <si>
    <t>APHE-14-011.F.X1</t>
  </si>
  <si>
    <t>RMF-15-101-A.X1</t>
  </si>
  <si>
    <t>APHE-14-011.E.X1</t>
  </si>
  <si>
    <t>APHE-14-011.5.X2</t>
  </si>
  <si>
    <t>RMF-18-260</t>
  </si>
  <si>
    <t>RMF-18-259</t>
  </si>
  <si>
    <t>RMF-18-258</t>
  </si>
  <si>
    <t>RMF-18-257</t>
  </si>
  <si>
    <t>RMF-18-256</t>
  </si>
  <si>
    <t>RMF-18-255-B</t>
  </si>
  <si>
    <t>RMF-18-255-A</t>
  </si>
  <si>
    <t>RMF-18-249</t>
  </si>
  <si>
    <t>APHE-16-5-A</t>
  </si>
  <si>
    <t>APHE-16-6-A</t>
  </si>
  <si>
    <t>RMF-15-122-A.X1</t>
  </si>
  <si>
    <t>Sample</t>
  </si>
  <si>
    <t>USGS standard</t>
  </si>
  <si>
    <r>
      <t>USGS standard</t>
    </r>
    <r>
      <rPr>
        <vertAlign val="superscript"/>
        <sz val="8"/>
        <color theme="1"/>
        <rFont val="Arial"/>
        <family val="2"/>
      </rPr>
      <t>b</t>
    </r>
  </si>
  <si>
    <t>Geolabs standard</t>
  </si>
  <si>
    <r>
      <t>Geolabs standard</t>
    </r>
    <r>
      <rPr>
        <vertAlign val="superscript"/>
        <sz val="8"/>
        <color theme="1"/>
        <rFont val="Arial"/>
        <family val="2"/>
      </rPr>
      <t>a</t>
    </r>
  </si>
  <si>
    <t>GeoLabs</t>
  </si>
  <si>
    <t>USGS-Labs</t>
  </si>
  <si>
    <t>Michallik, R.M., Wagner, T., Fusswinkel, T., Heinonen, J.S., Heikkilä, P., 2017. Chemical evolution and origin of the Luumäki gem beryl pegmatite: Constraints from mineral trace element chemistry and fractionation modeling. Lithos 274–275, 147–168.</t>
  </si>
  <si>
    <t>Based on repeated standard measurements (Michallik et al., 2017), general precision is estimated to be about 2 % for major elements (&gt;10 wt.%), and below 5 % minor elements (1–10 wt.%). For elements found in quantites below 1 wt.%, the precision is expected to be worse.</t>
  </si>
  <si>
    <t>52 Ni-Silicide</t>
  </si>
  <si>
    <t>25 Hematite</t>
  </si>
  <si>
    <t>Fe</t>
  </si>
  <si>
    <t>39 Rhodonite</t>
  </si>
  <si>
    <t xml:space="preserve">Mn </t>
  </si>
  <si>
    <t>17 Cr-oxide</t>
  </si>
  <si>
    <t>Cr</t>
  </si>
  <si>
    <t>40 Rutile</t>
  </si>
  <si>
    <t>Ti</t>
  </si>
  <si>
    <t>21 Diopside</t>
  </si>
  <si>
    <t>Ca</t>
  </si>
  <si>
    <t>41 Sanidine</t>
  </si>
  <si>
    <t>K</t>
  </si>
  <si>
    <t>Si</t>
  </si>
  <si>
    <t>35 Plagioclase</t>
  </si>
  <si>
    <t>Al</t>
  </si>
  <si>
    <t>Mg</t>
  </si>
  <si>
    <t>01 Albite</t>
  </si>
  <si>
    <t>Na</t>
  </si>
  <si>
    <t>Pyroxenes</t>
  </si>
  <si>
    <t>35 Hematite</t>
  </si>
  <si>
    <t>Mn</t>
  </si>
  <si>
    <t>27 periclase</t>
  </si>
  <si>
    <t>Plagiolcase</t>
  </si>
  <si>
    <t>34 Olivine</t>
  </si>
  <si>
    <t>Standard</t>
  </si>
  <si>
    <t>Element</t>
  </si>
  <si>
    <t>Olivine</t>
  </si>
  <si>
    <t>Standards</t>
  </si>
  <si>
    <t>Beam diameter: 10 micrometer</t>
  </si>
  <si>
    <t>Tilt Angle: 0 degree</t>
  </si>
  <si>
    <t>Take Off Angle: 40 degree</t>
  </si>
  <si>
    <t>Acc. Voltage: 15 kV</t>
  </si>
  <si>
    <t>Beam Current: 15 nA</t>
  </si>
  <si>
    <t>General EMPA settings</t>
  </si>
  <si>
    <t>*All the sample labels are abbreviations from RMF-18-249, -255A, etc.</t>
  </si>
  <si>
    <t>Mg#</t>
  </si>
  <si>
    <t>Wo</t>
  </si>
  <si>
    <t>Fs</t>
  </si>
  <si>
    <t>En</t>
  </si>
  <si>
    <t>Major component proportions</t>
  </si>
  <si>
    <t>sum</t>
  </si>
  <si>
    <r>
      <t>Fe</t>
    </r>
    <r>
      <rPr>
        <vertAlign val="superscript"/>
        <sz val="8"/>
        <rFont val="Arial"/>
        <family val="2"/>
      </rPr>
      <t>2+</t>
    </r>
  </si>
  <si>
    <t>M2</t>
  </si>
  <si>
    <r>
      <t>Fe</t>
    </r>
    <r>
      <rPr>
        <vertAlign val="superscript"/>
        <sz val="8"/>
        <rFont val="Arial"/>
        <family val="2"/>
      </rPr>
      <t>3+</t>
    </r>
  </si>
  <si>
    <t>M1</t>
  </si>
  <si>
    <t>T</t>
  </si>
  <si>
    <r>
      <t>Calculated cation proportions (6 oxygen; Si and Al are assigned to T site.  Ti, Al, Cr, Fe</t>
    </r>
    <r>
      <rPr>
        <b/>
        <vertAlign val="superscript"/>
        <sz val="8"/>
        <rFont val="Arial"/>
        <family val="2"/>
      </rPr>
      <t>3+</t>
    </r>
    <r>
      <rPr>
        <b/>
        <sz val="8"/>
        <rFont val="Arial"/>
        <family val="2"/>
      </rPr>
      <t>, Fe</t>
    </r>
    <r>
      <rPr>
        <b/>
        <vertAlign val="superscript"/>
        <sz val="8"/>
        <rFont val="Arial"/>
        <family val="2"/>
      </rPr>
      <t>2+</t>
    </r>
    <r>
      <rPr>
        <b/>
        <sz val="8"/>
        <rFont val="Arial"/>
        <family val="2"/>
      </rPr>
      <t>, and Mg are assigned to M1 site. Mn, Ca, Na, Fe</t>
    </r>
    <r>
      <rPr>
        <b/>
        <vertAlign val="superscript"/>
        <sz val="8"/>
        <rFont val="Arial"/>
        <family val="2"/>
      </rPr>
      <t>2+</t>
    </r>
    <r>
      <rPr>
        <b/>
        <sz val="8"/>
        <rFont val="Arial"/>
        <family val="2"/>
      </rPr>
      <t xml:space="preserve"> and Mg are assigned to M2 site. Fe</t>
    </r>
    <r>
      <rPr>
        <b/>
        <vertAlign val="superscript"/>
        <sz val="8"/>
        <rFont val="Arial"/>
        <family val="2"/>
      </rPr>
      <t>2+</t>
    </r>
    <r>
      <rPr>
        <b/>
        <sz val="8"/>
        <rFont val="Arial"/>
        <family val="2"/>
      </rPr>
      <t>/Mg ratio is assumed same on both sites)</t>
    </r>
  </si>
  <si>
    <t>SUM</t>
  </si>
  <si>
    <r>
      <t>Na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>O</t>
    </r>
  </si>
  <si>
    <r>
      <t>Al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>O</t>
    </r>
    <r>
      <rPr>
        <vertAlign val="subscript"/>
        <sz val="8"/>
        <rFont val="Arial"/>
        <family val="2"/>
      </rPr>
      <t>3</t>
    </r>
  </si>
  <si>
    <t>-</t>
  </si>
  <si>
    <r>
      <t>TiO</t>
    </r>
    <r>
      <rPr>
        <vertAlign val="subscript"/>
        <sz val="8"/>
        <rFont val="Arial"/>
        <family val="2"/>
      </rPr>
      <t>2</t>
    </r>
  </si>
  <si>
    <r>
      <t>SiO</t>
    </r>
    <r>
      <rPr>
        <vertAlign val="subscript"/>
        <sz val="8"/>
        <rFont val="Arial"/>
        <family val="2"/>
      </rPr>
      <t>2</t>
    </r>
  </si>
  <si>
    <t>n</t>
  </si>
  <si>
    <t>211-6b</t>
  </si>
  <si>
    <t>211-6a</t>
  </si>
  <si>
    <t>211-3b</t>
  </si>
  <si>
    <t>178-5</t>
  </si>
  <si>
    <t>178-3</t>
  </si>
  <si>
    <t>178-2</t>
  </si>
  <si>
    <t>178-1</t>
  </si>
  <si>
    <t>129-6</t>
  </si>
  <si>
    <t>129-5</t>
  </si>
  <si>
    <t>129-3</t>
  </si>
  <si>
    <t>129-1</t>
  </si>
  <si>
    <t>259-2</t>
  </si>
  <si>
    <t>258-8</t>
  </si>
  <si>
    <t>258-5</t>
  </si>
  <si>
    <t>258-1</t>
  </si>
  <si>
    <t>255B-2</t>
  </si>
  <si>
    <t>255B-1</t>
  </si>
  <si>
    <t>260-4</t>
  </si>
  <si>
    <t>260-3</t>
  </si>
  <si>
    <t>249-4</t>
  </si>
  <si>
    <t>Sample*</t>
  </si>
  <si>
    <t>leucotroctolite</t>
  </si>
  <si>
    <t>ap-ilm-gabbro</t>
  </si>
  <si>
    <t>Clinopyroxene</t>
  </si>
  <si>
    <r>
      <t>Cr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>O</t>
    </r>
    <r>
      <rPr>
        <vertAlign val="subscript"/>
        <sz val="8"/>
        <rFont val="Arial"/>
        <family val="2"/>
      </rPr>
      <t>3</t>
    </r>
  </si>
  <si>
    <t>211-7</t>
  </si>
  <si>
    <t>211-4</t>
  </si>
  <si>
    <t>211-3a</t>
  </si>
  <si>
    <t>178-4</t>
  </si>
  <si>
    <t>129-8</t>
  </si>
  <si>
    <t>129-7</t>
  </si>
  <si>
    <t>129-4</t>
  </si>
  <si>
    <t>129-2</t>
  </si>
  <si>
    <t>259-6</t>
  </si>
  <si>
    <t>259-3</t>
  </si>
  <si>
    <t>258-7</t>
  </si>
  <si>
    <t>258-6</t>
  </si>
  <si>
    <t>258-4</t>
  </si>
  <si>
    <t>258-3</t>
  </si>
  <si>
    <t>258-2</t>
  </si>
  <si>
    <t>255B-5</t>
  </si>
  <si>
    <t>255B-4</t>
  </si>
  <si>
    <t>255B-3</t>
  </si>
  <si>
    <t>260-5b</t>
  </si>
  <si>
    <t>260-5</t>
  </si>
  <si>
    <t>260-2</t>
  </si>
  <si>
    <t>260-1</t>
  </si>
  <si>
    <t>255A-6</t>
  </si>
  <si>
    <t>255A-5</t>
  </si>
  <si>
    <t>255A-4</t>
  </si>
  <si>
    <t>255A-3</t>
  </si>
  <si>
    <t>255A-2</t>
  </si>
  <si>
    <t>255A-1</t>
  </si>
  <si>
    <t>249-8</t>
  </si>
  <si>
    <t>249-7</t>
  </si>
  <si>
    <t>249-6</t>
  </si>
  <si>
    <t>249-5</t>
  </si>
  <si>
    <t>249-3</t>
  </si>
  <si>
    <t>249-2</t>
  </si>
  <si>
    <t>rock type</t>
  </si>
  <si>
    <t>Orthopyroxene</t>
  </si>
  <si>
    <t>Fo</t>
  </si>
  <si>
    <t>Calculated cation proportions (4 oxygen)</t>
  </si>
  <si>
    <t>211-2</t>
  </si>
  <si>
    <t>211-1</t>
  </si>
  <si>
    <t>178-6</t>
  </si>
  <si>
    <t>178-4b</t>
  </si>
  <si>
    <t>178-4a</t>
  </si>
  <si>
    <t>129-7b</t>
  </si>
  <si>
    <t>129-7a</t>
  </si>
  <si>
    <t>259-5</t>
  </si>
  <si>
    <t>259-4</t>
  </si>
  <si>
    <t>259-1</t>
  </si>
  <si>
    <t>255B-7</t>
  </si>
  <si>
    <t>255B-6</t>
  </si>
  <si>
    <t>260-6b</t>
  </si>
  <si>
    <t>260-6a</t>
  </si>
  <si>
    <t>255A-7</t>
  </si>
  <si>
    <t>249-1</t>
  </si>
  <si>
    <t>ap-ox-gabbro</t>
  </si>
  <si>
    <t>OL-MD</t>
  </si>
  <si>
    <t>Or</t>
  </si>
  <si>
    <t>Ab</t>
  </si>
  <si>
    <t>An</t>
  </si>
  <si>
    <t>Calculated cation proportions (8 oxygen)</t>
  </si>
  <si>
    <r>
      <t>K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>O</t>
    </r>
  </si>
  <si>
    <t>center</t>
  </si>
  <si>
    <t>rim</t>
  </si>
  <si>
    <t>gm</t>
  </si>
  <si>
    <t>inclusion</t>
  </si>
  <si>
    <t>inner rim</t>
  </si>
  <si>
    <t xml:space="preserve"> outer rim</t>
  </si>
  <si>
    <t>211-5b</t>
  </si>
  <si>
    <t>211-5a</t>
  </si>
  <si>
    <t>211-3</t>
  </si>
  <si>
    <t>211-1b</t>
  </si>
  <si>
    <t>211-1a</t>
  </si>
  <si>
    <t>178-2b</t>
  </si>
  <si>
    <t>178-2a</t>
  </si>
  <si>
    <t>129-1b</t>
  </si>
  <si>
    <t>129-1a</t>
  </si>
  <si>
    <t>259-5b</t>
  </si>
  <si>
    <t>259-3b</t>
  </si>
  <si>
    <t>259-3a</t>
  </si>
  <si>
    <t>258-6b</t>
  </si>
  <si>
    <t>258-6a</t>
  </si>
  <si>
    <t>258-1b</t>
  </si>
  <si>
    <t>258-1a</t>
  </si>
  <si>
    <t>255B-6b</t>
  </si>
  <si>
    <t>255B-6a</t>
  </si>
  <si>
    <t>255B-5b</t>
  </si>
  <si>
    <t>255B-5a</t>
  </si>
  <si>
    <t>255A-5b</t>
  </si>
  <si>
    <t>255A-5a</t>
  </si>
  <si>
    <t>255A-4b</t>
  </si>
  <si>
    <t>255A-4a</t>
  </si>
  <si>
    <t>255A-1b</t>
  </si>
  <si>
    <t>255A-1a</t>
  </si>
  <si>
    <t>249-4b</t>
  </si>
  <si>
    <t>249-4a</t>
  </si>
  <si>
    <t>249-1c</t>
  </si>
  <si>
    <t>249-1b</t>
  </si>
  <si>
    <t>249-1a</t>
  </si>
  <si>
    <t>ap-ox-gabro</t>
  </si>
  <si>
    <t>Plagioclase</t>
  </si>
  <si>
    <t>Study area</t>
  </si>
  <si>
    <t>Iso Kuoppalampi</t>
  </si>
  <si>
    <t>Pärnäjärvi</t>
  </si>
  <si>
    <t>Tuuliniemi</t>
  </si>
  <si>
    <t>Pökölä</t>
  </si>
  <si>
    <t>Eastern part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</si>
</sst>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bscript"/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vertAlign val="superscript"/>
      <sz val="8"/>
      <name val="Arial"/>
      <family val="2"/>
    </font>
    <font>
      <sz val="8"/>
      <name val="Calibri"/>
      <family val="2"/>
    </font>
    <font>
      <sz val="10"/>
      <name val="Arial"/>
      <family val="2"/>
    </font>
    <font>
      <vertAlign val="subscript"/>
      <sz val="8"/>
      <name val="Arial"/>
      <family val="2"/>
    </font>
    <font>
      <i/>
      <sz val="8"/>
      <name val="Arial"/>
      <family val="2"/>
    </font>
    <font>
      <b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8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" fontId="1" fillId="0" borderId="0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2" fillId="0" borderId="0" xfId="0" applyFont="1" applyBorder="1"/>
    <xf numFmtId="0" fontId="3" fillId="0" borderId="0" xfId="0" applyFont="1" applyBorder="1"/>
    <xf numFmtId="0" fontId="1" fillId="0" borderId="0" xfId="0" applyFont="1" applyBorder="1" applyAlignment="1">
      <alignment horizontal="left"/>
    </xf>
    <xf numFmtId="1" fontId="2" fillId="0" borderId="0" xfId="0" applyNumberFormat="1" applyFont="1" applyFill="1" applyAlignment="1" applyProtection="1">
      <alignment horizontal="left"/>
      <protection hidden="1"/>
    </xf>
    <xf numFmtId="2" fontId="2" fillId="0" borderId="0" xfId="0" applyNumberFormat="1" applyFont="1" applyFill="1" applyAlignment="1" applyProtection="1">
      <alignment horizontal="left"/>
      <protection hidden="1"/>
    </xf>
    <xf numFmtId="1" fontId="2" fillId="0" borderId="0" xfId="0" applyNumberFormat="1" applyFont="1" applyFill="1" applyAlignment="1" applyProtection="1">
      <protection hidden="1"/>
    </xf>
    <xf numFmtId="164" fontId="2" fillId="0" borderId="0" xfId="0" applyNumberFormat="1" applyFont="1" applyFill="1" applyAlignment="1" applyProtection="1">
      <alignment horizontal="left"/>
      <protection hidden="1"/>
    </xf>
    <xf numFmtId="0" fontId="2" fillId="0" borderId="0" xfId="0" applyFont="1" applyBorder="1" applyAlignment="1">
      <alignment horizontal="right"/>
    </xf>
    <xf numFmtId="10" fontId="1" fillId="0" borderId="0" xfId="0" applyNumberFormat="1" applyFont="1"/>
    <xf numFmtId="2" fontId="1" fillId="0" borderId="0" xfId="1" applyNumberFormat="1" applyFont="1" applyFill="1" applyBorder="1" applyAlignment="1">
      <alignment horizontal="center"/>
    </xf>
    <xf numFmtId="10" fontId="1" fillId="0" borderId="0" xfId="0" applyNumberFormat="1" applyFont="1" applyBorder="1" applyAlignment="1">
      <alignment horizontal="center"/>
    </xf>
    <xf numFmtId="10" fontId="2" fillId="0" borderId="0" xfId="0" applyNumberFormat="1" applyFont="1"/>
    <xf numFmtId="164" fontId="1" fillId="0" borderId="0" xfId="0" applyNumberFormat="1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0" fontId="2" fillId="0" borderId="0" xfId="0" applyNumberFormat="1" applyFont="1" applyBorder="1"/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0" fillId="0" borderId="0" xfId="0" applyFont="1" applyAlignment="1">
      <alignment wrapText="1"/>
    </xf>
    <xf numFmtId="0" fontId="3" fillId="0" borderId="0" xfId="0" applyFont="1"/>
    <xf numFmtId="1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2" fontId="2" fillId="0" borderId="0" xfId="0" applyNumberFormat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173"/>
  <sheetViews>
    <sheetView tabSelected="1" workbookViewId="0">
      <selection activeCell="A123" sqref="A123"/>
    </sheetView>
  </sheetViews>
  <sheetFormatPr defaultRowHeight="15" x14ac:dyDescent="0.25"/>
  <sheetData>
    <row r="1" spans="1:72" s="2" customFormat="1" ht="11.25" x14ac:dyDescent="0.2">
      <c r="A1" s="31" t="s">
        <v>444</v>
      </c>
    </row>
    <row r="2" spans="1:72" s="2" customFormat="1" ht="11.25" x14ac:dyDescent="0.2">
      <c r="A2" s="31" t="s">
        <v>207</v>
      </c>
      <c r="B2" s="34" t="s">
        <v>400</v>
      </c>
      <c r="C2" s="34" t="s">
        <v>400</v>
      </c>
      <c r="D2" s="34" t="s">
        <v>400</v>
      </c>
      <c r="E2" s="34" t="s">
        <v>400</v>
      </c>
      <c r="F2" s="34" t="s">
        <v>400</v>
      </c>
      <c r="G2" s="34" t="s">
        <v>400</v>
      </c>
      <c r="H2" s="34" t="s">
        <v>400</v>
      </c>
      <c r="I2" s="34" t="s">
        <v>400</v>
      </c>
      <c r="J2" s="34" t="s">
        <v>400</v>
      </c>
      <c r="K2" s="34" t="s">
        <v>400</v>
      </c>
      <c r="L2" s="34" t="s">
        <v>400</v>
      </c>
      <c r="M2" s="34" t="s">
        <v>400</v>
      </c>
      <c r="N2" s="34" t="s">
        <v>400</v>
      </c>
      <c r="O2" s="34" t="s">
        <v>400</v>
      </c>
      <c r="P2" s="34" t="s">
        <v>400</v>
      </c>
      <c r="Q2" s="34" t="s">
        <v>400</v>
      </c>
      <c r="R2" s="34" t="s">
        <v>400</v>
      </c>
      <c r="S2" s="34" t="s">
        <v>400</v>
      </c>
      <c r="T2" s="34" t="s">
        <v>400</v>
      </c>
      <c r="U2" s="34" t="s">
        <v>400</v>
      </c>
      <c r="V2" s="34" t="s">
        <v>400</v>
      </c>
      <c r="W2" s="34" t="s">
        <v>400</v>
      </c>
      <c r="X2" s="34" t="s">
        <v>400</v>
      </c>
      <c r="Y2" s="34" t="s">
        <v>400</v>
      </c>
      <c r="Z2" s="34" t="s">
        <v>400</v>
      </c>
      <c r="AA2" s="34" t="s">
        <v>400</v>
      </c>
      <c r="AB2" s="34" t="s">
        <v>400</v>
      </c>
      <c r="AC2" s="34" t="s">
        <v>400</v>
      </c>
      <c r="AD2" s="34" t="s">
        <v>400</v>
      </c>
      <c r="AE2" s="34" t="s">
        <v>400</v>
      </c>
      <c r="AF2" s="34" t="s">
        <v>400</v>
      </c>
      <c r="AG2" s="34" t="s">
        <v>400</v>
      </c>
      <c r="AH2" s="34" t="s">
        <v>400</v>
      </c>
      <c r="AI2" s="34" t="s">
        <v>400</v>
      </c>
      <c r="AJ2" s="34" t="s">
        <v>400</v>
      </c>
      <c r="AK2" s="34" t="s">
        <v>400</v>
      </c>
      <c r="AL2" s="34" t="s">
        <v>400</v>
      </c>
      <c r="AM2" s="34" t="s">
        <v>400</v>
      </c>
      <c r="AN2" s="34" t="s">
        <v>400</v>
      </c>
      <c r="AO2" s="34" t="s">
        <v>400</v>
      </c>
      <c r="AP2" s="34" t="s">
        <v>400</v>
      </c>
      <c r="AQ2" s="34" t="s">
        <v>400</v>
      </c>
      <c r="AR2" s="34" t="s">
        <v>400</v>
      </c>
      <c r="AS2" s="34" t="s">
        <v>443</v>
      </c>
      <c r="AT2" s="34" t="s">
        <v>443</v>
      </c>
      <c r="AU2" s="34" t="s">
        <v>443</v>
      </c>
      <c r="AV2" s="34" t="s">
        <v>443</v>
      </c>
      <c r="AW2" s="34" t="s">
        <v>443</v>
      </c>
      <c r="AX2" s="34" t="s">
        <v>443</v>
      </c>
      <c r="AY2" s="34" t="s">
        <v>443</v>
      </c>
      <c r="AZ2" s="34" t="s">
        <v>341</v>
      </c>
      <c r="BA2" s="34" t="s">
        <v>341</v>
      </c>
      <c r="BB2" s="34" t="s">
        <v>341</v>
      </c>
      <c r="BC2" s="34" t="s">
        <v>341</v>
      </c>
      <c r="BD2" s="34" t="s">
        <v>341</v>
      </c>
      <c r="BE2" s="34" t="s">
        <v>341</v>
      </c>
      <c r="BF2" s="34" t="s">
        <v>341</v>
      </c>
      <c r="BG2" s="34" t="s">
        <v>341</v>
      </c>
      <c r="BH2" s="34" t="s">
        <v>341</v>
      </c>
      <c r="BI2" s="34" t="s">
        <v>341</v>
      </c>
      <c r="BJ2" s="34" t="s">
        <v>341</v>
      </c>
      <c r="BK2" s="34" t="s">
        <v>341</v>
      </c>
      <c r="BL2" s="34" t="s">
        <v>341</v>
      </c>
      <c r="BM2" s="34" t="s">
        <v>341</v>
      </c>
    </row>
    <row r="3" spans="1:72" s="2" customFormat="1" ht="11.25" x14ac:dyDescent="0.2">
      <c r="A3" s="31" t="s">
        <v>340</v>
      </c>
      <c r="B3" s="34" t="s">
        <v>442</v>
      </c>
      <c r="C3" s="34" t="s">
        <v>441</v>
      </c>
      <c r="D3" s="34" t="s">
        <v>440</v>
      </c>
      <c r="E3" s="34" t="s">
        <v>378</v>
      </c>
      <c r="F3" s="34" t="s">
        <v>377</v>
      </c>
      <c r="G3" s="34" t="s">
        <v>439</v>
      </c>
      <c r="H3" s="34" t="s">
        <v>438</v>
      </c>
      <c r="I3" s="34" t="s">
        <v>376</v>
      </c>
      <c r="J3" s="34" t="s">
        <v>437</v>
      </c>
      <c r="K3" s="34" t="s">
        <v>436</v>
      </c>
      <c r="L3" s="34" t="s">
        <v>370</v>
      </c>
      <c r="M3" s="34" t="s">
        <v>435</v>
      </c>
      <c r="N3" s="34" t="s">
        <v>434</v>
      </c>
      <c r="O3" s="34" t="s">
        <v>433</v>
      </c>
      <c r="P3" s="34" t="s">
        <v>432</v>
      </c>
      <c r="Q3" s="34" t="s">
        <v>366</v>
      </c>
      <c r="R3" s="34" t="s">
        <v>365</v>
      </c>
      <c r="S3" s="34" t="s">
        <v>338</v>
      </c>
      <c r="T3" s="34" t="s">
        <v>337</v>
      </c>
      <c r="U3" s="34" t="s">
        <v>364</v>
      </c>
      <c r="V3" s="34" t="s">
        <v>396</v>
      </c>
      <c r="W3" s="34" t="s">
        <v>395</v>
      </c>
      <c r="X3" s="34" t="s">
        <v>336</v>
      </c>
      <c r="Y3" s="34" t="s">
        <v>335</v>
      </c>
      <c r="Z3" s="34" t="s">
        <v>362</v>
      </c>
      <c r="AA3" s="34" t="s">
        <v>361</v>
      </c>
      <c r="AB3" s="34" t="s">
        <v>431</v>
      </c>
      <c r="AC3" s="34" t="s">
        <v>430</v>
      </c>
      <c r="AD3" s="34" t="s">
        <v>429</v>
      </c>
      <c r="AE3" s="34" t="s">
        <v>428</v>
      </c>
      <c r="AF3" s="34" t="s">
        <v>427</v>
      </c>
      <c r="AG3" s="34" t="s">
        <v>426</v>
      </c>
      <c r="AH3" s="34" t="s">
        <v>359</v>
      </c>
      <c r="AI3" s="34" t="s">
        <v>357</v>
      </c>
      <c r="AJ3" s="34" t="s">
        <v>333</v>
      </c>
      <c r="AK3" s="34" t="s">
        <v>425</v>
      </c>
      <c r="AL3" s="34" t="s">
        <v>424</v>
      </c>
      <c r="AM3" s="34" t="s">
        <v>392</v>
      </c>
      <c r="AN3" s="34" t="s">
        <v>331</v>
      </c>
      <c r="AO3" s="34" t="s">
        <v>423</v>
      </c>
      <c r="AP3" s="34" t="s">
        <v>422</v>
      </c>
      <c r="AQ3" s="34" t="s">
        <v>391</v>
      </c>
      <c r="AR3" s="34" t="s">
        <v>421</v>
      </c>
      <c r="AS3" s="34" t="s">
        <v>420</v>
      </c>
      <c r="AT3" s="34" t="s">
        <v>419</v>
      </c>
      <c r="AU3" s="34" t="s">
        <v>352</v>
      </c>
      <c r="AV3" s="34" t="s">
        <v>329</v>
      </c>
      <c r="AW3" s="34" t="s">
        <v>351</v>
      </c>
      <c r="AX3" s="34" t="s">
        <v>328</v>
      </c>
      <c r="AY3" s="34" t="s">
        <v>327</v>
      </c>
      <c r="AZ3" s="34" t="s">
        <v>326</v>
      </c>
      <c r="BA3" s="34" t="s">
        <v>418</v>
      </c>
      <c r="BB3" s="34" t="s">
        <v>417</v>
      </c>
      <c r="BC3" s="34" t="s">
        <v>324</v>
      </c>
      <c r="BD3" s="34" t="s">
        <v>348</v>
      </c>
      <c r="BE3" s="34" t="s">
        <v>323</v>
      </c>
      <c r="BF3" s="34" t="s">
        <v>385</v>
      </c>
      <c r="BG3" s="34" t="s">
        <v>416</v>
      </c>
      <c r="BH3" s="34" t="s">
        <v>415</v>
      </c>
      <c r="BI3" s="34" t="s">
        <v>383</v>
      </c>
      <c r="BJ3" s="34" t="s">
        <v>414</v>
      </c>
      <c r="BK3" s="34" t="s">
        <v>414</v>
      </c>
      <c r="BL3" s="34" t="s">
        <v>413</v>
      </c>
      <c r="BM3" s="34" t="s">
        <v>412</v>
      </c>
    </row>
    <row r="4" spans="1:72" s="2" customFormat="1" ht="11.25" x14ac:dyDescent="0.2">
      <c r="A4" s="31"/>
      <c r="B4" s="34" t="s">
        <v>411</v>
      </c>
      <c r="C4" s="34" t="s">
        <v>410</v>
      </c>
      <c r="D4" s="34" t="s">
        <v>406</v>
      </c>
      <c r="E4" s="34" t="s">
        <v>408</v>
      </c>
      <c r="F4" s="34" t="s">
        <v>408</v>
      </c>
      <c r="G4" s="34" t="s">
        <v>407</v>
      </c>
      <c r="H4" s="34" t="s">
        <v>406</v>
      </c>
      <c r="I4" s="34" t="s">
        <v>408</v>
      </c>
      <c r="J4" s="34" t="s">
        <v>407</v>
      </c>
      <c r="K4" s="34" t="s">
        <v>406</v>
      </c>
      <c r="L4" s="34" t="s">
        <v>408</v>
      </c>
      <c r="M4" s="34" t="s">
        <v>407</v>
      </c>
      <c r="N4" s="34" t="s">
        <v>406</v>
      </c>
      <c r="O4" s="34" t="s">
        <v>407</v>
      </c>
      <c r="P4" s="34" t="s">
        <v>406</v>
      </c>
      <c r="Q4" s="34" t="s">
        <v>409</v>
      </c>
      <c r="R4" s="34" t="s">
        <v>408</v>
      </c>
      <c r="S4" s="34" t="s">
        <v>408</v>
      </c>
      <c r="T4" s="34" t="s">
        <v>409</v>
      </c>
      <c r="U4" s="34" t="s">
        <v>408</v>
      </c>
      <c r="V4" s="34" t="s">
        <v>407</v>
      </c>
      <c r="W4" s="34" t="s">
        <v>406</v>
      </c>
      <c r="X4" s="34" t="s">
        <v>408</v>
      </c>
      <c r="Y4" s="34" t="s">
        <v>409</v>
      </c>
      <c r="Z4" s="34" t="s">
        <v>408</v>
      </c>
      <c r="AA4" s="34" t="s">
        <v>408</v>
      </c>
      <c r="AB4" s="34" t="s">
        <v>407</v>
      </c>
      <c r="AC4" s="34" t="s">
        <v>406</v>
      </c>
      <c r="AD4" s="34" t="s">
        <v>407</v>
      </c>
      <c r="AE4" s="34" t="s">
        <v>406</v>
      </c>
      <c r="AF4" s="34" t="s">
        <v>407</v>
      </c>
      <c r="AG4" s="34" t="s">
        <v>406</v>
      </c>
      <c r="AH4" s="34" t="s">
        <v>409</v>
      </c>
      <c r="AI4" s="34" t="s">
        <v>408</v>
      </c>
      <c r="AJ4" s="34" t="s">
        <v>408</v>
      </c>
      <c r="AK4" s="34" t="s">
        <v>407</v>
      </c>
      <c r="AL4" s="34" t="s">
        <v>406</v>
      </c>
      <c r="AM4" s="34" t="s">
        <v>408</v>
      </c>
      <c r="AN4" s="34" t="s">
        <v>408</v>
      </c>
      <c r="AO4" s="34" t="s">
        <v>407</v>
      </c>
      <c r="AP4" s="34" t="s">
        <v>406</v>
      </c>
      <c r="AQ4" s="34" t="s">
        <v>408</v>
      </c>
      <c r="AR4" s="34" t="s">
        <v>406</v>
      </c>
      <c r="AS4" s="34" t="s">
        <v>407</v>
      </c>
      <c r="AT4" s="34" t="s">
        <v>406</v>
      </c>
      <c r="AU4" s="34" t="s">
        <v>408</v>
      </c>
      <c r="AV4" s="34" t="s">
        <v>408</v>
      </c>
      <c r="AW4" s="34" t="s">
        <v>408</v>
      </c>
      <c r="AX4" s="34" t="s">
        <v>408</v>
      </c>
      <c r="AY4" s="34" t="s">
        <v>408</v>
      </c>
      <c r="AZ4" s="34" t="s">
        <v>408</v>
      </c>
      <c r="BA4" s="34" t="s">
        <v>407</v>
      </c>
      <c r="BB4" s="34" t="s">
        <v>406</v>
      </c>
      <c r="BC4" s="34" t="s">
        <v>408</v>
      </c>
      <c r="BD4" s="34" t="s">
        <v>408</v>
      </c>
      <c r="BE4" s="34" t="s">
        <v>408</v>
      </c>
      <c r="BF4" s="34" t="s">
        <v>408</v>
      </c>
      <c r="BG4" s="34" t="s">
        <v>407</v>
      </c>
      <c r="BH4" s="34" t="s">
        <v>406</v>
      </c>
      <c r="BI4" s="34" t="s">
        <v>408</v>
      </c>
      <c r="BJ4" s="34" t="s">
        <v>408</v>
      </c>
      <c r="BK4" s="34" t="s">
        <v>408</v>
      </c>
      <c r="BL4" s="34" t="s">
        <v>407</v>
      </c>
      <c r="BM4" s="34" t="s">
        <v>406</v>
      </c>
    </row>
    <row r="5" spans="1:72" s="2" customFormat="1" ht="11.25" x14ac:dyDescent="0.2">
      <c r="A5" s="31" t="s">
        <v>319</v>
      </c>
      <c r="B5" s="34">
        <v>3</v>
      </c>
      <c r="C5" s="34">
        <v>3</v>
      </c>
      <c r="D5" s="34">
        <v>2</v>
      </c>
      <c r="E5" s="34">
        <v>3</v>
      </c>
      <c r="F5" s="34">
        <v>3</v>
      </c>
      <c r="G5" s="34">
        <v>3</v>
      </c>
      <c r="H5" s="34">
        <v>2</v>
      </c>
      <c r="I5" s="34">
        <v>3</v>
      </c>
      <c r="J5" s="34">
        <v>3</v>
      </c>
      <c r="K5" s="34">
        <v>2</v>
      </c>
      <c r="L5" s="34">
        <v>3</v>
      </c>
      <c r="M5" s="34">
        <v>3</v>
      </c>
      <c r="N5" s="34">
        <v>3</v>
      </c>
      <c r="O5" s="34">
        <v>1</v>
      </c>
      <c r="P5" s="34">
        <v>2</v>
      </c>
      <c r="Q5" s="34">
        <v>2</v>
      </c>
      <c r="R5" s="34">
        <v>3</v>
      </c>
      <c r="S5" s="34">
        <v>3</v>
      </c>
      <c r="T5" s="34">
        <v>2</v>
      </c>
      <c r="U5" s="34">
        <v>3</v>
      </c>
      <c r="V5" s="34">
        <v>2</v>
      </c>
      <c r="W5" s="34">
        <v>3</v>
      </c>
      <c r="X5" s="34">
        <v>3</v>
      </c>
      <c r="Y5" s="34">
        <v>3</v>
      </c>
      <c r="Z5" s="34">
        <v>3</v>
      </c>
      <c r="AA5" s="34">
        <v>3</v>
      </c>
      <c r="AB5" s="34">
        <v>3</v>
      </c>
      <c r="AC5" s="34">
        <v>3</v>
      </c>
      <c r="AD5" s="34">
        <v>3</v>
      </c>
      <c r="AE5" s="34">
        <v>2</v>
      </c>
      <c r="AF5" s="34">
        <v>3</v>
      </c>
      <c r="AG5" s="34">
        <v>3</v>
      </c>
      <c r="AH5" s="34">
        <v>3</v>
      </c>
      <c r="AI5" s="34">
        <v>3</v>
      </c>
      <c r="AJ5" s="34">
        <v>2</v>
      </c>
      <c r="AK5" s="34">
        <v>2</v>
      </c>
      <c r="AL5" s="34">
        <v>3</v>
      </c>
      <c r="AM5" s="34">
        <v>3</v>
      </c>
      <c r="AN5" s="34">
        <v>3</v>
      </c>
      <c r="AO5" s="34">
        <v>3</v>
      </c>
      <c r="AP5" s="34">
        <v>3</v>
      </c>
      <c r="AQ5" s="34">
        <v>3</v>
      </c>
      <c r="AR5" s="34">
        <v>3</v>
      </c>
      <c r="AS5" s="34">
        <v>2</v>
      </c>
      <c r="AT5" s="34">
        <v>3</v>
      </c>
      <c r="AU5" s="34">
        <v>3</v>
      </c>
      <c r="AV5" s="34">
        <v>3</v>
      </c>
      <c r="AW5" s="34">
        <v>2</v>
      </c>
      <c r="AX5" s="34">
        <v>3</v>
      </c>
      <c r="AY5" s="34">
        <v>3</v>
      </c>
      <c r="AZ5" s="34">
        <v>3</v>
      </c>
      <c r="BA5" s="34">
        <v>3</v>
      </c>
      <c r="BB5" s="34">
        <v>3</v>
      </c>
      <c r="BC5" s="34">
        <v>3</v>
      </c>
      <c r="BD5" s="34">
        <v>3</v>
      </c>
      <c r="BE5" s="34">
        <v>2</v>
      </c>
      <c r="BF5" s="34">
        <v>3</v>
      </c>
      <c r="BG5" s="34">
        <v>3</v>
      </c>
      <c r="BH5" s="34">
        <v>1</v>
      </c>
      <c r="BI5" s="34">
        <v>3</v>
      </c>
      <c r="BJ5" s="34">
        <v>3</v>
      </c>
      <c r="BK5" s="34">
        <v>2</v>
      </c>
      <c r="BL5" s="34">
        <v>3</v>
      </c>
      <c r="BM5" s="34">
        <v>3</v>
      </c>
    </row>
    <row r="6" spans="1:72" s="2" customFormat="1" ht="11.25" x14ac:dyDescent="0.2">
      <c r="A6" s="2" t="s">
        <v>318</v>
      </c>
      <c r="B6" s="33">
        <v>53.293133333333337</v>
      </c>
      <c r="C6" s="33">
        <v>52.553699999999999</v>
      </c>
      <c r="D6" s="33">
        <v>52.444050000000004</v>
      </c>
      <c r="E6" s="33">
        <v>52.699166666666677</v>
      </c>
      <c r="F6" s="33">
        <v>53.628433333333334</v>
      </c>
      <c r="G6" s="33">
        <v>53.227566666666668</v>
      </c>
      <c r="H6" s="33">
        <v>52.977599999999995</v>
      </c>
      <c r="I6" s="33">
        <v>52.791333333333334</v>
      </c>
      <c r="J6" s="33">
        <v>56.259833333333326</v>
      </c>
      <c r="K6" s="33">
        <v>52.471900000000005</v>
      </c>
      <c r="L6" s="33">
        <v>52.176166666666667</v>
      </c>
      <c r="M6" s="33">
        <v>52.548033333333329</v>
      </c>
      <c r="N6" s="33">
        <v>52.465566666666668</v>
      </c>
      <c r="O6" s="33">
        <v>52.7819</v>
      </c>
      <c r="P6" s="33">
        <v>52.502400000000002</v>
      </c>
      <c r="Q6" s="33">
        <v>53.834249999999997</v>
      </c>
      <c r="R6" s="33">
        <v>53.771800000000006</v>
      </c>
      <c r="S6" s="33">
        <v>52.96993333333333</v>
      </c>
      <c r="T6" s="33">
        <v>55.000950000000003</v>
      </c>
      <c r="U6" s="33">
        <v>52.905700000000003</v>
      </c>
      <c r="V6" s="33">
        <v>53.673949999999998</v>
      </c>
      <c r="W6" s="33">
        <v>52.923566666666666</v>
      </c>
      <c r="X6" s="33">
        <v>53.217433333333332</v>
      </c>
      <c r="Y6" s="33">
        <v>55.002100000000006</v>
      </c>
      <c r="Z6" s="33">
        <v>53.235866666666659</v>
      </c>
      <c r="AA6" s="33">
        <v>53.476533333333329</v>
      </c>
      <c r="AB6" s="33">
        <v>53.623799999999996</v>
      </c>
      <c r="AC6" s="33">
        <v>58.407533333333333</v>
      </c>
      <c r="AD6" s="33">
        <v>54.1218</v>
      </c>
      <c r="AE6" s="33">
        <v>52.944249999999997</v>
      </c>
      <c r="AF6" s="33">
        <v>54.1218</v>
      </c>
      <c r="AG6" s="33">
        <v>57.072899999999997</v>
      </c>
      <c r="AH6" s="33">
        <v>54.816633333333328</v>
      </c>
      <c r="AI6" s="33">
        <v>54.392566666666674</v>
      </c>
      <c r="AJ6" s="33">
        <v>54.965350000000001</v>
      </c>
      <c r="AK6" s="33">
        <v>55.199650000000005</v>
      </c>
      <c r="AL6" s="33">
        <v>53.171866666666666</v>
      </c>
      <c r="AM6" s="33">
        <v>54.977399999999996</v>
      </c>
      <c r="AN6" s="33">
        <v>55.542766666666672</v>
      </c>
      <c r="AO6" s="33">
        <v>56.131633333333333</v>
      </c>
      <c r="AP6" s="33">
        <v>53.75266666666667</v>
      </c>
      <c r="AQ6" s="33">
        <v>55.432500000000005</v>
      </c>
      <c r="AR6" s="33">
        <v>53.463266666666669</v>
      </c>
      <c r="AS6" s="33">
        <v>57.334850000000003</v>
      </c>
      <c r="AT6" s="33">
        <v>56.843733333333326</v>
      </c>
      <c r="AU6" s="33">
        <v>57.503933333333329</v>
      </c>
      <c r="AV6" s="33">
        <v>57.86493333333334</v>
      </c>
      <c r="AW6" s="33">
        <v>57.520800000000001</v>
      </c>
      <c r="AX6" s="33">
        <v>57.344066666666663</v>
      </c>
      <c r="AY6" s="33">
        <v>56.69616666666667</v>
      </c>
      <c r="AZ6" s="33">
        <v>51.556000000000004</v>
      </c>
      <c r="BA6" s="33">
        <v>55.659433333333332</v>
      </c>
      <c r="BB6" s="33">
        <v>53.418433333333333</v>
      </c>
      <c r="BC6" s="33">
        <v>55.730933333333333</v>
      </c>
      <c r="BD6" s="33">
        <v>52.671433333333333</v>
      </c>
      <c r="BE6" s="33">
        <v>52.062600000000003</v>
      </c>
      <c r="BF6" s="33">
        <v>51.234233333333329</v>
      </c>
      <c r="BG6" s="33">
        <v>56.422000000000004</v>
      </c>
      <c r="BH6" s="33">
        <v>52.887500000000003</v>
      </c>
      <c r="BI6" s="33">
        <v>53.089666666666666</v>
      </c>
      <c r="BJ6" s="33">
        <v>51.70173333333333</v>
      </c>
      <c r="BK6" s="33">
        <v>52.064250000000001</v>
      </c>
      <c r="BL6" s="33">
        <v>56.568633333333331</v>
      </c>
      <c r="BM6" s="33">
        <v>53.591166666666659</v>
      </c>
      <c r="BN6" s="35"/>
      <c r="BO6" s="35"/>
      <c r="BP6" s="35"/>
      <c r="BQ6" s="35"/>
      <c r="BR6" s="35"/>
      <c r="BS6" s="35"/>
      <c r="BT6" s="35"/>
    </row>
    <row r="7" spans="1:72" s="2" customFormat="1" ht="11.25" x14ac:dyDescent="0.2">
      <c r="A7" s="2" t="s">
        <v>315</v>
      </c>
      <c r="B7" s="33">
        <v>28.152633333333331</v>
      </c>
      <c r="C7" s="33">
        <v>28.738433333333333</v>
      </c>
      <c r="D7" s="33">
        <v>28.972650000000002</v>
      </c>
      <c r="E7" s="33">
        <v>28.679966666666669</v>
      </c>
      <c r="F7" s="33">
        <v>28.141133333333329</v>
      </c>
      <c r="G7" s="33">
        <v>28.260333333333335</v>
      </c>
      <c r="H7" s="33">
        <v>28.416649999999997</v>
      </c>
      <c r="I7" s="33">
        <v>28.4605</v>
      </c>
      <c r="J7" s="33">
        <v>26.917100000000001</v>
      </c>
      <c r="K7" s="33">
        <v>29.006900000000002</v>
      </c>
      <c r="L7" s="33">
        <v>29.013200000000001</v>
      </c>
      <c r="M7" s="33">
        <v>28.828266666666668</v>
      </c>
      <c r="N7" s="33">
        <v>28.755966666666666</v>
      </c>
      <c r="O7" s="33">
        <v>28.3858</v>
      </c>
      <c r="P7" s="33">
        <v>28.254750000000001</v>
      </c>
      <c r="Q7" s="33">
        <v>27.976500000000001</v>
      </c>
      <c r="R7" s="33">
        <v>28.233899999999995</v>
      </c>
      <c r="S7" s="33">
        <v>28.276399999999999</v>
      </c>
      <c r="T7" s="33">
        <v>27.785899999999998</v>
      </c>
      <c r="U7" s="33">
        <v>29.145166666666668</v>
      </c>
      <c r="V7" s="33">
        <v>28.230399999999999</v>
      </c>
      <c r="W7" s="33">
        <v>29.09096666666667</v>
      </c>
      <c r="X7" s="33">
        <v>28.710633333333334</v>
      </c>
      <c r="Y7" s="33">
        <v>28.188100000000002</v>
      </c>
      <c r="Z7" s="33">
        <v>28.869833333333332</v>
      </c>
      <c r="AA7" s="33">
        <v>28.604833333333332</v>
      </c>
      <c r="AB7" s="33">
        <v>28.344566666666669</v>
      </c>
      <c r="AC7" s="33">
        <v>25.807100000000002</v>
      </c>
      <c r="AD7" s="33">
        <v>28.129533333333331</v>
      </c>
      <c r="AE7" s="33">
        <v>28.508849999999999</v>
      </c>
      <c r="AF7" s="33">
        <v>28.129533333333331</v>
      </c>
      <c r="AG7" s="33">
        <v>26.755233333333333</v>
      </c>
      <c r="AH7" s="33">
        <v>28.387033333333335</v>
      </c>
      <c r="AI7" s="33">
        <v>28.453466666666667</v>
      </c>
      <c r="AJ7" s="33">
        <v>27.973649999999999</v>
      </c>
      <c r="AK7" s="33">
        <v>28.135549999999999</v>
      </c>
      <c r="AL7" s="33">
        <v>29.344433333333331</v>
      </c>
      <c r="AM7" s="33">
        <v>27.623266666666666</v>
      </c>
      <c r="AN7" s="33">
        <v>27.717433333333332</v>
      </c>
      <c r="AO7" s="33">
        <v>27.517433333333333</v>
      </c>
      <c r="AP7" s="33">
        <v>28.696433333333331</v>
      </c>
      <c r="AQ7" s="33">
        <v>27.573933333333333</v>
      </c>
      <c r="AR7" s="33">
        <v>28.666599999999999</v>
      </c>
      <c r="AS7" s="33">
        <v>26.488849999999999</v>
      </c>
      <c r="AT7" s="33">
        <v>26.550966666666667</v>
      </c>
      <c r="AU7" s="33">
        <v>26.395399999999999</v>
      </c>
      <c r="AV7" s="33">
        <v>26.128233333333331</v>
      </c>
      <c r="AW7" s="33">
        <v>25.879199999999997</v>
      </c>
      <c r="AX7" s="33">
        <v>26.358033333333335</v>
      </c>
      <c r="AY7" s="33">
        <v>26.216566666666665</v>
      </c>
      <c r="AZ7" s="33">
        <v>30.640200000000004</v>
      </c>
      <c r="BA7" s="33">
        <v>28.209699999999998</v>
      </c>
      <c r="BB7" s="33">
        <v>29.395033333333334</v>
      </c>
      <c r="BC7" s="33">
        <v>28.060599999999997</v>
      </c>
      <c r="BD7" s="33">
        <v>29.784666666666666</v>
      </c>
      <c r="BE7" s="33">
        <v>30.2334</v>
      </c>
      <c r="BF7" s="33">
        <v>30.186233333333334</v>
      </c>
      <c r="BG7" s="33">
        <v>27.16973333333333</v>
      </c>
      <c r="BH7" s="33">
        <v>29.368200000000002</v>
      </c>
      <c r="BI7" s="33">
        <v>28.997600000000002</v>
      </c>
      <c r="BJ7" s="33">
        <v>29.451333333333334</v>
      </c>
      <c r="BK7" s="33">
        <v>28.895600000000002</v>
      </c>
      <c r="BL7" s="33">
        <v>26.776266666666668</v>
      </c>
      <c r="BM7" s="33">
        <v>28.441599999999998</v>
      </c>
      <c r="BN7" s="35"/>
      <c r="BO7" s="35"/>
      <c r="BP7" s="35"/>
      <c r="BQ7" s="35"/>
      <c r="BR7" s="35"/>
      <c r="BS7" s="35"/>
      <c r="BT7" s="35"/>
    </row>
    <row r="8" spans="1:72" s="2" customFormat="1" ht="11.25" x14ac:dyDescent="0.2">
      <c r="A8" s="2" t="s">
        <v>180</v>
      </c>
      <c r="B8" s="33">
        <v>0.33816666666666667</v>
      </c>
      <c r="C8" s="33">
        <v>0.27403333333333335</v>
      </c>
      <c r="D8" s="33">
        <v>0.28849999999999998</v>
      </c>
      <c r="E8" s="33">
        <v>0.54049999999999998</v>
      </c>
      <c r="F8" s="33">
        <v>0.30813333333333331</v>
      </c>
      <c r="G8" s="33">
        <v>0.27403333333333335</v>
      </c>
      <c r="H8" s="33">
        <v>0.28470000000000001</v>
      </c>
      <c r="I8" s="33">
        <v>0.48886666666666673</v>
      </c>
      <c r="J8" s="33">
        <v>0.25156666666666666</v>
      </c>
      <c r="K8" s="33">
        <v>0.45609999999999995</v>
      </c>
      <c r="L8" s="33">
        <v>0.56653333333333333</v>
      </c>
      <c r="M8" s="33">
        <v>0.27026666666666666</v>
      </c>
      <c r="N8" s="33">
        <v>0.53900000000000003</v>
      </c>
      <c r="O8" s="33">
        <v>0.36959999999999998</v>
      </c>
      <c r="P8" s="33">
        <v>0.38650000000000001</v>
      </c>
      <c r="Q8" s="33">
        <v>0.41489999999999999</v>
      </c>
      <c r="R8" s="33">
        <v>0.30663333333333337</v>
      </c>
      <c r="S8" s="33">
        <v>0.62309999999999999</v>
      </c>
      <c r="T8" s="33">
        <v>0.19069999999999998</v>
      </c>
      <c r="U8" s="33">
        <v>0.18363333333333334</v>
      </c>
      <c r="V8" s="33">
        <v>0.45809999999999995</v>
      </c>
      <c r="W8" s="33">
        <v>0.27416666666666667</v>
      </c>
      <c r="X8" s="33">
        <v>0.40560000000000002</v>
      </c>
      <c r="Y8" s="33">
        <v>0.29210000000000003</v>
      </c>
      <c r="Z8" s="33">
        <v>0.25343333333333334</v>
      </c>
      <c r="AA8" s="33">
        <v>0.26616666666666666</v>
      </c>
      <c r="AB8" s="33">
        <v>0.4594333333333333</v>
      </c>
      <c r="AC8" s="33">
        <v>0.17996666666666669</v>
      </c>
      <c r="AD8" s="33">
        <v>0.25023333333333331</v>
      </c>
      <c r="AE8" s="33">
        <v>0.28664999999999996</v>
      </c>
      <c r="AF8" s="33">
        <v>0.25023333333333331</v>
      </c>
      <c r="AG8" s="33">
        <v>0.31529999999999997</v>
      </c>
      <c r="AH8" s="33">
        <v>0.24096666666666666</v>
      </c>
      <c r="AI8" s="33">
        <v>0.16483333333333336</v>
      </c>
      <c r="AJ8" s="33">
        <v>0.12275</v>
      </c>
      <c r="AK8" s="33">
        <v>0.19269999999999998</v>
      </c>
      <c r="AL8" s="33">
        <v>0.19439999999999999</v>
      </c>
      <c r="AM8" s="33">
        <v>0.13076666666666667</v>
      </c>
      <c r="AN8" s="33">
        <v>0.10803333333333333</v>
      </c>
      <c r="AO8" s="33">
        <v>0.14553333333333335</v>
      </c>
      <c r="AP8" s="33">
        <v>0.17283333333333331</v>
      </c>
      <c r="AQ8" s="33">
        <v>0.16496666666666668</v>
      </c>
      <c r="AR8" s="33">
        <v>0.10686666666666667</v>
      </c>
      <c r="AS8" s="33">
        <v>0.13550000000000001</v>
      </c>
      <c r="AT8" s="33">
        <v>0.13503333333333334</v>
      </c>
      <c r="AU8" s="33">
        <v>0.24316666666666667</v>
      </c>
      <c r="AV8" s="33">
        <v>0.1686</v>
      </c>
      <c r="AW8" s="33">
        <v>0.16405</v>
      </c>
      <c r="AX8" s="33">
        <v>0.17186666666666664</v>
      </c>
      <c r="AY8" s="33">
        <v>0.2087</v>
      </c>
      <c r="AZ8" s="33">
        <v>8.4666666666666668E-2</v>
      </c>
      <c r="BA8" s="33">
        <v>3.1233333333333335E-2</v>
      </c>
      <c r="BB8" s="33">
        <v>8.5833333333333331E-2</v>
      </c>
      <c r="BC8" s="33">
        <v>9.4866666666666655E-2</v>
      </c>
      <c r="BD8" s="33">
        <v>0</v>
      </c>
      <c r="BE8" s="33">
        <v>7.0150000000000004E-2</v>
      </c>
      <c r="BF8" s="33">
        <v>0.15926666666666667</v>
      </c>
      <c r="BG8" s="33">
        <v>0.19726666666666667</v>
      </c>
      <c r="BH8" s="33">
        <v>0.34749999999999998</v>
      </c>
      <c r="BI8" s="33">
        <v>0.20719999999999997</v>
      </c>
      <c r="BJ8" s="33">
        <v>0.28626666666666667</v>
      </c>
      <c r="BK8" s="33">
        <v>0.29905000000000004</v>
      </c>
      <c r="BL8" s="33">
        <v>0.18400000000000002</v>
      </c>
      <c r="BM8" s="33">
        <v>0.21293333333333334</v>
      </c>
      <c r="BN8" s="35"/>
      <c r="BO8" s="35"/>
      <c r="BP8" s="35"/>
      <c r="BQ8" s="35"/>
      <c r="BR8" s="35"/>
      <c r="BS8" s="35"/>
      <c r="BT8" s="35"/>
    </row>
    <row r="9" spans="1:72" s="2" customFormat="1" ht="11.25" x14ac:dyDescent="0.2">
      <c r="A9" s="2" t="s">
        <v>169</v>
      </c>
      <c r="B9" s="33">
        <v>11.464366666666665</v>
      </c>
      <c r="C9" s="33">
        <v>11.991033333333334</v>
      </c>
      <c r="D9" s="33">
        <v>12.269</v>
      </c>
      <c r="E9" s="33">
        <v>11.751866666666666</v>
      </c>
      <c r="F9" s="33">
        <v>11.076166666666666</v>
      </c>
      <c r="G9" s="33">
        <v>11.399766666666666</v>
      </c>
      <c r="H9" s="33">
        <v>11.684950000000001</v>
      </c>
      <c r="I9" s="33">
        <v>11.935733333333333</v>
      </c>
      <c r="J9" s="33">
        <v>9.44</v>
      </c>
      <c r="K9" s="33">
        <v>12.71565</v>
      </c>
      <c r="L9" s="33">
        <v>12.218466666666666</v>
      </c>
      <c r="M9" s="33">
        <v>11.621233333333334</v>
      </c>
      <c r="N9" s="33">
        <v>11.7418</v>
      </c>
      <c r="O9" s="33">
        <v>11.851900000000001</v>
      </c>
      <c r="P9" s="33">
        <v>11.717300000000002</v>
      </c>
      <c r="Q9" s="33">
        <v>10.6167</v>
      </c>
      <c r="R9" s="33">
        <v>10.986066666666666</v>
      </c>
      <c r="S9" s="33">
        <v>11.678199999999999</v>
      </c>
      <c r="T9" s="33">
        <v>10.583549999999999</v>
      </c>
      <c r="U9" s="33">
        <v>11.950200000000001</v>
      </c>
      <c r="V9" s="33">
        <v>11.132999999999999</v>
      </c>
      <c r="W9" s="33">
        <v>11.669133333333333</v>
      </c>
      <c r="X9" s="33">
        <v>12.042766666666667</v>
      </c>
      <c r="Y9" s="33">
        <v>11.091966666666666</v>
      </c>
      <c r="Z9" s="33">
        <v>12.139866666666668</v>
      </c>
      <c r="AA9" s="33">
        <v>11.701466666666667</v>
      </c>
      <c r="AB9" s="33">
        <v>11.475900000000001</v>
      </c>
      <c r="AC9" s="33">
        <v>8.2353333333333332</v>
      </c>
      <c r="AD9" s="33">
        <v>11.137700000000001</v>
      </c>
      <c r="AE9" s="33">
        <v>11.610950000000001</v>
      </c>
      <c r="AF9" s="33">
        <v>11.137700000000001</v>
      </c>
      <c r="AG9" s="33">
        <v>9.2931666666666661</v>
      </c>
      <c r="AH9" s="33">
        <v>11.579233333333335</v>
      </c>
      <c r="AI9" s="33">
        <v>11.5389</v>
      </c>
      <c r="AJ9" s="33">
        <v>10.9254</v>
      </c>
      <c r="AK9" s="33">
        <v>11.05785</v>
      </c>
      <c r="AL9" s="33">
        <v>12.390300000000002</v>
      </c>
      <c r="AM9" s="33">
        <v>10.387633333333333</v>
      </c>
      <c r="AN9" s="33">
        <v>10.188699999999999</v>
      </c>
      <c r="AO9" s="33">
        <v>10.0436</v>
      </c>
      <c r="AP9" s="33">
        <v>11.653233333333333</v>
      </c>
      <c r="AQ9" s="33">
        <v>10.436333333333332</v>
      </c>
      <c r="AR9" s="33">
        <v>11.720233333333333</v>
      </c>
      <c r="AS9" s="33">
        <v>9.0063500000000012</v>
      </c>
      <c r="AT9" s="33">
        <v>9.1358999999999995</v>
      </c>
      <c r="AU9" s="33">
        <v>9.1765333333333334</v>
      </c>
      <c r="AV9" s="33">
        <v>8.6051666666666673</v>
      </c>
      <c r="AW9" s="33">
        <v>8.5574000000000012</v>
      </c>
      <c r="AX9" s="33">
        <v>8.988666666666667</v>
      </c>
      <c r="AY9" s="33">
        <v>8.8757000000000001</v>
      </c>
      <c r="AZ9" s="33">
        <v>14.378366666666667</v>
      </c>
      <c r="BA9" s="33">
        <v>10.929</v>
      </c>
      <c r="BB9" s="33">
        <v>13.011733333333332</v>
      </c>
      <c r="BC9" s="33">
        <v>10.739866666666666</v>
      </c>
      <c r="BD9" s="33">
        <v>13.195366666666667</v>
      </c>
      <c r="BE9" s="33">
        <v>13.6242</v>
      </c>
      <c r="BF9" s="33">
        <v>13.684533333333334</v>
      </c>
      <c r="BG9" s="33">
        <v>10.1586</v>
      </c>
      <c r="BH9" s="33">
        <v>13.5281</v>
      </c>
      <c r="BI9" s="33">
        <v>12.379466666666666</v>
      </c>
      <c r="BJ9" s="33">
        <v>12.983600000000001</v>
      </c>
      <c r="BK9" s="33">
        <v>12.29425</v>
      </c>
      <c r="BL9" s="33">
        <v>9.2465666666666664</v>
      </c>
      <c r="BM9" s="33">
        <v>11.591999999999999</v>
      </c>
      <c r="BN9" s="35"/>
      <c r="BO9" s="35"/>
      <c r="BP9" s="35"/>
      <c r="BQ9" s="35"/>
      <c r="BR9" s="35"/>
      <c r="BS9" s="35"/>
      <c r="BT9" s="35"/>
    </row>
    <row r="10" spans="1:72" s="2" customFormat="1" ht="11.25" x14ac:dyDescent="0.2">
      <c r="A10" s="2" t="s">
        <v>314</v>
      </c>
      <c r="B10" s="33">
        <v>5.2481333333333335</v>
      </c>
      <c r="C10" s="33">
        <v>4.5981666666666667</v>
      </c>
      <c r="D10" s="33">
        <v>4.73705</v>
      </c>
      <c r="E10" s="33">
        <v>4.9139000000000008</v>
      </c>
      <c r="F10" s="33">
        <v>5.3505666666666665</v>
      </c>
      <c r="G10" s="33">
        <v>4.9309333333333329</v>
      </c>
      <c r="H10" s="33">
        <v>4.9240499999999994</v>
      </c>
      <c r="I10" s="33">
        <v>4.9643666666666659</v>
      </c>
      <c r="J10" s="33">
        <v>6.3662333333333336</v>
      </c>
      <c r="K10" s="33">
        <v>4.6251999999999995</v>
      </c>
      <c r="L10" s="33">
        <v>4.8999999999999995</v>
      </c>
      <c r="M10" s="33">
        <v>5.2820666666666671</v>
      </c>
      <c r="N10" s="33">
        <v>4.874133333333333</v>
      </c>
      <c r="O10" s="33">
        <v>4.9019000000000004</v>
      </c>
      <c r="P10" s="33">
        <v>4.8181000000000003</v>
      </c>
      <c r="Q10" s="33">
        <v>5.3677999999999999</v>
      </c>
      <c r="R10" s="33">
        <v>5.418166666666667</v>
      </c>
      <c r="S10" s="33">
        <v>5.2718999999999996</v>
      </c>
      <c r="T10" s="33">
        <v>5.7739500000000001</v>
      </c>
      <c r="U10" s="33">
        <v>4.9133666666666658</v>
      </c>
      <c r="V10" s="33">
        <v>5.3203499999999995</v>
      </c>
      <c r="W10" s="33">
        <v>4.8038333333333334</v>
      </c>
      <c r="X10" s="33">
        <v>4.7456333333333331</v>
      </c>
      <c r="Y10" s="33">
        <v>5.521066666666667</v>
      </c>
      <c r="Z10" s="33">
        <v>4.888066666666667</v>
      </c>
      <c r="AA10" s="33">
        <v>5.0099333333333336</v>
      </c>
      <c r="AB10" s="33">
        <v>5.0062333333333333</v>
      </c>
      <c r="AC10" s="33">
        <v>6.8719333333333337</v>
      </c>
      <c r="AD10" s="33">
        <v>5.350766666666666</v>
      </c>
      <c r="AE10" s="33">
        <v>4.7635500000000004</v>
      </c>
      <c r="AF10" s="33">
        <v>5.350766666666666</v>
      </c>
      <c r="AG10" s="33">
        <v>6.6137333333333332</v>
      </c>
      <c r="AH10" s="33">
        <v>5.5011999999999999</v>
      </c>
      <c r="AI10" s="33">
        <v>5.4232000000000005</v>
      </c>
      <c r="AJ10" s="33">
        <v>5.6857500000000005</v>
      </c>
      <c r="AK10" s="33">
        <v>5.5683500000000006</v>
      </c>
      <c r="AL10" s="33">
        <v>4.9007333333333332</v>
      </c>
      <c r="AM10" s="33">
        <v>5.9669999999999996</v>
      </c>
      <c r="AN10" s="33">
        <v>5.9868333333333332</v>
      </c>
      <c r="AO10" s="33">
        <v>6.1072999999999995</v>
      </c>
      <c r="AP10" s="33">
        <v>5.0690999999999997</v>
      </c>
      <c r="AQ10" s="33">
        <v>5.8709666666666651</v>
      </c>
      <c r="AR10" s="33">
        <v>5.1432333333333338</v>
      </c>
      <c r="AS10" s="33">
        <v>6.4245999999999999</v>
      </c>
      <c r="AT10" s="33">
        <v>6.4095333333333331</v>
      </c>
      <c r="AU10" s="33">
        <v>6.5056666666666665</v>
      </c>
      <c r="AV10" s="33">
        <v>6.5882333333333341</v>
      </c>
      <c r="AW10" s="33">
        <v>6.5896500000000007</v>
      </c>
      <c r="AX10" s="33">
        <v>6.6445333333333325</v>
      </c>
      <c r="AY10" s="33">
        <v>6.4633666666666665</v>
      </c>
      <c r="AZ10" s="33">
        <v>4.0388000000000002</v>
      </c>
      <c r="BA10" s="33">
        <v>5.5514000000000001</v>
      </c>
      <c r="BB10" s="33">
        <v>4.6698666666666666</v>
      </c>
      <c r="BC10" s="33">
        <v>5.8429000000000002</v>
      </c>
      <c r="BD10" s="33">
        <v>4.6242999999999999</v>
      </c>
      <c r="BE10" s="33">
        <v>4.3055500000000002</v>
      </c>
      <c r="BF10" s="33">
        <v>4.190833333333333</v>
      </c>
      <c r="BG10" s="33">
        <v>5.7213333333333338</v>
      </c>
      <c r="BH10" s="33">
        <v>4.2857000000000003</v>
      </c>
      <c r="BI10" s="33">
        <v>4.7277999999999993</v>
      </c>
      <c r="BJ10" s="33">
        <v>4.2328999999999999</v>
      </c>
      <c r="BK10" s="33">
        <v>4.5417000000000005</v>
      </c>
      <c r="BL10" s="33">
        <v>6.2850666666666664</v>
      </c>
      <c r="BM10" s="33">
        <v>5.0340999999999996</v>
      </c>
      <c r="BN10" s="35"/>
      <c r="BO10" s="35"/>
      <c r="BP10" s="35"/>
      <c r="BQ10" s="35"/>
      <c r="BR10" s="35"/>
      <c r="BS10" s="35"/>
      <c r="BT10" s="35"/>
    </row>
    <row r="11" spans="1:72" s="2" customFormat="1" ht="11.25" x14ac:dyDescent="0.2">
      <c r="A11" s="2" t="s">
        <v>405</v>
      </c>
      <c r="B11" s="33">
        <v>0.36836666666666668</v>
      </c>
      <c r="C11" s="33">
        <v>0.38463333333333333</v>
      </c>
      <c r="D11" s="33">
        <v>0.16215000000000002</v>
      </c>
      <c r="E11" s="33">
        <v>0.224</v>
      </c>
      <c r="F11" s="33">
        <v>0.18340000000000001</v>
      </c>
      <c r="G11" s="33">
        <v>0.35180000000000006</v>
      </c>
      <c r="H11" s="33">
        <v>0.28284999999999999</v>
      </c>
      <c r="I11" s="33">
        <v>0.2503333333333333</v>
      </c>
      <c r="J11" s="33">
        <v>0.38466666666666671</v>
      </c>
      <c r="K11" s="33">
        <v>0.34499999999999997</v>
      </c>
      <c r="L11" s="33">
        <v>0.26719999999999999</v>
      </c>
      <c r="M11" s="33">
        <v>0.24716666666666667</v>
      </c>
      <c r="N11" s="33">
        <v>0.49780000000000002</v>
      </c>
      <c r="O11" s="33">
        <v>0.20730000000000001</v>
      </c>
      <c r="P11" s="33">
        <v>0.34534999999999999</v>
      </c>
      <c r="Q11" s="33">
        <v>0.21839999999999998</v>
      </c>
      <c r="R11" s="33">
        <v>0.14216666666666666</v>
      </c>
      <c r="S11" s="33">
        <v>0.1585</v>
      </c>
      <c r="T11" s="33">
        <v>0.21910000000000002</v>
      </c>
      <c r="U11" s="33">
        <v>0.16863333333333333</v>
      </c>
      <c r="V11" s="33">
        <v>0.25409999999999999</v>
      </c>
      <c r="W11" s="33">
        <v>0.20750000000000002</v>
      </c>
      <c r="X11" s="33">
        <v>0.2505</v>
      </c>
      <c r="Y11" s="33">
        <v>0.34243333333333331</v>
      </c>
      <c r="Z11" s="33">
        <v>0.18316666666666667</v>
      </c>
      <c r="AA11" s="33">
        <v>0.24456666666666668</v>
      </c>
      <c r="AB11" s="33">
        <v>0.32949999999999996</v>
      </c>
      <c r="AC11" s="33">
        <v>0.42270000000000002</v>
      </c>
      <c r="AD11" s="33">
        <v>0.3197666666666667</v>
      </c>
      <c r="AE11" s="33">
        <v>0.42954999999999999</v>
      </c>
      <c r="AF11" s="33">
        <v>0.3197666666666667</v>
      </c>
      <c r="AG11" s="33">
        <v>0.37486666666666668</v>
      </c>
      <c r="AH11" s="33">
        <v>0.21096666666666664</v>
      </c>
      <c r="AI11" s="33">
        <v>0.22296666666666667</v>
      </c>
      <c r="AJ11" s="33">
        <v>0.23099999999999998</v>
      </c>
      <c r="AK11" s="33">
        <v>0.32245000000000001</v>
      </c>
      <c r="AL11" s="33">
        <v>0.18376666666666666</v>
      </c>
      <c r="AM11" s="33">
        <v>0.19869999999999999</v>
      </c>
      <c r="AN11" s="33">
        <v>0.19099999999999998</v>
      </c>
      <c r="AO11" s="33">
        <v>0.24473333333333333</v>
      </c>
      <c r="AP11" s="33">
        <v>0.25543333333333335</v>
      </c>
      <c r="AQ11" s="33">
        <v>0.3032333333333333</v>
      </c>
      <c r="AR11" s="33">
        <v>0.22446666666666668</v>
      </c>
      <c r="AS11" s="33">
        <v>0.61129999999999995</v>
      </c>
      <c r="AT11" s="33">
        <v>0.56619999999999993</v>
      </c>
      <c r="AU11" s="33">
        <v>0.53029999999999999</v>
      </c>
      <c r="AV11" s="33">
        <v>0.61270000000000002</v>
      </c>
      <c r="AW11" s="33">
        <v>0.61880000000000002</v>
      </c>
      <c r="AX11" s="33">
        <v>0.42646666666666672</v>
      </c>
      <c r="AY11" s="33">
        <v>0.62906666666666666</v>
      </c>
      <c r="AZ11" s="33">
        <v>9.9633333333333338E-2</v>
      </c>
      <c r="BA11" s="33">
        <v>0.40376666666666666</v>
      </c>
      <c r="BB11" s="33">
        <v>0.31240000000000001</v>
      </c>
      <c r="BC11" s="33">
        <v>0.27196666666666663</v>
      </c>
      <c r="BD11" s="33">
        <v>7.1766666666666659E-2</v>
      </c>
      <c r="BE11" s="33">
        <v>3.3649999999999999E-2</v>
      </c>
      <c r="BF11" s="33">
        <v>8.8399999999999992E-2</v>
      </c>
      <c r="BG11" s="33">
        <v>0.78913333333333335</v>
      </c>
      <c r="BH11" s="33">
        <v>0.39319999999999999</v>
      </c>
      <c r="BI11" s="33">
        <v>0.27876666666666666</v>
      </c>
      <c r="BJ11" s="33">
        <v>0.32019999999999998</v>
      </c>
      <c r="BK11" s="33">
        <v>0.30059999999999998</v>
      </c>
      <c r="BL11" s="33">
        <v>0.52263333333333339</v>
      </c>
      <c r="BM11" s="33">
        <v>0.48216666666666669</v>
      </c>
      <c r="BN11" s="35"/>
      <c r="BO11" s="35"/>
      <c r="BP11" s="35"/>
      <c r="BQ11" s="35"/>
      <c r="BR11" s="35"/>
      <c r="BS11" s="35"/>
      <c r="BT11" s="35"/>
    </row>
    <row r="12" spans="1:72" s="2" customFormat="1" ht="11.25" x14ac:dyDescent="0.2">
      <c r="A12" s="2" t="s">
        <v>306</v>
      </c>
      <c r="B12" s="33">
        <v>98.897266666666667</v>
      </c>
      <c r="C12" s="33">
        <v>98.54</v>
      </c>
      <c r="D12" s="33">
        <v>98.873400000000004</v>
      </c>
      <c r="E12" s="33">
        <v>98.845666666666659</v>
      </c>
      <c r="F12" s="33">
        <v>98.687833333333344</v>
      </c>
      <c r="G12" s="33">
        <v>98.444433333333336</v>
      </c>
      <c r="H12" s="33">
        <v>98.570799999999991</v>
      </c>
      <c r="I12" s="33">
        <v>98.913399999999982</v>
      </c>
      <c r="J12" s="33">
        <v>99.619399999999999</v>
      </c>
      <c r="K12" s="33">
        <v>99.620750000000001</v>
      </c>
      <c r="L12" s="33">
        <v>99.141566666666662</v>
      </c>
      <c r="M12" s="33">
        <v>98.9452</v>
      </c>
      <c r="N12" s="33">
        <v>98.874266666666657</v>
      </c>
      <c r="O12" s="33">
        <v>98.498400000000018</v>
      </c>
      <c r="P12" s="33">
        <v>98.024400000000014</v>
      </c>
      <c r="Q12" s="33">
        <v>98.428550000000001</v>
      </c>
      <c r="R12" s="33">
        <v>99.050200000000004</v>
      </c>
      <c r="S12" s="33">
        <v>98.978033333333329</v>
      </c>
      <c r="T12" s="33">
        <v>99.554149999999993</v>
      </c>
      <c r="U12" s="33">
        <v>99.2667</v>
      </c>
      <c r="V12" s="33">
        <v>99.06989999999999</v>
      </c>
      <c r="W12" s="33">
        <v>98.96916666666668</v>
      </c>
      <c r="X12" s="33">
        <v>99.372566666666671</v>
      </c>
      <c r="Y12" s="33">
        <v>100.43776666666668</v>
      </c>
      <c r="Z12" s="33">
        <v>99.57023333333332</v>
      </c>
      <c r="AA12" s="33">
        <v>99.303499999999985</v>
      </c>
      <c r="AB12" s="33">
        <v>99.353233333333336</v>
      </c>
      <c r="AC12" s="33">
        <v>99.966799999999992</v>
      </c>
      <c r="AD12" s="33">
        <v>99.309799999999996</v>
      </c>
      <c r="AE12" s="33">
        <v>98.543800000000005</v>
      </c>
      <c r="AF12" s="33">
        <v>99.309799999999996</v>
      </c>
      <c r="AG12" s="33">
        <v>100.4252</v>
      </c>
      <c r="AH12" s="33">
        <v>100.73603333333335</v>
      </c>
      <c r="AI12" s="33">
        <v>100.35353333333335</v>
      </c>
      <c r="AJ12" s="33">
        <v>99.903900000000007</v>
      </c>
      <c r="AK12" s="33">
        <v>100.47655</v>
      </c>
      <c r="AL12" s="33">
        <v>100.18549999999999</v>
      </c>
      <c r="AM12" s="33">
        <v>99.284766666666656</v>
      </c>
      <c r="AN12" s="33">
        <v>99.734766666666658</v>
      </c>
      <c r="AO12" s="33">
        <v>100.19023333333332</v>
      </c>
      <c r="AP12" s="33">
        <v>99.599699999999984</v>
      </c>
      <c r="AQ12" s="33">
        <v>99.781933333333328</v>
      </c>
      <c r="AR12" s="33">
        <v>99.324666666666644</v>
      </c>
      <c r="AS12" s="33">
        <v>100.00144999999999</v>
      </c>
      <c r="AT12" s="33">
        <v>99.64136666666667</v>
      </c>
      <c r="AU12" s="33">
        <v>100.355</v>
      </c>
      <c r="AV12" s="33">
        <v>99.967866666666666</v>
      </c>
      <c r="AW12" s="33">
        <v>99.329900000000009</v>
      </c>
      <c r="AX12" s="33">
        <v>99.933633333333347</v>
      </c>
      <c r="AY12" s="33">
        <v>99.089566666666656</v>
      </c>
      <c r="AZ12" s="33">
        <v>100.79766666666666</v>
      </c>
      <c r="BA12" s="33">
        <v>100.78453333333334</v>
      </c>
      <c r="BB12" s="33">
        <v>100.9267</v>
      </c>
      <c r="BC12" s="33">
        <v>100.74113333333334</v>
      </c>
      <c r="BD12" s="33">
        <v>100.34753333333333</v>
      </c>
      <c r="BE12" s="33">
        <v>100.32955</v>
      </c>
      <c r="BF12" s="33">
        <v>99.701799999999992</v>
      </c>
      <c r="BG12" s="33">
        <v>100.45806666666667</v>
      </c>
      <c r="BH12" s="33">
        <v>100.81019999999999</v>
      </c>
      <c r="BI12" s="33">
        <v>99.680500000000009</v>
      </c>
      <c r="BJ12" s="33">
        <v>98.976033333333319</v>
      </c>
      <c r="BK12" s="33">
        <v>98.395450000000011</v>
      </c>
      <c r="BL12" s="33">
        <v>99.583166666666656</v>
      </c>
      <c r="BM12" s="33">
        <v>99.353966666666665</v>
      </c>
      <c r="BN12" s="35"/>
      <c r="BO12" s="35"/>
      <c r="BP12" s="35"/>
      <c r="BQ12" s="35"/>
      <c r="BR12" s="35"/>
      <c r="BS12" s="35"/>
      <c r="BT12" s="35"/>
    </row>
    <row r="13" spans="1:72" s="2" customFormat="1" ht="11.25" x14ac:dyDescent="0.2">
      <c r="A13" s="31" t="s">
        <v>404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5"/>
      <c r="BO13" s="35"/>
      <c r="BP13" s="35"/>
      <c r="BQ13" s="35"/>
      <c r="BR13" s="35"/>
      <c r="BS13" s="35"/>
      <c r="BT13" s="35"/>
    </row>
    <row r="14" spans="1:72" s="2" customFormat="1" ht="11.25" x14ac:dyDescent="0.2">
      <c r="A14" s="2" t="s">
        <v>278</v>
      </c>
      <c r="B14" s="33">
        <v>2.4468225078732688</v>
      </c>
      <c r="C14" s="33">
        <v>2.4205459349012979</v>
      </c>
      <c r="D14" s="33">
        <v>2.4085980784269752</v>
      </c>
      <c r="E14" s="33">
        <v>2.4222564027693436</v>
      </c>
      <c r="F14" s="33">
        <v>2.4595275169435582</v>
      </c>
      <c r="G14" s="33">
        <v>2.4491767192892313</v>
      </c>
      <c r="H14" s="33">
        <v>2.4371109289873805</v>
      </c>
      <c r="I14" s="33">
        <v>2.4262711469614504</v>
      </c>
      <c r="J14" s="33">
        <v>2.5450253758436525</v>
      </c>
      <c r="K14" s="33">
        <v>2.3996390940174992</v>
      </c>
      <c r="L14" s="33">
        <v>2.3971307559535115</v>
      </c>
      <c r="M14" s="33">
        <v>2.4157868487831928</v>
      </c>
      <c r="N14" s="33">
        <v>2.4144155620377155</v>
      </c>
      <c r="O14" s="33">
        <v>2.4318239884725519</v>
      </c>
      <c r="P14" s="33">
        <v>2.4317460511836013</v>
      </c>
      <c r="Q14" s="33">
        <v>2.4724164773112811</v>
      </c>
      <c r="R14" s="33">
        <v>2.4605707352499726</v>
      </c>
      <c r="S14" s="33">
        <v>2.4329753105773224</v>
      </c>
      <c r="T14" s="33">
        <v>2.4949521102257033</v>
      </c>
      <c r="U14" s="33">
        <v>2.4162884531891611</v>
      </c>
      <c r="V14" s="33">
        <v>2.4552675439538341</v>
      </c>
      <c r="W14" s="33">
        <v>2.4221781363263384</v>
      </c>
      <c r="X14" s="33">
        <v>2.4301136299717387</v>
      </c>
      <c r="Y14" s="33">
        <v>2.478471875663983</v>
      </c>
      <c r="Z14" s="33">
        <v>2.42555283527799</v>
      </c>
      <c r="AA14" s="33">
        <v>2.4405339412628133</v>
      </c>
      <c r="AB14" s="33">
        <v>2.449980776129757</v>
      </c>
      <c r="AC14" s="33">
        <v>2.6200028853562585</v>
      </c>
      <c r="AD14" s="33">
        <v>2.4670087321605627</v>
      </c>
      <c r="AE14" s="33">
        <v>2.4361844404616826</v>
      </c>
      <c r="AF14" s="33">
        <v>2.4670087321605627</v>
      </c>
      <c r="AG14" s="33">
        <v>2.5605274680191608</v>
      </c>
      <c r="AH14" s="33">
        <v>2.4651580831189333</v>
      </c>
      <c r="AI14" s="33">
        <v>2.4586025504155269</v>
      </c>
      <c r="AJ14" s="33">
        <v>2.4863972851044824</v>
      </c>
      <c r="AK14" s="33">
        <v>2.4843566218389594</v>
      </c>
      <c r="AL14" s="33">
        <v>2.4097001805363605</v>
      </c>
      <c r="AM14" s="33">
        <v>2.4998444783429083</v>
      </c>
      <c r="AN14" s="33">
        <v>2.5101524658444472</v>
      </c>
      <c r="AO14" s="33">
        <v>2.5246265822347524</v>
      </c>
      <c r="AP14" s="33">
        <v>2.444090533177564</v>
      </c>
      <c r="AQ14" s="33">
        <v>2.5080313159118446</v>
      </c>
      <c r="AR14" s="33">
        <v>2.4387327655472553</v>
      </c>
      <c r="AS14" s="33">
        <v>2.5786024365061322</v>
      </c>
      <c r="AT14" s="33">
        <v>2.5677364487206633</v>
      </c>
      <c r="AU14" s="33">
        <v>2.579358672592496</v>
      </c>
      <c r="AV14" s="33">
        <v>2.5998116385756371</v>
      </c>
      <c r="AW14" s="33">
        <v>2.6015649519946433</v>
      </c>
      <c r="AX14" s="33">
        <v>2.5805554960772219</v>
      </c>
      <c r="AY14" s="33">
        <v>2.5757774665435189</v>
      </c>
      <c r="AZ14" s="33">
        <v>2.333719857169525</v>
      </c>
      <c r="BA14" s="33">
        <v>2.493644545997022</v>
      </c>
      <c r="BB14" s="33">
        <v>2.4063413311636226</v>
      </c>
      <c r="BC14" s="33">
        <v>2.4978480359859252</v>
      </c>
      <c r="BD14" s="33">
        <v>2.385156615447495</v>
      </c>
      <c r="BE14" s="33">
        <v>2.3607876282923397</v>
      </c>
      <c r="BF14" s="33">
        <v>2.3423309593210804</v>
      </c>
      <c r="BG14" s="33">
        <v>2.5361802716132953</v>
      </c>
      <c r="BH14" s="33">
        <v>2.391964967664777</v>
      </c>
      <c r="BI14" s="33">
        <v>2.4181047133832103</v>
      </c>
      <c r="BJ14" s="33">
        <v>2.3780898344268064</v>
      </c>
      <c r="BK14" s="33">
        <v>2.4044201268465546</v>
      </c>
      <c r="BL14" s="33">
        <v>2.557343291440735</v>
      </c>
      <c r="BM14" s="33">
        <v>2.446409253014779</v>
      </c>
      <c r="BN14" s="35"/>
      <c r="BO14" s="35"/>
      <c r="BP14" s="35"/>
      <c r="BQ14" s="35"/>
      <c r="BR14" s="35"/>
      <c r="BS14" s="35"/>
      <c r="BT14" s="35"/>
    </row>
    <row r="15" spans="1:72" s="2" customFormat="1" ht="11.25" x14ac:dyDescent="0.2">
      <c r="A15" s="2" t="s">
        <v>280</v>
      </c>
      <c r="B15" s="33">
        <v>1.5233531474726052</v>
      </c>
      <c r="C15" s="33">
        <v>1.5599959776051169</v>
      </c>
      <c r="D15" s="33">
        <v>1.5682189273489948</v>
      </c>
      <c r="E15" s="33">
        <v>1.5536220108479628</v>
      </c>
      <c r="F15" s="33">
        <v>1.5210676087853863</v>
      </c>
      <c r="G15" s="33">
        <v>1.5325376353398239</v>
      </c>
      <c r="H15" s="33">
        <v>1.5406580374717267</v>
      </c>
      <c r="I15" s="33">
        <v>1.5415924926032523</v>
      </c>
      <c r="J15" s="33">
        <v>1.4350674107444252</v>
      </c>
      <c r="K15" s="33">
        <v>1.5634025450993985</v>
      </c>
      <c r="L15" s="33">
        <v>1.570961513602124</v>
      </c>
      <c r="M15" s="33">
        <v>1.5619640539921005</v>
      </c>
      <c r="N15" s="33">
        <v>1.5596099013082148</v>
      </c>
      <c r="O15" s="33">
        <v>1.541340590722527</v>
      </c>
      <c r="P15" s="33">
        <v>1.5423427285332139</v>
      </c>
      <c r="Q15" s="33">
        <v>1.5142817971902665</v>
      </c>
      <c r="R15" s="33">
        <v>1.5226584970716162</v>
      </c>
      <c r="S15" s="33">
        <v>1.5306741590516411</v>
      </c>
      <c r="T15" s="33">
        <v>1.485480139654519</v>
      </c>
      <c r="U15" s="33">
        <v>1.5687842306140514</v>
      </c>
      <c r="V15" s="33">
        <v>1.5219579581280123</v>
      </c>
      <c r="W15" s="33">
        <v>1.5691537027906375</v>
      </c>
      <c r="X15" s="33">
        <v>1.5451327143170777</v>
      </c>
      <c r="Y15" s="33">
        <v>1.4969968474226276</v>
      </c>
      <c r="Z15" s="33">
        <v>1.5502475213682427</v>
      </c>
      <c r="AA15" s="33">
        <v>1.5385491904202082</v>
      </c>
      <c r="AB15" s="33">
        <v>1.5262485710239631</v>
      </c>
      <c r="AC15" s="33">
        <v>1.3643395448793776</v>
      </c>
      <c r="AD15" s="33">
        <v>1.5111631001761918</v>
      </c>
      <c r="AE15" s="33">
        <v>1.5460424772532841</v>
      </c>
      <c r="AF15" s="33">
        <v>1.5111631001761918</v>
      </c>
      <c r="AG15" s="33">
        <v>1.4146812573818202</v>
      </c>
      <c r="AH15" s="33">
        <v>1.504536685207567</v>
      </c>
      <c r="AI15" s="33">
        <v>1.5157735356477648</v>
      </c>
      <c r="AJ15" s="33">
        <v>1.4913549511440203</v>
      </c>
      <c r="AK15" s="33">
        <v>1.4923936114256551</v>
      </c>
      <c r="AL15" s="33">
        <v>1.5673182438566315</v>
      </c>
      <c r="AM15" s="33">
        <v>1.480315164391933</v>
      </c>
      <c r="AN15" s="33">
        <v>1.4763045641779851</v>
      </c>
      <c r="AO15" s="33">
        <v>1.4586387689824127</v>
      </c>
      <c r="AP15" s="33">
        <v>1.537784767354367</v>
      </c>
      <c r="AQ15" s="33">
        <v>1.470339311688502</v>
      </c>
      <c r="AR15" s="33">
        <v>1.5411157790932615</v>
      </c>
      <c r="AS15" s="33">
        <v>1.404038997205328</v>
      </c>
      <c r="AT15" s="33">
        <v>1.4135089034839554</v>
      </c>
      <c r="AU15" s="33">
        <v>1.3953809556378101</v>
      </c>
      <c r="AV15" s="33">
        <v>1.3835244252343868</v>
      </c>
      <c r="AW15" s="33">
        <v>1.3794658733748915</v>
      </c>
      <c r="AX15" s="33">
        <v>1.3979385328334326</v>
      </c>
      <c r="AY15" s="33">
        <v>1.4037210650780563</v>
      </c>
      <c r="AZ15" s="33">
        <v>1.6345998725526685</v>
      </c>
      <c r="BA15" s="33">
        <v>1.4895140120644603</v>
      </c>
      <c r="BB15" s="33">
        <v>1.5605956756345014</v>
      </c>
      <c r="BC15" s="33">
        <v>1.4822348099559959</v>
      </c>
      <c r="BD15" s="33">
        <v>1.5895890660692231</v>
      </c>
      <c r="BE15" s="33">
        <v>1.6157286132584012</v>
      </c>
      <c r="BF15" s="33">
        <v>1.6264746542885558</v>
      </c>
      <c r="BG15" s="33">
        <v>1.4393531999942311</v>
      </c>
      <c r="BH15" s="33">
        <v>1.565414902511213</v>
      </c>
      <c r="BI15" s="33">
        <v>1.5566017638982141</v>
      </c>
      <c r="BJ15" s="33">
        <v>1.5965351061312971</v>
      </c>
      <c r="BK15" s="33">
        <v>1.5727250827589387</v>
      </c>
      <c r="BL15" s="33">
        <v>1.4266378003722466</v>
      </c>
      <c r="BM15" s="33">
        <v>1.5301721092643747</v>
      </c>
      <c r="BN15" s="35"/>
      <c r="BO15" s="35"/>
      <c r="BP15" s="35"/>
      <c r="BQ15" s="35"/>
      <c r="BR15" s="35"/>
      <c r="BS15" s="35"/>
      <c r="BT15" s="35"/>
    </row>
    <row r="16" spans="1:72" s="2" customFormat="1" ht="11.25" x14ac:dyDescent="0.2">
      <c r="A16" s="2" t="s">
        <v>267</v>
      </c>
      <c r="B16" s="33">
        <v>1.2984475615013726E-2</v>
      </c>
      <c r="C16" s="33">
        <v>1.05554275999171E-2</v>
      </c>
      <c r="D16" s="33">
        <v>1.1080933202959661E-2</v>
      </c>
      <c r="E16" s="33">
        <v>2.0776599574365399E-2</v>
      </c>
      <c r="F16" s="33">
        <v>1.1818372235818747E-2</v>
      </c>
      <c r="G16" s="33">
        <v>1.0545066191560436E-2</v>
      </c>
      <c r="H16" s="33">
        <v>1.0952995042845755E-2</v>
      </c>
      <c r="I16" s="33">
        <v>1.8790119204385509E-2</v>
      </c>
      <c r="J16" s="33">
        <v>9.5171995986291606E-3</v>
      </c>
      <c r="K16" s="33">
        <v>1.7443820833329342E-2</v>
      </c>
      <c r="L16" s="33">
        <v>2.1767443691858929E-2</v>
      </c>
      <c r="M16" s="33">
        <v>1.0390992657058446E-2</v>
      </c>
      <c r="N16" s="33">
        <v>2.0743824313485957E-2</v>
      </c>
      <c r="O16" s="33">
        <v>1.4241032837620996E-2</v>
      </c>
      <c r="P16" s="33">
        <v>1.4971005427513576E-2</v>
      </c>
      <c r="Q16" s="33">
        <v>1.5935614082083705E-2</v>
      </c>
      <c r="R16" s="33">
        <v>1.173445842434534E-2</v>
      </c>
      <c r="S16" s="33">
        <v>2.3934724525324504E-2</v>
      </c>
      <c r="T16" s="33">
        <v>7.2344433919031186E-3</v>
      </c>
      <c r="U16" s="33">
        <v>7.0139107915214794E-3</v>
      </c>
      <c r="V16" s="33">
        <v>1.7524997476396326E-2</v>
      </c>
      <c r="W16" s="33">
        <v>1.0493830218962346E-2</v>
      </c>
      <c r="X16" s="33">
        <v>1.548934344571253E-2</v>
      </c>
      <c r="Y16" s="33">
        <v>1.1007753290138998E-2</v>
      </c>
      <c r="Z16" s="33">
        <v>9.6567847918524533E-3</v>
      </c>
      <c r="AA16" s="33">
        <v>1.0158689313502743E-2</v>
      </c>
      <c r="AB16" s="33">
        <v>1.7554562008041539E-2</v>
      </c>
      <c r="AC16" s="33">
        <v>6.7512996397021642E-3</v>
      </c>
      <c r="AD16" s="33">
        <v>9.5390697075274263E-3</v>
      </c>
      <c r="AE16" s="33">
        <v>1.1030767155596243E-2</v>
      </c>
      <c r="AF16" s="33">
        <v>9.5390697075274263E-3</v>
      </c>
      <c r="AG16" s="33">
        <v>1.1830030815799652E-2</v>
      </c>
      <c r="AH16" s="33">
        <v>9.0625787236034983E-3</v>
      </c>
      <c r="AI16" s="33">
        <v>6.2309780729292528E-3</v>
      </c>
      <c r="AJ16" s="33">
        <v>4.6437136613569447E-3</v>
      </c>
      <c r="AK16" s="33">
        <v>7.2530677621633682E-3</v>
      </c>
      <c r="AL16" s="33">
        <v>7.3678329465598751E-3</v>
      </c>
      <c r="AM16" s="33">
        <v>4.972654136403013E-3</v>
      </c>
      <c r="AN16" s="33">
        <v>4.0831259385037269E-3</v>
      </c>
      <c r="AO16" s="33">
        <v>5.4741205150263981E-3</v>
      </c>
      <c r="AP16" s="33">
        <v>6.5721457633847241E-3</v>
      </c>
      <c r="AQ16" s="33">
        <v>6.2420478707219187E-3</v>
      </c>
      <c r="AR16" s="33">
        <v>4.0767435438326411E-3</v>
      </c>
      <c r="AS16" s="33">
        <v>5.0964458000514841E-3</v>
      </c>
      <c r="AT16" s="33">
        <v>5.1011870394823923E-3</v>
      </c>
      <c r="AU16" s="33">
        <v>9.1218018373625965E-3</v>
      </c>
      <c r="AV16" s="33">
        <v>6.3349968528302308E-3</v>
      </c>
      <c r="AW16" s="33">
        <v>6.2050944575908658E-3</v>
      </c>
      <c r="AX16" s="33">
        <v>6.4681305254043779E-3</v>
      </c>
      <c r="AY16" s="33">
        <v>7.9293848896549845E-3</v>
      </c>
      <c r="AZ16" s="33">
        <v>3.2051205970655989E-3</v>
      </c>
      <c r="BA16" s="33">
        <v>1.1702442336543864E-3</v>
      </c>
      <c r="BB16" s="33">
        <v>3.2335863959733072E-3</v>
      </c>
      <c r="BC16" s="33">
        <v>3.555868931694261E-3</v>
      </c>
      <c r="BD16" s="33">
        <v>0</v>
      </c>
      <c r="BE16" s="33">
        <v>2.6602420234679057E-3</v>
      </c>
      <c r="BF16" s="33">
        <v>6.0894113752219745E-3</v>
      </c>
      <c r="BG16" s="33">
        <v>7.4156249352095088E-3</v>
      </c>
      <c r="BH16" s="33">
        <v>1.3143740980122276E-2</v>
      </c>
      <c r="BI16" s="33">
        <v>7.8925485623007954E-3</v>
      </c>
      <c r="BJ16" s="33">
        <v>1.1011749943560174E-2</v>
      </c>
      <c r="BK16" s="33">
        <v>1.1549866154849214E-2</v>
      </c>
      <c r="BL16" s="33">
        <v>6.9565445972768749E-3</v>
      </c>
      <c r="BM16" s="33">
        <v>8.1290904990118894E-3</v>
      </c>
      <c r="BN16" s="35"/>
      <c r="BO16" s="35"/>
      <c r="BP16" s="35"/>
      <c r="BQ16" s="35"/>
      <c r="BR16" s="35"/>
      <c r="BS16" s="35"/>
      <c r="BT16" s="35"/>
    </row>
    <row r="17" spans="1:72" s="2" customFormat="1" ht="11.25" x14ac:dyDescent="0.2">
      <c r="A17" s="2" t="s">
        <v>275</v>
      </c>
      <c r="B17" s="33">
        <v>0.56396606217016043</v>
      </c>
      <c r="C17" s="33">
        <v>0.59175008916806882</v>
      </c>
      <c r="D17" s="33">
        <v>0.60373863692578145</v>
      </c>
      <c r="E17" s="33">
        <v>0.57875520640635814</v>
      </c>
      <c r="F17" s="33">
        <v>0.54427420057269216</v>
      </c>
      <c r="G17" s="33">
        <v>0.56201921352029927</v>
      </c>
      <c r="H17" s="33">
        <v>0.57594573471897481</v>
      </c>
      <c r="I17" s="33">
        <v>0.58775658113117613</v>
      </c>
      <c r="J17" s="33">
        <v>0.45754873676605634</v>
      </c>
      <c r="K17" s="33">
        <v>0.62305931677637438</v>
      </c>
      <c r="L17" s="33">
        <v>0.60146166803418755</v>
      </c>
      <c r="M17" s="33">
        <v>0.57243483931772499</v>
      </c>
      <c r="N17" s="33">
        <v>0.57895395240289949</v>
      </c>
      <c r="O17" s="33">
        <v>0.58506859620907548</v>
      </c>
      <c r="P17" s="33">
        <v>0.58148471456272743</v>
      </c>
      <c r="Q17" s="33">
        <v>0.52242529721052267</v>
      </c>
      <c r="R17" s="33">
        <v>0.5386357820303278</v>
      </c>
      <c r="S17" s="33">
        <v>0.57471942323564362</v>
      </c>
      <c r="T17" s="33">
        <v>0.51439303508661161</v>
      </c>
      <c r="U17" s="33">
        <v>0.58478089819109647</v>
      </c>
      <c r="V17" s="33">
        <v>0.5456562894441277</v>
      </c>
      <c r="W17" s="33">
        <v>0.57222557960485931</v>
      </c>
      <c r="X17" s="33">
        <v>0.5892106918894493</v>
      </c>
      <c r="Y17" s="33">
        <v>0.53553143723841223</v>
      </c>
      <c r="Z17" s="33">
        <v>0.59264144295312715</v>
      </c>
      <c r="AA17" s="33">
        <v>0.57218121610228723</v>
      </c>
      <c r="AB17" s="33">
        <v>0.5617764584818481</v>
      </c>
      <c r="AC17" s="33">
        <v>0.39580910212877318</v>
      </c>
      <c r="AD17" s="33">
        <v>0.543958366676633</v>
      </c>
      <c r="AE17" s="33">
        <v>0.57244110331672293</v>
      </c>
      <c r="AF17" s="33">
        <v>0.543958366676633</v>
      </c>
      <c r="AG17" s="33">
        <v>0.44671950480396683</v>
      </c>
      <c r="AH17" s="33">
        <v>0.55793539250333779</v>
      </c>
      <c r="AI17" s="33">
        <v>0.55883664333656613</v>
      </c>
      <c r="AJ17" s="33">
        <v>0.52952999081683794</v>
      </c>
      <c r="AK17" s="33">
        <v>0.53323665901156658</v>
      </c>
      <c r="AL17" s="33">
        <v>0.60163710895064759</v>
      </c>
      <c r="AM17" s="33">
        <v>0.50607757750436988</v>
      </c>
      <c r="AN17" s="33">
        <v>0.49335900320479531</v>
      </c>
      <c r="AO17" s="33">
        <v>0.4840058041999778</v>
      </c>
      <c r="AP17" s="33">
        <v>0.56772158623166247</v>
      </c>
      <c r="AQ17" s="33">
        <v>0.50592730824847998</v>
      </c>
      <c r="AR17" s="33">
        <v>0.57281801869406879</v>
      </c>
      <c r="AS17" s="33">
        <v>0.4339964918838729</v>
      </c>
      <c r="AT17" s="33">
        <v>0.44217163594800302</v>
      </c>
      <c r="AU17" s="33">
        <v>0.44102633409969044</v>
      </c>
      <c r="AV17" s="33">
        <v>0.414245122402086</v>
      </c>
      <c r="AW17" s="33">
        <v>0.41468972910041002</v>
      </c>
      <c r="AX17" s="33">
        <v>0.43340276812226658</v>
      </c>
      <c r="AY17" s="33">
        <v>0.43204496512819374</v>
      </c>
      <c r="AZ17" s="33">
        <v>0.69734991401362267</v>
      </c>
      <c r="BA17" s="33">
        <v>0.52462367293040324</v>
      </c>
      <c r="BB17" s="33">
        <v>0.62801921043963016</v>
      </c>
      <c r="BC17" s="33">
        <v>0.51575123587754645</v>
      </c>
      <c r="BD17" s="33">
        <v>0.64022837424430168</v>
      </c>
      <c r="BE17" s="33">
        <v>0.66193259720140762</v>
      </c>
      <c r="BF17" s="33">
        <v>0.67033160988000939</v>
      </c>
      <c r="BG17" s="33">
        <v>0.48925716460327434</v>
      </c>
      <c r="BH17" s="33">
        <v>0.6555567175537329</v>
      </c>
      <c r="BI17" s="33">
        <v>0.60414158477330893</v>
      </c>
      <c r="BJ17" s="33">
        <v>0.63986738047957648</v>
      </c>
      <c r="BK17" s="33">
        <v>0.60833733214859476</v>
      </c>
      <c r="BL17" s="33">
        <v>0.44788399145471591</v>
      </c>
      <c r="BM17" s="33">
        <v>0.56697767958568868</v>
      </c>
      <c r="BN17" s="35"/>
      <c r="BO17" s="35"/>
      <c r="BP17" s="35"/>
      <c r="BQ17" s="35"/>
      <c r="BR17" s="35"/>
      <c r="BS17" s="35"/>
      <c r="BT17" s="35"/>
    </row>
    <row r="18" spans="1:72" s="2" customFormat="1" ht="11.25" x14ac:dyDescent="0.2">
      <c r="A18" s="2" t="s">
        <v>283</v>
      </c>
      <c r="B18" s="33">
        <v>0.46717356491058876</v>
      </c>
      <c r="C18" s="33">
        <v>0.41061700234042636</v>
      </c>
      <c r="D18" s="33">
        <v>0.42181135808809161</v>
      </c>
      <c r="E18" s="33">
        <v>0.43791000448953388</v>
      </c>
      <c r="F18" s="33">
        <v>0.47577163213998114</v>
      </c>
      <c r="G18" s="33">
        <v>0.4399008783502355</v>
      </c>
      <c r="H18" s="33">
        <v>0.43918516285878789</v>
      </c>
      <c r="I18" s="33">
        <v>0.44236702046537812</v>
      </c>
      <c r="J18" s="33">
        <v>0.55836529385439482</v>
      </c>
      <c r="K18" s="33">
        <v>0.41010195883059014</v>
      </c>
      <c r="L18" s="33">
        <v>0.43647344219239492</v>
      </c>
      <c r="M18" s="33">
        <v>0.47081274685883467</v>
      </c>
      <c r="N18" s="33">
        <v>0.43488782280681237</v>
      </c>
      <c r="O18" s="33">
        <v>0.43787863358862705</v>
      </c>
      <c r="P18" s="33">
        <v>0.43267027607091602</v>
      </c>
      <c r="Q18" s="33">
        <v>0.47797092197920199</v>
      </c>
      <c r="R18" s="33">
        <v>0.48070188831249588</v>
      </c>
      <c r="S18" s="33">
        <v>0.46948057461449094</v>
      </c>
      <c r="T18" s="33">
        <v>0.50781699359673338</v>
      </c>
      <c r="U18" s="33">
        <v>0.4350785545088533</v>
      </c>
      <c r="V18" s="33">
        <v>0.4718648826482012</v>
      </c>
      <c r="W18" s="33">
        <v>0.42627228251919697</v>
      </c>
      <c r="X18" s="33">
        <v>0.42015450508952734</v>
      </c>
      <c r="Y18" s="33">
        <v>0.48235846374095048</v>
      </c>
      <c r="Z18" s="33">
        <v>0.43180306356672254</v>
      </c>
      <c r="AA18" s="33">
        <v>0.44329796842253572</v>
      </c>
      <c r="AB18" s="33">
        <v>0.44346399583540491</v>
      </c>
      <c r="AC18" s="33">
        <v>0.59765977910127255</v>
      </c>
      <c r="AD18" s="33">
        <v>0.47288621675915227</v>
      </c>
      <c r="AE18" s="33">
        <v>0.42497587905707362</v>
      </c>
      <c r="AF18" s="33">
        <v>0.47288621675915227</v>
      </c>
      <c r="AG18" s="33">
        <v>0.57529204251691723</v>
      </c>
      <c r="AH18" s="33">
        <v>0.47965838189884924</v>
      </c>
      <c r="AI18" s="33">
        <v>0.47527676599493346</v>
      </c>
      <c r="AJ18" s="33">
        <v>0.49866796948087194</v>
      </c>
      <c r="AK18" s="33">
        <v>0.4858993599407504</v>
      </c>
      <c r="AL18" s="33">
        <v>0.43061024970456968</v>
      </c>
      <c r="AM18" s="33">
        <v>0.52604999374479511</v>
      </c>
      <c r="AN18" s="33">
        <v>0.52458026562692961</v>
      </c>
      <c r="AO18" s="33">
        <v>0.53257516798366411</v>
      </c>
      <c r="AP18" s="33">
        <v>0.44687938579793213</v>
      </c>
      <c r="AQ18" s="33">
        <v>0.51501549080267039</v>
      </c>
      <c r="AR18" s="33">
        <v>0.45486983559398908</v>
      </c>
      <c r="AS18" s="33">
        <v>0.56021404105993633</v>
      </c>
      <c r="AT18" s="33">
        <v>0.56135352121872883</v>
      </c>
      <c r="AU18" s="33">
        <v>0.56578076800057631</v>
      </c>
      <c r="AV18" s="33">
        <v>0.57390179990062462</v>
      </c>
      <c r="AW18" s="33">
        <v>0.57784890162262204</v>
      </c>
      <c r="AX18" s="33">
        <v>0.579737492001411</v>
      </c>
      <c r="AY18" s="33">
        <v>0.56931893141669332</v>
      </c>
      <c r="AZ18" s="33">
        <v>0.35445739577843111</v>
      </c>
      <c r="BA18" s="33">
        <v>0.48221473430526823</v>
      </c>
      <c r="BB18" s="33">
        <v>0.40786153822638643</v>
      </c>
      <c r="BC18" s="33">
        <v>0.50773878414844953</v>
      </c>
      <c r="BD18" s="33">
        <v>0.40600366467205162</v>
      </c>
      <c r="BE18" s="33">
        <v>0.37853138423927013</v>
      </c>
      <c r="BF18" s="33">
        <v>0.37147585814626144</v>
      </c>
      <c r="BG18" s="33">
        <v>0.49862159399377276</v>
      </c>
      <c r="BH18" s="33">
        <v>0.37580774976772169</v>
      </c>
      <c r="BI18" s="33">
        <v>0.41750952665898988</v>
      </c>
      <c r="BJ18" s="33">
        <v>0.3774881735083625</v>
      </c>
      <c r="BK18" s="33">
        <v>0.40665991917385869</v>
      </c>
      <c r="BL18" s="33">
        <v>0.55089067480680254</v>
      </c>
      <c r="BM18" s="33">
        <v>0.44555356780111161</v>
      </c>
      <c r="BN18" s="35"/>
      <c r="BO18" s="35"/>
      <c r="BP18" s="35"/>
      <c r="BQ18" s="35"/>
      <c r="BR18" s="35"/>
      <c r="BS18" s="35"/>
      <c r="BT18" s="35"/>
    </row>
    <row r="19" spans="1:72" s="2" customFormat="1" ht="11.25" x14ac:dyDescent="0.2">
      <c r="A19" s="2" t="s">
        <v>277</v>
      </c>
      <c r="B19" s="33">
        <v>2.1575885608169566E-2</v>
      </c>
      <c r="C19" s="33">
        <v>2.2600291703059976E-2</v>
      </c>
      <c r="D19" s="33">
        <v>9.5004058995408654E-3</v>
      </c>
      <c r="E19" s="33">
        <v>1.3134739927755641E-2</v>
      </c>
      <c r="F19" s="33">
        <v>1.0730328112604409E-2</v>
      </c>
      <c r="G19" s="33">
        <v>2.0650779049649615E-2</v>
      </c>
      <c r="H19" s="33">
        <v>1.6599549252869602E-2</v>
      </c>
      <c r="I19" s="33">
        <v>1.4677513207943155E-2</v>
      </c>
      <c r="J19" s="33">
        <v>2.2199097808348885E-2</v>
      </c>
      <c r="K19" s="33">
        <v>2.0127754581811121E-2</v>
      </c>
      <c r="L19" s="33">
        <v>1.5660769735095909E-2</v>
      </c>
      <c r="M19" s="33">
        <v>1.4496032082523135E-2</v>
      </c>
      <c r="N19" s="33">
        <v>2.9224671684911691E-2</v>
      </c>
      <c r="O19" s="33">
        <v>1.2184382260190129E-2</v>
      </c>
      <c r="P19" s="33">
        <v>2.0405893614553073E-2</v>
      </c>
      <c r="Q19" s="33">
        <v>1.2795954619663708E-2</v>
      </c>
      <c r="R19" s="33">
        <v>8.2991985634152977E-3</v>
      </c>
      <c r="S19" s="33">
        <v>9.2874103993575968E-3</v>
      </c>
      <c r="T19" s="33">
        <v>1.2679189579869432E-2</v>
      </c>
      <c r="U19" s="33">
        <v>9.8253229271151304E-3</v>
      </c>
      <c r="V19" s="33">
        <v>1.4828493311375066E-2</v>
      </c>
      <c r="W19" s="33">
        <v>1.211524415589176E-2</v>
      </c>
      <c r="X19" s="33">
        <v>1.4592761401961467E-2</v>
      </c>
      <c r="Y19" s="33">
        <v>1.9685110278132245E-2</v>
      </c>
      <c r="Z19" s="33">
        <v>1.0646575726632119E-2</v>
      </c>
      <c r="AA19" s="33">
        <v>1.4238884434007856E-2</v>
      </c>
      <c r="AB19" s="33">
        <v>1.9205145593900852E-2</v>
      </c>
      <c r="AC19" s="33">
        <v>2.4189241298612139E-2</v>
      </c>
      <c r="AD19" s="33">
        <v>1.8594681301700385E-2</v>
      </c>
      <c r="AE19" s="33">
        <v>2.5215186391703899E-2</v>
      </c>
      <c r="AF19" s="33">
        <v>1.8594681301700385E-2</v>
      </c>
      <c r="AG19" s="33">
        <v>2.1455242021445203E-2</v>
      </c>
      <c r="AH19" s="33">
        <v>1.2103287548835133E-2</v>
      </c>
      <c r="AI19" s="33">
        <v>1.2857182580672514E-2</v>
      </c>
      <c r="AJ19" s="33">
        <v>1.3330627712745839E-2</v>
      </c>
      <c r="AK19" s="33">
        <v>1.8513864878985081E-2</v>
      </c>
      <c r="AL19" s="33">
        <v>1.0624412785679117E-2</v>
      </c>
      <c r="AM19" s="33">
        <v>1.1526136426226151E-2</v>
      </c>
      <c r="AN19" s="33">
        <v>1.1011920174728846E-2</v>
      </c>
      <c r="AO19" s="33">
        <v>1.404234670007808E-2</v>
      </c>
      <c r="AP19" s="33">
        <v>1.4816715438616559E-2</v>
      </c>
      <c r="AQ19" s="33">
        <v>1.7502598246041334E-2</v>
      </c>
      <c r="AR19" s="33">
        <v>1.3062240461398434E-2</v>
      </c>
      <c r="AS19" s="33">
        <v>3.5073345931699321E-2</v>
      </c>
      <c r="AT19" s="33">
        <v>3.2628327471778198E-2</v>
      </c>
      <c r="AU19" s="33">
        <v>3.0345402841906882E-2</v>
      </c>
      <c r="AV19" s="33">
        <v>3.5118131583831778E-2</v>
      </c>
      <c r="AW19" s="33">
        <v>3.5704023158125014E-2</v>
      </c>
      <c r="AX19" s="33">
        <v>2.4483127894060829E-2</v>
      </c>
      <c r="AY19" s="33">
        <v>3.6459307139367791E-2</v>
      </c>
      <c r="AZ19" s="33">
        <v>5.7534886640857614E-3</v>
      </c>
      <c r="BA19" s="33">
        <v>2.3077211185145104E-2</v>
      </c>
      <c r="BB19" s="33">
        <v>1.7952883135421812E-2</v>
      </c>
      <c r="BC19" s="33">
        <v>1.5550432421378921E-2</v>
      </c>
      <c r="BD19" s="33">
        <v>4.1459268416974594E-3</v>
      </c>
      <c r="BE19" s="33">
        <v>1.9465843664168703E-3</v>
      </c>
      <c r="BF19" s="33">
        <v>5.1558156060123126E-3</v>
      </c>
      <c r="BG19" s="33">
        <v>4.5252140493385336E-2</v>
      </c>
      <c r="BH19" s="33">
        <v>2.2686754971817494E-2</v>
      </c>
      <c r="BI19" s="33">
        <v>1.6198061442307829E-2</v>
      </c>
      <c r="BJ19" s="33">
        <v>1.8788909544246977E-2</v>
      </c>
      <c r="BK19" s="33">
        <v>1.7709928556218946E-2</v>
      </c>
      <c r="BL19" s="33">
        <v>3.0141686209529197E-2</v>
      </c>
      <c r="BM19" s="33">
        <v>2.8079552177245663E-2</v>
      </c>
      <c r="BN19" s="35"/>
      <c r="BO19" s="35"/>
      <c r="BP19" s="35"/>
      <c r="BQ19" s="35"/>
      <c r="BR19" s="35"/>
      <c r="BS19" s="35"/>
      <c r="BT19" s="35"/>
    </row>
    <row r="20" spans="1:72" s="2" customFormat="1" ht="11.25" x14ac:dyDescent="0.2">
      <c r="A20" s="2" t="s">
        <v>306</v>
      </c>
      <c r="B20" s="33">
        <v>5.0358756436498053</v>
      </c>
      <c r="C20" s="33">
        <v>5.0160647233178874</v>
      </c>
      <c r="D20" s="33">
        <v>5.022948339892344</v>
      </c>
      <c r="E20" s="33">
        <v>5.0264549640153193</v>
      </c>
      <c r="F20" s="33">
        <v>5.0231896587900415</v>
      </c>
      <c r="G20" s="33">
        <v>5.0148302917408003</v>
      </c>
      <c r="H20" s="33">
        <v>5.0204524083325852</v>
      </c>
      <c r="I20" s="33">
        <v>5.0314548735735851</v>
      </c>
      <c r="J20" s="33">
        <v>5.0277231146155064</v>
      </c>
      <c r="K20" s="33">
        <v>5.0337744901390025</v>
      </c>
      <c r="L20" s="33">
        <v>5.0434555932091731</v>
      </c>
      <c r="M20" s="33">
        <v>5.0458855136914336</v>
      </c>
      <c r="N20" s="33">
        <v>5.0378357345540401</v>
      </c>
      <c r="O20" s="33">
        <v>5.022537224090593</v>
      </c>
      <c r="P20" s="33">
        <v>5.0236206693925256</v>
      </c>
      <c r="Q20" s="33">
        <v>5.0158260623930202</v>
      </c>
      <c r="R20" s="33">
        <v>5.0226005596521741</v>
      </c>
      <c r="S20" s="33">
        <v>5.0410716024037807</v>
      </c>
      <c r="T20" s="33">
        <v>5.0225559115353393</v>
      </c>
      <c r="U20" s="33">
        <v>5.0217713702217992</v>
      </c>
      <c r="V20" s="33">
        <v>5.0271001649619462</v>
      </c>
      <c r="W20" s="33">
        <v>5.0124387756158866</v>
      </c>
      <c r="X20" s="33">
        <v>5.0146936461154672</v>
      </c>
      <c r="Y20" s="33">
        <v>5.0240514876342441</v>
      </c>
      <c r="Z20" s="33">
        <v>5.0205482236845675</v>
      </c>
      <c r="AA20" s="33">
        <v>5.0189598899553545</v>
      </c>
      <c r="AB20" s="33">
        <v>5.0182295090729152</v>
      </c>
      <c r="AC20" s="33">
        <v>5.0087518524039956</v>
      </c>
      <c r="AD20" s="33">
        <v>5.0231501667817673</v>
      </c>
      <c r="AE20" s="33">
        <v>5.0158898536360628</v>
      </c>
      <c r="AF20" s="33">
        <v>5.0231501667817673</v>
      </c>
      <c r="AG20" s="33">
        <v>5.0305055455591097</v>
      </c>
      <c r="AH20" s="33">
        <v>5.0284544090011254</v>
      </c>
      <c r="AI20" s="33">
        <v>5.0275776560483934</v>
      </c>
      <c r="AJ20" s="33">
        <v>5.0239245379203155</v>
      </c>
      <c r="AK20" s="33">
        <v>5.0216531848580797</v>
      </c>
      <c r="AL20" s="33">
        <v>5.0272580287804489</v>
      </c>
      <c r="AM20" s="33">
        <v>5.0287860045466353</v>
      </c>
      <c r="AN20" s="33">
        <v>5.0194913449673901</v>
      </c>
      <c r="AO20" s="33">
        <v>5.0193627906159115</v>
      </c>
      <c r="AP20" s="33">
        <v>5.0178651337635269</v>
      </c>
      <c r="AQ20" s="33">
        <v>5.0230580727682606</v>
      </c>
      <c r="AR20" s="33">
        <v>5.0246753829338049</v>
      </c>
      <c r="AS20" s="33">
        <v>5.0170217583870196</v>
      </c>
      <c r="AT20" s="33">
        <v>5.0225000238826114</v>
      </c>
      <c r="AU20" s="33">
        <v>5.0210139350098419</v>
      </c>
      <c r="AV20" s="33">
        <v>5.0129361145493965</v>
      </c>
      <c r="AW20" s="33">
        <v>5.0154785737082834</v>
      </c>
      <c r="AX20" s="33">
        <v>5.0225855474537973</v>
      </c>
      <c r="AY20" s="33">
        <v>5.0252511201954855</v>
      </c>
      <c r="AZ20" s="33">
        <v>5.029085648775399</v>
      </c>
      <c r="BA20" s="33">
        <v>5.0142444207159524</v>
      </c>
      <c r="BB20" s="33">
        <v>5.0251361333477833</v>
      </c>
      <c r="BC20" s="33">
        <v>5.0226791673209901</v>
      </c>
      <c r="BD20" s="33">
        <v>5.0251236472747696</v>
      </c>
      <c r="BE20" s="33">
        <v>5.0215870493813037</v>
      </c>
      <c r="BF20" s="33">
        <v>5.0273029295139615</v>
      </c>
      <c r="BG20" s="33">
        <v>5.0160799956331674</v>
      </c>
      <c r="BH20" s="33">
        <v>5.0245748334493845</v>
      </c>
      <c r="BI20" s="33">
        <v>5.0204481987183316</v>
      </c>
      <c r="BJ20" s="33">
        <v>5.0217811540338495</v>
      </c>
      <c r="BK20" s="33">
        <v>5.0214022556390141</v>
      </c>
      <c r="BL20" s="33">
        <v>5.0198539888813061</v>
      </c>
      <c r="BM20" s="33">
        <v>5.0253212523422102</v>
      </c>
      <c r="BN20" s="35"/>
      <c r="BO20" s="35"/>
      <c r="BP20" s="35"/>
      <c r="BQ20" s="35"/>
      <c r="BR20" s="35"/>
      <c r="BS20" s="35"/>
      <c r="BT20" s="35"/>
    </row>
    <row r="21" spans="1:72" s="2" customFormat="1" ht="11.25" x14ac:dyDescent="0.2">
      <c r="A21" s="31" t="s">
        <v>305</v>
      </c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5"/>
      <c r="BO21" s="35"/>
      <c r="BP21" s="35"/>
      <c r="BQ21" s="35"/>
      <c r="BR21" s="35"/>
      <c r="BS21" s="35"/>
      <c r="BT21" s="35"/>
    </row>
    <row r="22" spans="1:72" s="2" customFormat="1" ht="11.25" x14ac:dyDescent="0.2">
      <c r="A22" s="2" t="s">
        <v>403</v>
      </c>
      <c r="B22" s="32">
        <v>53.572504192480196</v>
      </c>
      <c r="C22" s="32">
        <v>57.733553170631048</v>
      </c>
      <c r="D22" s="32">
        <v>58.329395012358098</v>
      </c>
      <c r="E22" s="32">
        <v>56.200741313248457</v>
      </c>
      <c r="F22" s="32">
        <v>52.802365950811868</v>
      </c>
      <c r="G22" s="32">
        <v>54.961394804308583</v>
      </c>
      <c r="H22" s="32">
        <v>55.823275981456177</v>
      </c>
      <c r="I22" s="32">
        <v>56.255355474152303</v>
      </c>
      <c r="J22" s="32">
        <v>44.075036162827779</v>
      </c>
      <c r="K22" s="32">
        <v>59.153688960826514</v>
      </c>
      <c r="L22" s="32">
        <v>57.086562264847132</v>
      </c>
      <c r="M22" s="32">
        <v>54.118486695280943</v>
      </c>
      <c r="N22" s="32">
        <v>55.504992431358382</v>
      </c>
      <c r="O22" s="32">
        <v>56.521179470688786</v>
      </c>
      <c r="P22" s="32">
        <v>56.205944320549648</v>
      </c>
      <c r="Q22" s="32">
        <v>51.562310755551344</v>
      </c>
      <c r="R22" s="32">
        <v>52.414991942009884</v>
      </c>
      <c r="S22" s="32">
        <v>54.553990748747104</v>
      </c>
      <c r="T22" s="32">
        <v>49.705130366502729</v>
      </c>
      <c r="U22" s="32">
        <v>56.792225352168813</v>
      </c>
      <c r="V22" s="32">
        <v>52.855762706209319</v>
      </c>
      <c r="W22" s="32">
        <v>56.621626619430373</v>
      </c>
      <c r="X22" s="32">
        <v>57.542469108897556</v>
      </c>
      <c r="Y22" s="32">
        <v>51.613756251644105</v>
      </c>
      <c r="Z22" s="32">
        <v>57.255004232758324</v>
      </c>
      <c r="AA22" s="32">
        <v>55.566784088855648</v>
      </c>
      <c r="AB22" s="32">
        <v>54.837119563065983</v>
      </c>
      <c r="AC22" s="32">
        <v>38.894113196411595</v>
      </c>
      <c r="AD22" s="32">
        <v>52.534067926672876</v>
      </c>
      <c r="AE22" s="32">
        <v>55.977224343310219</v>
      </c>
      <c r="AF22" s="32">
        <v>52.534067926672876</v>
      </c>
      <c r="AG22" s="32">
        <v>42.811089856105802</v>
      </c>
      <c r="AH22" s="32">
        <v>53.152039071761301</v>
      </c>
      <c r="AI22" s="32">
        <v>53.376536805672337</v>
      </c>
      <c r="AJ22" s="32">
        <v>50.841618455078077</v>
      </c>
      <c r="AK22" s="32">
        <v>51.388880519381289</v>
      </c>
      <c r="AL22" s="32">
        <v>57.690420378277999</v>
      </c>
      <c r="AM22" s="32">
        <v>48.490948078131659</v>
      </c>
      <c r="AN22" s="32">
        <v>47.947755780444595</v>
      </c>
      <c r="AO22" s="32">
        <v>46.96243480345565</v>
      </c>
      <c r="AP22" s="32">
        <v>55.14977964172526</v>
      </c>
      <c r="AQ22" s="32">
        <v>48.719683246252487</v>
      </c>
      <c r="AR22" s="32">
        <v>55.038959072299235</v>
      </c>
      <c r="AS22" s="32">
        <v>42.16489743898579</v>
      </c>
      <c r="AT22" s="32">
        <v>42.674337586411383</v>
      </c>
      <c r="AU22" s="32">
        <v>42.522804698261794</v>
      </c>
      <c r="AV22" s="32">
        <v>40.482680496974801</v>
      </c>
      <c r="AW22" s="32">
        <v>40.329948143576942</v>
      </c>
      <c r="AX22" s="32">
        <v>41.768793295054117</v>
      </c>
      <c r="AY22" s="32">
        <v>41.629919584996891</v>
      </c>
      <c r="AZ22" s="32">
        <v>65.939463247090487</v>
      </c>
      <c r="BA22" s="32">
        <v>50.938510257259296</v>
      </c>
      <c r="BB22" s="32">
        <v>59.593771871380206</v>
      </c>
      <c r="BC22" s="32">
        <v>49.637262405206322</v>
      </c>
      <c r="BD22" s="32">
        <v>60.952190079716026</v>
      </c>
      <c r="BE22" s="32">
        <v>63.500181110395893</v>
      </c>
      <c r="BF22" s="32">
        <v>64.026276791139594</v>
      </c>
      <c r="BG22" s="32">
        <v>47.356744923031144</v>
      </c>
      <c r="BH22" s="32">
        <v>62.19400952142108</v>
      </c>
      <c r="BI22" s="32">
        <v>58.210923182602137</v>
      </c>
      <c r="BJ22" s="32">
        <v>61.754649375656314</v>
      </c>
      <c r="BK22" s="32">
        <v>58.907049742799821</v>
      </c>
      <c r="BL22" s="32">
        <v>43.529679587565774</v>
      </c>
      <c r="BM22" s="32">
        <v>54.48508508879771</v>
      </c>
      <c r="BN22" s="35"/>
      <c r="BO22" s="35"/>
      <c r="BP22" s="35"/>
      <c r="BQ22" s="35"/>
      <c r="BR22" s="35"/>
      <c r="BS22" s="35"/>
      <c r="BT22" s="35"/>
    </row>
    <row r="23" spans="1:72" s="2" customFormat="1" ht="11.25" x14ac:dyDescent="0.2">
      <c r="A23" s="2" t="s">
        <v>402</v>
      </c>
      <c r="B23" s="32">
        <v>44.37795009948146</v>
      </c>
      <c r="C23" s="32">
        <v>40.061470156623926</v>
      </c>
      <c r="D23" s="32">
        <v>40.752736071195216</v>
      </c>
      <c r="E23" s="32">
        <v>42.523793493997317</v>
      </c>
      <c r="F23" s="32">
        <v>46.156639066920278</v>
      </c>
      <c r="G23" s="32">
        <v>43.019109076946464</v>
      </c>
      <c r="H23" s="32">
        <v>42.567820326318625</v>
      </c>
      <c r="I23" s="32">
        <v>42.33983044209841</v>
      </c>
      <c r="J23" s="32">
        <v>53.786555488368528</v>
      </c>
      <c r="K23" s="32">
        <v>38.93536788825093</v>
      </c>
      <c r="L23" s="32">
        <v>41.427026290978894</v>
      </c>
      <c r="M23" s="32">
        <v>44.51104584622643</v>
      </c>
      <c r="N23" s="32">
        <v>41.69320411959788</v>
      </c>
      <c r="O23" s="32">
        <v>42.301735208154135</v>
      </c>
      <c r="P23" s="32">
        <v>41.821634923432512</v>
      </c>
      <c r="Q23" s="32">
        <v>47.174754635355342</v>
      </c>
      <c r="R23" s="32">
        <v>46.777407745610468</v>
      </c>
      <c r="S23" s="32">
        <v>44.564422027083801</v>
      </c>
      <c r="T23" s="32">
        <v>49.069696024949302</v>
      </c>
      <c r="U23" s="32">
        <v>42.253567772126772</v>
      </c>
      <c r="V23" s="32">
        <v>45.707854466507399</v>
      </c>
      <c r="W23" s="32">
        <v>42.179571971740884</v>
      </c>
      <c r="X23" s="32">
        <v>41.032398024804387</v>
      </c>
      <c r="Y23" s="32">
        <v>46.489020890774292</v>
      </c>
      <c r="Z23" s="32">
        <v>41.716431623540842</v>
      </c>
      <c r="AA23" s="32">
        <v>43.050421448927608</v>
      </c>
      <c r="AB23" s="32">
        <v>43.288193719009072</v>
      </c>
      <c r="AC23" s="32">
        <v>58.728935176797762</v>
      </c>
      <c r="AD23" s="32">
        <v>45.670106674875115</v>
      </c>
      <c r="AE23" s="32">
        <v>41.557061476962467</v>
      </c>
      <c r="AF23" s="32">
        <v>45.670106674875115</v>
      </c>
      <c r="AG23" s="32">
        <v>55.132760179124553</v>
      </c>
      <c r="AH23" s="32">
        <v>45.694934213432106</v>
      </c>
      <c r="AI23" s="32">
        <v>45.395426544588496</v>
      </c>
      <c r="AJ23" s="32">
        <v>47.87847162538624</v>
      </c>
      <c r="AK23" s="32">
        <v>46.826908335080233</v>
      </c>
      <c r="AL23" s="32">
        <v>41.290814604139861</v>
      </c>
      <c r="AM23" s="32">
        <v>50.404649538064319</v>
      </c>
      <c r="AN23" s="32">
        <v>50.982036002452134</v>
      </c>
      <c r="AO23" s="32">
        <v>51.675055107476368</v>
      </c>
      <c r="AP23" s="32">
        <v>43.410890568337159</v>
      </c>
      <c r="AQ23" s="32">
        <v>49.594855169383415</v>
      </c>
      <c r="AR23" s="32">
        <v>43.705961487660645</v>
      </c>
      <c r="AS23" s="32">
        <v>54.427554201273367</v>
      </c>
      <c r="AT23" s="32">
        <v>54.176676480953212</v>
      </c>
      <c r="AU23" s="32">
        <v>54.551357230933121</v>
      </c>
      <c r="AV23" s="32">
        <v>56.085351270508419</v>
      </c>
      <c r="AW23" s="32">
        <v>56.197717478602968</v>
      </c>
      <c r="AX23" s="32">
        <v>55.87166776463409</v>
      </c>
      <c r="AY23" s="32">
        <v>54.857024722093392</v>
      </c>
      <c r="AZ23" s="32">
        <v>33.51650290894662</v>
      </c>
      <c r="BA23" s="32">
        <v>46.82080023649457</v>
      </c>
      <c r="BB23" s="32">
        <v>38.702649632578343</v>
      </c>
      <c r="BC23" s="32">
        <v>48.866122868701822</v>
      </c>
      <c r="BD23" s="32">
        <v>38.653101826925848</v>
      </c>
      <c r="BE23" s="32">
        <v>36.313080148625438</v>
      </c>
      <c r="BF23" s="32">
        <v>35.48126891876106</v>
      </c>
      <c r="BG23" s="32">
        <v>48.263157595301699</v>
      </c>
      <c r="BH23" s="32">
        <v>35.653651532236395</v>
      </c>
      <c r="BI23" s="32">
        <v>40.228343151498905</v>
      </c>
      <c r="BJ23" s="32">
        <v>36.432002176754047</v>
      </c>
      <c r="BK23" s="32">
        <v>39.378047049274421</v>
      </c>
      <c r="BL23" s="32">
        <v>53.540861070366155</v>
      </c>
      <c r="BM23" s="32">
        <v>42.816542744681499</v>
      </c>
      <c r="BN23" s="35"/>
      <c r="BO23" s="35"/>
      <c r="BP23" s="35"/>
      <c r="BQ23" s="35"/>
      <c r="BR23" s="35"/>
      <c r="BS23" s="35"/>
      <c r="BT23" s="35"/>
    </row>
    <row r="24" spans="1:72" s="2" customFormat="1" ht="11.25" x14ac:dyDescent="0.2">
      <c r="A24" s="2" t="s">
        <v>401</v>
      </c>
      <c r="B24" s="32">
        <v>2.0495457080383424</v>
      </c>
      <c r="C24" s="32">
        <v>2.2049766727450328</v>
      </c>
      <c r="D24" s="32">
        <v>0.91786891644666979</v>
      </c>
      <c r="E24" s="32">
        <v>1.275465192754214</v>
      </c>
      <c r="F24" s="32">
        <v>1.0409949822678584</v>
      </c>
      <c r="G24" s="32">
        <v>2.0194961187449558</v>
      </c>
      <c r="H24" s="32">
        <v>1.6089036922252005</v>
      </c>
      <c r="I24" s="32">
        <v>1.4048140837492891</v>
      </c>
      <c r="J24" s="32">
        <v>2.1384083488037149</v>
      </c>
      <c r="K24" s="32">
        <v>1.9109431509225654</v>
      </c>
      <c r="L24" s="32">
        <v>1.4864114441739773</v>
      </c>
      <c r="M24" s="32">
        <v>1.3704674584926202</v>
      </c>
      <c r="N24" s="32">
        <v>2.8018034490437538</v>
      </c>
      <c r="O24" s="32">
        <v>1.1770853211570822</v>
      </c>
      <c r="P24" s="32">
        <v>1.9724207560178346</v>
      </c>
      <c r="Q24" s="32">
        <v>1.2629346090933198</v>
      </c>
      <c r="R24" s="32">
        <v>0.80760031237965568</v>
      </c>
      <c r="S24" s="32">
        <v>0.88158722416909097</v>
      </c>
      <c r="T24" s="32">
        <v>1.2251736085479827</v>
      </c>
      <c r="U24" s="32">
        <v>0.95420687570442453</v>
      </c>
      <c r="V24" s="32">
        <v>1.4363828272832664</v>
      </c>
      <c r="W24" s="32">
        <v>1.1988014088287253</v>
      </c>
      <c r="X24" s="32">
        <v>1.4251328662980707</v>
      </c>
      <c r="Y24" s="32">
        <v>1.8972228575816188</v>
      </c>
      <c r="Z24" s="32">
        <v>1.0285641437008242</v>
      </c>
      <c r="AA24" s="32">
        <v>1.3827944622167392</v>
      </c>
      <c r="AB24" s="32">
        <v>1.874686717924938</v>
      </c>
      <c r="AC24" s="32">
        <v>2.3769516267906523</v>
      </c>
      <c r="AD24" s="32">
        <v>1.7958253984519974</v>
      </c>
      <c r="AE24" s="32">
        <v>2.4657141797273137</v>
      </c>
      <c r="AF24" s="32">
        <v>1.7958253984519974</v>
      </c>
      <c r="AG24" s="32">
        <v>2.0561499647696402</v>
      </c>
      <c r="AH24" s="32">
        <v>1.1530267148065867</v>
      </c>
      <c r="AI24" s="32">
        <v>1.2280366497391622</v>
      </c>
      <c r="AJ24" s="32">
        <v>1.2799099195356907</v>
      </c>
      <c r="AK24" s="32">
        <v>1.7842111455384699</v>
      </c>
      <c r="AL24" s="32">
        <v>1.018765017582149</v>
      </c>
      <c r="AM24" s="32">
        <v>1.1044023838040289</v>
      </c>
      <c r="AN24" s="32">
        <v>1.0702082171032679</v>
      </c>
      <c r="AO24" s="32">
        <v>1.3625100890679931</v>
      </c>
      <c r="AP24" s="32">
        <v>1.4393297899375861</v>
      </c>
      <c r="AQ24" s="32">
        <v>1.6854615843641014</v>
      </c>
      <c r="AR24" s="32">
        <v>1.2550794400401142</v>
      </c>
      <c r="AS24" s="32">
        <v>3.4075483597408431</v>
      </c>
      <c r="AT24" s="32">
        <v>3.1489859326354015</v>
      </c>
      <c r="AU24" s="32">
        <v>2.9258380708051019</v>
      </c>
      <c r="AV24" s="32">
        <v>3.4319682325167729</v>
      </c>
      <c r="AW24" s="32">
        <v>3.4723343778200855</v>
      </c>
      <c r="AX24" s="32">
        <v>2.3595389403117695</v>
      </c>
      <c r="AY24" s="32">
        <v>3.5130556929097239</v>
      </c>
      <c r="AZ24" s="32">
        <v>0.54403384396290833</v>
      </c>
      <c r="BA24" s="32">
        <v>2.2406895062461234</v>
      </c>
      <c r="BB24" s="32">
        <v>1.7035784960414382</v>
      </c>
      <c r="BC24" s="32">
        <v>1.4966147260918616</v>
      </c>
      <c r="BD24" s="32">
        <v>0.39470809335812485</v>
      </c>
      <c r="BE24" s="32">
        <v>0.18673874097867688</v>
      </c>
      <c r="BF24" s="32">
        <v>0.49245429009936043</v>
      </c>
      <c r="BG24" s="32">
        <v>4.3800974816671623</v>
      </c>
      <c r="BH24" s="32">
        <v>2.1523389463425224</v>
      </c>
      <c r="BI24" s="32">
        <v>1.5607336658989548</v>
      </c>
      <c r="BJ24" s="32">
        <v>1.8133484475896477</v>
      </c>
      <c r="BK24" s="32">
        <v>1.7149032079257547</v>
      </c>
      <c r="BL24" s="32">
        <v>2.9294593420680757</v>
      </c>
      <c r="BM24" s="32">
        <v>2.69837216652079</v>
      </c>
      <c r="BN24" s="35"/>
      <c r="BO24" s="35"/>
      <c r="BP24" s="35"/>
      <c r="BQ24" s="35"/>
      <c r="BR24" s="35"/>
      <c r="BS24" s="35"/>
      <c r="BT24" s="35"/>
    </row>
    <row r="25" spans="1:72" s="2" customFormat="1" ht="11.25" x14ac:dyDescent="0.2"/>
    <row r="26" spans="1:72" s="2" customFormat="1" ht="11.25" x14ac:dyDescent="0.2">
      <c r="A26" s="31" t="s">
        <v>292</v>
      </c>
    </row>
    <row r="27" spans="1:72" s="2" customFormat="1" ht="11.25" x14ac:dyDescent="0.2">
      <c r="A27" s="31" t="s">
        <v>207</v>
      </c>
      <c r="B27" s="34" t="s">
        <v>400</v>
      </c>
      <c r="C27" s="34" t="s">
        <v>400</v>
      </c>
      <c r="D27" s="34" t="s">
        <v>400</v>
      </c>
      <c r="E27" s="34" t="s">
        <v>400</v>
      </c>
      <c r="F27" s="34" t="s">
        <v>400</v>
      </c>
      <c r="G27" s="34" t="s">
        <v>400</v>
      </c>
      <c r="H27" s="34" t="s">
        <v>400</v>
      </c>
      <c r="I27" s="34" t="s">
        <v>400</v>
      </c>
      <c r="J27" s="34" t="s">
        <v>400</v>
      </c>
      <c r="K27" s="34" t="s">
        <v>400</v>
      </c>
      <c r="L27" s="34" t="s">
        <v>400</v>
      </c>
      <c r="M27" s="34" t="s">
        <v>400</v>
      </c>
      <c r="N27" s="34" t="s">
        <v>400</v>
      </c>
      <c r="O27" s="34" t="s">
        <v>400</v>
      </c>
      <c r="P27" s="34" t="s">
        <v>400</v>
      </c>
      <c r="Q27" s="34" t="s">
        <v>400</v>
      </c>
      <c r="R27" s="34" t="s">
        <v>400</v>
      </c>
      <c r="S27" s="34" t="s">
        <v>400</v>
      </c>
      <c r="T27" s="34" t="s">
        <v>400</v>
      </c>
      <c r="U27" s="34" t="s">
        <v>400</v>
      </c>
      <c r="V27" s="34" t="s">
        <v>400</v>
      </c>
      <c r="W27" s="34" t="s">
        <v>400</v>
      </c>
      <c r="X27" s="34" t="s">
        <v>400</v>
      </c>
      <c r="Y27" s="34" t="s">
        <v>400</v>
      </c>
      <c r="Z27" s="34" t="s">
        <v>400</v>
      </c>
      <c r="AA27" s="34" t="s">
        <v>400</v>
      </c>
      <c r="AB27" s="34" t="s">
        <v>400</v>
      </c>
      <c r="AC27" s="34" t="s">
        <v>400</v>
      </c>
      <c r="AD27" s="34" t="s">
        <v>400</v>
      </c>
      <c r="AE27" s="34" t="s">
        <v>400</v>
      </c>
      <c r="AF27" s="34" t="s">
        <v>400</v>
      </c>
      <c r="AG27" s="34" t="s">
        <v>400</v>
      </c>
      <c r="AH27" s="34" t="s">
        <v>400</v>
      </c>
      <c r="AI27" s="34" t="s">
        <v>400</v>
      </c>
      <c r="AJ27" s="34" t="s">
        <v>400</v>
      </c>
      <c r="AK27" s="34" t="s">
        <v>400</v>
      </c>
      <c r="AL27" s="34" t="s">
        <v>400</v>
      </c>
      <c r="AM27" s="34" t="s">
        <v>400</v>
      </c>
      <c r="AN27" s="34" t="s">
        <v>399</v>
      </c>
      <c r="AO27" s="34" t="s">
        <v>399</v>
      </c>
      <c r="AP27" s="34" t="s">
        <v>399</v>
      </c>
      <c r="AQ27" s="34" t="s">
        <v>399</v>
      </c>
      <c r="AR27" s="34" t="s">
        <v>399</v>
      </c>
      <c r="AS27" s="34" t="s">
        <v>399</v>
      </c>
      <c r="AT27" s="34" t="s">
        <v>341</v>
      </c>
      <c r="AU27" s="34" t="s">
        <v>341</v>
      </c>
      <c r="AV27" s="34" t="s">
        <v>341</v>
      </c>
      <c r="AW27" s="34" t="s">
        <v>341</v>
      </c>
      <c r="AX27" s="34" t="s">
        <v>341</v>
      </c>
      <c r="AY27" s="34" t="s">
        <v>341</v>
      </c>
      <c r="AZ27" s="34" t="s">
        <v>341</v>
      </c>
      <c r="BA27" s="34" t="s">
        <v>341</v>
      </c>
      <c r="BB27" s="34" t="s">
        <v>341</v>
      </c>
      <c r="BC27" s="34" t="s">
        <v>341</v>
      </c>
      <c r="BD27" s="34" t="s">
        <v>341</v>
      </c>
      <c r="BE27" s="34" t="s">
        <v>341</v>
      </c>
    </row>
    <row r="28" spans="1:72" s="2" customFormat="1" ht="11.25" x14ac:dyDescent="0.2">
      <c r="A28" s="31" t="s">
        <v>340</v>
      </c>
      <c r="B28" s="34" t="s">
        <v>398</v>
      </c>
      <c r="C28" s="34" t="s">
        <v>378</v>
      </c>
      <c r="D28" s="34" t="s">
        <v>377</v>
      </c>
      <c r="E28" s="34" t="s">
        <v>339</v>
      </c>
      <c r="F28" s="34" t="s">
        <v>376</v>
      </c>
      <c r="G28" s="34" t="s">
        <v>375</v>
      </c>
      <c r="H28" s="34" t="s">
        <v>374</v>
      </c>
      <c r="I28" s="34" t="s">
        <v>373</v>
      </c>
      <c r="J28" s="34" t="s">
        <v>372</v>
      </c>
      <c r="K28" s="34" t="s">
        <v>371</v>
      </c>
      <c r="L28" s="34" t="s">
        <v>368</v>
      </c>
      <c r="M28" s="34" t="s">
        <v>367</v>
      </c>
      <c r="N28" s="34" t="s">
        <v>397</v>
      </c>
      <c r="O28" s="34" t="s">
        <v>365</v>
      </c>
      <c r="P28" s="34" t="s">
        <v>338</v>
      </c>
      <c r="Q28" s="34" t="s">
        <v>337</v>
      </c>
      <c r="R28" s="34" t="s">
        <v>396</v>
      </c>
      <c r="S28" s="34" t="s">
        <v>395</v>
      </c>
      <c r="T28" s="34" t="s">
        <v>336</v>
      </c>
      <c r="U28" s="34" t="s">
        <v>335</v>
      </c>
      <c r="V28" s="34" t="s">
        <v>362</v>
      </c>
      <c r="W28" s="34" t="s">
        <v>361</v>
      </c>
      <c r="X28" s="34" t="s">
        <v>360</v>
      </c>
      <c r="Y28" s="34" t="s">
        <v>394</v>
      </c>
      <c r="Z28" s="34" t="s">
        <v>393</v>
      </c>
      <c r="AA28" s="34" t="s">
        <v>334</v>
      </c>
      <c r="AB28" s="34" t="s">
        <v>359</v>
      </c>
      <c r="AC28" s="34" t="s">
        <v>358</v>
      </c>
      <c r="AD28" s="34" t="s">
        <v>357</v>
      </c>
      <c r="AE28" s="34" t="s">
        <v>333</v>
      </c>
      <c r="AF28" s="34" t="s">
        <v>356</v>
      </c>
      <c r="AG28" s="34" t="s">
        <v>355</v>
      </c>
      <c r="AH28" s="34" t="s">
        <v>392</v>
      </c>
      <c r="AI28" s="34" t="s">
        <v>331</v>
      </c>
      <c r="AJ28" s="34" t="s">
        <v>354</v>
      </c>
      <c r="AK28" s="34" t="s">
        <v>391</v>
      </c>
      <c r="AL28" s="34" t="s">
        <v>390</v>
      </c>
      <c r="AM28" s="34" t="s">
        <v>353</v>
      </c>
      <c r="AN28" s="34" t="s">
        <v>352</v>
      </c>
      <c r="AO28" s="34" t="s">
        <v>329</v>
      </c>
      <c r="AP28" s="34" t="s">
        <v>351</v>
      </c>
      <c r="AQ28" s="34" t="s">
        <v>327</v>
      </c>
      <c r="AR28" s="34" t="s">
        <v>389</v>
      </c>
      <c r="AS28" s="34" t="s">
        <v>388</v>
      </c>
      <c r="AT28" s="34" t="s">
        <v>326</v>
      </c>
      <c r="AU28" s="34" t="s">
        <v>325</v>
      </c>
      <c r="AV28" s="34" t="s">
        <v>324</v>
      </c>
      <c r="AW28" s="34" t="s">
        <v>387</v>
      </c>
      <c r="AX28" s="34" t="s">
        <v>386</v>
      </c>
      <c r="AY28" s="34" t="s">
        <v>323</v>
      </c>
      <c r="AZ28" s="34" t="s">
        <v>385</v>
      </c>
      <c r="BA28" s="34" t="s">
        <v>384</v>
      </c>
      <c r="BB28" s="34" t="s">
        <v>383</v>
      </c>
      <c r="BC28" s="34" t="s">
        <v>347</v>
      </c>
      <c r="BD28" s="34" t="s">
        <v>322</v>
      </c>
      <c r="BE28" s="34" t="s">
        <v>346</v>
      </c>
    </row>
    <row r="29" spans="1:72" s="2" customFormat="1" ht="11.25" x14ac:dyDescent="0.2">
      <c r="A29" s="31" t="s">
        <v>319</v>
      </c>
      <c r="B29" s="34">
        <v>3</v>
      </c>
      <c r="C29" s="34">
        <v>3</v>
      </c>
      <c r="D29" s="34">
        <v>2</v>
      </c>
      <c r="E29" s="34">
        <v>2</v>
      </c>
      <c r="F29" s="34">
        <v>3</v>
      </c>
      <c r="G29" s="34">
        <v>2</v>
      </c>
      <c r="H29" s="34">
        <v>2</v>
      </c>
      <c r="I29" s="34">
        <v>3</v>
      </c>
      <c r="J29" s="34">
        <v>2</v>
      </c>
      <c r="K29" s="34">
        <v>1</v>
      </c>
      <c r="L29" s="34">
        <v>1</v>
      </c>
      <c r="M29" s="34">
        <v>1</v>
      </c>
      <c r="N29" s="34">
        <v>3</v>
      </c>
      <c r="O29" s="34">
        <v>3</v>
      </c>
      <c r="P29" s="34">
        <v>2</v>
      </c>
      <c r="Q29" s="34">
        <v>3</v>
      </c>
      <c r="R29" s="34">
        <v>3</v>
      </c>
      <c r="S29" s="34">
        <v>1</v>
      </c>
      <c r="T29" s="34">
        <v>3</v>
      </c>
      <c r="U29" s="34">
        <v>3</v>
      </c>
      <c r="V29" s="34">
        <v>2</v>
      </c>
      <c r="W29" s="34">
        <v>3</v>
      </c>
      <c r="X29" s="34">
        <v>3</v>
      </c>
      <c r="Y29" s="34">
        <v>3</v>
      </c>
      <c r="Z29" s="34">
        <v>3</v>
      </c>
      <c r="AA29" s="34">
        <v>2</v>
      </c>
      <c r="AB29" s="34">
        <v>2</v>
      </c>
      <c r="AC29" s="34">
        <v>3</v>
      </c>
      <c r="AD29" s="34">
        <v>3</v>
      </c>
      <c r="AE29" s="34">
        <v>3</v>
      </c>
      <c r="AF29" s="34">
        <v>2</v>
      </c>
      <c r="AG29" s="34">
        <v>3</v>
      </c>
      <c r="AH29" s="34">
        <v>3</v>
      </c>
      <c r="AI29" s="34">
        <v>3</v>
      </c>
      <c r="AJ29" s="34">
        <v>3</v>
      </c>
      <c r="AK29" s="34">
        <v>1</v>
      </c>
      <c r="AL29" s="34">
        <v>2</v>
      </c>
      <c r="AM29" s="34">
        <v>2</v>
      </c>
      <c r="AN29" s="34">
        <v>2</v>
      </c>
      <c r="AO29" s="34">
        <v>3</v>
      </c>
      <c r="AP29" s="34">
        <v>2</v>
      </c>
      <c r="AQ29" s="34">
        <v>3</v>
      </c>
      <c r="AR29" s="34">
        <v>1</v>
      </c>
      <c r="AS29" s="34">
        <v>3</v>
      </c>
      <c r="AT29" s="34">
        <v>3</v>
      </c>
      <c r="AU29" s="34">
        <v>3</v>
      </c>
      <c r="AV29" s="34">
        <v>2</v>
      </c>
      <c r="AW29" s="34">
        <v>2</v>
      </c>
      <c r="AX29" s="34">
        <v>2</v>
      </c>
      <c r="AY29" s="34">
        <v>3</v>
      </c>
      <c r="AZ29" s="34">
        <v>1</v>
      </c>
      <c r="BA29" s="34">
        <v>2</v>
      </c>
      <c r="BB29" s="34">
        <v>3</v>
      </c>
      <c r="BC29" s="34">
        <v>2</v>
      </c>
      <c r="BD29" s="34">
        <v>2</v>
      </c>
      <c r="BE29" s="34">
        <v>2</v>
      </c>
    </row>
    <row r="30" spans="1:72" s="2" customFormat="1" ht="11.25" x14ac:dyDescent="0.2">
      <c r="A30" s="2" t="s">
        <v>318</v>
      </c>
      <c r="B30" s="33">
        <v>33.778966666666669</v>
      </c>
      <c r="C30" s="33">
        <v>33.883399999999995</v>
      </c>
      <c r="D30" s="33">
        <v>33.776800000000001</v>
      </c>
      <c r="E30" s="33">
        <v>33.160200000000003</v>
      </c>
      <c r="F30" s="33">
        <v>33.967466666666667</v>
      </c>
      <c r="G30" s="33">
        <v>33.010450000000006</v>
      </c>
      <c r="H30" s="33">
        <v>33.773400000000002</v>
      </c>
      <c r="I30" s="33">
        <v>33.730766666666668</v>
      </c>
      <c r="J30" s="33">
        <v>33.351299999999995</v>
      </c>
      <c r="K30" s="33">
        <v>33.551000000000002</v>
      </c>
      <c r="L30" s="33">
        <v>33.723999999999997</v>
      </c>
      <c r="M30" s="33">
        <v>33.0578</v>
      </c>
      <c r="N30" s="33">
        <v>33.130899999999997</v>
      </c>
      <c r="O30" s="33">
        <v>33.110066666666661</v>
      </c>
      <c r="P30" s="33">
        <v>32.816900000000004</v>
      </c>
      <c r="Q30" s="33">
        <v>33.006766666666664</v>
      </c>
      <c r="R30" s="33">
        <v>33.957233333333335</v>
      </c>
      <c r="S30" s="33">
        <v>33.7729</v>
      </c>
      <c r="T30" s="33">
        <v>34.147933333333334</v>
      </c>
      <c r="U30" s="33">
        <v>33.534266666666667</v>
      </c>
      <c r="V30" s="33">
        <v>34.519500000000001</v>
      </c>
      <c r="W30" s="33">
        <v>33.939699999999995</v>
      </c>
      <c r="X30" s="33">
        <v>33.870100000000001</v>
      </c>
      <c r="Y30" s="33">
        <v>34.327799999999996</v>
      </c>
      <c r="Z30" s="33">
        <v>34.582233333333335</v>
      </c>
      <c r="AA30" s="33">
        <v>33.2042</v>
      </c>
      <c r="AB30" s="33">
        <v>33.268150000000006</v>
      </c>
      <c r="AC30" s="33">
        <v>33.369333333333337</v>
      </c>
      <c r="AD30" s="33">
        <v>32.961533333333335</v>
      </c>
      <c r="AE30" s="33">
        <v>32.851433333333333</v>
      </c>
      <c r="AF30" s="33">
        <v>32.893550000000005</v>
      </c>
      <c r="AG30" s="33">
        <v>32.96373333333333</v>
      </c>
      <c r="AH30" s="33">
        <v>31.962333333333333</v>
      </c>
      <c r="AI30" s="33">
        <v>32.278933333333335</v>
      </c>
      <c r="AJ30" s="33">
        <v>32.264400000000002</v>
      </c>
      <c r="AK30" s="33">
        <v>32.154200000000003</v>
      </c>
      <c r="AL30" s="33">
        <v>32.0854</v>
      </c>
      <c r="AM30" s="33">
        <v>32.069900000000004</v>
      </c>
      <c r="AN30" s="33">
        <v>31.083350000000003</v>
      </c>
      <c r="AO30" s="33">
        <v>31.194866666666666</v>
      </c>
      <c r="AP30" s="33">
        <v>30.9941</v>
      </c>
      <c r="AQ30" s="33">
        <v>30.999066666666664</v>
      </c>
      <c r="AR30" s="33">
        <v>31.180199999999999</v>
      </c>
      <c r="AS30" s="33">
        <v>31.0946</v>
      </c>
      <c r="AT30" s="33">
        <v>34.3033</v>
      </c>
      <c r="AU30" s="33">
        <v>34.474133333333334</v>
      </c>
      <c r="AV30" s="33">
        <v>34.67145</v>
      </c>
      <c r="AW30" s="33">
        <v>35.113100000000003</v>
      </c>
      <c r="AX30" s="33">
        <v>35.17145</v>
      </c>
      <c r="AY30" s="33">
        <v>34.208033333333333</v>
      </c>
      <c r="AZ30" s="33">
        <v>34.383800000000001</v>
      </c>
      <c r="BA30" s="33">
        <v>35.464799999999997</v>
      </c>
      <c r="BB30" s="33">
        <v>34.735033333333341</v>
      </c>
      <c r="BC30" s="33">
        <v>35.089349999999996</v>
      </c>
      <c r="BD30" s="33">
        <v>35.038833333333336</v>
      </c>
      <c r="BE30" s="33">
        <v>35.104299999999995</v>
      </c>
    </row>
    <row r="31" spans="1:72" s="2" customFormat="1" ht="11.25" x14ac:dyDescent="0.2">
      <c r="A31" s="2" t="s">
        <v>180</v>
      </c>
      <c r="B31" s="33">
        <v>46.290266666666668</v>
      </c>
      <c r="C31" s="33">
        <v>44.895399999999995</v>
      </c>
      <c r="D31" s="33">
        <v>45.643900000000002</v>
      </c>
      <c r="E31" s="33">
        <v>47.977400000000003</v>
      </c>
      <c r="F31" s="33">
        <v>46.004333333333335</v>
      </c>
      <c r="G31" s="33">
        <v>46.091849999999994</v>
      </c>
      <c r="H31" s="33">
        <v>46.3523</v>
      </c>
      <c r="I31" s="33">
        <v>45.778333333333329</v>
      </c>
      <c r="J31" s="33">
        <v>47.316500000000005</v>
      </c>
      <c r="K31" s="33">
        <v>47.523299999999999</v>
      </c>
      <c r="L31" s="33">
        <v>44.813299999999998</v>
      </c>
      <c r="M31" s="33">
        <v>45.805500000000002</v>
      </c>
      <c r="N31" s="33">
        <v>48.497800000000005</v>
      </c>
      <c r="O31" s="33">
        <v>51.363366666666671</v>
      </c>
      <c r="P31" s="33">
        <v>52.867050000000006</v>
      </c>
      <c r="Q31" s="33">
        <v>51.750866666666667</v>
      </c>
      <c r="R31" s="33">
        <v>46.134599999999999</v>
      </c>
      <c r="S31" s="33">
        <v>45.1629</v>
      </c>
      <c r="T31" s="33">
        <v>47.290933333333328</v>
      </c>
      <c r="U31" s="33">
        <v>46.829933333333337</v>
      </c>
      <c r="V31" s="33">
        <v>45.318150000000003</v>
      </c>
      <c r="W31" s="33">
        <v>47.238399999999992</v>
      </c>
      <c r="X31" s="33">
        <v>47.086449999999999</v>
      </c>
      <c r="Y31" s="33">
        <v>45.516200000000005</v>
      </c>
      <c r="Z31" s="33">
        <v>44.059533333333341</v>
      </c>
      <c r="AA31" s="33">
        <v>49.901250000000005</v>
      </c>
      <c r="AB31" s="33">
        <v>49.486400000000003</v>
      </c>
      <c r="AC31" s="33">
        <v>50.535599999999995</v>
      </c>
      <c r="AD31" s="33">
        <v>52.036100000000005</v>
      </c>
      <c r="AE31" s="33">
        <v>52.788199999999996</v>
      </c>
      <c r="AF31" s="33">
        <v>53.09055</v>
      </c>
      <c r="AG31" s="33">
        <v>51.851633333333332</v>
      </c>
      <c r="AH31" s="33">
        <v>55.945433333333334</v>
      </c>
      <c r="AI31" s="33">
        <v>56.77193333333333</v>
      </c>
      <c r="AJ31" s="33">
        <v>56.81463333333334</v>
      </c>
      <c r="AK31" s="33">
        <v>58.024900000000002</v>
      </c>
      <c r="AL31" s="33">
        <v>55.497299999999996</v>
      </c>
      <c r="AM31" s="33">
        <v>57.512149999999998</v>
      </c>
      <c r="AN31" s="33">
        <v>60.801549999999999</v>
      </c>
      <c r="AO31" s="33">
        <v>59.450833333333328</v>
      </c>
      <c r="AP31" s="33">
        <v>60.946650000000005</v>
      </c>
      <c r="AQ31" s="33">
        <v>60.89993333333333</v>
      </c>
      <c r="AR31" s="33">
        <v>60.656500000000001</v>
      </c>
      <c r="AS31" s="33">
        <v>59.664166666666667</v>
      </c>
      <c r="AT31" s="33">
        <v>45.063099999999999</v>
      </c>
      <c r="AU31" s="33">
        <v>44.7742</v>
      </c>
      <c r="AV31" s="33">
        <v>44.410299999999999</v>
      </c>
      <c r="AW31" s="33">
        <v>41.661799999999999</v>
      </c>
      <c r="AX31" s="33">
        <v>40.866399999999999</v>
      </c>
      <c r="AY31" s="33">
        <v>41.836933333333334</v>
      </c>
      <c r="AZ31" s="33">
        <v>44.988999999999997</v>
      </c>
      <c r="BA31" s="33">
        <v>40.347200000000001</v>
      </c>
      <c r="BB31" s="33">
        <v>42.8307</v>
      </c>
      <c r="BC31" s="33">
        <v>39.573549999999997</v>
      </c>
      <c r="BD31" s="33">
        <v>38.967466666666667</v>
      </c>
      <c r="BE31" s="33">
        <v>39.779700000000005</v>
      </c>
    </row>
    <row r="32" spans="1:72" s="2" customFormat="1" ht="11.25" x14ac:dyDescent="0.2">
      <c r="A32" s="2" t="s">
        <v>177</v>
      </c>
      <c r="B32" s="33">
        <v>0.47243333333333332</v>
      </c>
      <c r="C32" s="33">
        <v>0.46546666666666664</v>
      </c>
      <c r="D32" s="33">
        <v>0.45045000000000002</v>
      </c>
      <c r="E32" s="33">
        <v>0.46179999999999999</v>
      </c>
      <c r="F32" s="33">
        <v>0.48859999999999998</v>
      </c>
      <c r="G32" s="33">
        <v>0.54879999999999995</v>
      </c>
      <c r="H32" s="33">
        <v>0.62295</v>
      </c>
      <c r="I32" s="33">
        <v>0.56710000000000005</v>
      </c>
      <c r="J32" s="33">
        <v>0.51454999999999995</v>
      </c>
      <c r="K32" s="33">
        <v>0.63839999999999997</v>
      </c>
      <c r="L32" s="33">
        <v>0.47760000000000002</v>
      </c>
      <c r="M32" s="33">
        <v>0.50839999999999996</v>
      </c>
      <c r="N32" s="33">
        <v>0.56190000000000007</v>
      </c>
      <c r="O32" s="33">
        <v>0.62049999999999994</v>
      </c>
      <c r="P32" s="33">
        <v>0.49390000000000001</v>
      </c>
      <c r="Q32" s="33">
        <v>0.57553333333333334</v>
      </c>
      <c r="R32" s="33">
        <v>0.5920333333333333</v>
      </c>
      <c r="S32" s="33">
        <v>0.60419999999999996</v>
      </c>
      <c r="T32" s="33">
        <v>0.53756666666666664</v>
      </c>
      <c r="U32" s="33">
        <v>0.58009999999999995</v>
      </c>
      <c r="V32" s="33">
        <v>0.60899999999999999</v>
      </c>
      <c r="W32" s="33">
        <v>0.67446666666666666</v>
      </c>
      <c r="X32" s="33">
        <v>0.56869999999999998</v>
      </c>
      <c r="Y32" s="33">
        <v>0.55903333333333338</v>
      </c>
      <c r="Z32" s="33">
        <v>0.57026666666666659</v>
      </c>
      <c r="AA32" s="33">
        <v>0.67749999999999999</v>
      </c>
      <c r="AB32" s="33">
        <v>0.5665</v>
      </c>
      <c r="AC32" s="33">
        <v>0.62813333333333332</v>
      </c>
      <c r="AD32" s="33">
        <v>0.64923333333333333</v>
      </c>
      <c r="AE32" s="33">
        <v>0.65539999999999998</v>
      </c>
      <c r="AF32" s="33">
        <v>0.79590000000000005</v>
      </c>
      <c r="AG32" s="33">
        <v>0.57253333333333334</v>
      </c>
      <c r="AH32" s="33">
        <v>0.66503333333333337</v>
      </c>
      <c r="AI32" s="33">
        <v>0.88190000000000002</v>
      </c>
      <c r="AJ32" s="33">
        <v>0.85399999999999998</v>
      </c>
      <c r="AK32" s="33">
        <v>0.65800000000000003</v>
      </c>
      <c r="AL32" s="33">
        <v>0.86664999999999992</v>
      </c>
      <c r="AM32" s="33">
        <v>0.88759999999999994</v>
      </c>
      <c r="AN32" s="33">
        <v>1.0821499999999999</v>
      </c>
      <c r="AO32" s="33">
        <v>0.91539999999999999</v>
      </c>
      <c r="AP32" s="33">
        <v>0.97785</v>
      </c>
      <c r="AQ32" s="33">
        <v>0.90833333333333333</v>
      </c>
      <c r="AR32" s="33">
        <v>1.19</v>
      </c>
      <c r="AS32" s="33">
        <v>0.87016666666666664</v>
      </c>
      <c r="AT32" s="33">
        <v>0.7445666666666666</v>
      </c>
      <c r="AU32" s="33">
        <v>0.69103333333333339</v>
      </c>
      <c r="AV32" s="33">
        <v>0.58765000000000001</v>
      </c>
      <c r="AW32" s="33">
        <v>0.53879999999999995</v>
      </c>
      <c r="AX32" s="33">
        <v>0.52925</v>
      </c>
      <c r="AY32" s="33">
        <v>0.61096666666666666</v>
      </c>
      <c r="AZ32" s="33">
        <v>0.62309999999999999</v>
      </c>
      <c r="BA32" s="33">
        <v>0.64085000000000003</v>
      </c>
      <c r="BB32" s="33">
        <v>0.65276666666666661</v>
      </c>
      <c r="BC32" s="33">
        <v>0.64934999999999998</v>
      </c>
      <c r="BD32" s="33">
        <v>0.57726666666666671</v>
      </c>
      <c r="BE32" s="33">
        <v>0.60509999999999997</v>
      </c>
    </row>
    <row r="33" spans="1:57" s="2" customFormat="1" ht="11.25" x14ac:dyDescent="0.2">
      <c r="A33" s="2" t="s">
        <v>173</v>
      </c>
      <c r="B33" s="33">
        <v>19.987533333333332</v>
      </c>
      <c r="C33" s="33">
        <v>20.9207</v>
      </c>
      <c r="D33" s="33">
        <v>20.802900000000001</v>
      </c>
      <c r="E33" s="33">
        <v>18.279049999999998</v>
      </c>
      <c r="F33" s="33">
        <v>20.752166666666664</v>
      </c>
      <c r="G33" s="33">
        <v>20.065850000000001</v>
      </c>
      <c r="H33" s="33">
        <v>20.474800000000002</v>
      </c>
      <c r="I33" s="33">
        <v>19.7636</v>
      </c>
      <c r="J33" s="33">
        <v>18.250050000000002</v>
      </c>
      <c r="K33" s="33">
        <v>19.570499999999999</v>
      </c>
      <c r="L33" s="33">
        <v>19.512799999999999</v>
      </c>
      <c r="M33" s="33">
        <v>18.9895</v>
      </c>
      <c r="N33" s="33">
        <v>18.033333333333331</v>
      </c>
      <c r="O33" s="33">
        <v>16.250033333333334</v>
      </c>
      <c r="P33" s="33">
        <v>14.833500000000001</v>
      </c>
      <c r="Q33" s="33">
        <v>15.922866666666666</v>
      </c>
      <c r="R33" s="33">
        <v>19.479366666666667</v>
      </c>
      <c r="S33" s="33">
        <v>18.978200000000001</v>
      </c>
      <c r="T33" s="33">
        <v>18.525700000000001</v>
      </c>
      <c r="U33" s="33">
        <v>18.410166666666665</v>
      </c>
      <c r="V33" s="33">
        <v>20.420650000000002</v>
      </c>
      <c r="W33" s="33">
        <v>19.274833333333333</v>
      </c>
      <c r="X33" s="33">
        <v>19.2149</v>
      </c>
      <c r="Y33" s="33">
        <v>20.909966666666666</v>
      </c>
      <c r="Z33" s="33">
        <v>20.965100000000003</v>
      </c>
      <c r="AA33" s="33">
        <v>15.42605</v>
      </c>
      <c r="AB33" s="33">
        <v>15.9535</v>
      </c>
      <c r="AC33" s="33">
        <v>14.933566666666666</v>
      </c>
      <c r="AD33" s="33">
        <v>14.898933333333332</v>
      </c>
      <c r="AE33" s="33">
        <v>14.634633333333333</v>
      </c>
      <c r="AF33" s="33">
        <v>14.71425</v>
      </c>
      <c r="AG33" s="33">
        <v>14.876833333333332</v>
      </c>
      <c r="AH33" s="33">
        <v>11.607533333333334</v>
      </c>
      <c r="AI33" s="33">
        <v>10.992966666666668</v>
      </c>
      <c r="AJ33" s="33">
        <v>11.577833333333333</v>
      </c>
      <c r="AK33" s="33">
        <v>10.664099999999999</v>
      </c>
      <c r="AL33" s="33">
        <v>10.81235</v>
      </c>
      <c r="AM33" s="33">
        <v>11.120899999999999</v>
      </c>
      <c r="AN33" s="33">
        <v>8.156600000000001</v>
      </c>
      <c r="AO33" s="33">
        <v>8.2312999999999992</v>
      </c>
      <c r="AP33" s="33">
        <v>8.0636499999999991</v>
      </c>
      <c r="AQ33" s="33">
        <v>8.0836000000000006</v>
      </c>
      <c r="AR33" s="33">
        <v>8.0708000000000002</v>
      </c>
      <c r="AS33" s="33">
        <v>8.2011000000000003</v>
      </c>
      <c r="AT33" s="33">
        <v>20.833300000000001</v>
      </c>
      <c r="AU33" s="33">
        <v>21.259233333333331</v>
      </c>
      <c r="AV33" s="33">
        <v>22.099299999999999</v>
      </c>
      <c r="AW33" s="33">
        <v>23.856349999999999</v>
      </c>
      <c r="AX33" s="33">
        <v>23.900599999999997</v>
      </c>
      <c r="AY33" s="33">
        <v>22.172866666666664</v>
      </c>
      <c r="AZ33" s="33">
        <v>21.799800000000001</v>
      </c>
      <c r="BA33" s="33">
        <v>25.1463</v>
      </c>
      <c r="BB33" s="33">
        <v>23.013866666666669</v>
      </c>
      <c r="BC33" s="33">
        <v>25.384550000000001</v>
      </c>
      <c r="BD33" s="33">
        <v>25.024666666666672</v>
      </c>
      <c r="BE33" s="33">
        <v>25.629799999999999</v>
      </c>
    </row>
    <row r="34" spans="1:57" s="2" customFormat="1" ht="11.25" x14ac:dyDescent="0.2">
      <c r="A34" s="2" t="s">
        <v>313</v>
      </c>
      <c r="B34" s="33">
        <v>100.5292</v>
      </c>
      <c r="C34" s="33">
        <v>100.16496666666667</v>
      </c>
      <c r="D34" s="33">
        <v>100.67405000000001</v>
      </c>
      <c r="E34" s="33">
        <v>99.878450000000001</v>
      </c>
      <c r="F34" s="33">
        <v>101.21256666666666</v>
      </c>
      <c r="G34" s="33">
        <v>99.716949999999997</v>
      </c>
      <c r="H34" s="33">
        <v>101.22345</v>
      </c>
      <c r="I34" s="33">
        <v>99.839800000000011</v>
      </c>
      <c r="J34" s="33">
        <v>99.432400000000001</v>
      </c>
      <c r="K34" s="33">
        <v>101.28319999999999</v>
      </c>
      <c r="L34" s="33">
        <v>98.527699999999996</v>
      </c>
      <c r="M34" s="33">
        <v>98.361199999999997</v>
      </c>
      <c r="N34" s="33">
        <v>100.22393333333333</v>
      </c>
      <c r="O34" s="33">
        <v>101.34396666666665</v>
      </c>
      <c r="P34" s="33">
        <v>101.01135000000001</v>
      </c>
      <c r="Q34" s="33">
        <v>101.25603333333333</v>
      </c>
      <c r="R34" s="33">
        <v>100.16323333333332</v>
      </c>
      <c r="S34" s="33">
        <v>98.518200000000007</v>
      </c>
      <c r="T34" s="33">
        <v>100.50213333333333</v>
      </c>
      <c r="U34" s="33">
        <v>99.354466666666667</v>
      </c>
      <c r="V34" s="33">
        <v>100.8673</v>
      </c>
      <c r="W34" s="33">
        <v>101.12740000000001</v>
      </c>
      <c r="X34" s="33">
        <v>100.74015</v>
      </c>
      <c r="Y34" s="33">
        <v>101.31299999999999</v>
      </c>
      <c r="Z34" s="33">
        <v>100.17713333333334</v>
      </c>
      <c r="AA34" s="33">
        <v>99.209000000000003</v>
      </c>
      <c r="AB34" s="33">
        <v>99.274550000000005</v>
      </c>
      <c r="AC34" s="33">
        <v>99.466633333333334</v>
      </c>
      <c r="AD34" s="33">
        <v>100.54579999999999</v>
      </c>
      <c r="AE34" s="33">
        <v>100.92966666666666</v>
      </c>
      <c r="AF34" s="33">
        <v>101.49425000000001</v>
      </c>
      <c r="AG34" s="33">
        <v>100.26473333333333</v>
      </c>
      <c r="AH34" s="33">
        <v>100.18033333333334</v>
      </c>
      <c r="AI34" s="33">
        <v>100.92573333333333</v>
      </c>
      <c r="AJ34" s="33">
        <v>101.51086666666667</v>
      </c>
      <c r="AK34" s="33">
        <v>101.50120000000001</v>
      </c>
      <c r="AL34" s="33">
        <v>99.261700000000005</v>
      </c>
      <c r="AM34" s="33">
        <v>101.59055000000001</v>
      </c>
      <c r="AN34" s="33">
        <v>101.12365</v>
      </c>
      <c r="AO34" s="33">
        <v>99.792400000000001</v>
      </c>
      <c r="AP34" s="33">
        <v>101.06005</v>
      </c>
      <c r="AQ34" s="33">
        <v>100.99739999999998</v>
      </c>
      <c r="AR34" s="33">
        <v>101.09750000000001</v>
      </c>
      <c r="AS34" s="33">
        <v>99.919433333333345</v>
      </c>
      <c r="AT34" s="33">
        <v>100.94426666666665</v>
      </c>
      <c r="AU34" s="33">
        <v>101.1986</v>
      </c>
      <c r="AV34" s="33">
        <v>101.7687</v>
      </c>
      <c r="AW34" s="33">
        <v>101.17005</v>
      </c>
      <c r="AX34" s="33">
        <v>100.46770000000001</v>
      </c>
      <c r="AY34" s="33">
        <v>98.828800000000001</v>
      </c>
      <c r="AZ34" s="33">
        <v>101.7957</v>
      </c>
      <c r="BA34" s="33">
        <v>101.59915000000001</v>
      </c>
      <c r="BB34" s="33">
        <v>101.23236666666666</v>
      </c>
      <c r="BC34" s="33">
        <v>100.6968</v>
      </c>
      <c r="BD34" s="33">
        <v>99.647633333333332</v>
      </c>
      <c r="BE34" s="33">
        <v>101.1189</v>
      </c>
    </row>
    <row r="35" spans="1:57" s="2" customFormat="1" ht="11.25" x14ac:dyDescent="0.2">
      <c r="A35" s="31" t="s">
        <v>382</v>
      </c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/>
      <c r="BB35" s="33"/>
      <c r="BC35" s="33"/>
      <c r="BD35" s="33"/>
      <c r="BE35" s="33"/>
    </row>
    <row r="36" spans="1:57" s="2" customFormat="1" ht="11.25" x14ac:dyDescent="0.2">
      <c r="A36" s="2" t="s">
        <v>278</v>
      </c>
      <c r="B36" s="33">
        <v>0.99009749095826072</v>
      </c>
      <c r="C36" s="33">
        <v>0.99005661070134421</v>
      </c>
      <c r="D36" s="33">
        <v>0.98532635631305854</v>
      </c>
      <c r="E36" s="33">
        <v>0.98923135529462902</v>
      </c>
      <c r="F36" s="33">
        <v>0.98628893607421164</v>
      </c>
      <c r="G36" s="33">
        <v>0.97848097953199409</v>
      </c>
      <c r="H36" s="33">
        <v>0.98348694261534642</v>
      </c>
      <c r="I36" s="33">
        <v>0.99435481129226611</v>
      </c>
      <c r="J36" s="33">
        <v>0.99618829524322638</v>
      </c>
      <c r="K36" s="33">
        <v>0.98273767844563209</v>
      </c>
      <c r="L36" s="33">
        <v>1.0035502704024815</v>
      </c>
      <c r="M36" s="33">
        <v>0.99300905943786588</v>
      </c>
      <c r="N36" s="33">
        <v>0.98765684373914697</v>
      </c>
      <c r="O36" s="33">
        <v>0.98890796124614122</v>
      </c>
      <c r="P36" s="33">
        <v>0.9916116301466662</v>
      </c>
      <c r="Q36" s="33">
        <v>0.9888376875538496</v>
      </c>
      <c r="R36" s="33">
        <v>0.99846807835534579</v>
      </c>
      <c r="S36" s="33">
        <v>1.0072501245070238</v>
      </c>
      <c r="T36" s="33">
        <v>1.0049572451661499</v>
      </c>
      <c r="U36" s="33">
        <v>0.99976288302351901</v>
      </c>
      <c r="V36" s="33">
        <v>1.0013150145856626</v>
      </c>
      <c r="W36" s="33">
        <v>0.99318543155443917</v>
      </c>
      <c r="X36" s="33">
        <v>0.99438747585476694</v>
      </c>
      <c r="Y36" s="33">
        <v>0.99237656775012983</v>
      </c>
      <c r="Z36" s="33">
        <v>1.004214559466944</v>
      </c>
      <c r="AA36" s="33">
        <v>1.0083941712377635</v>
      </c>
      <c r="AB36" s="33">
        <v>1.0067191161525633</v>
      </c>
      <c r="AC36" s="33">
        <v>1.0127572383292482</v>
      </c>
      <c r="AD36" s="33">
        <v>0.99731199603361098</v>
      </c>
      <c r="AE36" s="33">
        <v>0.99383038490748132</v>
      </c>
      <c r="AF36" s="33">
        <v>0.99079740153199569</v>
      </c>
      <c r="AG36" s="33">
        <v>0.9992514210554525</v>
      </c>
      <c r="AH36" s="33">
        <v>0.99432382228036165</v>
      </c>
      <c r="AI36" s="33">
        <v>0.99957144404427367</v>
      </c>
      <c r="AJ36" s="33">
        <v>0.99255228199473577</v>
      </c>
      <c r="AK36" s="33">
        <v>0.99479636137478533</v>
      </c>
      <c r="AL36" s="33">
        <v>1.0071073031841744</v>
      </c>
      <c r="AM36" s="33">
        <v>0.99005914482203505</v>
      </c>
      <c r="AN36" s="33">
        <v>0.98605952511906325</v>
      </c>
      <c r="AO36" s="33">
        <v>0.99700167615485047</v>
      </c>
      <c r="AP36" s="33">
        <v>0.98479576265403324</v>
      </c>
      <c r="AQ36" s="33">
        <v>0.98516925392677357</v>
      </c>
      <c r="AR36" s="33">
        <v>0.98885086121399313</v>
      </c>
      <c r="AS36" s="33">
        <v>0.99387388889559491</v>
      </c>
      <c r="AT36" s="33">
        <v>0.99443581292729355</v>
      </c>
      <c r="AU36" s="33">
        <v>0.9944177181837367</v>
      </c>
      <c r="AV36" s="33">
        <v>0.99113882954030597</v>
      </c>
      <c r="AW36" s="33">
        <v>0.99549223476603044</v>
      </c>
      <c r="AX36" s="33">
        <v>1.0006260623342864</v>
      </c>
      <c r="AY36" s="33">
        <v>0.99894835641772928</v>
      </c>
      <c r="AZ36" s="33">
        <v>0.98649587538425132</v>
      </c>
      <c r="BA36" s="33">
        <v>0.99409515512516144</v>
      </c>
      <c r="BB36" s="33">
        <v>0.99136449297991314</v>
      </c>
      <c r="BC36" s="33">
        <v>0.9907606764153003</v>
      </c>
      <c r="BD36" s="33">
        <v>0.99752512312179509</v>
      </c>
      <c r="BE36" s="33">
        <v>0.98748541783862187</v>
      </c>
    </row>
    <row r="37" spans="1:57" s="2" customFormat="1" ht="11.25" x14ac:dyDescent="0.2">
      <c r="A37" s="2" t="s">
        <v>307</v>
      </c>
      <c r="B37" s="33">
        <v>1.1347068832191485</v>
      </c>
      <c r="C37" s="33">
        <v>1.0970774721316208</v>
      </c>
      <c r="D37" s="33">
        <v>1.1135423774194</v>
      </c>
      <c r="E37" s="33">
        <v>1.196960580096132</v>
      </c>
      <c r="F37" s="33">
        <v>1.1171259793382737</v>
      </c>
      <c r="G37" s="33">
        <v>1.1425822940073049</v>
      </c>
      <c r="H37" s="33">
        <v>1.1288273155670436</v>
      </c>
      <c r="I37" s="33">
        <v>1.1285935160680951</v>
      </c>
      <c r="J37" s="33">
        <v>1.1819624695794686</v>
      </c>
      <c r="K37" s="33">
        <v>1.164129072477206</v>
      </c>
      <c r="L37" s="33">
        <v>1.1152426876089765</v>
      </c>
      <c r="M37" s="33">
        <v>1.1506925401776344</v>
      </c>
      <c r="N37" s="33">
        <v>1.2090862676373324</v>
      </c>
      <c r="O37" s="33">
        <v>1.282955836937153</v>
      </c>
      <c r="P37" s="33">
        <v>1.3359541150941596</v>
      </c>
      <c r="Q37" s="33">
        <v>1.2965881890817894</v>
      </c>
      <c r="R37" s="33">
        <v>1.1344648701695181</v>
      </c>
      <c r="S37" s="33">
        <v>1.1264533304189661</v>
      </c>
      <c r="T37" s="33">
        <v>1.1639208623984021</v>
      </c>
      <c r="U37" s="33">
        <v>1.1676001492285288</v>
      </c>
      <c r="V37" s="33">
        <v>1.0993622273711836</v>
      </c>
      <c r="W37" s="33">
        <v>1.1560588089784725</v>
      </c>
      <c r="X37" s="33">
        <v>1.1561056466759181</v>
      </c>
      <c r="Y37" s="33">
        <v>1.1004211616822994</v>
      </c>
      <c r="Z37" s="33">
        <v>1.0699802870480284</v>
      </c>
      <c r="AA37" s="33">
        <v>1.2673925118468381</v>
      </c>
      <c r="AB37" s="33">
        <v>1.2523563789806094</v>
      </c>
      <c r="AC37" s="33">
        <v>1.2826780374591091</v>
      </c>
      <c r="AD37" s="33">
        <v>1.3167119673806134</v>
      </c>
      <c r="AE37" s="33">
        <v>1.3355409467375496</v>
      </c>
      <c r="AF37" s="33">
        <v>1.3373766715217386</v>
      </c>
      <c r="AG37" s="33">
        <v>1.3145079902351229</v>
      </c>
      <c r="AH37" s="33">
        <v>1.4555140995509999</v>
      </c>
      <c r="AI37" s="33">
        <v>1.4702485389028401</v>
      </c>
      <c r="AJ37" s="33">
        <v>1.4616803675982548</v>
      </c>
      <c r="AK37" s="33">
        <v>1.5013200571137606</v>
      </c>
      <c r="AL37" s="33">
        <v>1.4568087753930776</v>
      </c>
      <c r="AM37" s="33">
        <v>1.4848601219131976</v>
      </c>
      <c r="AN37" s="33">
        <v>1.6130668697262323</v>
      </c>
      <c r="AO37" s="33">
        <v>1.5890337007963775</v>
      </c>
      <c r="AP37" s="33">
        <v>1.6194941632495645</v>
      </c>
      <c r="AQ37" s="33">
        <v>1.6186071528874264</v>
      </c>
      <c r="AR37" s="33">
        <v>1.6087614586168477</v>
      </c>
      <c r="AS37" s="33">
        <v>1.5948589956972634</v>
      </c>
      <c r="AT37" s="33">
        <v>1.0925072459574425</v>
      </c>
      <c r="AU37" s="33">
        <v>1.0801044076629525</v>
      </c>
      <c r="AV37" s="33">
        <v>1.0617165802208077</v>
      </c>
      <c r="AW37" s="33">
        <v>0.98780026822118294</v>
      </c>
      <c r="AX37" s="33">
        <v>0.97232247699927765</v>
      </c>
      <c r="AY37" s="33">
        <v>1.021732433408451</v>
      </c>
      <c r="AZ37" s="33">
        <v>1.0794689341260577</v>
      </c>
      <c r="BA37" s="33">
        <v>0.94581511447065625</v>
      </c>
      <c r="BB37" s="33">
        <v>1.0223114359668135</v>
      </c>
      <c r="BC37" s="33">
        <v>0.93446029981846601</v>
      </c>
      <c r="BD37" s="33">
        <v>0.92776670821670459</v>
      </c>
      <c r="BE37" s="33">
        <v>0.93582422651197827</v>
      </c>
    </row>
    <row r="38" spans="1:57" s="2" customFormat="1" ht="11.25" x14ac:dyDescent="0.2">
      <c r="A38" s="2" t="s">
        <v>286</v>
      </c>
      <c r="B38" s="33">
        <v>1.1728876842015533E-2</v>
      </c>
      <c r="C38" s="33">
        <v>1.1519826128583845E-2</v>
      </c>
      <c r="D38" s="33">
        <v>1.1129931267286931E-2</v>
      </c>
      <c r="E38" s="33">
        <v>1.1668605428352838E-2</v>
      </c>
      <c r="F38" s="33">
        <v>1.2016521275143617E-2</v>
      </c>
      <c r="G38" s="33">
        <v>1.3778417479660734E-2</v>
      </c>
      <c r="H38" s="33">
        <v>1.5364955204265458E-2</v>
      </c>
      <c r="I38" s="33">
        <v>1.4159864842036839E-2</v>
      </c>
      <c r="J38" s="33">
        <v>1.3017888393150689E-2</v>
      </c>
      <c r="K38" s="33">
        <v>1.5838327184969657E-2</v>
      </c>
      <c r="L38" s="33">
        <v>1.2037842681818024E-2</v>
      </c>
      <c r="M38" s="33">
        <v>1.2935079382125576E-2</v>
      </c>
      <c r="N38" s="33">
        <v>1.4187836318600764E-2</v>
      </c>
      <c r="O38" s="33">
        <v>1.5697189364433477E-2</v>
      </c>
      <c r="P38" s="33">
        <v>1.2640590952690479E-2</v>
      </c>
      <c r="Q38" s="33">
        <v>1.460416741109166E-2</v>
      </c>
      <c r="R38" s="33">
        <v>1.4744577721916749E-2</v>
      </c>
      <c r="S38" s="33">
        <v>1.5262792156905533E-2</v>
      </c>
      <c r="T38" s="33">
        <v>1.33998453310208E-2</v>
      </c>
      <c r="U38" s="33">
        <v>1.4648574181834484E-2</v>
      </c>
      <c r="V38" s="33">
        <v>1.4962625914030071E-2</v>
      </c>
      <c r="W38" s="33">
        <v>1.6717338097840023E-2</v>
      </c>
      <c r="X38" s="33">
        <v>1.4141865054676506E-2</v>
      </c>
      <c r="Y38" s="33">
        <v>1.3688394957894454E-2</v>
      </c>
      <c r="Z38" s="33">
        <v>1.4026062099357979E-2</v>
      </c>
      <c r="AA38" s="33">
        <v>1.7427331756153561E-2</v>
      </c>
      <c r="AB38" s="33">
        <v>1.4519908251683268E-2</v>
      </c>
      <c r="AC38" s="33">
        <v>1.6147078627752911E-2</v>
      </c>
      <c r="AD38" s="33">
        <v>1.6638291917320729E-2</v>
      </c>
      <c r="AE38" s="33">
        <v>1.6793788456158667E-2</v>
      </c>
      <c r="AF38" s="33">
        <v>2.0305650669452134E-2</v>
      </c>
      <c r="AG38" s="33">
        <v>1.4700207081751251E-2</v>
      </c>
      <c r="AH38" s="33">
        <v>1.7523347587528933E-2</v>
      </c>
      <c r="AI38" s="33">
        <v>2.3131207363559073E-2</v>
      </c>
      <c r="AJ38" s="33">
        <v>2.2252149202719403E-2</v>
      </c>
      <c r="AK38" s="33">
        <v>1.7242755363281938E-2</v>
      </c>
      <c r="AL38" s="33">
        <v>2.3040734650884437E-2</v>
      </c>
      <c r="AM38" s="33">
        <v>2.3209464536280637E-2</v>
      </c>
      <c r="AN38" s="33">
        <v>2.9076830942281955E-2</v>
      </c>
      <c r="AO38" s="33">
        <v>2.4780379689969316E-2</v>
      </c>
      <c r="AP38" s="33">
        <v>2.6316230098717353E-2</v>
      </c>
      <c r="AQ38" s="33">
        <v>2.4450727014874354E-2</v>
      </c>
      <c r="AR38" s="33">
        <v>3.1965621632847982E-2</v>
      </c>
      <c r="AS38" s="33">
        <v>2.3557708465716407E-2</v>
      </c>
      <c r="AT38" s="33">
        <v>1.8282211883137806E-2</v>
      </c>
      <c r="AU38" s="33">
        <v>1.6883356361852515E-2</v>
      </c>
      <c r="AV38" s="33">
        <v>1.4228709740877013E-2</v>
      </c>
      <c r="AW38" s="33">
        <v>1.2938400312344571E-2</v>
      </c>
      <c r="AX38" s="33">
        <v>1.2753421033746347E-2</v>
      </c>
      <c r="AY38" s="33">
        <v>1.5111818889476601E-2</v>
      </c>
      <c r="AZ38" s="33">
        <v>1.5142007140126803E-2</v>
      </c>
      <c r="BA38" s="33">
        <v>1.5214970842523162E-2</v>
      </c>
      <c r="BB38" s="33">
        <v>1.5780032845587592E-2</v>
      </c>
      <c r="BC38" s="33">
        <v>1.5529467926161559E-2</v>
      </c>
      <c r="BD38" s="33">
        <v>1.3919863588101914E-2</v>
      </c>
      <c r="BE38" s="33">
        <v>1.4417229781907551E-2</v>
      </c>
    </row>
    <row r="39" spans="1:57" s="2" customFormat="1" ht="11.25" x14ac:dyDescent="0.2">
      <c r="A39" s="2" t="s">
        <v>281</v>
      </c>
      <c r="B39" s="33">
        <v>0.87336925802231413</v>
      </c>
      <c r="C39" s="33">
        <v>0.91128948033710666</v>
      </c>
      <c r="D39" s="33">
        <v>0.90467497868719571</v>
      </c>
      <c r="E39" s="33">
        <v>0.81290810388625678</v>
      </c>
      <c r="F39" s="33">
        <v>0.89827962723815913</v>
      </c>
      <c r="G39" s="33">
        <v>0.8866773294490462</v>
      </c>
      <c r="H39" s="33">
        <v>0.88883384399799803</v>
      </c>
      <c r="I39" s="33">
        <v>0.86853699650533545</v>
      </c>
      <c r="J39" s="33">
        <v>0.81264305154092853</v>
      </c>
      <c r="K39" s="33">
        <v>0.85455724344656014</v>
      </c>
      <c r="L39" s="33">
        <v>0.86561892890424275</v>
      </c>
      <c r="M39" s="33">
        <v>0.85035426156450811</v>
      </c>
      <c r="N39" s="33">
        <v>0.80141220856577267</v>
      </c>
      <c r="O39" s="33">
        <v>0.72353105120613048</v>
      </c>
      <c r="P39" s="33">
        <v>0.66818203365981721</v>
      </c>
      <c r="Q39" s="33">
        <v>0.71113226839941934</v>
      </c>
      <c r="R39" s="33">
        <v>0.85385439539787378</v>
      </c>
      <c r="S39" s="33">
        <v>0.84378362841008014</v>
      </c>
      <c r="T39" s="33">
        <v>0.81276480193827749</v>
      </c>
      <c r="U39" s="33">
        <v>0.81822551054259895</v>
      </c>
      <c r="V39" s="33">
        <v>0.88304511754346082</v>
      </c>
      <c r="W39" s="33">
        <v>0.84085298981480916</v>
      </c>
      <c r="X39" s="33">
        <v>0.84097753655987173</v>
      </c>
      <c r="Y39" s="33">
        <v>0.90113730785954627</v>
      </c>
      <c r="Z39" s="33">
        <v>0.90756453191872599</v>
      </c>
      <c r="AA39" s="33">
        <v>0.69839181392148098</v>
      </c>
      <c r="AB39" s="33">
        <v>0.71968548046258107</v>
      </c>
      <c r="AC39" s="33">
        <v>0.67566040725464094</v>
      </c>
      <c r="AD39" s="33">
        <v>0.67202574863484354</v>
      </c>
      <c r="AE39" s="33">
        <v>0.66000449499132863</v>
      </c>
      <c r="AF39" s="33">
        <v>0.66072287474481783</v>
      </c>
      <c r="AG39" s="33">
        <v>0.67228896057222076</v>
      </c>
      <c r="AH39" s="33">
        <v>0.53831490830074757</v>
      </c>
      <c r="AI39" s="33">
        <v>0.50747736564505308</v>
      </c>
      <c r="AJ39" s="33">
        <v>0.53096291920955396</v>
      </c>
      <c r="AK39" s="33">
        <v>0.49184446477338684</v>
      </c>
      <c r="AL39" s="33">
        <v>0.50593588358768959</v>
      </c>
      <c r="AM39" s="33">
        <v>0.51181212390645126</v>
      </c>
      <c r="AN39" s="33">
        <v>0.38573724909335844</v>
      </c>
      <c r="AO39" s="33">
        <v>0.39218256720395206</v>
      </c>
      <c r="AP39" s="33">
        <v>0.38194946881528613</v>
      </c>
      <c r="AQ39" s="33">
        <v>0.38297828195794242</v>
      </c>
      <c r="AR39" s="33">
        <v>0.38157119732231826</v>
      </c>
      <c r="AS39" s="33">
        <v>0.39077386822759846</v>
      </c>
      <c r="AT39" s="33">
        <v>0.9003389163048322</v>
      </c>
      <c r="AU39" s="33">
        <v>0.91417679960772169</v>
      </c>
      <c r="AV39" s="33">
        <v>0.94177705095770337</v>
      </c>
      <c r="AW39" s="33">
        <v>1.0082768619344122</v>
      </c>
      <c r="AX39" s="33">
        <v>1.0136719772984033</v>
      </c>
      <c r="AY39" s="33">
        <v>0.96525903486661324</v>
      </c>
      <c r="AZ39" s="33">
        <v>0.93239730796531273</v>
      </c>
      <c r="BA39" s="33">
        <v>1.0507796044364979</v>
      </c>
      <c r="BB39" s="33">
        <v>0.9791795452277724</v>
      </c>
      <c r="BC39" s="33">
        <v>1.068488879424772</v>
      </c>
      <c r="BD39" s="33">
        <v>1.0620613545059463</v>
      </c>
      <c r="BE39" s="33">
        <v>1.0747877080288701</v>
      </c>
    </row>
    <row r="40" spans="1:57" s="2" customFormat="1" ht="11.25" x14ac:dyDescent="0.2">
      <c r="A40" s="2" t="s">
        <v>313</v>
      </c>
      <c r="B40" s="33">
        <v>3.0099025090417388</v>
      </c>
      <c r="C40" s="33">
        <v>3.0099433892986558</v>
      </c>
      <c r="D40" s="33">
        <v>3.0146736436869408</v>
      </c>
      <c r="E40" s="33">
        <v>3.010768644705371</v>
      </c>
      <c r="F40" s="33">
        <v>3.013711063925788</v>
      </c>
      <c r="G40" s="33">
        <v>3.0215190204680065</v>
      </c>
      <c r="H40" s="33">
        <v>3.0165130573846537</v>
      </c>
      <c r="I40" s="33">
        <v>3.0056451887077333</v>
      </c>
      <c r="J40" s="33">
        <v>3.0038117047567741</v>
      </c>
      <c r="K40" s="33">
        <v>3.0172623215543677</v>
      </c>
      <c r="L40" s="33">
        <v>2.9964497295975185</v>
      </c>
      <c r="M40" s="33">
        <v>3.006990940562134</v>
      </c>
      <c r="N40" s="33">
        <v>3.0123431562608527</v>
      </c>
      <c r="O40" s="33">
        <v>3.011092038753858</v>
      </c>
      <c r="P40" s="33">
        <v>3.0083883698533338</v>
      </c>
      <c r="Q40" s="33">
        <v>3.0111623124461495</v>
      </c>
      <c r="R40" s="33">
        <v>3.0015319216446543</v>
      </c>
      <c r="S40" s="33">
        <v>2.9927498754929758</v>
      </c>
      <c r="T40" s="33">
        <v>2.9950427548338507</v>
      </c>
      <c r="U40" s="33">
        <v>3.0002371169764812</v>
      </c>
      <c r="V40" s="33">
        <v>2.9986849854143371</v>
      </c>
      <c r="W40" s="33">
        <v>3.0068145684455607</v>
      </c>
      <c r="X40" s="33">
        <v>3.0056125241452332</v>
      </c>
      <c r="Y40" s="33">
        <v>3.0076234322498698</v>
      </c>
      <c r="Z40" s="33">
        <v>2.995785440533056</v>
      </c>
      <c r="AA40" s="33">
        <v>2.991605828762236</v>
      </c>
      <c r="AB40" s="33">
        <v>2.993280883847437</v>
      </c>
      <c r="AC40" s="33">
        <v>2.9872427616707511</v>
      </c>
      <c r="AD40" s="33">
        <v>3.002688003966389</v>
      </c>
      <c r="AE40" s="33">
        <v>3.0061696150925186</v>
      </c>
      <c r="AF40" s="33">
        <v>3.0092025984680042</v>
      </c>
      <c r="AG40" s="33">
        <v>3.0007485789445476</v>
      </c>
      <c r="AH40" s="33">
        <v>3.0056761777196379</v>
      </c>
      <c r="AI40" s="33">
        <v>3.0004285559557258</v>
      </c>
      <c r="AJ40" s="33">
        <v>3.0074477180052641</v>
      </c>
      <c r="AK40" s="33">
        <v>3.0052036386252148</v>
      </c>
      <c r="AL40" s="33">
        <v>2.9928926968158263</v>
      </c>
      <c r="AM40" s="33">
        <v>3.0099408551779647</v>
      </c>
      <c r="AN40" s="33">
        <v>3.0139404748809362</v>
      </c>
      <c r="AO40" s="33">
        <v>3.0029983238451496</v>
      </c>
      <c r="AP40" s="33">
        <v>3.0125556248176015</v>
      </c>
      <c r="AQ40" s="33">
        <v>3.0112054157870167</v>
      </c>
      <c r="AR40" s="33">
        <v>3.0111491387860068</v>
      </c>
      <c r="AS40" s="33">
        <v>3.0030644612861734</v>
      </c>
      <c r="AT40" s="33">
        <v>3.0055641870727059</v>
      </c>
      <c r="AU40" s="33">
        <v>3.0055822818162632</v>
      </c>
      <c r="AV40" s="33">
        <v>3.0088611704596939</v>
      </c>
      <c r="AW40" s="33">
        <v>3.0045077652339698</v>
      </c>
      <c r="AX40" s="33">
        <v>2.9993739376657138</v>
      </c>
      <c r="AY40" s="33">
        <v>3.0010516435822701</v>
      </c>
      <c r="AZ40" s="33">
        <v>3.0135041246157486</v>
      </c>
      <c r="BA40" s="33">
        <v>3.0059048448748387</v>
      </c>
      <c r="BB40" s="33">
        <v>3.0086355070200868</v>
      </c>
      <c r="BC40" s="33">
        <v>3.0092393235846995</v>
      </c>
      <c r="BD40" s="33">
        <v>3.0012730494325481</v>
      </c>
      <c r="BE40" s="33">
        <v>3.0125145821613781</v>
      </c>
    </row>
    <row r="41" spans="1:57" s="2" customFormat="1" ht="11.25" x14ac:dyDescent="0.2">
      <c r="A41" s="31" t="s">
        <v>305</v>
      </c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  <c r="AW41" s="33"/>
      <c r="AX41" s="33"/>
      <c r="AY41" s="33"/>
      <c r="AZ41" s="33"/>
      <c r="BA41" s="33"/>
      <c r="BB41" s="33"/>
      <c r="BC41" s="33"/>
      <c r="BD41" s="33"/>
      <c r="BE41" s="33"/>
    </row>
    <row r="42" spans="1:57" s="2" customFormat="1" ht="11.25" x14ac:dyDescent="0.2">
      <c r="A42" s="2" t="s">
        <v>381</v>
      </c>
      <c r="B42" s="32">
        <v>43.492835758825706</v>
      </c>
      <c r="C42" s="32">
        <v>45.374650245909002</v>
      </c>
      <c r="D42" s="32">
        <v>44.825448356684021</v>
      </c>
      <c r="E42" s="32">
        <v>40.445831628937391</v>
      </c>
      <c r="F42" s="32">
        <v>44.570662317649578</v>
      </c>
      <c r="G42" s="32">
        <v>43.694622373592921</v>
      </c>
      <c r="H42" s="32">
        <v>44.052681481444033</v>
      </c>
      <c r="I42" s="32">
        <v>43.489245747198055</v>
      </c>
      <c r="J42" s="32">
        <v>40.742043623967106</v>
      </c>
      <c r="K42" s="32">
        <v>42.33234439177879</v>
      </c>
      <c r="L42" s="32">
        <v>43.699111623351811</v>
      </c>
      <c r="M42" s="32">
        <v>42.495470911733619</v>
      </c>
      <c r="N42" s="32">
        <v>39.861368613383227</v>
      </c>
      <c r="O42" s="32">
        <v>36.059595279770548</v>
      </c>
      <c r="P42" s="32">
        <v>33.340151769391674</v>
      </c>
      <c r="Q42" s="32">
        <v>35.419884563589704</v>
      </c>
      <c r="R42" s="32">
        <v>42.943525729718047</v>
      </c>
      <c r="S42" s="32">
        <v>42.826504935302736</v>
      </c>
      <c r="T42" s="32">
        <v>41.117554328549176</v>
      </c>
      <c r="U42" s="32">
        <v>41.203290254437633</v>
      </c>
      <c r="V42" s="32">
        <v>44.544080196670258</v>
      </c>
      <c r="W42" s="32">
        <v>42.107667966253196</v>
      </c>
      <c r="X42" s="32">
        <v>42.110290829111648</v>
      </c>
      <c r="Y42" s="32">
        <v>45.021782854328286</v>
      </c>
      <c r="Z42" s="32">
        <v>45.89350002155291</v>
      </c>
      <c r="AA42" s="32">
        <v>35.527387453784748</v>
      </c>
      <c r="AB42" s="32">
        <v>36.494432256411919</v>
      </c>
      <c r="AC42" s="32">
        <v>34.501717978242624</v>
      </c>
      <c r="AD42" s="32">
        <v>33.79157257505446</v>
      </c>
      <c r="AE42" s="32">
        <v>33.07388953365659</v>
      </c>
      <c r="AF42" s="32">
        <v>33.06756542632607</v>
      </c>
      <c r="AG42" s="32">
        <v>33.837829290961679</v>
      </c>
      <c r="AH42" s="32">
        <v>26.999050880534405</v>
      </c>
      <c r="AI42" s="32">
        <v>25.659640927900067</v>
      </c>
      <c r="AJ42" s="32">
        <v>26.64616003901784</v>
      </c>
      <c r="AK42" s="32">
        <v>24.676561285954644</v>
      </c>
      <c r="AL42" s="32">
        <v>25.776958876067802</v>
      </c>
      <c r="AM42" s="32">
        <v>25.633256784032099</v>
      </c>
      <c r="AN42" s="32">
        <v>19.298401752401759</v>
      </c>
      <c r="AO42" s="32">
        <v>19.795040730196892</v>
      </c>
      <c r="AP42" s="32">
        <v>19.083698521213719</v>
      </c>
      <c r="AQ42" s="32">
        <v>19.133746443729947</v>
      </c>
      <c r="AR42" s="32">
        <v>19.171227291262454</v>
      </c>
      <c r="AS42" s="32">
        <v>19.68006650812492</v>
      </c>
      <c r="AT42" s="32">
        <v>45.178545808210771</v>
      </c>
      <c r="AU42" s="32">
        <v>45.839914465164235</v>
      </c>
      <c r="AV42" s="32">
        <v>47.00674044088295</v>
      </c>
      <c r="AW42" s="32">
        <v>50.512920903803781</v>
      </c>
      <c r="AX42" s="32">
        <v>51.041027587203111</v>
      </c>
      <c r="AY42" s="32">
        <v>48.578921967116869</v>
      </c>
      <c r="AZ42" s="32">
        <v>46.344895523276399</v>
      </c>
      <c r="BA42" s="32">
        <v>52.628587789295921</v>
      </c>
      <c r="BB42" s="32">
        <v>48.922505993174696</v>
      </c>
      <c r="BC42" s="32">
        <v>53.345780836459987</v>
      </c>
      <c r="BD42" s="32">
        <v>53.374528905414287</v>
      </c>
      <c r="BE42" s="32">
        <v>53.455750936558189</v>
      </c>
    </row>
    <row r="43" spans="1:57" s="2" customFormat="1" ht="11.25" x14ac:dyDescent="0.2">
      <c r="A43" s="2" t="s">
        <v>301</v>
      </c>
      <c r="B43" s="32">
        <v>47.520728143962309</v>
      </c>
      <c r="C43" s="32">
        <v>49.424386875056172</v>
      </c>
      <c r="D43" s="32">
        <v>48.870020567065197</v>
      </c>
      <c r="E43" s="32">
        <v>44.413330030797965</v>
      </c>
      <c r="F43" s="32">
        <v>48.612500365133101</v>
      </c>
      <c r="G43" s="32">
        <v>47.725418980725266</v>
      </c>
      <c r="H43" s="32">
        <v>48.08829851226573</v>
      </c>
      <c r="I43" s="32">
        <v>47.517085237168686</v>
      </c>
      <c r="J43" s="32">
        <v>44.716781231177706</v>
      </c>
      <c r="K43" s="32">
        <v>46.340901077660554</v>
      </c>
      <c r="L43" s="32">
        <v>47.729971303194468</v>
      </c>
      <c r="M43" s="32">
        <v>46.507017087071652</v>
      </c>
      <c r="N43" s="32">
        <v>43.813713788160612</v>
      </c>
      <c r="O43" s="32">
        <v>39.884988765679587</v>
      </c>
      <c r="P43" s="32">
        <v>37.044192104676533</v>
      </c>
      <c r="Q43" s="32">
        <v>39.219039733534984</v>
      </c>
      <c r="R43" s="32">
        <v>46.962825605989892</v>
      </c>
      <c r="S43" s="32">
        <v>46.843844394777093</v>
      </c>
      <c r="T43" s="32">
        <v>45.101043986983044</v>
      </c>
      <c r="U43" s="32">
        <v>45.188711593440836</v>
      </c>
      <c r="V43" s="32">
        <v>48.58562061750969</v>
      </c>
      <c r="W43" s="32">
        <v>46.111961439858632</v>
      </c>
      <c r="X43" s="32">
        <v>46.114635046124349</v>
      </c>
      <c r="Y43" s="32">
        <v>49.06831562111315</v>
      </c>
      <c r="Z43" s="32">
        <v>49.947202486980899</v>
      </c>
      <c r="AA43" s="32">
        <v>39.331050858320751</v>
      </c>
      <c r="AB43" s="32">
        <v>40.336854528109043</v>
      </c>
      <c r="AC43" s="32">
        <v>38.260736769140728</v>
      </c>
      <c r="AD43" s="32">
        <v>37.517538402812264</v>
      </c>
      <c r="AE43" s="32">
        <v>36.764663421793962</v>
      </c>
      <c r="AF43" s="32">
        <v>36.758021199851207</v>
      </c>
      <c r="AG43" s="32">
        <v>37.566001607809532</v>
      </c>
      <c r="AH43" s="32">
        <v>30.319027563282713</v>
      </c>
      <c r="AI43" s="32">
        <v>28.880073476283375</v>
      </c>
      <c r="AJ43" s="32">
        <v>29.940540458752839</v>
      </c>
      <c r="AK43" s="32">
        <v>27.81978397598418</v>
      </c>
      <c r="AL43" s="32">
        <v>29.00637041198496</v>
      </c>
      <c r="AM43" s="32">
        <v>28.851663117670189</v>
      </c>
      <c r="AN43" s="32">
        <v>21.956259616258667</v>
      </c>
      <c r="AO43" s="32">
        <v>22.502225897591213</v>
      </c>
      <c r="AP43" s="32">
        <v>21.719944940586419</v>
      </c>
      <c r="AQ43" s="32">
        <v>21.775046034463521</v>
      </c>
      <c r="AR43" s="32">
        <v>21.816305032485321</v>
      </c>
      <c r="AS43" s="32">
        <v>22.37591444862511</v>
      </c>
      <c r="AT43" s="32">
        <v>49.22655260629972</v>
      </c>
      <c r="AU43" s="32">
        <v>49.893248363642776</v>
      </c>
      <c r="AV43" s="32">
        <v>51.065968636793968</v>
      </c>
      <c r="AW43" s="32">
        <v>54.563179471146661</v>
      </c>
      <c r="AX43" s="32">
        <v>55.086494860491861</v>
      </c>
      <c r="AY43" s="32">
        <v>52.639057599737136</v>
      </c>
      <c r="AZ43" s="32">
        <v>50.401328329177943</v>
      </c>
      <c r="BA43" s="32">
        <v>56.654277487861584</v>
      </c>
      <c r="BB43" s="32">
        <v>52.981770057011722</v>
      </c>
      <c r="BC43" s="32">
        <v>57.35990307000084</v>
      </c>
      <c r="BD43" s="32">
        <v>57.388153439458989</v>
      </c>
      <c r="BE43" s="32">
        <v>57.467955164040916</v>
      </c>
    </row>
    <row r="44" spans="1:57" s="2" customFormat="1" ht="11.25" x14ac:dyDescent="0.2"/>
    <row r="45" spans="1:57" s="2" customFormat="1" ht="11.25" x14ac:dyDescent="0.2">
      <c r="A45" s="31" t="s">
        <v>380</v>
      </c>
    </row>
    <row r="46" spans="1:57" s="2" customFormat="1" ht="11.25" x14ac:dyDescent="0.2">
      <c r="A46" s="31" t="s">
        <v>379</v>
      </c>
      <c r="B46" s="34" t="s">
        <v>206</v>
      </c>
      <c r="C46" s="34" t="s">
        <v>206</v>
      </c>
      <c r="D46" s="34" t="s">
        <v>206</v>
      </c>
      <c r="E46" s="34" t="s">
        <v>206</v>
      </c>
      <c r="F46" s="34" t="s">
        <v>206</v>
      </c>
      <c r="G46" s="34" t="s">
        <v>206</v>
      </c>
      <c r="H46" s="34" t="s">
        <v>206</v>
      </c>
      <c r="I46" s="34" t="s">
        <v>206</v>
      </c>
      <c r="J46" s="34" t="s">
        <v>206</v>
      </c>
      <c r="K46" s="34" t="s">
        <v>206</v>
      </c>
      <c r="L46" s="34" t="s">
        <v>206</v>
      </c>
      <c r="M46" s="34" t="s">
        <v>206</v>
      </c>
      <c r="N46" s="34" t="s">
        <v>206</v>
      </c>
      <c r="O46" s="34" t="s">
        <v>206</v>
      </c>
      <c r="P46" s="34" t="s">
        <v>206</v>
      </c>
      <c r="Q46" s="34" t="s">
        <v>206</v>
      </c>
      <c r="R46" s="34" t="s">
        <v>206</v>
      </c>
      <c r="S46" s="34" t="s">
        <v>206</v>
      </c>
      <c r="T46" s="34" t="s">
        <v>206</v>
      </c>
      <c r="U46" s="34" t="s">
        <v>206</v>
      </c>
      <c r="V46" s="34" t="s">
        <v>206</v>
      </c>
      <c r="W46" s="34" t="s">
        <v>206</v>
      </c>
      <c r="X46" s="34" t="s">
        <v>206</v>
      </c>
      <c r="Y46" s="34" t="s">
        <v>206</v>
      </c>
      <c r="Z46" s="34" t="s">
        <v>206</v>
      </c>
      <c r="AA46" s="34" t="s">
        <v>206</v>
      </c>
      <c r="AB46" s="34" t="s">
        <v>206</v>
      </c>
      <c r="AC46" s="34" t="s">
        <v>206</v>
      </c>
      <c r="AD46" s="34" t="s">
        <v>206</v>
      </c>
      <c r="AE46" s="34" t="s">
        <v>206</v>
      </c>
      <c r="AF46" s="34" t="s">
        <v>342</v>
      </c>
      <c r="AG46" s="34" t="s">
        <v>342</v>
      </c>
      <c r="AH46" s="34" t="s">
        <v>342</v>
      </c>
      <c r="AI46" s="34" t="s">
        <v>342</v>
      </c>
      <c r="AJ46" s="34" t="s">
        <v>341</v>
      </c>
      <c r="AK46" s="34" t="s">
        <v>341</v>
      </c>
      <c r="AL46" s="34" t="s">
        <v>341</v>
      </c>
      <c r="AM46" s="34" t="s">
        <v>341</v>
      </c>
    </row>
    <row r="47" spans="1:57" s="2" customFormat="1" ht="11.25" x14ac:dyDescent="0.2">
      <c r="A47" s="31" t="s">
        <v>340</v>
      </c>
      <c r="B47" s="34" t="s">
        <v>378</v>
      </c>
      <c r="C47" s="34" t="s">
        <v>377</v>
      </c>
      <c r="D47" s="34" t="s">
        <v>339</v>
      </c>
      <c r="E47" s="34" t="s">
        <v>376</v>
      </c>
      <c r="F47" s="34" t="s">
        <v>375</v>
      </c>
      <c r="G47" s="34" t="s">
        <v>374</v>
      </c>
      <c r="H47" s="34" t="s">
        <v>373</v>
      </c>
      <c r="I47" s="34" t="s">
        <v>372</v>
      </c>
      <c r="J47" s="34" t="s">
        <v>371</v>
      </c>
      <c r="K47" s="34" t="s">
        <v>370</v>
      </c>
      <c r="L47" s="34" t="s">
        <v>369</v>
      </c>
      <c r="M47" s="34" t="s">
        <v>368</v>
      </c>
      <c r="N47" s="34" t="s">
        <v>367</v>
      </c>
      <c r="O47" s="34" t="s">
        <v>366</v>
      </c>
      <c r="P47" s="34" t="s">
        <v>365</v>
      </c>
      <c r="Q47" s="34" t="s">
        <v>337</v>
      </c>
      <c r="R47" s="34" t="s">
        <v>364</v>
      </c>
      <c r="S47" s="34" t="s">
        <v>363</v>
      </c>
      <c r="T47" s="34" t="s">
        <v>336</v>
      </c>
      <c r="U47" s="34" t="s">
        <v>335</v>
      </c>
      <c r="V47" s="34" t="s">
        <v>362</v>
      </c>
      <c r="W47" s="34" t="s">
        <v>361</v>
      </c>
      <c r="X47" s="34" t="s">
        <v>360</v>
      </c>
      <c r="Y47" s="34" t="s">
        <v>359</v>
      </c>
      <c r="Z47" s="34" t="s">
        <v>358</v>
      </c>
      <c r="AA47" s="34" t="s">
        <v>357</v>
      </c>
      <c r="AB47" s="34" t="s">
        <v>356</v>
      </c>
      <c r="AC47" s="34" t="s">
        <v>355</v>
      </c>
      <c r="AD47" s="34" t="s">
        <v>354</v>
      </c>
      <c r="AE47" s="34" t="s">
        <v>353</v>
      </c>
      <c r="AF47" s="34" t="s">
        <v>352</v>
      </c>
      <c r="AG47" s="34" t="s">
        <v>351</v>
      </c>
      <c r="AH47" s="34" t="s">
        <v>350</v>
      </c>
      <c r="AI47" s="34" t="s">
        <v>349</v>
      </c>
      <c r="AJ47" s="34" t="s">
        <v>348</v>
      </c>
      <c r="AK47" s="34" t="s">
        <v>347</v>
      </c>
      <c r="AL47" s="34" t="s">
        <v>346</v>
      </c>
      <c r="AM47" s="34" t="s">
        <v>345</v>
      </c>
    </row>
    <row r="48" spans="1:57" s="2" customFormat="1" ht="11.25" x14ac:dyDescent="0.2">
      <c r="A48" s="31" t="s">
        <v>319</v>
      </c>
      <c r="B48" s="34">
        <v>2</v>
      </c>
      <c r="C48" s="34">
        <v>3</v>
      </c>
      <c r="D48" s="34">
        <v>2</v>
      </c>
      <c r="E48" s="33">
        <v>2</v>
      </c>
      <c r="F48" s="33">
        <v>3</v>
      </c>
      <c r="G48" s="33">
        <v>1</v>
      </c>
      <c r="H48" s="33">
        <v>1</v>
      </c>
      <c r="I48" s="33">
        <v>2</v>
      </c>
      <c r="J48" s="33">
        <v>3</v>
      </c>
      <c r="K48" s="33">
        <v>1</v>
      </c>
      <c r="L48" s="33">
        <v>2</v>
      </c>
      <c r="M48" s="33">
        <v>3</v>
      </c>
      <c r="N48" s="33">
        <v>1</v>
      </c>
      <c r="O48" s="33">
        <v>3</v>
      </c>
      <c r="P48" s="33">
        <v>3</v>
      </c>
      <c r="Q48" s="33">
        <v>3</v>
      </c>
      <c r="R48" s="33">
        <v>1</v>
      </c>
      <c r="S48" s="33">
        <v>3</v>
      </c>
      <c r="T48" s="33">
        <v>1</v>
      </c>
      <c r="U48" s="33">
        <v>3</v>
      </c>
      <c r="V48" s="33">
        <v>3</v>
      </c>
      <c r="W48" s="34">
        <v>2</v>
      </c>
      <c r="X48" s="34">
        <v>3</v>
      </c>
      <c r="Y48" s="34">
        <v>3</v>
      </c>
      <c r="Z48" s="34">
        <v>2</v>
      </c>
      <c r="AA48" s="34">
        <v>3</v>
      </c>
      <c r="AB48" s="34">
        <v>1</v>
      </c>
      <c r="AC48" s="34">
        <v>3</v>
      </c>
      <c r="AD48" s="34">
        <v>1</v>
      </c>
      <c r="AE48" s="34">
        <v>1</v>
      </c>
      <c r="AF48" s="34">
        <v>3</v>
      </c>
      <c r="AG48" s="34">
        <v>3</v>
      </c>
      <c r="AH48" s="34">
        <v>2</v>
      </c>
      <c r="AI48" s="34">
        <v>1</v>
      </c>
      <c r="AJ48" s="34">
        <v>3</v>
      </c>
      <c r="AK48" s="34">
        <v>3</v>
      </c>
      <c r="AL48" s="34">
        <v>2</v>
      </c>
      <c r="AM48" s="34">
        <v>3</v>
      </c>
    </row>
    <row r="49" spans="1:39" s="2" customFormat="1" ht="11.25" x14ac:dyDescent="0.2">
      <c r="A49" s="2" t="s">
        <v>318</v>
      </c>
      <c r="B49" s="33">
        <v>51.120699999999999</v>
      </c>
      <c r="C49" s="33">
        <v>50.584233333333337</v>
      </c>
      <c r="D49" s="33">
        <v>50.622349999999997</v>
      </c>
      <c r="E49" s="33">
        <v>50.917649999999995</v>
      </c>
      <c r="F49" s="33">
        <v>50.693099999999994</v>
      </c>
      <c r="G49" s="33">
        <v>50.212400000000002</v>
      </c>
      <c r="H49" s="33">
        <v>50.953899999999997</v>
      </c>
      <c r="I49" s="33">
        <v>51.248649999999998</v>
      </c>
      <c r="J49" s="33">
        <v>50.759299999999996</v>
      </c>
      <c r="K49" s="33">
        <v>45.548400000000001</v>
      </c>
      <c r="L49" s="33">
        <v>50.637450000000001</v>
      </c>
      <c r="M49" s="33">
        <v>50.833833333333331</v>
      </c>
      <c r="N49" s="33">
        <v>50.430399999999999</v>
      </c>
      <c r="O49" s="33">
        <v>51.772999999999996</v>
      </c>
      <c r="P49" s="33">
        <v>51.66996666666666</v>
      </c>
      <c r="Q49" s="33">
        <v>50.993600000000008</v>
      </c>
      <c r="R49" s="33">
        <v>51.148899999999998</v>
      </c>
      <c r="S49" s="33">
        <v>51.082966666666664</v>
      </c>
      <c r="T49" s="33">
        <v>51.478400000000001</v>
      </c>
      <c r="U49" s="33">
        <v>51.830766666666669</v>
      </c>
      <c r="V49" s="33">
        <v>51.385899999999999</v>
      </c>
      <c r="W49" s="33">
        <v>52.284700000000001</v>
      </c>
      <c r="X49" s="33">
        <v>51.985266666666668</v>
      </c>
      <c r="Y49" s="33">
        <v>51.155566666666665</v>
      </c>
      <c r="Z49" s="33">
        <v>51.628399999999999</v>
      </c>
      <c r="AA49" s="33">
        <v>51.285066666666673</v>
      </c>
      <c r="AB49" s="33">
        <v>50.924599999999998</v>
      </c>
      <c r="AC49" s="33">
        <v>51.381666666666661</v>
      </c>
      <c r="AD49" s="33">
        <v>51.744799999999998</v>
      </c>
      <c r="AE49" s="33">
        <v>51.9009</v>
      </c>
      <c r="AF49" s="33">
        <v>48.449100000000008</v>
      </c>
      <c r="AG49" s="33">
        <v>48.457933333333337</v>
      </c>
      <c r="AH49" s="33">
        <v>49.790100000000002</v>
      </c>
      <c r="AI49" s="33">
        <v>49.200600000000001</v>
      </c>
      <c r="AJ49" s="33">
        <v>51.7014</v>
      </c>
      <c r="AK49" s="33">
        <v>52.090399999999995</v>
      </c>
      <c r="AL49" s="33">
        <v>51.1404</v>
      </c>
      <c r="AM49" s="33">
        <v>52.345166666666671</v>
      </c>
    </row>
    <row r="50" spans="1:39" s="2" customFormat="1" ht="11.25" x14ac:dyDescent="0.2">
      <c r="A50" s="2" t="s">
        <v>317</v>
      </c>
      <c r="B50" s="33" t="s">
        <v>316</v>
      </c>
      <c r="C50" s="33">
        <v>0.57406666666666661</v>
      </c>
      <c r="D50" s="33">
        <v>0.28115000000000001</v>
      </c>
      <c r="E50" s="33" t="s">
        <v>316</v>
      </c>
      <c r="F50" s="33" t="s">
        <v>316</v>
      </c>
      <c r="G50" s="33" t="s">
        <v>316</v>
      </c>
      <c r="H50" s="33" t="s">
        <v>316</v>
      </c>
      <c r="I50" s="33" t="s">
        <v>316</v>
      </c>
      <c r="J50" s="33">
        <v>0.32856666666666667</v>
      </c>
      <c r="K50" s="33" t="s">
        <v>316</v>
      </c>
      <c r="L50" s="33" t="s">
        <v>316</v>
      </c>
      <c r="M50" s="33">
        <v>0.50250000000000006</v>
      </c>
      <c r="N50" s="33">
        <v>0.49530000000000002</v>
      </c>
      <c r="O50" s="33" t="s">
        <v>316</v>
      </c>
      <c r="P50" s="33">
        <v>0.31323333333333331</v>
      </c>
      <c r="Q50" s="33" t="s">
        <v>316</v>
      </c>
      <c r="R50" s="33" t="s">
        <v>316</v>
      </c>
      <c r="S50" s="33" t="s">
        <v>316</v>
      </c>
      <c r="T50" s="33" t="s">
        <v>316</v>
      </c>
      <c r="U50" s="33" t="s">
        <v>316</v>
      </c>
      <c r="V50" s="33" t="s">
        <v>316</v>
      </c>
      <c r="W50" s="33" t="s">
        <v>316</v>
      </c>
      <c r="X50" s="33" t="s">
        <v>316</v>
      </c>
      <c r="Y50" s="33" t="s">
        <v>316</v>
      </c>
      <c r="Z50" s="33">
        <v>0.68775000000000008</v>
      </c>
      <c r="AA50" s="33">
        <v>0.2810333333333333</v>
      </c>
      <c r="AB50" s="33" t="s">
        <v>316</v>
      </c>
      <c r="AC50" s="33" t="s">
        <v>316</v>
      </c>
      <c r="AD50" s="33">
        <v>0.82330000000000003</v>
      </c>
      <c r="AE50" s="33">
        <v>0.57250000000000001</v>
      </c>
      <c r="AF50" s="33" t="s">
        <v>316</v>
      </c>
      <c r="AG50" s="33" t="s">
        <v>316</v>
      </c>
      <c r="AH50" s="33" t="s">
        <v>316</v>
      </c>
      <c r="AI50" s="33" t="s">
        <v>316</v>
      </c>
      <c r="AJ50" s="33" t="s">
        <v>316</v>
      </c>
      <c r="AK50" s="33">
        <v>0.15713333333333332</v>
      </c>
      <c r="AL50" s="33">
        <v>0.41195000000000004</v>
      </c>
      <c r="AM50" s="33" t="s">
        <v>316</v>
      </c>
    </row>
    <row r="51" spans="1:39" s="2" customFormat="1" ht="11.25" x14ac:dyDescent="0.2">
      <c r="A51" s="2" t="s">
        <v>315</v>
      </c>
      <c r="B51" s="33">
        <v>0.86864999999999992</v>
      </c>
      <c r="C51" s="33">
        <v>1.1066666666666667</v>
      </c>
      <c r="D51" s="33">
        <v>0.75130000000000008</v>
      </c>
      <c r="E51" s="33">
        <v>0.87555000000000005</v>
      </c>
      <c r="F51" s="33">
        <v>1.0207333333333335</v>
      </c>
      <c r="G51" s="33">
        <v>1.1133</v>
      </c>
      <c r="H51" s="33">
        <v>0.70889999999999997</v>
      </c>
      <c r="I51" s="33">
        <v>0.89565000000000006</v>
      </c>
      <c r="J51" s="33">
        <v>1.1338999999999999</v>
      </c>
      <c r="K51" s="33">
        <v>1.2370000000000001</v>
      </c>
      <c r="L51" s="33">
        <v>1.23115</v>
      </c>
      <c r="M51" s="33">
        <v>1.3942666666666665</v>
      </c>
      <c r="N51" s="33">
        <v>1.843</v>
      </c>
      <c r="O51" s="33">
        <v>1.3196666666666665</v>
      </c>
      <c r="P51" s="33">
        <v>1.1078333333333334</v>
      </c>
      <c r="Q51" s="33">
        <v>0.89319999999999988</v>
      </c>
      <c r="R51" s="33">
        <v>0.69169999999999998</v>
      </c>
      <c r="S51" s="33">
        <v>0.96953333333333325</v>
      </c>
      <c r="T51" s="33">
        <v>0.92869999999999997</v>
      </c>
      <c r="U51" s="33">
        <v>0.7032666666666666</v>
      </c>
      <c r="V51" s="33">
        <v>0.97173333333333334</v>
      </c>
      <c r="W51" s="33">
        <v>1.2335500000000001</v>
      </c>
      <c r="X51" s="33">
        <v>1.4070666666666665</v>
      </c>
      <c r="Y51" s="33">
        <v>0.53183333333333338</v>
      </c>
      <c r="Z51" s="33">
        <v>1.7652999999999999</v>
      </c>
      <c r="AA51" s="33">
        <v>1.3591</v>
      </c>
      <c r="AB51" s="33">
        <v>0.43290000000000001</v>
      </c>
      <c r="AC51" s="33">
        <v>0.6715333333333332</v>
      </c>
      <c r="AD51" s="33">
        <v>1.1797</v>
      </c>
      <c r="AE51" s="33">
        <v>1.0490999999999999</v>
      </c>
      <c r="AF51" s="33">
        <v>0.42776666666666668</v>
      </c>
      <c r="AG51" s="33">
        <v>0.34573333333333328</v>
      </c>
      <c r="AH51" s="33">
        <v>0.49060000000000004</v>
      </c>
      <c r="AI51" s="33">
        <v>0.35520000000000002</v>
      </c>
      <c r="AJ51" s="33">
        <v>0.38840000000000002</v>
      </c>
      <c r="AK51" s="33">
        <v>0.78763333333333341</v>
      </c>
      <c r="AL51" s="33">
        <v>0.90034999999999998</v>
      </c>
      <c r="AM51" s="33">
        <v>0.80313333333333337</v>
      </c>
    </row>
    <row r="52" spans="1:39" s="2" customFormat="1" ht="11.25" x14ac:dyDescent="0.2">
      <c r="A52" s="2" t="s">
        <v>344</v>
      </c>
      <c r="B52" s="33" t="s">
        <v>316</v>
      </c>
      <c r="C52" s="33" t="s">
        <v>316</v>
      </c>
      <c r="D52" s="33" t="s">
        <v>316</v>
      </c>
      <c r="E52" s="33" t="s">
        <v>316</v>
      </c>
      <c r="F52" s="33" t="s">
        <v>316</v>
      </c>
      <c r="G52" s="33" t="s">
        <v>316</v>
      </c>
      <c r="H52" s="33" t="s">
        <v>316</v>
      </c>
      <c r="I52" s="33" t="s">
        <v>316</v>
      </c>
      <c r="J52" s="33" t="s">
        <v>316</v>
      </c>
      <c r="K52" s="33" t="s">
        <v>316</v>
      </c>
      <c r="L52" s="33" t="s">
        <v>316</v>
      </c>
      <c r="M52" s="33" t="s">
        <v>316</v>
      </c>
      <c r="N52" s="33" t="s">
        <v>316</v>
      </c>
      <c r="O52" s="33">
        <v>0.1333</v>
      </c>
      <c r="P52" s="33" t="s">
        <v>316</v>
      </c>
      <c r="Q52" s="33" t="s">
        <v>316</v>
      </c>
      <c r="R52" s="33" t="s">
        <v>316</v>
      </c>
      <c r="S52" s="33" t="s">
        <v>316</v>
      </c>
      <c r="T52" s="33" t="s">
        <v>316</v>
      </c>
      <c r="U52" s="33" t="s">
        <v>316</v>
      </c>
      <c r="V52" s="33" t="s">
        <v>316</v>
      </c>
      <c r="W52" s="33" t="s">
        <v>316</v>
      </c>
      <c r="X52" s="33" t="s">
        <v>316</v>
      </c>
      <c r="Y52" s="33" t="s">
        <v>316</v>
      </c>
      <c r="Z52" s="33" t="s">
        <v>316</v>
      </c>
      <c r="AA52" s="33" t="s">
        <v>316</v>
      </c>
      <c r="AB52" s="33" t="s">
        <v>316</v>
      </c>
      <c r="AC52" s="33" t="s">
        <v>316</v>
      </c>
      <c r="AD52" s="33" t="s">
        <v>316</v>
      </c>
      <c r="AE52" s="33" t="s">
        <v>316</v>
      </c>
      <c r="AF52" s="33" t="s">
        <v>316</v>
      </c>
      <c r="AG52" s="33" t="s">
        <v>316</v>
      </c>
      <c r="AH52" s="33" t="s">
        <v>316</v>
      </c>
      <c r="AI52" s="33" t="s">
        <v>316</v>
      </c>
      <c r="AJ52" s="33" t="s">
        <v>316</v>
      </c>
      <c r="AK52" s="33" t="s">
        <v>316</v>
      </c>
      <c r="AL52" s="33" t="s">
        <v>316</v>
      </c>
      <c r="AM52" s="33" t="s">
        <v>316</v>
      </c>
    </row>
    <row r="53" spans="1:39" s="2" customFormat="1" ht="11.25" x14ac:dyDescent="0.2">
      <c r="A53" s="2" t="s">
        <v>180</v>
      </c>
      <c r="B53" s="33">
        <v>28.00095</v>
      </c>
      <c r="C53" s="33">
        <v>25.149433333333334</v>
      </c>
      <c r="D53" s="33">
        <v>28.357199999999999</v>
      </c>
      <c r="E53" s="33">
        <v>24.780950000000001</v>
      </c>
      <c r="F53" s="33">
        <v>26.538</v>
      </c>
      <c r="G53" s="33">
        <v>25.120200000000001</v>
      </c>
      <c r="H53" s="33">
        <v>25.779</v>
      </c>
      <c r="I53" s="33">
        <v>24.462600000000002</v>
      </c>
      <c r="J53" s="33">
        <v>25.622566666666668</v>
      </c>
      <c r="K53" s="33">
        <v>32.9358</v>
      </c>
      <c r="L53" s="33">
        <v>23.182200000000002</v>
      </c>
      <c r="M53" s="33">
        <v>23.471966666666663</v>
      </c>
      <c r="N53" s="33">
        <v>21.896000000000001</v>
      </c>
      <c r="O53" s="33">
        <v>22.768033333333335</v>
      </c>
      <c r="P53" s="33">
        <v>23.270499999999998</v>
      </c>
      <c r="Q53" s="33">
        <v>25.211566666666666</v>
      </c>
      <c r="R53" s="33">
        <v>25.464400000000001</v>
      </c>
      <c r="S53" s="33">
        <v>22.401399999999999</v>
      </c>
      <c r="T53" s="33">
        <v>24.147099999999998</v>
      </c>
      <c r="U53" s="33">
        <v>25.102933333333329</v>
      </c>
      <c r="V53" s="33">
        <v>25.851866666666666</v>
      </c>
      <c r="W53" s="33">
        <v>20.978400000000001</v>
      </c>
      <c r="X53" s="33">
        <v>21.199233333333336</v>
      </c>
      <c r="Y53" s="33">
        <v>28.07726666666667</v>
      </c>
      <c r="Z53" s="33">
        <v>20.457349999999998</v>
      </c>
      <c r="AA53" s="33">
        <v>23.635566666666666</v>
      </c>
      <c r="AB53" s="33">
        <v>28.587</v>
      </c>
      <c r="AC53" s="33">
        <v>28.0352</v>
      </c>
      <c r="AD53" s="33">
        <v>21.03</v>
      </c>
      <c r="AE53" s="33">
        <v>22.040500000000002</v>
      </c>
      <c r="AF53" s="33">
        <v>37.039666666666669</v>
      </c>
      <c r="AG53" s="33">
        <v>36.595300000000002</v>
      </c>
      <c r="AH53" s="33">
        <v>32.852800000000002</v>
      </c>
      <c r="AI53" s="33">
        <v>36.310699999999997</v>
      </c>
      <c r="AJ53" s="33">
        <v>29.714200000000002</v>
      </c>
      <c r="AK53" s="33">
        <v>25.840166666666665</v>
      </c>
      <c r="AL53" s="33">
        <v>24.04495</v>
      </c>
      <c r="AM53" s="33">
        <v>23.291299999999996</v>
      </c>
    </row>
    <row r="54" spans="1:39" s="2" customFormat="1" ht="11.25" x14ac:dyDescent="0.2">
      <c r="A54" s="2" t="s">
        <v>177</v>
      </c>
      <c r="B54" s="33">
        <v>0.49840000000000001</v>
      </c>
      <c r="C54" s="33">
        <v>0.37939999999999996</v>
      </c>
      <c r="D54" s="33">
        <v>0.39200000000000002</v>
      </c>
      <c r="E54" s="33">
        <v>0.37555000000000005</v>
      </c>
      <c r="F54" s="33">
        <v>0.41670000000000001</v>
      </c>
      <c r="G54" s="33">
        <v>0.36909999999999998</v>
      </c>
      <c r="H54" s="33">
        <v>0.316</v>
      </c>
      <c r="I54" s="33">
        <v>0.40029999999999999</v>
      </c>
      <c r="J54" s="33">
        <v>0.33283333333333331</v>
      </c>
      <c r="K54" s="33">
        <v>0.35489999999999999</v>
      </c>
      <c r="L54" s="33">
        <v>0.30825000000000002</v>
      </c>
      <c r="M54" s="33">
        <v>0.29239999999999999</v>
      </c>
      <c r="N54" s="33">
        <v>0.34410000000000002</v>
      </c>
      <c r="O54" s="33">
        <v>0.35833333333333334</v>
      </c>
      <c r="P54" s="33">
        <v>0.34333333333333332</v>
      </c>
      <c r="Q54" s="33">
        <v>0.39143333333333336</v>
      </c>
      <c r="R54" s="33">
        <v>0.31480000000000002</v>
      </c>
      <c r="S54" s="33">
        <v>0.32236666666666663</v>
      </c>
      <c r="T54" s="33">
        <v>0.40949999999999998</v>
      </c>
      <c r="U54" s="33">
        <v>0.42603333333333332</v>
      </c>
      <c r="V54" s="33">
        <v>0.44753333333333334</v>
      </c>
      <c r="W54" s="33">
        <v>0.38364999999999999</v>
      </c>
      <c r="X54" s="33">
        <v>0.37273333333333331</v>
      </c>
      <c r="Y54" s="33">
        <v>0.50313333333333332</v>
      </c>
      <c r="Z54" s="33">
        <v>0.34030000000000005</v>
      </c>
      <c r="AA54" s="33">
        <v>0.32426666666666665</v>
      </c>
      <c r="AB54" s="33">
        <v>0.50019999999999998</v>
      </c>
      <c r="AC54" s="33">
        <v>0.59593333333333331</v>
      </c>
      <c r="AD54" s="33">
        <v>0.36980000000000002</v>
      </c>
      <c r="AE54" s="33">
        <v>0.40210000000000001</v>
      </c>
      <c r="AF54" s="33">
        <v>0.74630000000000007</v>
      </c>
      <c r="AG54" s="33">
        <v>0.71419999999999995</v>
      </c>
      <c r="AH54" s="33">
        <v>0.69385000000000008</v>
      </c>
      <c r="AI54" s="33">
        <v>0.54769999999999996</v>
      </c>
      <c r="AJ54" s="33">
        <v>0.61160000000000003</v>
      </c>
      <c r="AK54" s="33">
        <v>0.58036666666666659</v>
      </c>
      <c r="AL54" s="33">
        <v>0.52959999999999996</v>
      </c>
      <c r="AM54" s="33">
        <v>0.46506666666666668</v>
      </c>
    </row>
    <row r="55" spans="1:39" s="2" customFormat="1" ht="11.25" x14ac:dyDescent="0.2">
      <c r="A55" s="2" t="s">
        <v>173</v>
      </c>
      <c r="B55" s="33">
        <v>19.215150000000001</v>
      </c>
      <c r="C55" s="33">
        <v>20.111099999999997</v>
      </c>
      <c r="D55" s="33">
        <v>18.1311</v>
      </c>
      <c r="E55" s="33">
        <v>19.218150000000001</v>
      </c>
      <c r="F55" s="33">
        <v>19.350166666666667</v>
      </c>
      <c r="G55" s="33">
        <v>17.933399999999999</v>
      </c>
      <c r="H55" s="33">
        <v>19.267099999999999</v>
      </c>
      <c r="I55" s="33">
        <v>17.973300000000002</v>
      </c>
      <c r="J55" s="33">
        <v>20.581066666666668</v>
      </c>
      <c r="K55" s="33">
        <v>18.435400000000001</v>
      </c>
      <c r="L55" s="33">
        <v>21.206099999999999</v>
      </c>
      <c r="M55" s="33">
        <v>21.223866666666666</v>
      </c>
      <c r="N55" s="33">
        <v>21.536899999999999</v>
      </c>
      <c r="O55" s="33">
        <v>22.263433333333335</v>
      </c>
      <c r="P55" s="33">
        <v>22.060599999999997</v>
      </c>
      <c r="Q55" s="33">
        <v>17.950700000000001</v>
      </c>
      <c r="R55" s="33">
        <v>18.632100000000001</v>
      </c>
      <c r="S55" s="33">
        <v>16.418066666666665</v>
      </c>
      <c r="T55" s="33">
        <v>19.104099999999999</v>
      </c>
      <c r="U55" s="33">
        <v>19.019166666666667</v>
      </c>
      <c r="V55" s="33">
        <v>18.427199999999999</v>
      </c>
      <c r="W55" s="33">
        <v>21.6431</v>
      </c>
      <c r="X55" s="33">
        <v>21.498133333333332</v>
      </c>
      <c r="Y55" s="33">
        <v>16.772133333333333</v>
      </c>
      <c r="Z55" s="33">
        <v>21.51595</v>
      </c>
      <c r="AA55" s="33">
        <v>19.321866666666669</v>
      </c>
      <c r="AB55" s="33">
        <v>15.7699</v>
      </c>
      <c r="AC55" s="33">
        <v>16.980733333333333</v>
      </c>
      <c r="AD55" s="33">
        <v>20.939599999999999</v>
      </c>
      <c r="AE55" s="33">
        <v>20.793099999999999</v>
      </c>
      <c r="AF55" s="33">
        <v>11.0784</v>
      </c>
      <c r="AG55" s="33">
        <v>10.908233333333333</v>
      </c>
      <c r="AH55" s="33">
        <v>11.213950000000001</v>
      </c>
      <c r="AI55" s="33">
        <v>11.49</v>
      </c>
      <c r="AJ55" s="33">
        <v>18.097866666666665</v>
      </c>
      <c r="AK55" s="33">
        <v>19.319066666666668</v>
      </c>
      <c r="AL55" s="33">
        <v>19.831949999999999</v>
      </c>
      <c r="AM55" s="33">
        <v>21.168499999999998</v>
      </c>
    </row>
    <row r="56" spans="1:39" s="2" customFormat="1" ht="11.25" x14ac:dyDescent="0.2">
      <c r="A56" s="2" t="s">
        <v>169</v>
      </c>
      <c r="B56" s="33">
        <v>1.5683499999999999</v>
      </c>
      <c r="C56" s="33">
        <v>1.7114666666666667</v>
      </c>
      <c r="D56" s="33">
        <v>1.50335</v>
      </c>
      <c r="E56" s="33">
        <v>2.9409000000000001</v>
      </c>
      <c r="F56" s="33">
        <v>1.7396333333333331</v>
      </c>
      <c r="G56" s="33">
        <v>5.6318000000000001</v>
      </c>
      <c r="H56" s="33">
        <v>1.5878000000000001</v>
      </c>
      <c r="I56" s="33">
        <v>3.80585</v>
      </c>
      <c r="J56" s="33">
        <v>1.8259666666666667</v>
      </c>
      <c r="K56" s="33">
        <v>1.9864999999999999</v>
      </c>
      <c r="L56" s="33">
        <v>1.4974499999999999</v>
      </c>
      <c r="M56" s="33">
        <v>1.5628333333333335</v>
      </c>
      <c r="N56" s="33">
        <v>1.3605</v>
      </c>
      <c r="O56" s="33">
        <v>1.5633999999999999</v>
      </c>
      <c r="P56" s="33">
        <v>1.6415666666666666</v>
      </c>
      <c r="Q56" s="33">
        <v>3.2768666666666668</v>
      </c>
      <c r="R56" s="33">
        <v>1.5434000000000001</v>
      </c>
      <c r="S56" s="33">
        <v>7.1678666666666659</v>
      </c>
      <c r="T56" s="33">
        <v>1.7810999999999999</v>
      </c>
      <c r="U56" s="33">
        <v>1.845633333333333</v>
      </c>
      <c r="V56" s="33">
        <v>2.1205666666666669</v>
      </c>
      <c r="W56" s="33">
        <v>1.84385</v>
      </c>
      <c r="X56" s="33">
        <v>1.6732000000000002</v>
      </c>
      <c r="Y56" s="33">
        <v>1.2944666666666667</v>
      </c>
      <c r="Z56" s="33">
        <v>1.6874</v>
      </c>
      <c r="AA56" s="33">
        <v>1.9114666666666664</v>
      </c>
      <c r="AB56" s="33">
        <v>2.6795</v>
      </c>
      <c r="AC56" s="33">
        <v>1.3429666666666666</v>
      </c>
      <c r="AD56" s="33">
        <v>1.9472</v>
      </c>
      <c r="AE56" s="33">
        <v>1.6989000000000001</v>
      </c>
      <c r="AF56" s="33">
        <v>1.4433333333333334</v>
      </c>
      <c r="AG56" s="33">
        <v>1.6785000000000003</v>
      </c>
      <c r="AH56" s="33">
        <v>5.1435500000000003</v>
      </c>
      <c r="AI56" s="33">
        <v>1.7641</v>
      </c>
      <c r="AJ56" s="33">
        <v>0.76719999999999999</v>
      </c>
      <c r="AK56" s="33">
        <v>1.7716333333333332</v>
      </c>
      <c r="AL56" s="33">
        <v>1.42815</v>
      </c>
      <c r="AM56" s="33">
        <v>1.3393333333333335</v>
      </c>
    </row>
    <row r="57" spans="1:39" s="2" customFormat="1" ht="11.25" x14ac:dyDescent="0.2">
      <c r="A57" s="2" t="s">
        <v>314</v>
      </c>
      <c r="B57" s="33" t="s">
        <v>316</v>
      </c>
      <c r="C57" s="33" t="s">
        <v>316</v>
      </c>
      <c r="D57" s="33" t="s">
        <v>316</v>
      </c>
      <c r="E57" s="33" t="s">
        <v>316</v>
      </c>
      <c r="F57" s="33" t="s">
        <v>316</v>
      </c>
      <c r="G57" s="33" t="s">
        <v>316</v>
      </c>
      <c r="H57" s="33" t="s">
        <v>316</v>
      </c>
      <c r="I57" s="33" t="s">
        <v>316</v>
      </c>
      <c r="J57" s="33" t="s">
        <v>316</v>
      </c>
      <c r="K57" s="33" t="s">
        <v>316</v>
      </c>
      <c r="L57" s="33" t="s">
        <v>316</v>
      </c>
      <c r="M57" s="33" t="s">
        <v>316</v>
      </c>
      <c r="N57" s="33" t="s">
        <v>316</v>
      </c>
      <c r="O57" s="33" t="s">
        <v>316</v>
      </c>
      <c r="P57" s="33" t="s">
        <v>316</v>
      </c>
      <c r="Q57" s="33" t="s">
        <v>316</v>
      </c>
      <c r="R57" s="33" t="s">
        <v>316</v>
      </c>
      <c r="S57" s="33">
        <v>0.10806666666666666</v>
      </c>
      <c r="T57" s="33" t="s">
        <v>316</v>
      </c>
      <c r="U57" s="33" t="s">
        <v>316</v>
      </c>
      <c r="V57" s="33" t="s">
        <v>316</v>
      </c>
      <c r="W57" s="33" t="s">
        <v>316</v>
      </c>
      <c r="X57" s="33" t="s">
        <v>316</v>
      </c>
      <c r="Y57" s="33" t="s">
        <v>316</v>
      </c>
      <c r="Z57" s="33" t="s">
        <v>316</v>
      </c>
      <c r="AA57" s="33" t="s">
        <v>316</v>
      </c>
      <c r="AB57" s="33" t="s">
        <v>316</v>
      </c>
      <c r="AC57" s="33" t="s">
        <v>316</v>
      </c>
      <c r="AD57" s="33" t="s">
        <v>316</v>
      </c>
      <c r="AE57" s="33">
        <v>0.11600000000000001</v>
      </c>
      <c r="AF57" s="33">
        <v>7.8833333333333325E-2</v>
      </c>
      <c r="AG57" s="33" t="s">
        <v>316</v>
      </c>
      <c r="AH57" s="33" t="s">
        <v>316</v>
      </c>
      <c r="AI57" s="33" t="s">
        <v>316</v>
      </c>
      <c r="AJ57" s="33" t="s">
        <v>316</v>
      </c>
      <c r="AK57" s="33" t="s">
        <v>316</v>
      </c>
      <c r="AL57" s="33" t="s">
        <v>316</v>
      </c>
      <c r="AM57" s="33">
        <v>1.78E-2</v>
      </c>
    </row>
    <row r="58" spans="1:39" s="2" customFormat="1" ht="11.25" x14ac:dyDescent="0.2">
      <c r="A58" s="2" t="s">
        <v>313</v>
      </c>
      <c r="B58" s="33">
        <v>101.2722</v>
      </c>
      <c r="C58" s="33">
        <v>99.653533333333328</v>
      </c>
      <c r="D58" s="33">
        <v>100.03844999999998</v>
      </c>
      <c r="E58" s="33">
        <v>99.181450000000012</v>
      </c>
      <c r="F58" s="33">
        <v>100.01100000000001</v>
      </c>
      <c r="G58" s="33">
        <v>100.3802</v>
      </c>
      <c r="H58" s="33">
        <v>98.612700000000004</v>
      </c>
      <c r="I58" s="33">
        <v>98.786349999999999</v>
      </c>
      <c r="J58" s="33">
        <v>100.58420000000001</v>
      </c>
      <c r="K58" s="33">
        <v>100.498</v>
      </c>
      <c r="L58" s="33">
        <v>98.321799999999996</v>
      </c>
      <c r="M58" s="33">
        <v>99.317233333333334</v>
      </c>
      <c r="N58" s="33">
        <v>97.906199999999998</v>
      </c>
      <c r="O58" s="33">
        <v>100.34399999999999</v>
      </c>
      <c r="P58" s="33">
        <v>100.40703333333333</v>
      </c>
      <c r="Q58" s="33">
        <v>98.775166666666678</v>
      </c>
      <c r="R58" s="33">
        <v>97.795300000000012</v>
      </c>
      <c r="S58" s="33">
        <v>98.47026666666666</v>
      </c>
      <c r="T58" s="33">
        <v>97.848899999999986</v>
      </c>
      <c r="U58" s="33">
        <v>98.927799999999991</v>
      </c>
      <c r="V58" s="33">
        <v>99.393833333333347</v>
      </c>
      <c r="W58" s="33">
        <v>98.367249999999984</v>
      </c>
      <c r="X58" s="33">
        <v>98.384933333333336</v>
      </c>
      <c r="Y58" s="33">
        <v>98.334400000000002</v>
      </c>
      <c r="Z58" s="33">
        <v>98.158749999999998</v>
      </c>
      <c r="AA58" s="33">
        <v>98.146866666666668</v>
      </c>
      <c r="AB58" s="33">
        <v>98.894100000000009</v>
      </c>
      <c r="AC58" s="33">
        <v>99.008033333333344</v>
      </c>
      <c r="AD58" s="33">
        <v>98.034399999999991</v>
      </c>
      <c r="AE58" s="33">
        <v>98.573100000000011</v>
      </c>
      <c r="AF58" s="33">
        <v>99.26339999999999</v>
      </c>
      <c r="AG58" s="33">
        <v>98.6999</v>
      </c>
      <c r="AH58" s="33">
        <v>100.18485000000001</v>
      </c>
      <c r="AI58" s="33">
        <v>99.668300000000002</v>
      </c>
      <c r="AJ58" s="33">
        <v>101.28066666666666</v>
      </c>
      <c r="AK58" s="33">
        <v>100.54640000000001</v>
      </c>
      <c r="AL58" s="33">
        <v>98.287350000000004</v>
      </c>
      <c r="AM58" s="33">
        <v>99.430299999999988</v>
      </c>
    </row>
    <row r="59" spans="1:39" s="2" customFormat="1" ht="11.25" x14ac:dyDescent="0.2">
      <c r="A59" s="31" t="s">
        <v>312</v>
      </c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</row>
    <row r="60" spans="1:39" s="2" customFormat="1" ht="11.25" x14ac:dyDescent="0.2">
      <c r="A60" s="31" t="s">
        <v>311</v>
      </c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</row>
    <row r="61" spans="1:39" s="2" customFormat="1" ht="11.25" x14ac:dyDescent="0.2">
      <c r="A61" s="2" t="s">
        <v>278</v>
      </c>
      <c r="B61" s="33">
        <v>1.9420061603131249</v>
      </c>
      <c r="C61" s="33">
        <v>1.9312242560710107</v>
      </c>
      <c r="D61" s="33">
        <v>1.9509790680108252</v>
      </c>
      <c r="E61" s="33">
        <v>1.9555359316683465</v>
      </c>
      <c r="F61" s="33">
        <v>1.9441548879918982</v>
      </c>
      <c r="G61" s="33">
        <v>1.9252957264589676</v>
      </c>
      <c r="H61" s="33">
        <v>1.9671865804079325</v>
      </c>
      <c r="I61" s="33">
        <v>1.9742732073647236</v>
      </c>
      <c r="J61" s="33">
        <v>1.9231206722332455</v>
      </c>
      <c r="K61" s="33">
        <v>1.8129968047200429</v>
      </c>
      <c r="L61" s="33">
        <v>1.9436403286505251</v>
      </c>
      <c r="M61" s="33">
        <v>1.9294218151929503</v>
      </c>
      <c r="N61" s="33">
        <v>1.926892759215451</v>
      </c>
      <c r="O61" s="33">
        <v>1.9404218099446573</v>
      </c>
      <c r="P61" s="33">
        <v>1.9355973793670458</v>
      </c>
      <c r="Q61" s="33">
        <v>1.9707244167150391</v>
      </c>
      <c r="R61" s="33">
        <v>1.9862009545130381</v>
      </c>
      <c r="S61" s="33">
        <v>1.975526657623591</v>
      </c>
      <c r="T61" s="33">
        <v>1.9859521456208407</v>
      </c>
      <c r="U61" s="33">
        <v>1.9859835487443864</v>
      </c>
      <c r="V61" s="33">
        <v>1.9734556331635138</v>
      </c>
      <c r="W61" s="33">
        <v>1.9747522109405482</v>
      </c>
      <c r="X61" s="33">
        <v>1.969836644320986</v>
      </c>
      <c r="Y61" s="33">
        <v>1.9989324414194896</v>
      </c>
      <c r="Z61" s="33">
        <v>1.9520212028354211</v>
      </c>
      <c r="AA61" s="33">
        <v>1.9688550781330187</v>
      </c>
      <c r="AB61" s="33">
        <v>1.992803002428623</v>
      </c>
      <c r="AC61" s="33">
        <v>1.9934151624564489</v>
      </c>
      <c r="AD61" s="33">
        <v>1.9647847929789577</v>
      </c>
      <c r="AE61" s="33">
        <v>1.9681659225579711</v>
      </c>
      <c r="AF61" s="33">
        <v>1.9721355026704686</v>
      </c>
      <c r="AG61" s="33">
        <v>1.9806149762571679</v>
      </c>
      <c r="AH61" s="33">
        <v>1.9818487367951381</v>
      </c>
      <c r="AI61" s="33">
        <v>1.9828471140378157</v>
      </c>
      <c r="AJ61" s="33">
        <v>1.972595415463047</v>
      </c>
      <c r="AK61" s="33">
        <v>1.9705135620478682</v>
      </c>
      <c r="AL61" s="33">
        <v>1.9651181546377887</v>
      </c>
      <c r="AM61" s="33">
        <v>1.9753890542343964</v>
      </c>
    </row>
    <row r="62" spans="1:39" s="2" customFormat="1" ht="11.25" x14ac:dyDescent="0.2">
      <c r="A62" s="2" t="s">
        <v>280</v>
      </c>
      <c r="B62" s="33">
        <v>3.8890989553306887E-2</v>
      </c>
      <c r="C62" s="33">
        <v>4.9794883747530633E-2</v>
      </c>
      <c r="D62" s="33">
        <v>3.4125109605960893E-2</v>
      </c>
      <c r="E62" s="33">
        <v>3.963042771693602E-2</v>
      </c>
      <c r="F62" s="33">
        <v>4.6136502361630423E-2</v>
      </c>
      <c r="G62" s="33">
        <v>5.0309388024131318E-2</v>
      </c>
      <c r="H62" s="33">
        <v>3.2255476164611704E-2</v>
      </c>
      <c r="I62" s="33">
        <v>-5.9335680325622746E-2</v>
      </c>
      <c r="J62" s="33">
        <v>5.0630944106765205E-2</v>
      </c>
      <c r="K62" s="33">
        <v>5.8028850921447203E-2</v>
      </c>
      <c r="L62" s="33">
        <v>5.5693614212022971E-2</v>
      </c>
      <c r="M62" s="33">
        <v>6.2369250766334747E-2</v>
      </c>
      <c r="N62" s="33">
        <v>7.2992878067376268E-2</v>
      </c>
      <c r="O62" s="33">
        <v>5.829179404466453E-2</v>
      </c>
      <c r="P62" s="33">
        <v>4.8910446881632139E-2</v>
      </c>
      <c r="Q62" s="33">
        <v>3.068265588763238E-2</v>
      </c>
      <c r="R62" s="33">
        <v>1.1655926002908202E-2</v>
      </c>
      <c r="S62" s="33">
        <v>2.4189581309872029E-2</v>
      </c>
      <c r="T62" s="33">
        <v>1.2224988810929233E-2</v>
      </c>
      <c r="U62" s="33">
        <v>1.1758384721212784E-2</v>
      </c>
      <c r="V62" s="33">
        <v>2.3982595941035325E-2</v>
      </c>
      <c r="W62" s="33">
        <v>2.490919848474353E-2</v>
      </c>
      <c r="X62" s="33">
        <v>3.2836931531975116E-2</v>
      </c>
      <c r="Y62" s="33">
        <v>4.4923878864549897E-3</v>
      </c>
      <c r="Z62" s="33">
        <v>4.8661956504766568E-2</v>
      </c>
      <c r="AA62" s="33">
        <v>3.1492846448211438E-2</v>
      </c>
      <c r="AB62" s="33">
        <v>9.9652469647577551E-3</v>
      </c>
      <c r="AC62" s="33">
        <v>1.0704886986719099E-2</v>
      </c>
      <c r="AD62" s="33">
        <v>3.2792255019736191E-2</v>
      </c>
      <c r="AE62" s="33">
        <v>2.6887174754416421E-2</v>
      </c>
      <c r="AF62" s="33">
        <v>2.7864497329531446E-2</v>
      </c>
      <c r="AG62" s="33">
        <v>1.938502374283213E-2</v>
      </c>
      <c r="AH62" s="33">
        <v>1.8151263204861934E-2</v>
      </c>
      <c r="AI62" s="33">
        <v>1.7152885962184339E-2</v>
      </c>
      <c r="AJ62" s="33">
        <v>2.7404584536953047E-2</v>
      </c>
      <c r="AK62" s="33">
        <v>2.9486437952131794E-2</v>
      </c>
      <c r="AL62" s="33">
        <v>3.4881845362211283E-2</v>
      </c>
      <c r="AM62" s="33">
        <v>2.4610945765603631E-2</v>
      </c>
    </row>
    <row r="63" spans="1:39" s="2" customFormat="1" ht="11.25" x14ac:dyDescent="0.2">
      <c r="A63" s="2" t="s">
        <v>313</v>
      </c>
      <c r="B63" s="33">
        <v>1.9808971498664318</v>
      </c>
      <c r="C63" s="33">
        <v>1.9810191398185413</v>
      </c>
      <c r="D63" s="33">
        <v>1.9851041776167861</v>
      </c>
      <c r="E63" s="33">
        <v>1.9951663593852824</v>
      </c>
      <c r="F63" s="33">
        <v>1.9902913903535286</v>
      </c>
      <c r="G63" s="33">
        <v>1.9756051144830988</v>
      </c>
      <c r="H63" s="33">
        <v>1.9994420565725441</v>
      </c>
      <c r="I63" s="33">
        <v>1.9149375270391009</v>
      </c>
      <c r="J63" s="33">
        <v>1.9737516163400106</v>
      </c>
      <c r="K63" s="33">
        <v>1.8710256556414901</v>
      </c>
      <c r="L63" s="33">
        <v>1.9993339428625481</v>
      </c>
      <c r="M63" s="33">
        <v>1.991791065959285</v>
      </c>
      <c r="N63" s="33">
        <v>1.9998856372828273</v>
      </c>
      <c r="O63" s="33">
        <v>1.9987136039893219</v>
      </c>
      <c r="P63" s="33">
        <v>1.9845078262486779</v>
      </c>
      <c r="Q63" s="33">
        <v>2.0014070726026714</v>
      </c>
      <c r="R63" s="33">
        <v>1.9978568805159462</v>
      </c>
      <c r="S63" s="33">
        <v>1.9997162389334631</v>
      </c>
      <c r="T63" s="33">
        <v>1.9981771344317698</v>
      </c>
      <c r="U63" s="33">
        <v>1.9977419334655993</v>
      </c>
      <c r="V63" s="33">
        <v>1.9974382291045492</v>
      </c>
      <c r="W63" s="33">
        <v>1.9996614094252918</v>
      </c>
      <c r="X63" s="33">
        <v>2.002673575852961</v>
      </c>
      <c r="Y63" s="33">
        <v>2.0034248293059447</v>
      </c>
      <c r="Z63" s="33">
        <v>2.0006831593401877</v>
      </c>
      <c r="AA63" s="33">
        <v>2.0003479245812303</v>
      </c>
      <c r="AB63" s="33">
        <v>2.0027682493933807</v>
      </c>
      <c r="AC63" s="33">
        <v>2.0041200494431681</v>
      </c>
      <c r="AD63" s="33">
        <v>1.9975770479986938</v>
      </c>
      <c r="AE63" s="33">
        <v>1.9950530973123874</v>
      </c>
      <c r="AF63" s="33">
        <v>2</v>
      </c>
      <c r="AG63" s="33">
        <v>2</v>
      </c>
      <c r="AH63" s="33">
        <v>2</v>
      </c>
      <c r="AI63" s="33">
        <v>2</v>
      </c>
      <c r="AJ63" s="33">
        <v>2</v>
      </c>
      <c r="AK63" s="33">
        <v>2</v>
      </c>
      <c r="AL63" s="33">
        <v>2</v>
      </c>
      <c r="AM63" s="33">
        <v>2</v>
      </c>
    </row>
    <row r="64" spans="1:39" s="2" customFormat="1" ht="11.25" x14ac:dyDescent="0.2">
      <c r="A64" s="31" t="s">
        <v>310</v>
      </c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</row>
    <row r="65" spans="1:39" s="2" customFormat="1" ht="11.25" x14ac:dyDescent="0.2">
      <c r="A65" s="2" t="s">
        <v>273</v>
      </c>
      <c r="B65" s="33">
        <v>0</v>
      </c>
      <c r="C65" s="33">
        <v>1.6488402464327166E-2</v>
      </c>
      <c r="D65" s="33">
        <v>8.1516797512850292E-3</v>
      </c>
      <c r="E65" s="33">
        <v>0</v>
      </c>
      <c r="F65" s="33">
        <v>0</v>
      </c>
      <c r="G65" s="33">
        <v>0</v>
      </c>
      <c r="H65" s="33">
        <v>0</v>
      </c>
      <c r="I65" s="33">
        <v>0</v>
      </c>
      <c r="J65" s="33">
        <v>9.3651152822411959E-3</v>
      </c>
      <c r="K65" s="33">
        <v>0</v>
      </c>
      <c r="L65" s="33">
        <v>0</v>
      </c>
      <c r="M65" s="33">
        <v>1.4348585965009868E-2</v>
      </c>
      <c r="N65" s="33">
        <v>1.4237448753035301E-2</v>
      </c>
      <c r="O65" s="33">
        <v>0</v>
      </c>
      <c r="P65" s="33">
        <v>8.8276179725636367E-3</v>
      </c>
      <c r="Q65" s="33">
        <v>0</v>
      </c>
      <c r="R65" s="33">
        <v>0</v>
      </c>
      <c r="S65" s="33">
        <v>0</v>
      </c>
      <c r="T65" s="33">
        <v>0</v>
      </c>
      <c r="U65" s="33">
        <v>0</v>
      </c>
      <c r="V65" s="33">
        <v>0</v>
      </c>
      <c r="W65" s="33">
        <v>0</v>
      </c>
      <c r="X65" s="33">
        <v>0</v>
      </c>
      <c r="Y65" s="33">
        <v>0</v>
      </c>
      <c r="Z65" s="33">
        <v>1.9562537056174691E-2</v>
      </c>
      <c r="AA65" s="33">
        <v>8.1166977558277693E-3</v>
      </c>
      <c r="AB65" s="33">
        <v>0</v>
      </c>
      <c r="AC65" s="33">
        <v>0</v>
      </c>
      <c r="AD65" s="33">
        <v>2.3518255535863113E-2</v>
      </c>
      <c r="AE65" s="33">
        <v>1.6332814294685812E-2</v>
      </c>
      <c r="AF65" s="33">
        <v>0</v>
      </c>
      <c r="AG65" s="33">
        <v>0</v>
      </c>
      <c r="AH65" s="33">
        <v>0</v>
      </c>
      <c r="AI65" s="33">
        <v>0</v>
      </c>
      <c r="AJ65" s="33">
        <v>0</v>
      </c>
      <c r="AK65" s="33">
        <v>4.4718659170628998E-3</v>
      </c>
      <c r="AL65" s="33">
        <v>1.1908793606352068E-2</v>
      </c>
      <c r="AM65" s="33">
        <v>0</v>
      </c>
    </row>
    <row r="66" spans="1:39" s="2" customFormat="1" ht="11.25" x14ac:dyDescent="0.2">
      <c r="A66" s="2" t="s">
        <v>280</v>
      </c>
      <c r="B66" s="33">
        <v>0</v>
      </c>
      <c r="C66" s="33">
        <v>0</v>
      </c>
      <c r="D66" s="33">
        <v>0</v>
      </c>
      <c r="E66" s="33">
        <v>0</v>
      </c>
      <c r="F66" s="33">
        <v>0</v>
      </c>
      <c r="G66" s="33">
        <v>0</v>
      </c>
      <c r="H66" s="33">
        <v>0</v>
      </c>
      <c r="I66" s="33">
        <v>0.1</v>
      </c>
      <c r="J66" s="33">
        <v>0</v>
      </c>
      <c r="K66" s="33">
        <v>0</v>
      </c>
      <c r="L66" s="33">
        <v>0</v>
      </c>
      <c r="M66" s="33">
        <v>0</v>
      </c>
      <c r="N66" s="33">
        <v>0.01</v>
      </c>
      <c r="O66" s="33">
        <v>0</v>
      </c>
      <c r="P66" s="33">
        <v>0</v>
      </c>
      <c r="Q66" s="33">
        <v>0.01</v>
      </c>
      <c r="R66" s="33">
        <v>0.02</v>
      </c>
      <c r="S66" s="33">
        <v>0.02</v>
      </c>
      <c r="T66" s="33">
        <v>0.03</v>
      </c>
      <c r="U66" s="33">
        <v>0.02</v>
      </c>
      <c r="V66" s="33">
        <v>0.02</v>
      </c>
      <c r="W66" s="33">
        <v>0.03</v>
      </c>
      <c r="X66" s="33">
        <v>0.03</v>
      </c>
      <c r="Y66" s="33">
        <v>0.02</v>
      </c>
      <c r="Z66" s="33">
        <v>0.03</v>
      </c>
      <c r="AA66" s="33">
        <v>0.03</v>
      </c>
      <c r="AB66" s="33">
        <v>0.01</v>
      </c>
      <c r="AC66" s="33">
        <v>0.02</v>
      </c>
      <c r="AD66" s="33">
        <v>0.02</v>
      </c>
      <c r="AE66" s="33">
        <v>0.02</v>
      </c>
      <c r="AF66" s="33">
        <v>0</v>
      </c>
      <c r="AG66" s="33">
        <v>-2.7307084500092504E-3</v>
      </c>
      <c r="AH66" s="33">
        <v>4.8634415528143737E-3</v>
      </c>
      <c r="AI66" s="33">
        <v>-2.8183465969407531E-4</v>
      </c>
      <c r="AJ66" s="33">
        <v>0</v>
      </c>
      <c r="AK66" s="33">
        <v>5.6288457788872814E-3</v>
      </c>
      <c r="AL66" s="33">
        <v>5.892432167333303E-3</v>
      </c>
      <c r="AM66" s="33">
        <v>1.1109269358468392E-2</v>
      </c>
    </row>
    <row r="67" spans="1:39" s="2" customFormat="1" ht="11.25" x14ac:dyDescent="0.2">
      <c r="A67" s="2" t="s">
        <v>271</v>
      </c>
      <c r="B67" s="33">
        <v>0</v>
      </c>
      <c r="C67" s="33">
        <v>0</v>
      </c>
      <c r="D67" s="33">
        <v>0</v>
      </c>
      <c r="E67" s="33">
        <v>0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  <c r="L67" s="33">
        <v>0</v>
      </c>
      <c r="M67" s="33">
        <v>0</v>
      </c>
      <c r="N67" s="33">
        <v>0</v>
      </c>
      <c r="O67" s="33">
        <v>0</v>
      </c>
      <c r="P67" s="33">
        <v>0</v>
      </c>
      <c r="Q67" s="33">
        <v>0</v>
      </c>
      <c r="R67" s="33">
        <v>0</v>
      </c>
      <c r="S67" s="33">
        <v>0</v>
      </c>
      <c r="T67" s="33">
        <v>0</v>
      </c>
      <c r="U67" s="33">
        <v>0</v>
      </c>
      <c r="V67" s="33">
        <v>0</v>
      </c>
      <c r="W67" s="33">
        <v>0</v>
      </c>
      <c r="X67" s="33">
        <v>0</v>
      </c>
      <c r="Y67" s="33">
        <v>0</v>
      </c>
      <c r="Z67" s="33">
        <v>0</v>
      </c>
      <c r="AA67" s="33">
        <v>0</v>
      </c>
      <c r="AB67" s="33">
        <v>0</v>
      </c>
      <c r="AC67" s="33">
        <v>0</v>
      </c>
      <c r="AD67" s="33">
        <v>0</v>
      </c>
      <c r="AE67" s="33">
        <v>0</v>
      </c>
      <c r="AF67" s="33">
        <v>0</v>
      </c>
      <c r="AG67" s="33">
        <v>0</v>
      </c>
      <c r="AH67" s="33">
        <v>0</v>
      </c>
      <c r="AI67" s="33">
        <v>0</v>
      </c>
      <c r="AJ67" s="33">
        <v>0</v>
      </c>
      <c r="AK67" s="33">
        <v>0</v>
      </c>
      <c r="AL67" s="33">
        <v>0</v>
      </c>
      <c r="AM67" s="33">
        <v>0</v>
      </c>
    </row>
    <row r="68" spans="1:39" s="2" customFormat="1" ht="11.25" x14ac:dyDescent="0.2">
      <c r="A68" s="2" t="s">
        <v>309</v>
      </c>
      <c r="B68" s="33">
        <v>0.11454119139260754</v>
      </c>
      <c r="C68" s="33">
        <v>8.1610870386336742E-2</v>
      </c>
      <c r="D68" s="33">
        <v>7.0997538077815392E-2</v>
      </c>
      <c r="E68" s="33">
        <v>7.3493679665860512E-2</v>
      </c>
      <c r="F68" s="33">
        <v>9.7531389288607606E-2</v>
      </c>
      <c r="G68" s="33">
        <v>0.14682989865177953</v>
      </c>
      <c r="H68" s="33">
        <v>4.9849102965380254E-2</v>
      </c>
      <c r="I68" s="33">
        <v>1.6162101243898164E-2</v>
      </c>
      <c r="J68" s="33">
        <v>0.12527461356824476</v>
      </c>
      <c r="K68" s="33">
        <v>0.45595727713165868</v>
      </c>
      <c r="L68" s="33">
        <v>8.4933170738631159E-2</v>
      </c>
      <c r="M68" s="33">
        <v>7.4667409553985209E-2</v>
      </c>
      <c r="N68" s="33">
        <v>5.189466291907241E-2</v>
      </c>
      <c r="O68" s="33">
        <v>9.0607530370225398E-2</v>
      </c>
      <c r="P68" s="33">
        <v>9.263861435226417E-2</v>
      </c>
      <c r="Q68" s="33">
        <v>2.6743033750406209E-2</v>
      </c>
      <c r="R68" s="33">
        <v>0</v>
      </c>
      <c r="S68" s="33">
        <v>1.0583833370607643E-3</v>
      </c>
      <c r="T68" s="33">
        <v>0</v>
      </c>
      <c r="U68" s="33">
        <v>0</v>
      </c>
      <c r="V68" s="33">
        <v>1.3643676448292563E-2</v>
      </c>
      <c r="W68" s="33">
        <v>0</v>
      </c>
      <c r="X68" s="33">
        <v>0</v>
      </c>
      <c r="Y68" s="33">
        <v>0</v>
      </c>
      <c r="Z68" s="33">
        <v>0</v>
      </c>
      <c r="AA68" s="33">
        <v>0</v>
      </c>
      <c r="AB68" s="33">
        <v>0</v>
      </c>
      <c r="AC68" s="33">
        <v>0</v>
      </c>
      <c r="AD68" s="33">
        <v>0</v>
      </c>
      <c r="AE68" s="33">
        <v>0</v>
      </c>
      <c r="AF68" s="33">
        <v>6.1823556314508199E-2</v>
      </c>
      <c r="AG68" s="33">
        <v>3.3082143810152953E-2</v>
      </c>
      <c r="AH68" s="33">
        <v>1.9898681212188851E-2</v>
      </c>
      <c r="AI68" s="33">
        <v>2.6095210594532237E-2</v>
      </c>
      <c r="AJ68" s="33">
        <v>5.5756180371758557E-2</v>
      </c>
      <c r="AK68" s="33">
        <v>2.2329163754959858E-2</v>
      </c>
      <c r="AL68" s="33">
        <v>7.7527270038921792E-3</v>
      </c>
      <c r="AM68" s="33">
        <v>2.2165070363538319E-2</v>
      </c>
    </row>
    <row r="69" spans="1:39" s="2" customFormat="1" ht="11.25" x14ac:dyDescent="0.2">
      <c r="A69" s="2" t="s">
        <v>307</v>
      </c>
      <c r="B69" s="33">
        <v>0.36832255027591443</v>
      </c>
      <c r="C69" s="33">
        <v>0.34866635981812638</v>
      </c>
      <c r="D69" s="33">
        <v>0.41187918297795079</v>
      </c>
      <c r="E69" s="33">
        <v>0.36721721616683844</v>
      </c>
      <c r="F69" s="33">
        <v>0.36567360142448818</v>
      </c>
      <c r="G69" s="33">
        <v>0.33375799084221741</v>
      </c>
      <c r="H69" s="33">
        <v>0.39308679604779806</v>
      </c>
      <c r="I69" s="33">
        <v>0.37817479371768775</v>
      </c>
      <c r="J69" s="33">
        <v>0.32132735513250871</v>
      </c>
      <c r="K69" s="33">
        <v>0.20089030359476873</v>
      </c>
      <c r="L69" s="33">
        <v>0.32212725412746168</v>
      </c>
      <c r="M69" s="33">
        <v>0.32635874282847221</v>
      </c>
      <c r="N69" s="33">
        <v>0.31925869190446565</v>
      </c>
      <c r="O69" s="33">
        <v>0.303480103996976</v>
      </c>
      <c r="P69" s="33">
        <v>0.30605306821921963</v>
      </c>
      <c r="Q69" s="33">
        <v>0.41658731194081677</v>
      </c>
      <c r="R69" s="33">
        <v>0.425294307983966</v>
      </c>
      <c r="S69" s="33">
        <v>0.42408578470306524</v>
      </c>
      <c r="T69" s="33">
        <v>0.40244235547505697</v>
      </c>
      <c r="U69" s="33">
        <v>0.41692312642431234</v>
      </c>
      <c r="V69" s="33">
        <v>0.42165137526733765</v>
      </c>
      <c r="W69" s="33">
        <v>0.34166447114674409</v>
      </c>
      <c r="X69" s="33">
        <v>0.34547905236696608</v>
      </c>
      <c r="Y69" s="33">
        <v>0.47461653023264067</v>
      </c>
      <c r="Z69" s="33">
        <v>0.3306094961053444</v>
      </c>
      <c r="AA69" s="33">
        <v>0.39145043802336571</v>
      </c>
      <c r="AB69" s="33">
        <v>0.49915721935330737</v>
      </c>
      <c r="AC69" s="33">
        <v>0.47122497937318342</v>
      </c>
      <c r="AD69" s="33">
        <v>0.34469057182595608</v>
      </c>
      <c r="AE69" s="33">
        <v>0.35935249209151371</v>
      </c>
      <c r="AF69" s="33">
        <v>0.60225835846376796</v>
      </c>
      <c r="AG69" s="33">
        <v>0.62789117767895763</v>
      </c>
      <c r="AH69" s="33">
        <v>0.60252456872235893</v>
      </c>
      <c r="AI69" s="33">
        <v>0.61849181457067892</v>
      </c>
      <c r="AJ69" s="33">
        <v>0.43992909272975544</v>
      </c>
      <c r="AK69" s="33">
        <v>0.40889758075157773</v>
      </c>
      <c r="AL69" s="33">
        <v>0.39234792789852024</v>
      </c>
      <c r="AM69" s="33">
        <v>0.36271078701678799</v>
      </c>
    </row>
    <row r="70" spans="1:39" s="2" customFormat="1" ht="11.25" x14ac:dyDescent="0.2">
      <c r="A70" s="2" t="s">
        <v>281</v>
      </c>
      <c r="B70" s="33">
        <v>0.51713625833147803</v>
      </c>
      <c r="C70" s="33">
        <v>0.55323436733120979</v>
      </c>
      <c r="D70" s="33">
        <v>0.50897159919294876</v>
      </c>
      <c r="E70" s="33">
        <v>0.55928910416730115</v>
      </c>
      <c r="F70" s="33">
        <v>0.53679500928690427</v>
      </c>
      <c r="G70" s="33">
        <v>0.519412110506003</v>
      </c>
      <c r="H70" s="33">
        <v>0.55706410098682169</v>
      </c>
      <c r="I70" s="33">
        <v>0.50566310503841405</v>
      </c>
      <c r="J70" s="33">
        <v>0.54403291601700532</v>
      </c>
      <c r="K70" s="33">
        <v>0.34315241927357265</v>
      </c>
      <c r="L70" s="33">
        <v>0.59293957513390716</v>
      </c>
      <c r="M70" s="33">
        <v>0.58462526165253259</v>
      </c>
      <c r="N70" s="33">
        <v>0.60460919642342659</v>
      </c>
      <c r="O70" s="33">
        <v>0.6059123656327986</v>
      </c>
      <c r="P70" s="33">
        <v>0.59248069945595261</v>
      </c>
      <c r="Q70" s="33">
        <v>0.54666965430877701</v>
      </c>
      <c r="R70" s="33">
        <v>0.55470569201603392</v>
      </c>
      <c r="S70" s="33">
        <v>0.55485583195987409</v>
      </c>
      <c r="T70" s="33">
        <v>0.56755764452494295</v>
      </c>
      <c r="U70" s="33">
        <v>0.56307687357568759</v>
      </c>
      <c r="V70" s="33">
        <v>0.54470494828436977</v>
      </c>
      <c r="W70" s="33">
        <v>0.62833552885325605</v>
      </c>
      <c r="X70" s="33">
        <v>0.62452094763303367</v>
      </c>
      <c r="Y70" s="33">
        <v>0.50538346976735937</v>
      </c>
      <c r="Z70" s="33">
        <v>0.61982796683848096</v>
      </c>
      <c r="AA70" s="33">
        <v>0.57043286422080663</v>
      </c>
      <c r="AB70" s="33">
        <v>0.49084278064669284</v>
      </c>
      <c r="AC70" s="33">
        <v>0.50877502062681645</v>
      </c>
      <c r="AD70" s="33">
        <v>0.61179117263818084</v>
      </c>
      <c r="AE70" s="33">
        <v>0.60431469361380041</v>
      </c>
      <c r="AF70" s="33">
        <v>0.33591808522172395</v>
      </c>
      <c r="AG70" s="33">
        <v>0.34175738696089863</v>
      </c>
      <c r="AH70" s="33">
        <v>0.37271330851263784</v>
      </c>
      <c r="AI70" s="33">
        <v>0.35569480949448284</v>
      </c>
      <c r="AJ70" s="33">
        <v>0.504314726898486</v>
      </c>
      <c r="AK70" s="33">
        <v>0.55867254379751219</v>
      </c>
      <c r="AL70" s="33">
        <v>0.58209811932390221</v>
      </c>
      <c r="AM70" s="33">
        <v>0.60401487326120518</v>
      </c>
    </row>
    <row r="71" spans="1:39" s="2" customFormat="1" ht="11.25" x14ac:dyDescent="0.2">
      <c r="A71" s="2" t="s">
        <v>313</v>
      </c>
      <c r="B71" s="33">
        <v>1</v>
      </c>
      <c r="C71" s="33">
        <v>1</v>
      </c>
      <c r="D71" s="33">
        <v>1</v>
      </c>
      <c r="E71" s="33">
        <v>1</v>
      </c>
      <c r="F71" s="33">
        <v>1</v>
      </c>
      <c r="G71" s="33">
        <v>1</v>
      </c>
      <c r="H71" s="33">
        <v>1</v>
      </c>
      <c r="I71" s="33">
        <v>1</v>
      </c>
      <c r="J71" s="33">
        <v>1</v>
      </c>
      <c r="K71" s="33">
        <v>1</v>
      </c>
      <c r="L71" s="33">
        <v>1</v>
      </c>
      <c r="M71" s="33">
        <v>0.99999999999999989</v>
      </c>
      <c r="N71" s="33">
        <v>1</v>
      </c>
      <c r="O71" s="33">
        <v>1</v>
      </c>
      <c r="P71" s="33">
        <v>1</v>
      </c>
      <c r="Q71" s="33">
        <v>1</v>
      </c>
      <c r="R71" s="33">
        <v>1</v>
      </c>
      <c r="S71" s="33">
        <v>1</v>
      </c>
      <c r="T71" s="33">
        <v>0.99999999999999989</v>
      </c>
      <c r="U71" s="33">
        <v>1</v>
      </c>
      <c r="V71" s="33">
        <v>1</v>
      </c>
      <c r="W71" s="33">
        <v>1</v>
      </c>
      <c r="X71" s="33">
        <v>0.99999999999999978</v>
      </c>
      <c r="Y71" s="33">
        <v>1</v>
      </c>
      <c r="Z71" s="33">
        <v>1</v>
      </c>
      <c r="AA71" s="33">
        <v>1</v>
      </c>
      <c r="AB71" s="33">
        <v>1.0000000000000002</v>
      </c>
      <c r="AC71" s="33">
        <v>0.99999999999999989</v>
      </c>
      <c r="AD71" s="33">
        <v>1</v>
      </c>
      <c r="AE71" s="33">
        <v>1</v>
      </c>
      <c r="AF71" s="33">
        <v>1</v>
      </c>
      <c r="AG71" s="33">
        <v>1</v>
      </c>
      <c r="AH71" s="33">
        <v>1</v>
      </c>
      <c r="AI71" s="33">
        <v>0.99999999999999989</v>
      </c>
      <c r="AJ71" s="33">
        <v>1</v>
      </c>
      <c r="AK71" s="33">
        <v>1</v>
      </c>
      <c r="AL71" s="33">
        <v>1</v>
      </c>
      <c r="AM71" s="33">
        <v>0.99999999999999989</v>
      </c>
    </row>
    <row r="72" spans="1:39" s="2" customFormat="1" ht="11.25" x14ac:dyDescent="0.2">
      <c r="A72" s="31" t="s">
        <v>308</v>
      </c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</row>
    <row r="73" spans="1:39" s="2" customFormat="1" ht="11.25" x14ac:dyDescent="0.2">
      <c r="A73" s="2" t="s">
        <v>307</v>
      </c>
      <c r="B73" s="33">
        <v>0.4067243976665289</v>
      </c>
      <c r="C73" s="33">
        <v>0.37270908888416582</v>
      </c>
      <c r="D73" s="33">
        <v>0.43110194914871725</v>
      </c>
      <c r="E73" s="33">
        <v>0.35522447859092243</v>
      </c>
      <c r="F73" s="33">
        <v>0.38795775691783446</v>
      </c>
      <c r="G73" s="33">
        <v>0.32492402116025659</v>
      </c>
      <c r="H73" s="33">
        <v>0.3893961085208083</v>
      </c>
      <c r="I73" s="33">
        <v>0.39377855768582587</v>
      </c>
      <c r="J73" s="33">
        <v>0.36524832177824856</v>
      </c>
      <c r="K73" s="33">
        <v>0.4395158374184937</v>
      </c>
      <c r="L73" s="33">
        <v>0.33709067719237529</v>
      </c>
      <c r="M73" s="33">
        <v>0.34402520506387135</v>
      </c>
      <c r="N73" s="33">
        <v>0.32851514695559159</v>
      </c>
      <c r="O73" s="33">
        <v>0.3195549241543113</v>
      </c>
      <c r="P73" s="33">
        <v>0.33033758787626588</v>
      </c>
      <c r="Q73" s="33">
        <v>0.37150988864201806</v>
      </c>
      <c r="R73" s="33">
        <v>0.40166233886906738</v>
      </c>
      <c r="S73" s="33">
        <v>0.29936577623937632</v>
      </c>
      <c r="T73" s="33">
        <v>0.37661803911162467</v>
      </c>
      <c r="U73" s="33">
        <v>0.38748211755986067</v>
      </c>
      <c r="V73" s="33">
        <v>0.39501006398889182</v>
      </c>
      <c r="W73" s="33">
        <v>0.3209680655585388</v>
      </c>
      <c r="X73" s="33">
        <v>0.32630934356867503</v>
      </c>
      <c r="Y73" s="33">
        <v>0.44291806887936852</v>
      </c>
      <c r="Z73" s="33">
        <v>0.31624655714885508</v>
      </c>
      <c r="AA73" s="33">
        <v>0.36739137227277668</v>
      </c>
      <c r="AB73" s="33">
        <v>0.43639434815334754</v>
      </c>
      <c r="AC73" s="33">
        <v>0.43838587730759604</v>
      </c>
      <c r="AD73" s="33">
        <v>0.3231148716335297</v>
      </c>
      <c r="AE73" s="33">
        <v>0.33963703414558705</v>
      </c>
      <c r="AF73" s="33">
        <v>0.60301242539630251</v>
      </c>
      <c r="AG73" s="33">
        <v>0.59324236300601718</v>
      </c>
      <c r="AH73" s="33">
        <v>0.47318016820738584</v>
      </c>
      <c r="AI73" s="33">
        <v>0.58184295897549909</v>
      </c>
      <c r="AJ73" s="33">
        <v>0.45801900107050497</v>
      </c>
      <c r="AK73" s="33">
        <v>0.38849499857288</v>
      </c>
      <c r="AL73" s="33">
        <v>0.37337602604518827</v>
      </c>
      <c r="AM73" s="33">
        <v>0.35242099564819079</v>
      </c>
    </row>
    <row r="74" spans="1:39" s="2" customFormat="1" ht="11.25" x14ac:dyDescent="0.2">
      <c r="A74" s="2" t="s">
        <v>286</v>
      </c>
      <c r="B74" s="33">
        <v>1.6036741857715458E-2</v>
      </c>
      <c r="C74" s="33">
        <v>1.2268717190910187E-2</v>
      </c>
      <c r="D74" s="33">
        <v>1.2796189657901408E-2</v>
      </c>
      <c r="E74" s="33">
        <v>1.2216576213228069E-2</v>
      </c>
      <c r="F74" s="33">
        <v>1.3535983163242296E-2</v>
      </c>
      <c r="G74" s="33">
        <v>1.1987118698579886E-2</v>
      </c>
      <c r="H74" s="33">
        <v>1.0333310962834664E-2</v>
      </c>
      <c r="I74" s="33">
        <v>1.3061549658121207E-2</v>
      </c>
      <c r="J74" s="33">
        <v>1.0680756645931998E-2</v>
      </c>
      <c r="K74" s="33">
        <v>1.1965041402204359E-2</v>
      </c>
      <c r="L74" s="33">
        <v>1.0021470518368183E-2</v>
      </c>
      <c r="M74" s="33">
        <v>9.4001760176373253E-3</v>
      </c>
      <c r="N74" s="33">
        <v>1.1136125025248168E-2</v>
      </c>
      <c r="O74" s="33">
        <v>1.1375338251330389E-2</v>
      </c>
      <c r="P74" s="33">
        <v>1.0893742555232688E-2</v>
      </c>
      <c r="Q74" s="33">
        <v>1.281304419706495E-2</v>
      </c>
      <c r="R74" s="33">
        <v>1.0353946229963074E-2</v>
      </c>
      <c r="S74" s="33">
        <v>1.0559447745968143E-2</v>
      </c>
      <c r="T74" s="33">
        <v>1.3380795669895347E-2</v>
      </c>
      <c r="U74" s="33">
        <v>1.3826615552334073E-2</v>
      </c>
      <c r="V74" s="33">
        <v>1.4557710596219296E-2</v>
      </c>
      <c r="W74" s="33">
        <v>1.2273190759647477E-2</v>
      </c>
      <c r="X74" s="33">
        <v>1.1962789557956892E-2</v>
      </c>
      <c r="Y74" s="33">
        <v>1.6652237682065679E-2</v>
      </c>
      <c r="Z74" s="33">
        <v>1.0897882151816207E-2</v>
      </c>
      <c r="AA74" s="33">
        <v>1.0544097825315941E-2</v>
      </c>
      <c r="AB74" s="33">
        <v>1.6579244009582283E-2</v>
      </c>
      <c r="AC74" s="33">
        <v>1.9582653603122755E-2</v>
      </c>
      <c r="AD74" s="33">
        <v>1.1893220639815684E-2</v>
      </c>
      <c r="AE74" s="33">
        <v>1.2915320439337109E-2</v>
      </c>
      <c r="AF74" s="33">
        <v>2.5730532414792662E-2</v>
      </c>
      <c r="AG74" s="33">
        <v>2.472517134653485E-2</v>
      </c>
      <c r="AH74" s="33">
        <v>2.339254059950267E-2</v>
      </c>
      <c r="AI74" s="33">
        <v>1.869587798551282E-2</v>
      </c>
      <c r="AJ74" s="33">
        <v>1.9764575289678357E-2</v>
      </c>
      <c r="AK74" s="33">
        <v>1.859552697565869E-2</v>
      </c>
      <c r="AL74" s="33">
        <v>1.723680693875514E-2</v>
      </c>
      <c r="AM74" s="33">
        <v>1.4865364497146967E-2</v>
      </c>
    </row>
    <row r="75" spans="1:39" s="2" customFormat="1" ht="11.25" x14ac:dyDescent="0.2">
      <c r="A75" s="2" t="s">
        <v>281</v>
      </c>
      <c r="B75" s="33">
        <v>0.57105364041335771</v>
      </c>
      <c r="C75" s="33">
        <v>0.59138334164207895</v>
      </c>
      <c r="D75" s="33">
        <v>0.53272575439960035</v>
      </c>
      <c r="E75" s="33">
        <v>0.5410236003726745</v>
      </c>
      <c r="F75" s="33">
        <v>0.5695073062872984</v>
      </c>
      <c r="G75" s="33">
        <v>0.50566421244047777</v>
      </c>
      <c r="H75" s="33">
        <v>0.55183383237969241</v>
      </c>
      <c r="I75" s="33">
        <v>0.52652712841990212</v>
      </c>
      <c r="J75" s="33">
        <v>0.61839462589605965</v>
      </c>
      <c r="K75" s="33">
        <v>0.75076258147052632</v>
      </c>
      <c r="L75" s="33">
        <v>0.62048274511091284</v>
      </c>
      <c r="M75" s="33">
        <v>0.61627221560673739</v>
      </c>
      <c r="N75" s="33">
        <v>0.62213898650308264</v>
      </c>
      <c r="O75" s="33">
        <v>0.63800650353631616</v>
      </c>
      <c r="P75" s="33">
        <v>0.63949251108743299</v>
      </c>
      <c r="Q75" s="33">
        <v>0.48751648591994817</v>
      </c>
      <c r="R75" s="33">
        <v>0.523882829975577</v>
      </c>
      <c r="S75" s="33">
        <v>0.39167746910431178</v>
      </c>
      <c r="T75" s="33">
        <v>0.53113804810996024</v>
      </c>
      <c r="U75" s="33">
        <v>0.52331522406373854</v>
      </c>
      <c r="V75" s="33">
        <v>0.51028871028928946</v>
      </c>
      <c r="W75" s="33">
        <v>0.59027395661257331</v>
      </c>
      <c r="X75" s="33">
        <v>0.5898679502297598</v>
      </c>
      <c r="Y75" s="33">
        <v>0.47163016080201231</v>
      </c>
      <c r="Z75" s="33">
        <v>0.59290027312096827</v>
      </c>
      <c r="AA75" s="33">
        <v>0.5353732999605515</v>
      </c>
      <c r="AB75" s="33">
        <v>0.42912534768825394</v>
      </c>
      <c r="AC75" s="33">
        <v>0.47331910134806837</v>
      </c>
      <c r="AD75" s="33">
        <v>0.57349647008426441</v>
      </c>
      <c r="AE75" s="33">
        <v>0.57115966842194976</v>
      </c>
      <c r="AF75" s="33">
        <v>0.33633867667810846</v>
      </c>
      <c r="AG75" s="33">
        <v>0.32289824578345849</v>
      </c>
      <c r="AH75" s="33">
        <v>0.29270266337704742</v>
      </c>
      <c r="AI75" s="33">
        <v>0.3346180427499349</v>
      </c>
      <c r="AJ75" s="33">
        <v>0.52505217603574494</v>
      </c>
      <c r="AK75" s="33">
        <v>0.53079670636932308</v>
      </c>
      <c r="AL75" s="33">
        <v>0.55395088671846182</v>
      </c>
      <c r="AM75" s="33">
        <v>0.58687949363683312</v>
      </c>
    </row>
    <row r="76" spans="1:39" s="2" customFormat="1" ht="11.25" x14ac:dyDescent="0.2">
      <c r="A76" s="2" t="s">
        <v>275</v>
      </c>
      <c r="B76" s="33">
        <v>6.3836415106188163E-2</v>
      </c>
      <c r="C76" s="33">
        <v>7.0009612055199774E-2</v>
      </c>
      <c r="D76" s="33">
        <v>6.2078626611903921E-2</v>
      </c>
      <c r="E76" s="33">
        <v>0.12101783991107787</v>
      </c>
      <c r="F76" s="33">
        <v>7.1484424105382319E-2</v>
      </c>
      <c r="G76" s="33">
        <v>0.23136911274655292</v>
      </c>
      <c r="H76" s="33">
        <v>6.5680373073882858E-2</v>
      </c>
      <c r="I76" s="33">
        <v>0.15708986999513744</v>
      </c>
      <c r="J76" s="33">
        <v>7.4123419770879134E-2</v>
      </c>
      <c r="K76" s="33">
        <v>8.4719653886518351E-2</v>
      </c>
      <c r="L76" s="33">
        <v>6.1584028559259769E-2</v>
      </c>
      <c r="M76" s="33">
        <v>6.3556310811341235E-2</v>
      </c>
      <c r="N76" s="33">
        <v>5.5697457231075158E-2</v>
      </c>
      <c r="O76" s="33">
        <v>6.2781923101730877E-2</v>
      </c>
      <c r="P76" s="33">
        <v>6.5888111451965728E-2</v>
      </c>
      <c r="Q76" s="33">
        <v>0.13568776397944246</v>
      </c>
      <c r="R76" s="33">
        <v>6.4215086894954032E-2</v>
      </c>
      <c r="S76" s="33">
        <v>0.29700816738422997</v>
      </c>
      <c r="T76" s="33">
        <v>7.3621342650444316E-2</v>
      </c>
      <c r="U76" s="33">
        <v>7.5771368253473664E-2</v>
      </c>
      <c r="V76" s="33">
        <v>8.7258354887018941E-2</v>
      </c>
      <c r="W76" s="33">
        <v>7.4616567461027281E-2</v>
      </c>
      <c r="X76" s="33">
        <v>6.7931230703673226E-2</v>
      </c>
      <c r="Y76" s="33">
        <v>5.4196067967892045E-2</v>
      </c>
      <c r="Z76" s="33">
        <v>6.8357410094193646E-2</v>
      </c>
      <c r="AA76" s="33">
        <v>7.862510624717331E-2</v>
      </c>
      <c r="AB76" s="33">
        <v>0.11234718484443414</v>
      </c>
      <c r="AC76" s="33">
        <v>5.5824712348236938E-2</v>
      </c>
      <c r="AD76" s="33">
        <v>7.9219213619007522E-2</v>
      </c>
      <c r="AE76" s="33">
        <v>6.9028164619452881E-2</v>
      </c>
      <c r="AF76" s="33">
        <v>6.2949077463538811E-2</v>
      </c>
      <c r="AG76" s="33">
        <v>7.3506916770187322E-2</v>
      </c>
      <c r="AH76" s="33">
        <v>0.2193623864995497</v>
      </c>
      <c r="AI76" s="33">
        <v>7.61752207015641E-2</v>
      </c>
      <c r="AJ76" s="33">
        <v>3.1362884663751409E-2</v>
      </c>
      <c r="AK76" s="33">
        <v>7.180708045994369E-2</v>
      </c>
      <c r="AL76" s="33">
        <v>5.8799016534471664E-2</v>
      </c>
      <c r="AM76" s="33">
        <v>5.4154733679751627E-2</v>
      </c>
    </row>
    <row r="77" spans="1:39" s="2" customFormat="1" ht="11.25" x14ac:dyDescent="0.2">
      <c r="A77" s="2" t="s">
        <v>283</v>
      </c>
      <c r="B77" s="33">
        <v>0</v>
      </c>
      <c r="C77" s="33">
        <v>0</v>
      </c>
      <c r="D77" s="33">
        <v>0</v>
      </c>
      <c r="E77" s="33">
        <v>0</v>
      </c>
      <c r="F77" s="33">
        <v>0</v>
      </c>
      <c r="G77" s="33">
        <v>0</v>
      </c>
      <c r="H77" s="33">
        <v>0</v>
      </c>
      <c r="I77" s="33">
        <v>0</v>
      </c>
      <c r="J77" s="33">
        <v>0</v>
      </c>
      <c r="K77" s="33">
        <v>0</v>
      </c>
      <c r="L77" s="33">
        <v>0</v>
      </c>
      <c r="M77" s="33">
        <v>0</v>
      </c>
      <c r="N77" s="33">
        <v>0</v>
      </c>
      <c r="O77" s="33">
        <v>0</v>
      </c>
      <c r="P77" s="33">
        <v>0</v>
      </c>
      <c r="Q77" s="33">
        <v>0</v>
      </c>
      <c r="R77" s="33">
        <v>0</v>
      </c>
      <c r="S77" s="33">
        <v>2.0257261570623087E-3</v>
      </c>
      <c r="T77" s="33">
        <v>0</v>
      </c>
      <c r="U77" s="33">
        <v>0</v>
      </c>
      <c r="V77" s="33">
        <v>0</v>
      </c>
      <c r="W77" s="33">
        <v>0</v>
      </c>
      <c r="X77" s="33">
        <v>0</v>
      </c>
      <c r="Y77" s="33">
        <v>0</v>
      </c>
      <c r="Z77" s="33">
        <v>0</v>
      </c>
      <c r="AA77" s="33">
        <v>0</v>
      </c>
      <c r="AB77" s="33">
        <v>0</v>
      </c>
      <c r="AC77" s="33">
        <v>0</v>
      </c>
      <c r="AD77" s="33">
        <v>0</v>
      </c>
      <c r="AE77" s="33">
        <v>2.132195415710191E-3</v>
      </c>
      <c r="AF77" s="33">
        <v>6.2216147573683203E-3</v>
      </c>
      <c r="AG77" s="33">
        <v>0</v>
      </c>
      <c r="AH77" s="33">
        <v>0</v>
      </c>
      <c r="AI77" s="33">
        <v>0</v>
      </c>
      <c r="AJ77" s="33">
        <v>0</v>
      </c>
      <c r="AK77" s="33">
        <v>0</v>
      </c>
      <c r="AL77" s="33">
        <v>0</v>
      </c>
      <c r="AM77" s="33">
        <v>1.3023815841439127E-3</v>
      </c>
    </row>
    <row r="78" spans="1:39" s="2" customFormat="1" ht="11.25" x14ac:dyDescent="0.2">
      <c r="A78" s="2" t="s">
        <v>313</v>
      </c>
      <c r="B78" s="33">
        <v>1.0576511950437901</v>
      </c>
      <c r="C78" s="33">
        <v>1.0463707597723548</v>
      </c>
      <c r="D78" s="33">
        <v>1.038702519818123</v>
      </c>
      <c r="E78" s="33">
        <v>1.0294824950879029</v>
      </c>
      <c r="F78" s="33">
        <v>1.0424854704737574</v>
      </c>
      <c r="G78" s="33">
        <v>1.0739444650458672</v>
      </c>
      <c r="H78" s="33">
        <v>1.0172436249372183</v>
      </c>
      <c r="I78" s="33">
        <v>1.0904571057589867</v>
      </c>
      <c r="J78" s="33">
        <v>1.0684471240911193</v>
      </c>
      <c r="K78" s="33">
        <v>1.2869631141777427</v>
      </c>
      <c r="L78" s="33">
        <v>1.0291789213809159</v>
      </c>
      <c r="M78" s="33">
        <v>1.0332539074995872</v>
      </c>
      <c r="N78" s="33">
        <v>1.0174877157149975</v>
      </c>
      <c r="O78" s="33">
        <v>1.0317186890436887</v>
      </c>
      <c r="P78" s="33">
        <v>1.0466119529708973</v>
      </c>
      <c r="Q78" s="33">
        <v>1.0075271827384737</v>
      </c>
      <c r="R78" s="33">
        <v>1.0001142019695615</v>
      </c>
      <c r="S78" s="33">
        <v>1.0006365866309483</v>
      </c>
      <c r="T78" s="33">
        <v>0.99475822554192461</v>
      </c>
      <c r="U78" s="33">
        <v>1.0003953254294069</v>
      </c>
      <c r="V78" s="33">
        <v>1.0071148397614196</v>
      </c>
      <c r="W78" s="33">
        <v>0.99813178039178685</v>
      </c>
      <c r="X78" s="33">
        <v>0.99607131406006499</v>
      </c>
      <c r="Y78" s="33">
        <v>0.98539653533133853</v>
      </c>
      <c r="Z78" s="33">
        <v>0.98840212251583315</v>
      </c>
      <c r="AA78" s="33">
        <v>0.99193387630581753</v>
      </c>
      <c r="AB78" s="33">
        <v>0.99444612469561799</v>
      </c>
      <c r="AC78" s="33">
        <v>0.98711234460702413</v>
      </c>
      <c r="AD78" s="33">
        <v>0.98772377597661731</v>
      </c>
      <c r="AE78" s="33">
        <v>0.99487238304203707</v>
      </c>
      <c r="AF78" s="33">
        <v>1.0342523267101107</v>
      </c>
      <c r="AG78" s="33">
        <v>1.0143726969061979</v>
      </c>
      <c r="AH78" s="33">
        <v>1.0086377586834856</v>
      </c>
      <c r="AI78" s="33">
        <v>1.0113321004125109</v>
      </c>
      <c r="AJ78" s="33">
        <v>1.0341986370596798</v>
      </c>
      <c r="AK78" s="33">
        <v>1.0096943123778055</v>
      </c>
      <c r="AL78" s="33">
        <v>1.0033627362368769</v>
      </c>
      <c r="AM78" s="33">
        <v>1.0096229690460665</v>
      </c>
    </row>
    <row r="79" spans="1:39" s="2" customFormat="1" ht="11.25" x14ac:dyDescent="0.2">
      <c r="A79" s="31" t="s">
        <v>305</v>
      </c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</row>
    <row r="80" spans="1:39" s="2" customFormat="1" ht="11.25" x14ac:dyDescent="0.2">
      <c r="A80" s="2" t="s">
        <v>304</v>
      </c>
      <c r="B80" s="32">
        <v>53.300460184666264</v>
      </c>
      <c r="C80" s="32">
        <v>56.731263420029542</v>
      </c>
      <c r="D80" s="32">
        <v>51.626561900448564</v>
      </c>
      <c r="E80" s="32">
        <v>54.544752590366542</v>
      </c>
      <c r="F80" s="32">
        <v>54.525867819443228</v>
      </c>
      <c r="G80" s="32">
        <v>49.713750129816276</v>
      </c>
      <c r="H80" s="32">
        <v>55.253985474343828</v>
      </c>
      <c r="I80" s="32">
        <v>52.199481801893214</v>
      </c>
      <c r="J80" s="32">
        <v>56.748039022414943</v>
      </c>
      <c r="K80" s="32">
        <v>48.084216590544315</v>
      </c>
      <c r="L80" s="32">
        <v>60.0954779294932</v>
      </c>
      <c r="M80" s="32">
        <v>59.760856046494084</v>
      </c>
      <c r="N80" s="32">
        <v>61.890895028268119</v>
      </c>
      <c r="O80" s="32">
        <v>61.569676692887988</v>
      </c>
      <c r="P80" s="32">
        <v>60.781436113847356</v>
      </c>
      <c r="Q80" s="32">
        <v>52.107561494410547</v>
      </c>
      <c r="R80" s="32">
        <v>54.757350233296606</v>
      </c>
      <c r="S80" s="32">
        <v>48.094947872941745</v>
      </c>
      <c r="T80" s="32">
        <v>56.303597439217867</v>
      </c>
      <c r="U80" s="32">
        <v>55.243027725552231</v>
      </c>
      <c r="V80" s="32">
        <v>53.483554061632667</v>
      </c>
      <c r="W80" s="32">
        <v>62.305602865441671</v>
      </c>
      <c r="X80" s="32">
        <v>62.145417341762567</v>
      </c>
      <c r="Y80" s="32">
        <v>50.135547888346444</v>
      </c>
      <c r="Z80" s="32">
        <v>62.90274430387214</v>
      </c>
      <c r="AA80" s="32">
        <v>56.904311347172445</v>
      </c>
      <c r="AB80" s="32">
        <v>46.749510211495021</v>
      </c>
      <c r="AC80" s="32">
        <v>50.427684184298151</v>
      </c>
      <c r="AD80" s="32">
        <v>61.34037664846155</v>
      </c>
      <c r="AE80" s="32">
        <v>60.482591646639861</v>
      </c>
      <c r="AF80" s="32">
        <v>33.678419083672274</v>
      </c>
      <c r="AG80" s="32">
        <v>33.415507603985674</v>
      </c>
      <c r="AH80" s="32">
        <v>33.634251515867966</v>
      </c>
      <c r="AI80" s="32">
        <v>34.68380152679908</v>
      </c>
      <c r="AJ80" s="32">
        <v>51.241670124903024</v>
      </c>
      <c r="AK80" s="32">
        <v>55.058161143381703</v>
      </c>
      <c r="AL80" s="32">
        <v>57.73933216209587</v>
      </c>
      <c r="AM80" s="32">
        <v>60.142382867001267</v>
      </c>
    </row>
    <row r="81" spans="1:39" s="2" customFormat="1" ht="11.25" x14ac:dyDescent="0.2">
      <c r="A81" s="2" t="s">
        <v>303</v>
      </c>
      <c r="B81" s="32">
        <v>43.572778295470513</v>
      </c>
      <c r="C81" s="32">
        <v>39.798814952600026</v>
      </c>
      <c r="D81" s="32">
        <v>45.296818917961517</v>
      </c>
      <c r="E81" s="32">
        <v>39.456145418231777</v>
      </c>
      <c r="F81" s="32">
        <v>41.950908731552182</v>
      </c>
      <c r="G81" s="32">
        <v>39.065401235442643</v>
      </c>
      <c r="H81" s="32">
        <v>41.47330360197703</v>
      </c>
      <c r="I81" s="32">
        <v>39.856236665235564</v>
      </c>
      <c r="J81" s="32">
        <v>39.633362341570219</v>
      </c>
      <c r="K81" s="32">
        <v>48.191839424608304</v>
      </c>
      <c r="L81" s="32">
        <v>36.854535625271822</v>
      </c>
      <c r="M81" s="32">
        <v>37.076359774867171</v>
      </c>
      <c r="N81" s="32">
        <v>35.299102457111118</v>
      </c>
      <c r="O81" s="32">
        <v>35.322835509203387</v>
      </c>
      <c r="P81" s="32">
        <v>35.967864924027218</v>
      </c>
      <c r="Q81" s="32">
        <v>41.05579833940606</v>
      </c>
      <c r="R81" s="32">
        <v>41.982603946008176</v>
      </c>
      <c r="S81" s="32">
        <v>36.813567958331859</v>
      </c>
      <c r="T81" s="32">
        <v>39.923614092316946</v>
      </c>
      <c r="U81" s="32">
        <v>40.90399892686461</v>
      </c>
      <c r="V81" s="32">
        <v>42.09282983129178</v>
      </c>
      <c r="W81" s="32">
        <v>33.879368386745774</v>
      </c>
      <c r="X81" s="32">
        <v>34.378254201966996</v>
      </c>
      <c r="Y81" s="32">
        <v>47.083375700896774</v>
      </c>
      <c r="Z81" s="32">
        <v>33.551639665471427</v>
      </c>
      <c r="AA81" s="32">
        <v>39.049674377888245</v>
      </c>
      <c r="AB81" s="32">
        <v>47.541405198125183</v>
      </c>
      <c r="AC81" s="32">
        <v>46.705878779794034</v>
      </c>
      <c r="AD81" s="32">
        <v>34.559912677069917</v>
      </c>
      <c r="AE81" s="32">
        <v>35.965648801952391</v>
      </c>
      <c r="AF81" s="32">
        <v>63.167986141384432</v>
      </c>
      <c r="AG81" s="32">
        <v>62.888938164211879</v>
      </c>
      <c r="AH81" s="32">
        <v>55.277812527779524</v>
      </c>
      <c r="AI81" s="32">
        <v>61.488881297397135</v>
      </c>
      <c r="AJ81" s="32">
        <v>47.197092005952072</v>
      </c>
      <c r="AK81" s="32">
        <v>41.312947259545744</v>
      </c>
      <c r="AL81" s="32">
        <v>39.272226381214168</v>
      </c>
      <c r="AM81" s="32">
        <v>37.122702250907466</v>
      </c>
    </row>
    <row r="82" spans="1:39" s="2" customFormat="1" ht="11.25" x14ac:dyDescent="0.2">
      <c r="A82" s="2" t="s">
        <v>302</v>
      </c>
      <c r="B82" s="32">
        <v>3.1267615198632241</v>
      </c>
      <c r="C82" s="32">
        <v>3.4699216273704363</v>
      </c>
      <c r="D82" s="32">
        <v>3.0766191815899173</v>
      </c>
      <c r="E82" s="32">
        <v>5.9991019914016714</v>
      </c>
      <c r="F82" s="32">
        <v>3.5232234490045817</v>
      </c>
      <c r="G82" s="32">
        <v>11.220848634741076</v>
      </c>
      <c r="H82" s="32">
        <v>3.2727109236791332</v>
      </c>
      <c r="I82" s="32">
        <v>7.9442815328712308</v>
      </c>
      <c r="J82" s="32">
        <v>3.6185986360148332</v>
      </c>
      <c r="K82" s="32">
        <v>3.7239439848473741</v>
      </c>
      <c r="L82" s="32">
        <v>3.0499864452349752</v>
      </c>
      <c r="M82" s="32">
        <v>3.1627841786387432</v>
      </c>
      <c r="N82" s="32">
        <v>2.8100025146207495</v>
      </c>
      <c r="O82" s="32">
        <v>3.1074877979086297</v>
      </c>
      <c r="P82" s="32">
        <v>3.2506989621254228</v>
      </c>
      <c r="Q82" s="32">
        <v>6.8366401661833827</v>
      </c>
      <c r="R82" s="32">
        <v>3.2600458206952085</v>
      </c>
      <c r="S82" s="32">
        <v>15.091484168726396</v>
      </c>
      <c r="T82" s="32">
        <v>3.77278846846519</v>
      </c>
      <c r="U82" s="32">
        <v>3.8529733475831627</v>
      </c>
      <c r="V82" s="32">
        <v>4.4236161070755546</v>
      </c>
      <c r="W82" s="32">
        <v>3.8150287478125531</v>
      </c>
      <c r="X82" s="32">
        <v>3.4763284562704415</v>
      </c>
      <c r="Y82" s="32">
        <v>2.7810764107567918</v>
      </c>
      <c r="Z82" s="32">
        <v>3.5456160306564386</v>
      </c>
      <c r="AA82" s="32">
        <v>4.0460142749393153</v>
      </c>
      <c r="AB82" s="32">
        <v>5.7090845903798009</v>
      </c>
      <c r="AC82" s="32">
        <v>2.8664370359078193</v>
      </c>
      <c r="AD82" s="32">
        <v>4.0997106744685352</v>
      </c>
      <c r="AE82" s="32">
        <v>3.5517595514077458</v>
      </c>
      <c r="AF82" s="32">
        <v>3.153594774943294</v>
      </c>
      <c r="AG82" s="32">
        <v>3.6955542318024386</v>
      </c>
      <c r="AH82" s="32">
        <v>11.087935956352514</v>
      </c>
      <c r="AI82" s="32">
        <v>3.8273171758037927</v>
      </c>
      <c r="AJ82" s="32">
        <v>1.5612378691449058</v>
      </c>
      <c r="AK82" s="32">
        <v>3.6288915970725455</v>
      </c>
      <c r="AL82" s="32">
        <v>2.9884414566899631</v>
      </c>
      <c r="AM82" s="32">
        <v>2.7349148820912736</v>
      </c>
    </row>
    <row r="83" spans="1:39" s="2" customFormat="1" ht="11.25" x14ac:dyDescent="0.2">
      <c r="A83" s="2" t="s">
        <v>301</v>
      </c>
      <c r="B83" s="32">
        <v>59.001594424659743</v>
      </c>
      <c r="C83" s="32">
        <v>62.644769178605785</v>
      </c>
      <c r="D83" s="32">
        <v>57.280834415426284</v>
      </c>
      <c r="E83" s="32">
        <v>61.924635802788671</v>
      </c>
      <c r="F83" s="32">
        <v>60.460595037635699</v>
      </c>
      <c r="G83" s="32">
        <v>59.954347709942503</v>
      </c>
      <c r="H83" s="32">
        <v>61.049882075163133</v>
      </c>
      <c r="I83" s="32">
        <v>60.642576069341068</v>
      </c>
      <c r="J83" s="32">
        <v>62.749115286420199</v>
      </c>
      <c r="K83" s="32">
        <v>53.99852363346379</v>
      </c>
      <c r="L83" s="32">
        <v>65.734273552369942</v>
      </c>
      <c r="M83" s="32">
        <v>65.472864681583104</v>
      </c>
      <c r="N83" s="32">
        <v>67.349481525958808</v>
      </c>
      <c r="O83" s="32">
        <v>67.220143562799336</v>
      </c>
      <c r="P83" s="32">
        <v>66.533874169432494</v>
      </c>
      <c r="Q83" s="32">
        <v>59.890313698970665</v>
      </c>
      <c r="R83" s="32">
        <v>60.543783879344801</v>
      </c>
      <c r="S83" s="32">
        <v>60.583297668203443</v>
      </c>
      <c r="T83" s="32">
        <v>62.394090917504208</v>
      </c>
      <c r="U83" s="32">
        <v>61.373349674906038</v>
      </c>
      <c r="V83" s="32">
        <v>59.917186250762612</v>
      </c>
      <c r="W83" s="32">
        <v>68.390237129258651</v>
      </c>
      <c r="X83" s="32">
        <v>68.01740522531837</v>
      </c>
      <c r="Y83" s="32">
        <v>55.609516689377436</v>
      </c>
      <c r="Z83" s="32">
        <v>68.805094358995646</v>
      </c>
      <c r="AA83" s="32">
        <v>63.159267578694447</v>
      </c>
      <c r="AB83" s="32">
        <v>53.636609268013636</v>
      </c>
      <c r="AC83" s="32">
        <v>55.95138312943029</v>
      </c>
      <c r="AD83" s="32">
        <v>67.617809599185009</v>
      </c>
      <c r="AE83" s="32">
        <v>66.425412133094781</v>
      </c>
      <c r="AF83" s="32">
        <v>38.546358832549416</v>
      </c>
      <c r="AG83" s="32">
        <v>38.465618213591078</v>
      </c>
      <c r="AH83" s="32">
        <v>41.719285422536586</v>
      </c>
      <c r="AI83" s="32">
        <v>39.889661366829202</v>
      </c>
      <c r="AJ83" s="32">
        <v>56.088134595745174</v>
      </c>
      <c r="AK83" s="32">
        <v>61.057577124321405</v>
      </c>
      <c r="AL83" s="32">
        <v>63.365751780782062</v>
      </c>
      <c r="AM83" s="32">
        <v>65.588397541892391</v>
      </c>
    </row>
    <row r="84" spans="1:39" s="2" customFormat="1" ht="11.25" x14ac:dyDescent="0.2"/>
    <row r="85" spans="1:39" s="2" customFormat="1" ht="11.25" x14ac:dyDescent="0.2">
      <c r="A85" s="31" t="s">
        <v>343</v>
      </c>
    </row>
    <row r="86" spans="1:39" s="2" customFormat="1" ht="11.25" x14ac:dyDescent="0.2">
      <c r="A86" s="31" t="s">
        <v>207</v>
      </c>
      <c r="B86" s="34" t="s">
        <v>206</v>
      </c>
      <c r="C86" s="34" t="s">
        <v>206</v>
      </c>
      <c r="D86" s="34" t="s">
        <v>206</v>
      </c>
      <c r="E86" s="34" t="s">
        <v>206</v>
      </c>
      <c r="F86" s="34" t="s">
        <v>206</v>
      </c>
      <c r="G86" s="34" t="s">
        <v>206</v>
      </c>
      <c r="H86" s="34" t="s">
        <v>206</v>
      </c>
      <c r="I86" s="34" t="s">
        <v>206</v>
      </c>
      <c r="J86" s="34" t="s">
        <v>206</v>
      </c>
      <c r="K86" s="34" t="s">
        <v>342</v>
      </c>
      <c r="L86" s="34" t="s">
        <v>342</v>
      </c>
      <c r="M86" s="34" t="s">
        <v>342</v>
      </c>
      <c r="N86" s="34" t="s">
        <v>342</v>
      </c>
      <c r="O86" s="34" t="s">
        <v>341</v>
      </c>
      <c r="P86" s="34" t="s">
        <v>341</v>
      </c>
      <c r="Q86" s="34" t="s">
        <v>341</v>
      </c>
      <c r="R86" s="34" t="s">
        <v>341</v>
      </c>
      <c r="S86" s="34" t="s">
        <v>341</v>
      </c>
      <c r="T86" s="34" t="s">
        <v>341</v>
      </c>
      <c r="U86" s="34" t="s">
        <v>341</v>
      </c>
    </row>
    <row r="87" spans="1:39" s="2" customFormat="1" ht="11.25" x14ac:dyDescent="0.2">
      <c r="A87" s="31" t="s">
        <v>340</v>
      </c>
      <c r="B87" s="34" t="s">
        <v>339</v>
      </c>
      <c r="C87" s="34" t="s">
        <v>338</v>
      </c>
      <c r="D87" s="34" t="s">
        <v>337</v>
      </c>
      <c r="E87" s="34" t="s">
        <v>336</v>
      </c>
      <c r="F87" s="34" t="s">
        <v>335</v>
      </c>
      <c r="G87" s="34" t="s">
        <v>334</v>
      </c>
      <c r="H87" s="34" t="s">
        <v>333</v>
      </c>
      <c r="I87" s="34" t="s">
        <v>332</v>
      </c>
      <c r="J87" s="34" t="s">
        <v>331</v>
      </c>
      <c r="K87" s="34" t="s">
        <v>330</v>
      </c>
      <c r="L87" s="34" t="s">
        <v>329</v>
      </c>
      <c r="M87" s="34" t="s">
        <v>328</v>
      </c>
      <c r="N87" s="34" t="s">
        <v>327</v>
      </c>
      <c r="O87" s="34" t="s">
        <v>326</v>
      </c>
      <c r="P87" s="34" t="s">
        <v>325</v>
      </c>
      <c r="Q87" s="34" t="s">
        <v>324</v>
      </c>
      <c r="R87" s="34" t="s">
        <v>323</v>
      </c>
      <c r="S87" s="34" t="s">
        <v>322</v>
      </c>
      <c r="T87" s="34" t="s">
        <v>321</v>
      </c>
      <c r="U87" s="34" t="s">
        <v>320</v>
      </c>
    </row>
    <row r="88" spans="1:39" s="2" customFormat="1" ht="11.25" x14ac:dyDescent="0.2">
      <c r="A88" s="31" t="s">
        <v>319</v>
      </c>
      <c r="B88" s="34">
        <v>3</v>
      </c>
      <c r="C88" s="34">
        <v>2</v>
      </c>
      <c r="D88" s="34">
        <v>2</v>
      </c>
      <c r="E88" s="34">
        <v>3</v>
      </c>
      <c r="F88" s="34">
        <v>3</v>
      </c>
      <c r="G88" s="34">
        <v>3</v>
      </c>
      <c r="H88" s="34">
        <v>3</v>
      </c>
      <c r="I88" s="34">
        <v>3</v>
      </c>
      <c r="J88" s="34">
        <v>1</v>
      </c>
      <c r="K88" s="34">
        <v>3</v>
      </c>
      <c r="L88" s="34">
        <v>2</v>
      </c>
      <c r="M88" s="34">
        <v>3</v>
      </c>
      <c r="N88" s="34">
        <v>1</v>
      </c>
      <c r="O88" s="34">
        <v>3</v>
      </c>
      <c r="P88" s="34">
        <v>3</v>
      </c>
      <c r="Q88" s="34">
        <v>3</v>
      </c>
      <c r="R88" s="34">
        <v>2</v>
      </c>
      <c r="S88" s="34">
        <v>2</v>
      </c>
      <c r="T88" s="34">
        <v>2</v>
      </c>
      <c r="U88" s="34">
        <v>3</v>
      </c>
    </row>
    <row r="89" spans="1:39" s="2" customFormat="1" ht="11.25" x14ac:dyDescent="0.2">
      <c r="A89" s="2" t="s">
        <v>318</v>
      </c>
      <c r="B89" s="33">
        <v>50.918933333333335</v>
      </c>
      <c r="C89" s="33">
        <v>50.489450000000005</v>
      </c>
      <c r="D89" s="33">
        <v>50.392049999999998</v>
      </c>
      <c r="E89" s="33">
        <v>51.181766666666668</v>
      </c>
      <c r="F89" s="33">
        <v>51.73843333333334</v>
      </c>
      <c r="G89" s="33">
        <v>51.246199999999995</v>
      </c>
      <c r="H89" s="33">
        <v>51.271566666666672</v>
      </c>
      <c r="I89" s="33">
        <v>51.7682</v>
      </c>
      <c r="J89" s="33">
        <v>51.145400000000002</v>
      </c>
      <c r="K89" s="33">
        <v>49.817833333333333</v>
      </c>
      <c r="L89" s="33">
        <v>49.60425</v>
      </c>
      <c r="M89" s="33">
        <v>50.053966666666668</v>
      </c>
      <c r="N89" s="33">
        <v>50.535899999999998</v>
      </c>
      <c r="O89" s="33">
        <v>51.075966666666666</v>
      </c>
      <c r="P89" s="33">
        <v>51.781849999999999</v>
      </c>
      <c r="Q89" s="33">
        <v>51.04365</v>
      </c>
      <c r="R89" s="33">
        <v>52.082250000000002</v>
      </c>
      <c r="S89" s="33">
        <v>50.95505</v>
      </c>
      <c r="T89" s="33">
        <v>50.253250000000001</v>
      </c>
      <c r="U89" s="33">
        <v>49.724199999999996</v>
      </c>
    </row>
    <row r="90" spans="1:39" s="2" customFormat="1" ht="11.25" x14ac:dyDescent="0.2">
      <c r="A90" s="2" t="s">
        <v>317</v>
      </c>
      <c r="B90" s="33" t="s">
        <v>316</v>
      </c>
      <c r="C90" s="33" t="s">
        <v>316</v>
      </c>
      <c r="D90" s="33">
        <v>0.52210000000000001</v>
      </c>
      <c r="E90" s="33">
        <v>0.45446666666666663</v>
      </c>
      <c r="F90" s="33">
        <v>0.29133333333333333</v>
      </c>
      <c r="G90" s="33" t="s">
        <v>316</v>
      </c>
      <c r="H90" s="33" t="s">
        <v>316</v>
      </c>
      <c r="I90" s="33" t="s">
        <v>316</v>
      </c>
      <c r="J90" s="33" t="s">
        <v>316</v>
      </c>
      <c r="K90" s="33" t="s">
        <v>316</v>
      </c>
      <c r="L90" s="33" t="s">
        <v>316</v>
      </c>
      <c r="M90" s="33">
        <v>0.31519999999999998</v>
      </c>
      <c r="N90" s="33" t="s">
        <v>316</v>
      </c>
      <c r="O90" s="33">
        <v>0.54963333333333331</v>
      </c>
      <c r="P90" s="33">
        <v>0.36875000000000002</v>
      </c>
      <c r="Q90" s="33">
        <v>0.52834999999999999</v>
      </c>
      <c r="R90" s="33">
        <v>0.60165000000000002</v>
      </c>
      <c r="S90" s="33">
        <v>0.59140000000000004</v>
      </c>
      <c r="T90" s="33">
        <v>1.1737</v>
      </c>
      <c r="U90" s="33">
        <v>1.2326333333333335</v>
      </c>
    </row>
    <row r="91" spans="1:39" s="2" customFormat="1" ht="11.25" x14ac:dyDescent="0.2">
      <c r="A91" s="2" t="s">
        <v>315</v>
      </c>
      <c r="B91" s="33">
        <v>1.4960333333333333</v>
      </c>
      <c r="C91" s="33">
        <v>1.7501500000000001</v>
      </c>
      <c r="D91" s="33">
        <v>1.4884499999999998</v>
      </c>
      <c r="E91" s="33">
        <v>1.6219666666666666</v>
      </c>
      <c r="F91" s="33">
        <v>1.2389333333333334</v>
      </c>
      <c r="G91" s="33">
        <v>1.0712000000000002</v>
      </c>
      <c r="H91" s="33">
        <v>1.1461666666666668</v>
      </c>
      <c r="I91" s="33">
        <v>0.82250000000000012</v>
      </c>
      <c r="J91" s="33">
        <v>0.97650000000000003</v>
      </c>
      <c r="K91" s="33">
        <v>1.6361666666666668</v>
      </c>
      <c r="L91" s="33">
        <v>1.0647500000000001</v>
      </c>
      <c r="M91" s="33">
        <v>1.4337666666666664</v>
      </c>
      <c r="N91" s="33">
        <v>1.4201999999999999</v>
      </c>
      <c r="O91" s="33">
        <v>2.4870666666666668</v>
      </c>
      <c r="P91" s="33">
        <v>1.9636</v>
      </c>
      <c r="Q91" s="33">
        <v>2.32795</v>
      </c>
      <c r="R91" s="33">
        <v>1.6676500000000001</v>
      </c>
      <c r="S91" s="33">
        <v>2.3304</v>
      </c>
      <c r="T91" s="33">
        <v>2.4500000000000002</v>
      </c>
      <c r="U91" s="33">
        <v>2.7939000000000003</v>
      </c>
    </row>
    <row r="92" spans="1:39" s="2" customFormat="1" ht="11.25" x14ac:dyDescent="0.2">
      <c r="A92" s="2" t="s">
        <v>180</v>
      </c>
      <c r="B92" s="33">
        <v>17.093900000000001</v>
      </c>
      <c r="C92" s="33">
        <v>18.778750000000002</v>
      </c>
      <c r="D92" s="33">
        <v>15.48855</v>
      </c>
      <c r="E92" s="33">
        <v>12.711966666666667</v>
      </c>
      <c r="F92" s="33">
        <v>13.784533333333334</v>
      </c>
      <c r="G92" s="33">
        <v>14.540066666666666</v>
      </c>
      <c r="H92" s="33">
        <v>17.016566666666666</v>
      </c>
      <c r="I92" s="33">
        <v>13.0428</v>
      </c>
      <c r="J92" s="33">
        <v>17.223500000000001</v>
      </c>
      <c r="K92" s="33">
        <v>18.251333333333331</v>
      </c>
      <c r="L92" s="33">
        <v>23.21555</v>
      </c>
      <c r="M92" s="33">
        <v>18.205066666666667</v>
      </c>
      <c r="N92" s="33">
        <v>17.375699999999998</v>
      </c>
      <c r="O92" s="33">
        <v>11.156666666666666</v>
      </c>
      <c r="P92" s="33">
        <v>11.7392</v>
      </c>
      <c r="Q92" s="33">
        <v>11.87185</v>
      </c>
      <c r="R92" s="33">
        <v>12.377500000000001</v>
      </c>
      <c r="S92" s="33">
        <v>10.350100000000001</v>
      </c>
      <c r="T92" s="33">
        <v>12.822749999999999</v>
      </c>
      <c r="U92" s="33">
        <v>9.6130666666666666</v>
      </c>
    </row>
    <row r="93" spans="1:39" s="2" customFormat="1" ht="11.25" x14ac:dyDescent="0.2">
      <c r="A93" s="2" t="s">
        <v>177</v>
      </c>
      <c r="B93" s="33">
        <v>0.26603333333333334</v>
      </c>
      <c r="C93" s="33">
        <v>0.36849999999999999</v>
      </c>
      <c r="D93" s="33">
        <v>0.27825</v>
      </c>
      <c r="E93" s="33">
        <v>0.22886666666666666</v>
      </c>
      <c r="F93" s="33">
        <v>0.27233333333333332</v>
      </c>
      <c r="G93" s="33">
        <v>0.32706666666666667</v>
      </c>
      <c r="H93" s="33">
        <v>0.26633333333333331</v>
      </c>
      <c r="I93" s="33">
        <v>0.23453333333333334</v>
      </c>
      <c r="J93" s="33">
        <v>0.3085</v>
      </c>
      <c r="K93" s="33">
        <v>0.44460000000000005</v>
      </c>
      <c r="L93" s="33">
        <v>0.41170000000000001</v>
      </c>
      <c r="M93" s="33">
        <v>0.44426666666666664</v>
      </c>
      <c r="N93" s="33">
        <v>0.4128</v>
      </c>
      <c r="O93" s="33">
        <v>0.29050000000000004</v>
      </c>
      <c r="P93" s="33">
        <v>0.23764999999999997</v>
      </c>
      <c r="Q93" s="33">
        <v>0.29135</v>
      </c>
      <c r="R93" s="33">
        <v>0.23764999999999997</v>
      </c>
      <c r="S93" s="33">
        <v>0.2203</v>
      </c>
      <c r="T93" s="33">
        <v>0.20215</v>
      </c>
      <c r="U93" s="33">
        <v>0.20136666666666667</v>
      </c>
    </row>
    <row r="94" spans="1:39" s="2" customFormat="1" ht="11.25" x14ac:dyDescent="0.2">
      <c r="A94" s="2" t="s">
        <v>173</v>
      </c>
      <c r="B94" s="33">
        <v>13.416699999999999</v>
      </c>
      <c r="C94" s="33">
        <v>13.533100000000001</v>
      </c>
      <c r="D94" s="33">
        <v>12.23315</v>
      </c>
      <c r="E94" s="33">
        <v>13.563033333333331</v>
      </c>
      <c r="F94" s="33">
        <v>12.365566666666666</v>
      </c>
      <c r="G94" s="33">
        <v>11.3438</v>
      </c>
      <c r="H94" s="33">
        <v>11.971499999999999</v>
      </c>
      <c r="I94" s="33">
        <v>11.863899999999999</v>
      </c>
      <c r="J94" s="33">
        <v>15.025399999999999</v>
      </c>
      <c r="K94" s="33">
        <v>8.9895000000000014</v>
      </c>
      <c r="L94" s="33">
        <v>9.1789500000000004</v>
      </c>
      <c r="M94" s="33">
        <v>8.8249666666666666</v>
      </c>
      <c r="N94" s="33">
        <v>8.8071999999999999</v>
      </c>
      <c r="O94" s="33">
        <v>13.242433333333333</v>
      </c>
      <c r="P94" s="33">
        <v>12.794450000000001</v>
      </c>
      <c r="Q94" s="33">
        <v>12.165900000000001</v>
      </c>
      <c r="R94" s="33">
        <v>13.545100000000001</v>
      </c>
      <c r="S94" s="33">
        <v>12.915800000000001</v>
      </c>
      <c r="T94" s="33">
        <v>13.9132</v>
      </c>
      <c r="U94" s="33">
        <v>12.814533333333335</v>
      </c>
    </row>
    <row r="95" spans="1:39" s="2" customFormat="1" ht="11.25" x14ac:dyDescent="0.2">
      <c r="A95" s="2" t="s">
        <v>169</v>
      </c>
      <c r="B95" s="33">
        <v>15.265099999999999</v>
      </c>
      <c r="C95" s="33">
        <v>15.496450000000001</v>
      </c>
      <c r="D95" s="33">
        <v>18.47165</v>
      </c>
      <c r="E95" s="33">
        <v>19.507400000000001</v>
      </c>
      <c r="F95" s="33">
        <v>19.662166666666668</v>
      </c>
      <c r="G95" s="33">
        <v>19.858799999999999</v>
      </c>
      <c r="H95" s="33">
        <v>18.231800000000003</v>
      </c>
      <c r="I95" s="33">
        <v>20.846700000000002</v>
      </c>
      <c r="J95" s="33">
        <v>12.9231</v>
      </c>
      <c r="K95" s="33">
        <v>19.128233333333338</v>
      </c>
      <c r="L95" s="33">
        <v>15.290750000000001</v>
      </c>
      <c r="M95" s="33">
        <v>20.412166666666668</v>
      </c>
      <c r="N95" s="33">
        <v>20.7502</v>
      </c>
      <c r="O95" s="33">
        <v>21.218299999999999</v>
      </c>
      <c r="P95" s="33">
        <v>21.139600000000002</v>
      </c>
      <c r="Q95" s="33">
        <v>21.59845</v>
      </c>
      <c r="R95" s="33">
        <v>20.917200000000001</v>
      </c>
      <c r="S95" s="33">
        <v>20.4483</v>
      </c>
      <c r="T95" s="33">
        <v>18.418849999999999</v>
      </c>
      <c r="U95" s="33">
        <v>21.275966666666665</v>
      </c>
    </row>
    <row r="96" spans="1:39" s="2" customFormat="1" ht="11.25" x14ac:dyDescent="0.2">
      <c r="A96" s="2" t="s">
        <v>314</v>
      </c>
      <c r="B96" s="33">
        <v>0.23493333333333333</v>
      </c>
      <c r="C96" s="33">
        <v>0.26874999999999999</v>
      </c>
      <c r="D96" s="33">
        <v>0.34209999999999996</v>
      </c>
      <c r="E96" s="33">
        <v>0.25736666666666669</v>
      </c>
      <c r="F96" s="33">
        <v>0.36313333333333336</v>
      </c>
      <c r="G96" s="33">
        <v>0.3174333333333334</v>
      </c>
      <c r="H96" s="33">
        <v>0.23680000000000001</v>
      </c>
      <c r="I96" s="33">
        <v>0.25286666666666663</v>
      </c>
      <c r="J96" s="33">
        <v>0.14319999999999999</v>
      </c>
      <c r="K96" s="33">
        <v>0.28740000000000004</v>
      </c>
      <c r="L96" s="33">
        <v>0.24740000000000001</v>
      </c>
      <c r="M96" s="33">
        <v>0.23986666666666667</v>
      </c>
      <c r="N96" s="33">
        <v>0.1797</v>
      </c>
      <c r="O96" s="33">
        <v>0.31193333333333334</v>
      </c>
      <c r="P96" s="33">
        <v>0.34594999999999998</v>
      </c>
      <c r="Q96" s="33">
        <v>0.45655000000000001</v>
      </c>
      <c r="R96" s="33">
        <v>0.23949999999999999</v>
      </c>
      <c r="S96" s="33">
        <v>0.4451</v>
      </c>
      <c r="T96" s="33">
        <v>0.35970000000000002</v>
      </c>
      <c r="U96" s="33">
        <v>0.47533333333333333</v>
      </c>
    </row>
    <row r="97" spans="1:21" s="2" customFormat="1" ht="11.25" x14ac:dyDescent="0.2">
      <c r="A97" s="2" t="s">
        <v>313</v>
      </c>
      <c r="B97" s="33">
        <v>98.903866666666659</v>
      </c>
      <c r="C97" s="33">
        <v>100.68514999999999</v>
      </c>
      <c r="D97" s="33">
        <v>99.21629999999999</v>
      </c>
      <c r="E97" s="33">
        <v>99.526833333333343</v>
      </c>
      <c r="F97" s="33">
        <v>99.716433333333327</v>
      </c>
      <c r="G97" s="33">
        <v>98.704566666666665</v>
      </c>
      <c r="H97" s="33">
        <v>100.14410000000002</v>
      </c>
      <c r="I97" s="33">
        <v>98.969433333333328</v>
      </c>
      <c r="J97" s="33">
        <v>97.74560000000001</v>
      </c>
      <c r="K97" s="33">
        <v>98.555066666666676</v>
      </c>
      <c r="L97" s="33">
        <v>99.013350000000003</v>
      </c>
      <c r="M97" s="33">
        <v>99.929266666666663</v>
      </c>
      <c r="N97" s="33">
        <v>99.481699999999989</v>
      </c>
      <c r="O97" s="33">
        <v>100.33249999999998</v>
      </c>
      <c r="P97" s="33">
        <v>100.37105</v>
      </c>
      <c r="Q97" s="33">
        <v>100.28405000000001</v>
      </c>
      <c r="R97" s="33">
        <v>101.66850000000002</v>
      </c>
      <c r="S97" s="33">
        <v>98.256450000000001</v>
      </c>
      <c r="T97" s="33">
        <v>99.593599999999995</v>
      </c>
      <c r="U97" s="33">
        <v>98.130999999999986</v>
      </c>
    </row>
    <row r="98" spans="1:21" s="2" customFormat="1" ht="11.25" x14ac:dyDescent="0.2">
      <c r="A98" s="31" t="s">
        <v>312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</row>
    <row r="99" spans="1:21" s="2" customFormat="1" ht="11.25" x14ac:dyDescent="0.2">
      <c r="A99" s="31" t="s">
        <v>311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</row>
    <row r="100" spans="1:21" s="2" customFormat="1" ht="11.25" x14ac:dyDescent="0.2">
      <c r="A100" s="2" t="s">
        <v>278</v>
      </c>
      <c r="B100" s="33">
        <v>1.963604447292046</v>
      </c>
      <c r="C100" s="33">
        <v>1.9279558175579998</v>
      </c>
      <c r="D100" s="33">
        <v>1.941272967794432</v>
      </c>
      <c r="E100" s="33">
        <v>1.9422657179039979</v>
      </c>
      <c r="F100" s="33">
        <v>1.9682731434198844</v>
      </c>
      <c r="G100" s="33">
        <v>1.9796460241111071</v>
      </c>
      <c r="H100" s="33">
        <v>1.9639696514599616</v>
      </c>
      <c r="I100" s="33">
        <v>1.9864455400592451</v>
      </c>
      <c r="J100" s="33">
        <v>1.9789675822199075</v>
      </c>
      <c r="K100" s="33">
        <v>1.96206546742331</v>
      </c>
      <c r="L100" s="33">
        <v>1.9689254913776151</v>
      </c>
      <c r="M100" s="33">
        <v>1.9504448144080246</v>
      </c>
      <c r="N100" s="33">
        <v>1.9689333798055448</v>
      </c>
      <c r="O100" s="33">
        <v>1.9185861066080465</v>
      </c>
      <c r="P100" s="33">
        <v>1.9458637132425949</v>
      </c>
      <c r="Q100" s="33">
        <v>1.9274658276316796</v>
      </c>
      <c r="R100" s="33">
        <v>1.9360609394580151</v>
      </c>
      <c r="S100" s="33">
        <v>1.9429060077050944</v>
      </c>
      <c r="T100" s="33">
        <v>1.9044537771640309</v>
      </c>
      <c r="U100" s="33">
        <v>1.9025605020915652</v>
      </c>
    </row>
    <row r="101" spans="1:21" s="2" customFormat="1" ht="11.25" x14ac:dyDescent="0.2">
      <c r="A101" s="2" t="s">
        <v>280</v>
      </c>
      <c r="B101" s="33">
        <v>3.7993334212265931E-2</v>
      </c>
      <c r="C101" s="33">
        <v>6.8762967069683337E-2</v>
      </c>
      <c r="D101" s="33">
        <v>5.7578599873518772E-2</v>
      </c>
      <c r="E101" s="33">
        <v>6.2541353618458514E-2</v>
      </c>
      <c r="F101" s="33">
        <v>3.5548250959143934E-2</v>
      </c>
      <c r="G101" s="33">
        <v>1.876933090049783E-2</v>
      </c>
      <c r="H101" s="33">
        <v>3.1743561381093244E-2</v>
      </c>
      <c r="I101" s="33">
        <v>1.7196310417808492E-2</v>
      </c>
      <c r="J101" s="33">
        <v>2.453020623970437E-2</v>
      </c>
      <c r="K101" s="33">
        <v>3.7934532576689994E-2</v>
      </c>
      <c r="L101" s="33">
        <v>3.1074508622384922E-2</v>
      </c>
      <c r="M101" s="33">
        <v>4.9555185591975359E-2</v>
      </c>
      <c r="N101" s="33">
        <v>3.1066620194455163E-2</v>
      </c>
      <c r="O101" s="33">
        <v>8.1413893391953485E-2</v>
      </c>
      <c r="P101" s="33">
        <v>5.4136286757405117E-2</v>
      </c>
      <c r="Q101" s="33">
        <v>7.2534172368320382E-2</v>
      </c>
      <c r="R101" s="33">
        <v>6.3939060541984949E-2</v>
      </c>
      <c r="S101" s="33">
        <v>5.7093992294905638E-2</v>
      </c>
      <c r="T101" s="33">
        <v>9.5546222835969141E-2</v>
      </c>
      <c r="U101" s="33">
        <v>9.7439497908434758E-2</v>
      </c>
    </row>
    <row r="102" spans="1:21" s="2" customFormat="1" ht="11.25" x14ac:dyDescent="0.2">
      <c r="A102" s="2" t="s">
        <v>306</v>
      </c>
      <c r="B102" s="33">
        <v>2.0015977815043118</v>
      </c>
      <c r="C102" s="33">
        <v>1.9967187846276833</v>
      </c>
      <c r="D102" s="33">
        <v>1.9988515676679508</v>
      </c>
      <c r="E102" s="33">
        <v>2.0048070715224564</v>
      </c>
      <c r="F102" s="33">
        <v>2.0038213943790284</v>
      </c>
      <c r="G102" s="33">
        <v>1.9984153550116051</v>
      </c>
      <c r="H102" s="33">
        <v>1.9957132128410549</v>
      </c>
      <c r="I102" s="33">
        <v>2.0036418504770537</v>
      </c>
      <c r="J102" s="33">
        <v>2.0034977884596121</v>
      </c>
      <c r="K102" s="33">
        <v>2</v>
      </c>
      <c r="L102" s="33">
        <v>2</v>
      </c>
      <c r="M102" s="33">
        <v>2</v>
      </c>
      <c r="N102" s="33">
        <v>2</v>
      </c>
      <c r="O102" s="33">
        <v>2</v>
      </c>
      <c r="P102" s="33">
        <v>2</v>
      </c>
      <c r="Q102" s="33">
        <v>2</v>
      </c>
      <c r="R102" s="33">
        <v>2</v>
      </c>
      <c r="S102" s="33">
        <v>2</v>
      </c>
      <c r="T102" s="33">
        <v>2</v>
      </c>
      <c r="U102" s="33">
        <v>2</v>
      </c>
    </row>
    <row r="103" spans="1:21" s="2" customFormat="1" ht="11.25" x14ac:dyDescent="0.2">
      <c r="A103" s="31" t="s">
        <v>310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</row>
    <row r="104" spans="1:21" s="2" customFormat="1" ht="11.25" x14ac:dyDescent="0.2">
      <c r="A104" s="2" t="s">
        <v>273</v>
      </c>
      <c r="B104" s="33">
        <v>0</v>
      </c>
      <c r="C104" s="33">
        <v>0</v>
      </c>
      <c r="D104" s="33">
        <v>1.5131325995450506E-2</v>
      </c>
      <c r="E104" s="33">
        <v>1.2974604284085275E-2</v>
      </c>
      <c r="F104" s="33">
        <v>8.3379826035791145E-3</v>
      </c>
      <c r="G104" s="33">
        <v>0</v>
      </c>
      <c r="H104" s="33">
        <v>0</v>
      </c>
      <c r="I104" s="33">
        <v>0</v>
      </c>
      <c r="J104" s="33">
        <v>0</v>
      </c>
      <c r="K104" s="33">
        <v>0</v>
      </c>
      <c r="L104" s="33">
        <v>0</v>
      </c>
      <c r="M104" s="33">
        <v>9.2401727297503275E-3</v>
      </c>
      <c r="N104" s="33">
        <v>0</v>
      </c>
      <c r="O104" s="33">
        <v>1.55323253018681E-2</v>
      </c>
      <c r="P104" s="33">
        <v>1.0424748829182441E-2</v>
      </c>
      <c r="Q104" s="33">
        <v>1.5009471162611053E-2</v>
      </c>
      <c r="R104" s="33">
        <v>1.6825652693928515E-2</v>
      </c>
      <c r="S104" s="33">
        <v>1.6964637859048521E-2</v>
      </c>
      <c r="T104" s="33">
        <v>3.3462786389584401E-2</v>
      </c>
      <c r="U104" s="33">
        <v>3.5481608014514235E-2</v>
      </c>
    </row>
    <row r="105" spans="1:21" s="2" customFormat="1" ht="11.25" x14ac:dyDescent="0.2">
      <c r="A105" s="2" t="s">
        <v>280</v>
      </c>
      <c r="B105" s="33">
        <v>0.03</v>
      </c>
      <c r="C105" s="33">
        <v>0.01</v>
      </c>
      <c r="D105" s="33">
        <v>0.01</v>
      </c>
      <c r="E105" s="33">
        <v>0.01</v>
      </c>
      <c r="F105" s="33">
        <v>0.02</v>
      </c>
      <c r="G105" s="33">
        <v>0.03</v>
      </c>
      <c r="H105" s="33">
        <v>0.02</v>
      </c>
      <c r="I105" s="33">
        <v>0.02</v>
      </c>
      <c r="J105" s="33">
        <v>0.02</v>
      </c>
      <c r="K105" s="33">
        <v>3.8011756474123068E-2</v>
      </c>
      <c r="L105" s="33">
        <v>1.8734557744620635E-2</v>
      </c>
      <c r="M105" s="33">
        <v>1.6289996747810759E-2</v>
      </c>
      <c r="N105" s="33">
        <v>3.4145884945028432E-2</v>
      </c>
      <c r="O105" s="33">
        <v>2.8689951637381431E-2</v>
      </c>
      <c r="P105" s="33">
        <v>3.2827459236461576E-2</v>
      </c>
      <c r="Q105" s="33">
        <v>3.1068026173715804E-2</v>
      </c>
      <c r="R105" s="33">
        <v>9.1217609993851922E-3</v>
      </c>
      <c r="S105" s="33">
        <v>4.7629806865575747E-2</v>
      </c>
      <c r="T105" s="33">
        <v>1.3880331773846344E-2</v>
      </c>
      <c r="U105" s="33">
        <v>2.8549287128766254E-2</v>
      </c>
    </row>
    <row r="106" spans="1:21" s="2" customFormat="1" ht="11.25" x14ac:dyDescent="0.2">
      <c r="A106" s="2" t="s">
        <v>309</v>
      </c>
      <c r="B106" s="33">
        <v>0</v>
      </c>
      <c r="C106" s="33">
        <v>8.2494328832626529E-2</v>
      </c>
      <c r="D106" s="33">
        <v>1.024668488175795E-2</v>
      </c>
      <c r="E106" s="33">
        <v>1.1254450527525606E-2</v>
      </c>
      <c r="F106" s="33">
        <v>0</v>
      </c>
      <c r="G106" s="33">
        <v>0</v>
      </c>
      <c r="H106" s="33">
        <v>1.7260883992213927E-2</v>
      </c>
      <c r="I106" s="33">
        <v>0</v>
      </c>
      <c r="J106" s="33">
        <v>0</v>
      </c>
      <c r="K106" s="33">
        <v>3.2713906542770399E-2</v>
      </c>
      <c r="L106" s="33">
        <v>4.6885059256065453E-2</v>
      </c>
      <c r="M106" s="33">
        <v>4.915813059175278E-2</v>
      </c>
      <c r="N106" s="33">
        <v>1.5722107139623187E-2</v>
      </c>
      <c r="O106" s="33">
        <v>6.619861150117945E-2</v>
      </c>
      <c r="P106" s="33">
        <v>3.837370955486552E-2</v>
      </c>
      <c r="Q106" s="33">
        <v>6.693334387577643E-2</v>
      </c>
      <c r="R106" s="33">
        <v>5.7365597750980157E-2</v>
      </c>
      <c r="S106" s="33">
        <v>1.2646800085444276E-2</v>
      </c>
      <c r="T106" s="33">
        <v>6.1438547196935644E-2</v>
      </c>
      <c r="U106" s="33">
        <v>4.9578318470332228E-2</v>
      </c>
    </row>
    <row r="107" spans="1:21" s="2" customFormat="1" ht="11.25" x14ac:dyDescent="0.2">
      <c r="A107" s="2" t="s">
        <v>307</v>
      </c>
      <c r="B107" s="33">
        <v>0.40431802179423193</v>
      </c>
      <c r="C107" s="33">
        <v>0.36452982974568854</v>
      </c>
      <c r="D107" s="33">
        <v>0.39575564594627155</v>
      </c>
      <c r="E107" s="33">
        <v>0.32666191810279921</v>
      </c>
      <c r="F107" s="33">
        <v>0.37385032177332206</v>
      </c>
      <c r="G107" s="33">
        <v>0.40573705616505584</v>
      </c>
      <c r="H107" s="33">
        <v>0.41948019790549479</v>
      </c>
      <c r="I107" s="33">
        <v>0.37384009069708568</v>
      </c>
      <c r="J107" s="33">
        <v>0.38355146713184041</v>
      </c>
      <c r="K107" s="33">
        <v>0.48319509761248536</v>
      </c>
      <c r="L107" s="33">
        <v>0.53527594866759787</v>
      </c>
      <c r="M107" s="33">
        <v>0.47851411379001796</v>
      </c>
      <c r="N107" s="33">
        <v>0.4931445666236719</v>
      </c>
      <c r="O107" s="33">
        <v>0.25065360874281561</v>
      </c>
      <c r="P107" s="33">
        <v>0.29215882837750179</v>
      </c>
      <c r="Q107" s="33">
        <v>0.27925001841418357</v>
      </c>
      <c r="R107" s="33">
        <v>0.2818030926527032</v>
      </c>
      <c r="S107" s="33">
        <v>0.27929552769739979</v>
      </c>
      <c r="T107" s="33">
        <v>0.27517939377203593</v>
      </c>
      <c r="U107" s="33">
        <v>0.2345396726749123</v>
      </c>
    </row>
    <row r="108" spans="1:21" s="2" customFormat="1" ht="11.25" x14ac:dyDescent="0.2">
      <c r="A108" s="2" t="s">
        <v>281</v>
      </c>
      <c r="B108" s="33">
        <v>0.56568197820576804</v>
      </c>
      <c r="C108" s="33">
        <v>0.54297584142168498</v>
      </c>
      <c r="D108" s="33">
        <v>0.56886634317652007</v>
      </c>
      <c r="E108" s="33">
        <v>0.63910902708558992</v>
      </c>
      <c r="F108" s="33">
        <v>0.59781169562309877</v>
      </c>
      <c r="G108" s="33">
        <v>0.56426294383494424</v>
      </c>
      <c r="H108" s="33">
        <v>0.54325891810229132</v>
      </c>
      <c r="I108" s="33">
        <v>0.60615990930291419</v>
      </c>
      <c r="J108" s="33">
        <v>0.59644853286815969</v>
      </c>
      <c r="K108" s="33">
        <v>0.44607923937062122</v>
      </c>
      <c r="L108" s="33">
        <v>0.39910443433171594</v>
      </c>
      <c r="M108" s="33">
        <v>0.44679758614066833</v>
      </c>
      <c r="N108" s="33">
        <v>0.45698744129167634</v>
      </c>
      <c r="O108" s="33">
        <v>0.63892550281675542</v>
      </c>
      <c r="P108" s="33">
        <v>0.62621525400198874</v>
      </c>
      <c r="Q108" s="33">
        <v>0.60773914037371313</v>
      </c>
      <c r="R108" s="33">
        <v>0.63488389590300287</v>
      </c>
      <c r="S108" s="33">
        <v>0.6434632274925316</v>
      </c>
      <c r="T108" s="33">
        <v>0.6160389408675977</v>
      </c>
      <c r="U108" s="33">
        <v>0.65185111371147497</v>
      </c>
    </row>
    <row r="109" spans="1:21" s="2" customFormat="1" ht="11.25" x14ac:dyDescent="0.2">
      <c r="A109" s="2" t="s">
        <v>306</v>
      </c>
      <c r="B109" s="33">
        <v>1</v>
      </c>
      <c r="C109" s="33">
        <v>1</v>
      </c>
      <c r="D109" s="33">
        <v>1</v>
      </c>
      <c r="E109" s="33">
        <v>1</v>
      </c>
      <c r="F109" s="33">
        <v>1</v>
      </c>
      <c r="G109" s="33">
        <v>1</v>
      </c>
      <c r="H109" s="33">
        <v>1</v>
      </c>
      <c r="I109" s="33">
        <v>0.99999999999999989</v>
      </c>
      <c r="J109" s="33">
        <v>1</v>
      </c>
      <c r="K109" s="33">
        <v>1</v>
      </c>
      <c r="L109" s="33">
        <v>0.99999999999999989</v>
      </c>
      <c r="M109" s="33">
        <v>1.0000000000000002</v>
      </c>
      <c r="N109" s="33">
        <v>0.99999999999999989</v>
      </c>
      <c r="O109" s="33">
        <v>1</v>
      </c>
      <c r="P109" s="33">
        <v>1</v>
      </c>
      <c r="Q109" s="33">
        <v>1</v>
      </c>
      <c r="R109" s="33">
        <v>1</v>
      </c>
      <c r="S109" s="33">
        <v>1</v>
      </c>
      <c r="T109" s="33">
        <v>1</v>
      </c>
      <c r="U109" s="33">
        <v>1</v>
      </c>
    </row>
    <row r="110" spans="1:21" s="2" customFormat="1" ht="11.25" x14ac:dyDescent="0.2">
      <c r="A110" s="31" t="s">
        <v>308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</row>
    <row r="111" spans="1:21" s="2" customFormat="1" ht="11.25" x14ac:dyDescent="0.2">
      <c r="A111" s="2" t="s">
        <v>307</v>
      </c>
      <c r="B111" s="33">
        <v>0.14696964328245601</v>
      </c>
      <c r="C111" s="33">
        <v>0.15266407018410716</v>
      </c>
      <c r="D111" s="33">
        <v>9.2994456480621115E-2</v>
      </c>
      <c r="E111" s="33">
        <v>6.5513941571353082E-2</v>
      </c>
      <c r="F111" s="33">
        <v>6.4707203310177319E-2</v>
      </c>
      <c r="G111" s="33">
        <v>6.3999845901395805E-2</v>
      </c>
      <c r="H111" s="33">
        <v>0.10837943825519686</v>
      </c>
      <c r="I111" s="33">
        <v>4.4709421229329444E-2</v>
      </c>
      <c r="J111" s="33">
        <v>0.17378301882790184</v>
      </c>
      <c r="K111" s="33">
        <v>8.8522820224449225E-2</v>
      </c>
      <c r="L111" s="33">
        <v>0.1931772840395658</v>
      </c>
      <c r="M111" s="33">
        <v>7.0519929668500764E-2</v>
      </c>
      <c r="N111" s="33">
        <v>5.886418510252131E-2</v>
      </c>
      <c r="O111" s="33">
        <v>4.0259528461943493E-2</v>
      </c>
      <c r="P111" s="33">
        <v>4.2235536514220684E-2</v>
      </c>
      <c r="Q111" s="33">
        <v>3.5432277797584844E-2</v>
      </c>
      <c r="R111" s="33">
        <v>5.1370095461432258E-2</v>
      </c>
      <c r="S111" s="33">
        <v>3.9368630534306517E-2</v>
      </c>
      <c r="T111" s="33">
        <v>7.5934612778624913E-2</v>
      </c>
      <c r="U111" s="33">
        <v>2.8455919456319607E-2</v>
      </c>
    </row>
    <row r="112" spans="1:21" s="2" customFormat="1" ht="11.25" x14ac:dyDescent="0.2">
      <c r="A112" s="2" t="s">
        <v>286</v>
      </c>
      <c r="B112" s="33">
        <v>8.6895054393439971E-3</v>
      </c>
      <c r="C112" s="33">
        <v>1.19184073039976E-2</v>
      </c>
      <c r="D112" s="33">
        <v>9.0791260861284497E-3</v>
      </c>
      <c r="E112" s="33">
        <v>7.3563131789176435E-3</v>
      </c>
      <c r="F112" s="33">
        <v>8.7752033280475757E-3</v>
      </c>
      <c r="G112" s="33">
        <v>1.0701544290820845E-2</v>
      </c>
      <c r="H112" s="33">
        <v>8.6410795374577513E-3</v>
      </c>
      <c r="I112" s="33">
        <v>7.6225883722699393E-3</v>
      </c>
      <c r="J112" s="33">
        <v>1.0110475066090373E-2</v>
      </c>
      <c r="K112" s="33">
        <v>1.4831408978639165E-2</v>
      </c>
      <c r="L112" s="33">
        <v>1.3841257706621401E-2</v>
      </c>
      <c r="M112" s="33">
        <v>1.4663011995112682E-2</v>
      </c>
      <c r="N112" s="33">
        <v>1.3622443002560568E-2</v>
      </c>
      <c r="O112" s="33">
        <v>9.242620698271144E-3</v>
      </c>
      <c r="P112" s="33">
        <v>7.5640949060473408E-3</v>
      </c>
      <c r="Q112" s="33">
        <v>9.3184629120955809E-3</v>
      </c>
      <c r="R112" s="33">
        <v>7.4825804928499075E-3</v>
      </c>
      <c r="S112" s="33">
        <v>7.1148107051778684E-3</v>
      </c>
      <c r="T112" s="33">
        <v>6.4887990049554622E-3</v>
      </c>
      <c r="U112" s="33">
        <v>6.5259320338891145E-3</v>
      </c>
    </row>
    <row r="113" spans="1:21" s="2" customFormat="1" ht="11.25" x14ac:dyDescent="0.2">
      <c r="A113" s="2" t="s">
        <v>281</v>
      </c>
      <c r="B113" s="33">
        <v>0.20562545834409268</v>
      </c>
      <c r="C113" s="33">
        <v>0.22739675932941988</v>
      </c>
      <c r="D113" s="33">
        <v>0.13367191835590631</v>
      </c>
      <c r="E113" s="33">
        <v>0.12817702076013998</v>
      </c>
      <c r="F113" s="33">
        <v>0.10347115055672018</v>
      </c>
      <c r="G113" s="33">
        <v>8.9005282866284549E-2</v>
      </c>
      <c r="H113" s="33">
        <v>0.1403596562246236</v>
      </c>
      <c r="I113" s="33">
        <v>7.2493719619053668E-2</v>
      </c>
      <c r="J113" s="33">
        <v>0.27024437526573891</v>
      </c>
      <c r="K113" s="33">
        <v>8.1723081438076731E-2</v>
      </c>
      <c r="L113" s="33">
        <v>0.14403395270095598</v>
      </c>
      <c r="M113" s="33">
        <v>6.5845778510353975E-2</v>
      </c>
      <c r="N113" s="33">
        <v>5.4548291017163103E-2</v>
      </c>
      <c r="O113" s="33">
        <v>0.10262305655493584</v>
      </c>
      <c r="P113" s="33">
        <v>9.0527941164894432E-2</v>
      </c>
      <c r="Q113" s="33">
        <v>7.7112195631973801E-2</v>
      </c>
      <c r="R113" s="33">
        <v>0.11573345782850272</v>
      </c>
      <c r="S113" s="33">
        <v>9.0700578968854514E-2</v>
      </c>
      <c r="T113" s="33">
        <v>0.16999339154765214</v>
      </c>
      <c r="U113" s="33">
        <v>7.9086930487006143E-2</v>
      </c>
    </row>
    <row r="114" spans="1:21" s="2" customFormat="1" ht="11.25" x14ac:dyDescent="0.2">
      <c r="A114" s="2" t="s">
        <v>275</v>
      </c>
      <c r="B114" s="33">
        <v>0.63073372635971481</v>
      </c>
      <c r="C114" s="33">
        <v>0.63401618894986245</v>
      </c>
      <c r="D114" s="33">
        <v>0.76243348640618047</v>
      </c>
      <c r="E114" s="33">
        <v>0.79316666240287459</v>
      </c>
      <c r="F114" s="33">
        <v>0.80144764394629364</v>
      </c>
      <c r="G114" s="33">
        <v>0.82195978053244945</v>
      </c>
      <c r="H114" s="33">
        <v>0.74827187724752775</v>
      </c>
      <c r="I114" s="33">
        <v>0.85708245646548298</v>
      </c>
      <c r="J114" s="33">
        <v>0.53576025931371585</v>
      </c>
      <c r="K114" s="33">
        <v>0.80718895434964466</v>
      </c>
      <c r="L114" s="33">
        <v>0.65029568541980254</v>
      </c>
      <c r="M114" s="33">
        <v>0.85222832264788995</v>
      </c>
      <c r="N114" s="33">
        <v>0.86621359363456085</v>
      </c>
      <c r="O114" s="33">
        <v>0.85397857788531473</v>
      </c>
      <c r="P114" s="33">
        <v>0.85114453130101342</v>
      </c>
      <c r="Q114" s="33">
        <v>0.87385472947161846</v>
      </c>
      <c r="R114" s="33">
        <v>0.83311417682221278</v>
      </c>
      <c r="S114" s="33">
        <v>0.83539805133484502</v>
      </c>
      <c r="T114" s="33">
        <v>0.74789474941189082</v>
      </c>
      <c r="U114" s="33">
        <v>0.87223129281833212</v>
      </c>
    </row>
    <row r="115" spans="1:21" s="2" customFormat="1" ht="11.25" x14ac:dyDescent="0.2">
      <c r="A115" s="2" t="s">
        <v>283</v>
      </c>
      <c r="B115" s="33">
        <v>4.3913853359511847E-3</v>
      </c>
      <c r="C115" s="33">
        <v>4.9742442560438502E-3</v>
      </c>
      <c r="D115" s="33">
        <v>6.3879256382857966E-3</v>
      </c>
      <c r="E115" s="33">
        <v>4.733995783472872E-3</v>
      </c>
      <c r="F115" s="33">
        <v>6.696076488348468E-3</v>
      </c>
      <c r="G115" s="33">
        <v>5.9437509180442927E-3</v>
      </c>
      <c r="H115" s="33">
        <v>4.396651871815511E-3</v>
      </c>
      <c r="I115" s="33">
        <v>4.7031342843299566E-3</v>
      </c>
      <c r="J115" s="33">
        <v>2.6856988635908818E-3</v>
      </c>
      <c r="K115" s="33">
        <v>2.1946112992117933E-2</v>
      </c>
      <c r="L115" s="33">
        <v>1.9039357018790306E-2</v>
      </c>
      <c r="M115" s="33">
        <v>1.8122047111535634E-2</v>
      </c>
      <c r="N115" s="33">
        <v>1.357442000659986E-2</v>
      </c>
      <c r="O115" s="33">
        <v>2.2717925694740591E-2</v>
      </c>
      <c r="P115" s="33">
        <v>2.520521348502136E-2</v>
      </c>
      <c r="Q115" s="33">
        <v>3.3425314355543814E-2</v>
      </c>
      <c r="R115" s="33">
        <v>1.7261438734047375E-2</v>
      </c>
      <c r="S115" s="33">
        <v>3.290518536198811E-2</v>
      </c>
      <c r="T115" s="33">
        <v>2.6429497654970439E-2</v>
      </c>
      <c r="U115" s="33">
        <v>3.5262340181002577E-2</v>
      </c>
    </row>
    <row r="116" spans="1:21" s="2" customFormat="1" ht="11.25" x14ac:dyDescent="0.2">
      <c r="A116" s="2" t="s">
        <v>306</v>
      </c>
      <c r="B116" s="33">
        <v>0.9964097187615587</v>
      </c>
      <c r="C116" s="33">
        <v>1.030969670023431</v>
      </c>
      <c r="D116" s="33">
        <v>1.0045669129671222</v>
      </c>
      <c r="E116" s="33">
        <v>0.99894793369675816</v>
      </c>
      <c r="F116" s="33">
        <v>0.98509727762958721</v>
      </c>
      <c r="G116" s="33">
        <v>0.99161020450899495</v>
      </c>
      <c r="H116" s="33">
        <v>1.0100487031366214</v>
      </c>
      <c r="I116" s="33">
        <v>0.98661131997046603</v>
      </c>
      <c r="J116" s="33">
        <v>0.99258382733703787</v>
      </c>
      <c r="K116" s="33">
        <v>1.0142123779829277</v>
      </c>
      <c r="L116" s="33">
        <v>1.020387536885736</v>
      </c>
      <c r="M116" s="33">
        <v>1.0213790899333928</v>
      </c>
      <c r="N116" s="33">
        <v>1.0068229327634057</v>
      </c>
      <c r="O116" s="33">
        <v>1.0288217092952057</v>
      </c>
      <c r="P116" s="33">
        <v>1.0166773173711974</v>
      </c>
      <c r="Q116" s="33">
        <v>1.0291429801688166</v>
      </c>
      <c r="R116" s="33">
        <v>1.024961749339045</v>
      </c>
      <c r="S116" s="33">
        <v>1.005487256905172</v>
      </c>
      <c r="T116" s="33">
        <v>1.0267410503980936</v>
      </c>
      <c r="U116" s="33">
        <v>1.0215624149765496</v>
      </c>
    </row>
    <row r="117" spans="1:21" s="2" customFormat="1" ht="11.25" x14ac:dyDescent="0.2">
      <c r="A117" s="31" t="s">
        <v>305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</row>
    <row r="118" spans="1:21" s="2" customFormat="1" ht="11.25" x14ac:dyDescent="0.2">
      <c r="A118" s="2" t="s">
        <v>304</v>
      </c>
      <c r="B118" s="32">
        <v>39.486819909631976</v>
      </c>
      <c r="C118" s="32">
        <v>38.440269193934576</v>
      </c>
      <c r="D118" s="32">
        <v>35.771360331084885</v>
      </c>
      <c r="E118" s="32">
        <v>39.069844784838828</v>
      </c>
      <c r="F118" s="32">
        <v>36.124616269477016</v>
      </c>
      <c r="G118" s="32">
        <v>33.587661328877076</v>
      </c>
      <c r="H118" s="32">
        <v>34.578390514931016</v>
      </c>
      <c r="I118" s="32">
        <v>34.726430459026375</v>
      </c>
      <c r="J118" s="32">
        <v>44.223817137894272</v>
      </c>
      <c r="K118" s="32">
        <v>27.260472512563982</v>
      </c>
      <c r="L118" s="32">
        <v>27.653655304552551</v>
      </c>
      <c r="M118" s="32">
        <v>26.180141947508723</v>
      </c>
      <c r="N118" s="32">
        <v>26.314854744955362</v>
      </c>
      <c r="O118" s="32">
        <v>38.106184732497859</v>
      </c>
      <c r="P118" s="32">
        <v>37.006361785023607</v>
      </c>
      <c r="Q118" s="32">
        <v>35.41818518642522</v>
      </c>
      <c r="R118" s="32">
        <v>38.131006187427964</v>
      </c>
      <c r="S118" s="32">
        <v>38.648222760273661</v>
      </c>
      <c r="T118" s="32">
        <v>40.510375470481669</v>
      </c>
      <c r="U118" s="32">
        <v>38.253475835193676</v>
      </c>
    </row>
    <row r="119" spans="1:21" s="2" customFormat="1" ht="11.25" x14ac:dyDescent="0.2">
      <c r="A119" s="2" t="s">
        <v>303</v>
      </c>
      <c r="B119" s="32">
        <v>28.222983103414514</v>
      </c>
      <c r="C119" s="32">
        <v>29.923412285932429</v>
      </c>
      <c r="D119" s="32">
        <v>25.407575444981784</v>
      </c>
      <c r="E119" s="32">
        <v>20.542481705920483</v>
      </c>
      <c r="F119" s="32">
        <v>22.591059216740994</v>
      </c>
      <c r="G119" s="32">
        <v>24.151433263414525</v>
      </c>
      <c r="H119" s="32">
        <v>27.572963830171588</v>
      </c>
      <c r="I119" s="32">
        <v>21.417008471111114</v>
      </c>
      <c r="J119" s="32">
        <v>28.438513988530374</v>
      </c>
      <c r="K119" s="32">
        <v>31.049009210103101</v>
      </c>
      <c r="L119" s="32">
        <v>39.236822039750479</v>
      </c>
      <c r="M119" s="32">
        <v>30.297479734384382</v>
      </c>
      <c r="N119" s="32">
        <v>29.124651324901702</v>
      </c>
      <c r="O119" s="32">
        <v>18.010154467100744</v>
      </c>
      <c r="P119" s="32">
        <v>19.047964689138659</v>
      </c>
      <c r="Q119" s="32">
        <v>19.389016015848139</v>
      </c>
      <c r="R119" s="32">
        <v>19.547188070514913</v>
      </c>
      <c r="S119" s="32">
        <v>17.374330112351831</v>
      </c>
      <c r="T119" s="32">
        <v>20.944776103268421</v>
      </c>
      <c r="U119" s="32">
        <v>16.098498388403389</v>
      </c>
    </row>
    <row r="120" spans="1:21" s="2" customFormat="1" ht="11.25" x14ac:dyDescent="0.2">
      <c r="A120" s="2" t="s">
        <v>302</v>
      </c>
      <c r="B120" s="32">
        <v>32.290196986953511</v>
      </c>
      <c r="C120" s="32">
        <v>31.636318520132996</v>
      </c>
      <c r="D120" s="32">
        <v>38.821064223933327</v>
      </c>
      <c r="E120" s="32">
        <v>40.387673509240692</v>
      </c>
      <c r="F120" s="32">
        <v>41.284324513781989</v>
      </c>
      <c r="G120" s="32">
        <v>42.2609054077084</v>
      </c>
      <c r="H120" s="32">
        <v>37.848645654897396</v>
      </c>
      <c r="I120" s="32">
        <v>43.856561069862508</v>
      </c>
      <c r="J120" s="32">
        <v>27.33766887357536</v>
      </c>
      <c r="K120" s="32">
        <v>41.690518277332913</v>
      </c>
      <c r="L120" s="32">
        <v>33.109522655696964</v>
      </c>
      <c r="M120" s="32">
        <v>43.522378318106895</v>
      </c>
      <c r="N120" s="32">
        <v>44.56049393014294</v>
      </c>
      <c r="O120" s="32">
        <v>43.883660800401394</v>
      </c>
      <c r="P120" s="32">
        <v>43.945673525837741</v>
      </c>
      <c r="Q120" s="32">
        <v>45.192798797726645</v>
      </c>
      <c r="R120" s="32">
        <v>42.321805742057116</v>
      </c>
      <c r="S120" s="32">
        <v>43.977447127374504</v>
      </c>
      <c r="T120" s="32">
        <v>38.544848426249914</v>
      </c>
      <c r="U120" s="32">
        <v>45.648025776402932</v>
      </c>
    </row>
    <row r="121" spans="1:21" s="2" customFormat="1" ht="11.25" x14ac:dyDescent="0.2">
      <c r="A121" s="2" t="s">
        <v>301</v>
      </c>
      <c r="B121" s="32">
        <v>62.207131409840066</v>
      </c>
      <c r="C121" s="32">
        <v>60.180300752863467</v>
      </c>
      <c r="D121" s="32">
        <v>62.354422983316695</v>
      </c>
      <c r="E121" s="32">
        <v>69.112303716852026</v>
      </c>
      <c r="F121" s="32">
        <v>65.292904781453004</v>
      </c>
      <c r="G121" s="32">
        <v>62.065610403752899</v>
      </c>
      <c r="H121" s="32">
        <v>59.602079260789452</v>
      </c>
      <c r="I121" s="32">
        <v>65.607119008541389</v>
      </c>
      <c r="J121" s="32">
        <v>64.657960866999574</v>
      </c>
      <c r="K121" s="32">
        <v>50.809673985405531</v>
      </c>
      <c r="L121" s="32">
        <v>45.330179721425168</v>
      </c>
      <c r="M121" s="32">
        <v>50.41138021640522</v>
      </c>
      <c r="N121" s="32">
        <v>51.526215433541488</v>
      </c>
      <c r="O121" s="32">
        <v>71.340102924680366</v>
      </c>
      <c r="P121" s="32">
        <v>69.564580933557778</v>
      </c>
      <c r="Q121" s="32">
        <v>68.244645123026501</v>
      </c>
      <c r="R121" s="32">
        <v>69.650614400549443</v>
      </c>
      <c r="S121" s="32">
        <v>72.352723755776665</v>
      </c>
      <c r="T121" s="32">
        <v>69.470054989109258</v>
      </c>
      <c r="U121" s="32">
        <v>73.653327921010558</v>
      </c>
    </row>
    <row r="122" spans="1:21" s="2" customFormat="1" ht="11.25" x14ac:dyDescent="0.2"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</row>
    <row r="123" spans="1:21" s="2" customFormat="1" ht="11.25" x14ac:dyDescent="0.2">
      <c r="A123" s="2" t="s">
        <v>300</v>
      </c>
    </row>
    <row r="124" spans="1:21" s="2" customFormat="1" ht="11.25" x14ac:dyDescent="0.2"/>
    <row r="125" spans="1:21" s="2" customFormat="1" ht="11.25" x14ac:dyDescent="0.2"/>
    <row r="126" spans="1:21" s="2" customFormat="1" ht="11.25" x14ac:dyDescent="0.2">
      <c r="A126" s="31" t="s">
        <v>299</v>
      </c>
    </row>
    <row r="127" spans="1:21" s="2" customFormat="1" ht="11.25" x14ac:dyDescent="0.2">
      <c r="A127" s="2" t="s">
        <v>298</v>
      </c>
    </row>
    <row r="128" spans="1:21" s="2" customFormat="1" ht="11.25" x14ac:dyDescent="0.2">
      <c r="A128" s="2" t="s">
        <v>297</v>
      </c>
    </row>
    <row r="129" spans="1:2" s="2" customFormat="1" ht="10.5" customHeight="1" x14ac:dyDescent="0.2">
      <c r="A129" s="2" t="s">
        <v>296</v>
      </c>
    </row>
    <row r="130" spans="1:2" s="2" customFormat="1" ht="11.25" x14ac:dyDescent="0.2">
      <c r="A130" s="2" t="s">
        <v>295</v>
      </c>
    </row>
    <row r="131" spans="1:2" s="2" customFormat="1" ht="11.25" x14ac:dyDescent="0.2">
      <c r="A131" s="2" t="s">
        <v>294</v>
      </c>
    </row>
    <row r="132" spans="1:2" s="2" customFormat="1" ht="11.25" x14ac:dyDescent="0.2"/>
    <row r="133" spans="1:2" s="2" customFormat="1" ht="11.25" x14ac:dyDescent="0.2">
      <c r="A133" s="31" t="s">
        <v>293</v>
      </c>
    </row>
    <row r="134" spans="1:2" s="2" customFormat="1" ht="11.25" x14ac:dyDescent="0.2">
      <c r="A134" s="2" t="s">
        <v>292</v>
      </c>
    </row>
    <row r="135" spans="1:2" s="2" customFormat="1" ht="11.25" x14ac:dyDescent="0.2">
      <c r="A135" s="30" t="s">
        <v>291</v>
      </c>
      <c r="B135" s="30" t="s">
        <v>290</v>
      </c>
    </row>
    <row r="136" spans="1:2" s="2" customFormat="1" ht="11.25" x14ac:dyDescent="0.2">
      <c r="A136" s="2" t="s">
        <v>281</v>
      </c>
      <c r="B136" s="2" t="s">
        <v>289</v>
      </c>
    </row>
    <row r="137" spans="1:2" s="2" customFormat="1" ht="11.25" x14ac:dyDescent="0.2">
      <c r="A137" s="2" t="s">
        <v>280</v>
      </c>
      <c r="B137" s="2" t="s">
        <v>279</v>
      </c>
    </row>
    <row r="138" spans="1:2" s="2" customFormat="1" ht="11.25" x14ac:dyDescent="0.2">
      <c r="A138" s="2" t="s">
        <v>278</v>
      </c>
      <c r="B138" s="2" t="s">
        <v>289</v>
      </c>
    </row>
    <row r="139" spans="1:2" s="2" customFormat="1" ht="11.25" x14ac:dyDescent="0.2">
      <c r="A139" s="2" t="s">
        <v>275</v>
      </c>
      <c r="B139" s="2" t="s">
        <v>279</v>
      </c>
    </row>
    <row r="140" spans="1:2" s="2" customFormat="1" ht="11.25" x14ac:dyDescent="0.2">
      <c r="A140" s="2" t="s">
        <v>273</v>
      </c>
      <c r="B140" s="2" t="s">
        <v>272</v>
      </c>
    </row>
    <row r="141" spans="1:2" s="2" customFormat="1" ht="11.25" x14ac:dyDescent="0.2">
      <c r="A141" s="2" t="s">
        <v>271</v>
      </c>
      <c r="B141" s="2" t="s">
        <v>270</v>
      </c>
    </row>
    <row r="142" spans="1:2" s="2" customFormat="1" ht="11.25" x14ac:dyDescent="0.2">
      <c r="A142" s="2" t="s">
        <v>286</v>
      </c>
      <c r="B142" s="2" t="s">
        <v>268</v>
      </c>
    </row>
    <row r="143" spans="1:2" s="2" customFormat="1" ht="11.25" x14ac:dyDescent="0.2">
      <c r="A143" s="2" t="s">
        <v>267</v>
      </c>
      <c r="B143" s="2" t="s">
        <v>266</v>
      </c>
    </row>
    <row r="144" spans="1:2" s="2" customFormat="1" ht="11.25" x14ac:dyDescent="0.2">
      <c r="A144" s="2" t="s">
        <v>137</v>
      </c>
      <c r="B144" s="2" t="s">
        <v>265</v>
      </c>
    </row>
    <row r="145" spans="1:2" s="2" customFormat="1" ht="11.25" x14ac:dyDescent="0.2"/>
    <row r="146" spans="1:2" s="2" customFormat="1" ht="11.25" x14ac:dyDescent="0.2">
      <c r="A146" s="2" t="s">
        <v>288</v>
      </c>
    </row>
    <row r="147" spans="1:2" s="2" customFormat="1" ht="11.25" x14ac:dyDescent="0.2">
      <c r="A147" s="2" t="s">
        <v>283</v>
      </c>
      <c r="B147" s="2" t="s">
        <v>282</v>
      </c>
    </row>
    <row r="148" spans="1:2" s="2" customFormat="1" ht="11.25" x14ac:dyDescent="0.2">
      <c r="A148" s="2" t="s">
        <v>281</v>
      </c>
      <c r="B148" s="2" t="s">
        <v>287</v>
      </c>
    </row>
    <row r="149" spans="1:2" s="2" customFormat="1" ht="11.25" x14ac:dyDescent="0.2">
      <c r="A149" s="2" t="s">
        <v>280</v>
      </c>
      <c r="B149" s="2" t="s">
        <v>279</v>
      </c>
    </row>
    <row r="150" spans="1:2" s="2" customFormat="1" ht="11.25" x14ac:dyDescent="0.2">
      <c r="A150" s="2" t="s">
        <v>278</v>
      </c>
      <c r="B150" s="2" t="s">
        <v>282</v>
      </c>
    </row>
    <row r="151" spans="1:2" s="2" customFormat="1" ht="11.25" x14ac:dyDescent="0.2">
      <c r="A151" s="2" t="s">
        <v>277</v>
      </c>
      <c r="B151" s="2" t="s">
        <v>276</v>
      </c>
    </row>
    <row r="152" spans="1:2" s="2" customFormat="1" ht="11.25" x14ac:dyDescent="0.2">
      <c r="A152" s="2" t="s">
        <v>275</v>
      </c>
      <c r="B152" s="2" t="s">
        <v>279</v>
      </c>
    </row>
    <row r="153" spans="1:2" s="2" customFormat="1" ht="11.25" x14ac:dyDescent="0.2">
      <c r="A153" s="2" t="s">
        <v>273</v>
      </c>
      <c r="B153" s="2" t="s">
        <v>272</v>
      </c>
    </row>
    <row r="154" spans="1:2" s="2" customFormat="1" ht="11.25" x14ac:dyDescent="0.2">
      <c r="A154" s="2" t="s">
        <v>286</v>
      </c>
      <c r="B154" s="2" t="s">
        <v>268</v>
      </c>
    </row>
    <row r="155" spans="1:2" s="2" customFormat="1" ht="11.25" x14ac:dyDescent="0.2">
      <c r="A155" s="2" t="s">
        <v>267</v>
      </c>
      <c r="B155" s="2" t="s">
        <v>285</v>
      </c>
    </row>
    <row r="156" spans="1:2" s="2" customFormat="1" ht="11.25" x14ac:dyDescent="0.2"/>
    <row r="157" spans="1:2" s="2" customFormat="1" ht="11.25" x14ac:dyDescent="0.2">
      <c r="A157" s="2" t="s">
        <v>284</v>
      </c>
    </row>
    <row r="158" spans="1:2" s="2" customFormat="1" ht="11.25" x14ac:dyDescent="0.2">
      <c r="A158" s="2" t="s">
        <v>283</v>
      </c>
      <c r="B158" s="2" t="s">
        <v>282</v>
      </c>
    </row>
    <row r="159" spans="1:2" s="2" customFormat="1" ht="11.25" x14ac:dyDescent="0.2">
      <c r="A159" s="2" t="s">
        <v>281</v>
      </c>
      <c r="B159" s="2" t="s">
        <v>274</v>
      </c>
    </row>
    <row r="160" spans="1:2" s="2" customFormat="1" ht="11.25" x14ac:dyDescent="0.2">
      <c r="A160" s="2" t="s">
        <v>280</v>
      </c>
      <c r="B160" s="2" t="s">
        <v>279</v>
      </c>
    </row>
    <row r="161" spans="1:2" s="2" customFormat="1" ht="11.25" x14ac:dyDescent="0.2">
      <c r="A161" s="2" t="s">
        <v>278</v>
      </c>
      <c r="B161" s="2" t="s">
        <v>274</v>
      </c>
    </row>
    <row r="162" spans="1:2" s="2" customFormat="1" ht="11.25" x14ac:dyDescent="0.2">
      <c r="A162" s="2" t="s">
        <v>277</v>
      </c>
      <c r="B162" s="2" t="s">
        <v>276</v>
      </c>
    </row>
    <row r="163" spans="1:2" s="2" customFormat="1" ht="11.25" x14ac:dyDescent="0.2">
      <c r="A163" s="2" t="s">
        <v>275</v>
      </c>
      <c r="B163" s="2" t="s">
        <v>274</v>
      </c>
    </row>
    <row r="164" spans="1:2" s="2" customFormat="1" ht="11.25" x14ac:dyDescent="0.2">
      <c r="A164" s="2" t="s">
        <v>273</v>
      </c>
      <c r="B164" s="2" t="s">
        <v>272</v>
      </c>
    </row>
    <row r="165" spans="1:2" s="2" customFormat="1" ht="11.25" x14ac:dyDescent="0.2">
      <c r="A165" s="2" t="s">
        <v>271</v>
      </c>
      <c r="B165" s="2" t="s">
        <v>270</v>
      </c>
    </row>
    <row r="166" spans="1:2" s="2" customFormat="1" ht="11.25" x14ac:dyDescent="0.2">
      <c r="A166" s="2" t="s">
        <v>269</v>
      </c>
      <c r="B166" s="2" t="s">
        <v>268</v>
      </c>
    </row>
    <row r="167" spans="1:2" s="2" customFormat="1" ht="11.25" x14ac:dyDescent="0.2">
      <c r="A167" s="2" t="s">
        <v>267</v>
      </c>
      <c r="B167" s="2" t="s">
        <v>266</v>
      </c>
    </row>
    <row r="168" spans="1:2" s="2" customFormat="1" ht="11.25" x14ac:dyDescent="0.2">
      <c r="A168" s="2" t="s">
        <v>137</v>
      </c>
      <c r="B168" s="2" t="s">
        <v>265</v>
      </c>
    </row>
    <row r="169" spans="1:2" s="2" customFormat="1" ht="11.25" x14ac:dyDescent="0.2"/>
    <row r="170" spans="1:2" s="2" customFormat="1" ht="11.25" x14ac:dyDescent="0.2">
      <c r="A170" s="2" t="s">
        <v>264</v>
      </c>
    </row>
    <row r="171" spans="1:2" s="2" customFormat="1" ht="11.25" x14ac:dyDescent="0.2"/>
    <row r="172" spans="1:2" s="2" customFormat="1" ht="11.25" x14ac:dyDescent="0.2">
      <c r="A172" s="2" t="s">
        <v>3</v>
      </c>
    </row>
    <row r="173" spans="1:2" s="2" customFormat="1" ht="11.25" x14ac:dyDescent="0.2">
      <c r="A173" s="2" t="s">
        <v>263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252"/>
  <sheetViews>
    <sheetView topLeftCell="Q1" zoomScaleNormal="100" workbookViewId="0">
      <selection activeCell="AK13" sqref="AK13"/>
    </sheetView>
  </sheetViews>
  <sheetFormatPr defaultRowHeight="11.25" x14ac:dyDescent="0.2"/>
  <cols>
    <col min="1" max="1" width="8.7109375" style="1" customWidth="1"/>
    <col min="2" max="2" width="10.5703125" style="1" customWidth="1"/>
    <col min="3" max="3" width="9.28515625" style="1" customWidth="1"/>
    <col min="4" max="4" width="10.140625" style="1" customWidth="1"/>
    <col min="5" max="5" width="8.5703125" style="1" customWidth="1"/>
    <col min="6" max="6" width="9.42578125" style="1" customWidth="1"/>
    <col min="7" max="7" width="7.85546875" style="1" customWidth="1"/>
    <col min="8" max="8" width="8" style="1" customWidth="1"/>
    <col min="9" max="9" width="8.85546875" style="1" customWidth="1"/>
    <col min="10" max="10" width="8.7109375" style="1" customWidth="1"/>
    <col min="11" max="11" width="7.5703125" style="3" customWidth="1"/>
    <col min="12" max="12" width="8.42578125" style="1" customWidth="1"/>
    <col min="13" max="13" width="9.7109375" style="1" customWidth="1"/>
    <col min="14" max="14" width="12.85546875" style="1" bestFit="1" customWidth="1"/>
    <col min="15" max="15" width="12.42578125" style="1" bestFit="1" customWidth="1"/>
    <col min="16" max="16" width="12.85546875" style="1" bestFit="1" customWidth="1"/>
    <col min="17" max="20" width="13.140625" style="1" bestFit="1" customWidth="1"/>
    <col min="21" max="23" width="12.42578125" style="1" bestFit="1" customWidth="1"/>
    <col min="24" max="31" width="10" style="1" bestFit="1" customWidth="1"/>
    <col min="32" max="32" width="10.42578125" style="1" bestFit="1" customWidth="1"/>
    <col min="33" max="35" width="11.42578125" style="1" bestFit="1" customWidth="1"/>
    <col min="36" max="38" width="16.140625" style="1" customWidth="1"/>
    <col min="39" max="40" width="15.140625" style="1" customWidth="1"/>
    <col min="41" max="41" width="13.7109375" style="1" customWidth="1"/>
    <col min="42" max="42" width="14.140625" style="1" customWidth="1"/>
    <col min="43" max="43" width="15.140625" style="1" customWidth="1"/>
    <col min="44" max="44" width="12.42578125" style="1" customWidth="1"/>
    <col min="45" max="45" width="11.7109375" style="1" customWidth="1"/>
    <col min="46" max="46" width="13.140625" style="1" customWidth="1"/>
    <col min="47" max="49" width="9.140625" style="1"/>
    <col min="50" max="51" width="9.140625" style="2"/>
    <col min="52" max="16384" width="9.140625" style="1"/>
  </cols>
  <sheetData>
    <row r="1" spans="1:51" x14ac:dyDescent="0.2">
      <c r="A1" s="3"/>
      <c r="B1" s="4" t="s">
        <v>262</v>
      </c>
      <c r="C1" s="4" t="s">
        <v>262</v>
      </c>
      <c r="D1" s="4" t="s">
        <v>262</v>
      </c>
      <c r="E1" s="4" t="s">
        <v>261</v>
      </c>
      <c r="F1" s="4" t="s">
        <v>261</v>
      </c>
      <c r="G1" s="4" t="s">
        <v>261</v>
      </c>
      <c r="H1" s="4" t="s">
        <v>261</v>
      </c>
      <c r="I1" s="4" t="s">
        <v>261</v>
      </c>
      <c r="J1" s="4" t="s">
        <v>261</v>
      </c>
      <c r="K1" s="4" t="s">
        <v>261</v>
      </c>
      <c r="L1" s="4" t="s">
        <v>261</v>
      </c>
      <c r="M1" s="4" t="s">
        <v>262</v>
      </c>
      <c r="N1" s="4" t="s">
        <v>262</v>
      </c>
      <c r="O1" s="4" t="s">
        <v>262</v>
      </c>
      <c r="P1" s="4" t="s">
        <v>262</v>
      </c>
      <c r="Q1" s="4" t="s">
        <v>262</v>
      </c>
      <c r="R1" s="4" t="s">
        <v>262</v>
      </c>
      <c r="S1" s="4" t="s">
        <v>262</v>
      </c>
      <c r="T1" s="4" t="s">
        <v>262</v>
      </c>
      <c r="U1" s="4" t="s">
        <v>262</v>
      </c>
      <c r="V1" s="4" t="s">
        <v>262</v>
      </c>
      <c r="W1" s="4" t="s">
        <v>262</v>
      </c>
      <c r="X1" s="4" t="s">
        <v>261</v>
      </c>
      <c r="Y1" s="4" t="s">
        <v>261</v>
      </c>
      <c r="Z1" s="4" t="s">
        <v>261</v>
      </c>
      <c r="AA1" s="4" t="s">
        <v>261</v>
      </c>
      <c r="AB1" s="4" t="s">
        <v>261</v>
      </c>
      <c r="AC1" s="4" t="s">
        <v>261</v>
      </c>
      <c r="AD1" s="4" t="s">
        <v>261</v>
      </c>
      <c r="AE1" s="4" t="s">
        <v>261</v>
      </c>
      <c r="AF1" s="4" t="s">
        <v>261</v>
      </c>
      <c r="AG1" s="4" t="s">
        <v>261</v>
      </c>
      <c r="AH1" s="4" t="s">
        <v>261</v>
      </c>
      <c r="AI1" s="4" t="s">
        <v>261</v>
      </c>
      <c r="AJ1" s="4" t="s">
        <v>260</v>
      </c>
      <c r="AK1" s="4" t="s">
        <v>259</v>
      </c>
      <c r="AL1" s="4" t="s">
        <v>259</v>
      </c>
      <c r="AM1" s="4" t="s">
        <v>259</v>
      </c>
      <c r="AN1" s="4" t="s">
        <v>259</v>
      </c>
      <c r="AO1" s="4" t="s">
        <v>259</v>
      </c>
      <c r="AP1" s="4" t="s">
        <v>259</v>
      </c>
      <c r="AQ1" s="4" t="s">
        <v>259</v>
      </c>
      <c r="AR1" s="1" t="s">
        <v>258</v>
      </c>
      <c r="AS1" s="1" t="s">
        <v>257</v>
      </c>
      <c r="AT1" s="1" t="s">
        <v>257</v>
      </c>
      <c r="AU1" s="1" t="s">
        <v>257</v>
      </c>
      <c r="AV1" s="1" t="s">
        <v>257</v>
      </c>
      <c r="AW1" s="1" t="s">
        <v>257</v>
      </c>
      <c r="AX1" s="2" t="s">
        <v>257</v>
      </c>
      <c r="AY1" s="9"/>
    </row>
    <row r="2" spans="1:51" ht="26.25" customHeight="1" x14ac:dyDescent="0.25">
      <c r="A2" s="3" t="s">
        <v>256</v>
      </c>
      <c r="B2" s="7" t="s">
        <v>255</v>
      </c>
      <c r="C2" s="7" t="s">
        <v>254</v>
      </c>
      <c r="D2" s="7" t="s">
        <v>253</v>
      </c>
      <c r="E2" s="7" t="s">
        <v>252</v>
      </c>
      <c r="F2" s="7" t="s">
        <v>251</v>
      </c>
      <c r="G2" s="7" t="s">
        <v>250</v>
      </c>
      <c r="H2" s="7" t="s">
        <v>249</v>
      </c>
      <c r="I2" s="7" t="s">
        <v>248</v>
      </c>
      <c r="J2" s="7" t="s">
        <v>247</v>
      </c>
      <c r="K2" s="7" t="s">
        <v>246</v>
      </c>
      <c r="L2" s="7" t="s">
        <v>245</v>
      </c>
      <c r="M2" s="7" t="s">
        <v>244</v>
      </c>
      <c r="N2" s="7" t="s">
        <v>243</v>
      </c>
      <c r="O2" s="7" t="s">
        <v>242</v>
      </c>
      <c r="P2" s="7" t="s">
        <v>241</v>
      </c>
      <c r="Q2" s="7" t="s">
        <v>240</v>
      </c>
      <c r="R2" s="7" t="s">
        <v>239</v>
      </c>
      <c r="S2" s="7" t="s">
        <v>238</v>
      </c>
      <c r="T2" s="7" t="s">
        <v>237</v>
      </c>
      <c r="U2" s="7" t="s">
        <v>236</v>
      </c>
      <c r="V2" s="7" t="s">
        <v>235</v>
      </c>
      <c r="W2" s="7" t="s">
        <v>234</v>
      </c>
      <c r="X2" s="7" t="s">
        <v>233</v>
      </c>
      <c r="Y2" s="7" t="s">
        <v>232</v>
      </c>
      <c r="Z2" s="7" t="s">
        <v>231</v>
      </c>
      <c r="AA2" s="7" t="s">
        <v>230</v>
      </c>
      <c r="AB2" s="7" t="s">
        <v>229</v>
      </c>
      <c r="AC2" s="7" t="s">
        <v>228</v>
      </c>
      <c r="AD2" s="7" t="s">
        <v>227</v>
      </c>
      <c r="AE2" s="7" t="s">
        <v>226</v>
      </c>
      <c r="AF2" s="7" t="s">
        <v>225</v>
      </c>
      <c r="AG2" s="7" t="s">
        <v>224</v>
      </c>
      <c r="AH2" s="7" t="s">
        <v>223</v>
      </c>
      <c r="AI2" s="7" t="s">
        <v>222</v>
      </c>
      <c r="AJ2" s="7" t="s">
        <v>221</v>
      </c>
      <c r="AK2" s="3" t="s">
        <v>220</v>
      </c>
      <c r="AL2" s="4" t="s">
        <v>219</v>
      </c>
      <c r="AM2" s="4" t="s">
        <v>218</v>
      </c>
      <c r="AN2" s="4" t="s">
        <v>217</v>
      </c>
      <c r="AO2" s="4" t="s">
        <v>216</v>
      </c>
      <c r="AP2" s="7" t="s">
        <v>213</v>
      </c>
      <c r="AQ2" s="4" t="s">
        <v>215</v>
      </c>
      <c r="AR2" s="25" t="s">
        <v>212</v>
      </c>
      <c r="AS2" s="29" t="s">
        <v>214</v>
      </c>
      <c r="AT2" s="7" t="s">
        <v>213</v>
      </c>
      <c r="AU2" s="1" t="s">
        <v>212</v>
      </c>
      <c r="AV2" s="1" t="s">
        <v>211</v>
      </c>
      <c r="AW2" t="s">
        <v>210</v>
      </c>
      <c r="AX2" s="28" t="s">
        <v>209</v>
      </c>
      <c r="AY2" s="9" t="s">
        <v>208</v>
      </c>
    </row>
    <row r="3" spans="1:51" x14ac:dyDescent="0.2">
      <c r="A3" s="3" t="s">
        <v>207</v>
      </c>
      <c r="B3" s="4" t="s">
        <v>206</v>
      </c>
      <c r="C3" s="4" t="s">
        <v>206</v>
      </c>
      <c r="D3" s="4" t="s">
        <v>206</v>
      </c>
      <c r="E3" s="4" t="s">
        <v>206</v>
      </c>
      <c r="F3" s="4" t="s">
        <v>206</v>
      </c>
      <c r="G3" s="4" t="s">
        <v>206</v>
      </c>
      <c r="H3" s="4" t="s">
        <v>206</v>
      </c>
      <c r="I3" s="4" t="s">
        <v>206</v>
      </c>
      <c r="J3" s="4" t="s">
        <v>206</v>
      </c>
      <c r="K3" s="4" t="s">
        <v>206</v>
      </c>
      <c r="L3" s="4" t="s">
        <v>206</v>
      </c>
      <c r="M3" s="4" t="s">
        <v>205</v>
      </c>
      <c r="N3" s="4" t="s">
        <v>205</v>
      </c>
      <c r="O3" s="4" t="s">
        <v>205</v>
      </c>
      <c r="P3" s="4" t="s">
        <v>205</v>
      </c>
      <c r="Q3" s="4" t="s">
        <v>205</v>
      </c>
      <c r="R3" s="4" t="s">
        <v>205</v>
      </c>
      <c r="S3" s="4" t="s">
        <v>205</v>
      </c>
      <c r="T3" s="4" t="s">
        <v>205</v>
      </c>
      <c r="U3" s="4" t="s">
        <v>205</v>
      </c>
      <c r="V3" s="4" t="s">
        <v>205</v>
      </c>
      <c r="W3" s="4" t="s">
        <v>205</v>
      </c>
      <c r="X3" s="4" t="s">
        <v>205</v>
      </c>
      <c r="Y3" s="4" t="s">
        <v>205</v>
      </c>
      <c r="Z3" s="4" t="s">
        <v>205</v>
      </c>
      <c r="AA3" s="4" t="s">
        <v>205</v>
      </c>
      <c r="AB3" s="4" t="s">
        <v>205</v>
      </c>
      <c r="AC3" s="4" t="s">
        <v>205</v>
      </c>
      <c r="AD3" s="4" t="s">
        <v>205</v>
      </c>
      <c r="AE3" s="4" t="s">
        <v>205</v>
      </c>
      <c r="AF3" s="7" t="s">
        <v>204</v>
      </c>
      <c r="AG3" s="7" t="s">
        <v>203</v>
      </c>
      <c r="AH3" s="7" t="s">
        <v>203</v>
      </c>
      <c r="AI3" s="7" t="s">
        <v>203</v>
      </c>
      <c r="AJ3" s="4" t="s">
        <v>199</v>
      </c>
      <c r="AK3" s="4" t="s">
        <v>202</v>
      </c>
      <c r="AL3" s="4" t="s">
        <v>201</v>
      </c>
      <c r="AM3" s="4" t="s">
        <v>200</v>
      </c>
      <c r="AN3" s="4"/>
      <c r="AO3" s="4"/>
      <c r="AP3" s="4"/>
      <c r="AQ3" s="4"/>
      <c r="AR3" s="25" t="s">
        <v>199</v>
      </c>
      <c r="AS3" s="25"/>
      <c r="AU3" s="1" t="s">
        <v>199</v>
      </c>
      <c r="AV3" s="1" t="s">
        <v>199</v>
      </c>
      <c r="AW3" s="1" t="s">
        <v>198</v>
      </c>
      <c r="AX3" s="2" t="s">
        <v>197</v>
      </c>
      <c r="AY3" s="9"/>
    </row>
    <row r="4" spans="1:51" x14ac:dyDescent="0.2">
      <c r="A4" s="3" t="s">
        <v>195</v>
      </c>
      <c r="B4" s="3">
        <v>471654</v>
      </c>
      <c r="C4" s="3">
        <v>471863</v>
      </c>
      <c r="D4" s="1">
        <v>471810</v>
      </c>
      <c r="E4" s="11">
        <v>471835</v>
      </c>
      <c r="F4" s="11">
        <v>471821</v>
      </c>
      <c r="G4" s="11">
        <v>471821</v>
      </c>
      <c r="H4" s="11">
        <v>471745</v>
      </c>
      <c r="I4" s="11">
        <v>471718</v>
      </c>
      <c r="J4" s="11">
        <v>471726</v>
      </c>
      <c r="K4" s="11">
        <v>471753</v>
      </c>
      <c r="L4" s="11">
        <v>471759</v>
      </c>
      <c r="M4" s="3">
        <v>474120</v>
      </c>
      <c r="N4" s="3">
        <v>474120</v>
      </c>
      <c r="O4" s="3">
        <v>473938</v>
      </c>
      <c r="P4" s="3">
        <v>474120</v>
      </c>
      <c r="Q4" s="3">
        <v>470962</v>
      </c>
      <c r="R4" s="3">
        <v>470966</v>
      </c>
      <c r="S4" s="3">
        <v>470966</v>
      </c>
      <c r="T4" s="3">
        <v>470966</v>
      </c>
      <c r="U4" s="3">
        <v>470816</v>
      </c>
      <c r="V4" s="3">
        <v>474062</v>
      </c>
      <c r="W4" s="3">
        <v>474453</v>
      </c>
      <c r="X4" s="11">
        <v>470324</v>
      </c>
      <c r="Y4" s="11">
        <v>473721</v>
      </c>
      <c r="Z4" s="11">
        <v>482545</v>
      </c>
      <c r="AA4" s="11">
        <v>482389</v>
      </c>
      <c r="AB4" s="11">
        <v>473750</v>
      </c>
      <c r="AC4" s="11">
        <v>472250</v>
      </c>
      <c r="AD4" s="11">
        <v>472284</v>
      </c>
      <c r="AE4" s="11">
        <v>471431</v>
      </c>
      <c r="AF4" s="11">
        <v>483456</v>
      </c>
      <c r="AG4" s="27">
        <v>483429</v>
      </c>
      <c r="AH4" s="27">
        <v>483507</v>
      </c>
      <c r="AI4" s="11">
        <v>483717</v>
      </c>
      <c r="AJ4" s="3"/>
      <c r="AK4" s="3"/>
      <c r="AL4" s="3"/>
      <c r="AM4" s="3"/>
      <c r="AN4" s="3"/>
      <c r="AO4" s="3"/>
      <c r="AP4" s="3"/>
      <c r="AQ4" s="3"/>
      <c r="AY4" s="9"/>
    </row>
    <row r="5" spans="1:51" x14ac:dyDescent="0.2">
      <c r="A5" s="3" t="s">
        <v>99</v>
      </c>
      <c r="B5" s="3">
        <v>6788429</v>
      </c>
      <c r="C5" s="3">
        <v>6788429</v>
      </c>
      <c r="D5" s="3">
        <v>6788474</v>
      </c>
      <c r="E5" s="11">
        <v>6788413</v>
      </c>
      <c r="F5" s="11">
        <v>6788429</v>
      </c>
      <c r="G5" s="11">
        <v>6788429</v>
      </c>
      <c r="H5" s="11">
        <v>6788463</v>
      </c>
      <c r="I5" s="11">
        <v>6788476</v>
      </c>
      <c r="J5" s="11">
        <v>6788490</v>
      </c>
      <c r="K5" s="11">
        <v>6788480</v>
      </c>
      <c r="L5" s="11">
        <v>6788469</v>
      </c>
      <c r="M5" s="3">
        <v>6788879</v>
      </c>
      <c r="N5" s="3">
        <v>6788879</v>
      </c>
      <c r="O5" s="3">
        <v>6789000</v>
      </c>
      <c r="P5" s="3">
        <v>6788879</v>
      </c>
      <c r="Q5" s="3">
        <v>6806242</v>
      </c>
      <c r="R5" s="3">
        <v>6806338</v>
      </c>
      <c r="S5" s="3">
        <v>6806338</v>
      </c>
      <c r="T5" s="3">
        <v>6806338</v>
      </c>
      <c r="U5" s="3">
        <v>6806334</v>
      </c>
      <c r="V5" s="3">
        <v>6788336</v>
      </c>
      <c r="W5" s="3">
        <v>6788377</v>
      </c>
      <c r="X5" s="11">
        <v>6805646</v>
      </c>
      <c r="Y5" s="11">
        <v>6791083</v>
      </c>
      <c r="Z5" s="11">
        <v>6799288</v>
      </c>
      <c r="AA5" s="11">
        <v>6800259</v>
      </c>
      <c r="AB5" s="11">
        <v>6791047</v>
      </c>
      <c r="AC5" s="11">
        <v>6788316</v>
      </c>
      <c r="AD5" s="11">
        <v>6788601</v>
      </c>
      <c r="AE5" s="11">
        <v>6788431</v>
      </c>
      <c r="AF5" s="11">
        <v>6799192</v>
      </c>
      <c r="AG5" s="27">
        <v>6800842</v>
      </c>
      <c r="AH5" s="27">
        <v>6800918</v>
      </c>
      <c r="AI5" s="11">
        <v>6802376</v>
      </c>
      <c r="AJ5" s="3"/>
      <c r="AK5" s="3"/>
      <c r="AL5" s="3"/>
      <c r="AM5" s="3"/>
      <c r="AN5" s="3"/>
      <c r="AO5" s="3"/>
      <c r="AP5" s="3"/>
      <c r="AQ5" s="3"/>
      <c r="AY5" s="9"/>
    </row>
    <row r="6" spans="1:51" x14ac:dyDescent="0.2">
      <c r="A6" s="1" t="s">
        <v>445</v>
      </c>
      <c r="B6" s="1" t="s">
        <v>446</v>
      </c>
      <c r="C6" s="1" t="s">
        <v>446</v>
      </c>
      <c r="D6" s="1" t="s">
        <v>446</v>
      </c>
      <c r="E6" s="1" t="s">
        <v>446</v>
      </c>
      <c r="F6" s="1" t="s">
        <v>446</v>
      </c>
      <c r="G6" s="1" t="s">
        <v>446</v>
      </c>
      <c r="H6" s="1" t="s">
        <v>446</v>
      </c>
      <c r="I6" s="1" t="s">
        <v>446</v>
      </c>
      <c r="J6" s="1" t="s">
        <v>446</v>
      </c>
      <c r="K6" s="1" t="s">
        <v>446</v>
      </c>
      <c r="L6" s="1" t="s">
        <v>446</v>
      </c>
      <c r="M6" s="1" t="s">
        <v>447</v>
      </c>
      <c r="N6" s="1" t="s">
        <v>447</v>
      </c>
      <c r="O6" s="1" t="s">
        <v>447</v>
      </c>
      <c r="P6" s="1" t="s">
        <v>447</v>
      </c>
      <c r="Q6" s="1" t="s">
        <v>448</v>
      </c>
      <c r="R6" s="1" t="s">
        <v>448</v>
      </c>
      <c r="S6" s="1" t="s">
        <v>448</v>
      </c>
      <c r="T6" s="1" t="s">
        <v>448</v>
      </c>
      <c r="U6" s="1" t="s">
        <v>448</v>
      </c>
      <c r="V6" s="1" t="s">
        <v>447</v>
      </c>
      <c r="W6" s="1" t="s">
        <v>447</v>
      </c>
      <c r="X6" s="1" t="s">
        <v>448</v>
      </c>
      <c r="Y6" s="1" t="s">
        <v>449</v>
      </c>
      <c r="Z6" s="1" t="s">
        <v>450</v>
      </c>
      <c r="AA6" s="1" t="s">
        <v>450</v>
      </c>
      <c r="AB6" s="1" t="s">
        <v>449</v>
      </c>
      <c r="AC6" s="1" t="s">
        <v>446</v>
      </c>
      <c r="AD6" s="1" t="s">
        <v>446</v>
      </c>
      <c r="AE6" s="1" t="s">
        <v>446</v>
      </c>
      <c r="AF6" s="1" t="s">
        <v>450</v>
      </c>
      <c r="AG6" s="1" t="s">
        <v>450</v>
      </c>
      <c r="AH6" s="1" t="s">
        <v>450</v>
      </c>
      <c r="AI6" s="1" t="s">
        <v>450</v>
      </c>
    </row>
    <row r="7" spans="1:51" x14ac:dyDescent="0.2">
      <c r="A7" s="3" t="s">
        <v>196</v>
      </c>
      <c r="B7" s="3"/>
      <c r="C7" s="3"/>
      <c r="D7" s="3"/>
      <c r="E7" s="3" t="s">
        <v>195</v>
      </c>
      <c r="F7" s="3" t="s">
        <v>195</v>
      </c>
      <c r="G7" s="3" t="s">
        <v>195</v>
      </c>
      <c r="H7" s="3"/>
      <c r="I7" s="3"/>
      <c r="J7" s="3" t="s">
        <v>195</v>
      </c>
      <c r="K7" s="3" t="s">
        <v>195</v>
      </c>
      <c r="L7" s="3" t="s">
        <v>195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 t="s">
        <v>195</v>
      </c>
      <c r="AG7" s="3"/>
      <c r="AH7" s="3" t="s">
        <v>195</v>
      </c>
      <c r="AI7" s="3" t="s">
        <v>195</v>
      </c>
      <c r="AJ7" s="3"/>
      <c r="AK7" s="3"/>
      <c r="AL7" s="3"/>
      <c r="AM7" s="3"/>
      <c r="AN7" s="3"/>
      <c r="AO7" s="3"/>
      <c r="AP7" s="3"/>
      <c r="AQ7" s="3"/>
      <c r="AY7" s="9"/>
    </row>
    <row r="8" spans="1:51" x14ac:dyDescent="0.2">
      <c r="A8" s="3" t="s">
        <v>194</v>
      </c>
      <c r="B8" s="6">
        <v>49.1</v>
      </c>
      <c r="C8" s="6">
        <v>47.7</v>
      </c>
      <c r="D8" s="6">
        <v>49</v>
      </c>
      <c r="E8" s="6">
        <v>48.41</v>
      </c>
      <c r="F8" s="6">
        <v>47.65</v>
      </c>
      <c r="G8" s="6">
        <v>47.89</v>
      </c>
      <c r="H8" s="6">
        <v>49.22</v>
      </c>
      <c r="I8" s="6">
        <v>49.03</v>
      </c>
      <c r="J8" s="6">
        <v>47.57</v>
      </c>
      <c r="K8" s="6">
        <v>48.97</v>
      </c>
      <c r="L8" s="6">
        <v>48.89</v>
      </c>
      <c r="M8" s="6">
        <v>51.2</v>
      </c>
      <c r="N8" s="6">
        <v>49.8</v>
      </c>
      <c r="O8" s="6">
        <v>50.9</v>
      </c>
      <c r="P8" s="6">
        <v>50.6</v>
      </c>
      <c r="Q8" s="6">
        <v>52.7</v>
      </c>
      <c r="R8" s="6">
        <v>51.3</v>
      </c>
      <c r="S8" s="6">
        <v>52.1</v>
      </c>
      <c r="T8" s="6">
        <v>51.8</v>
      </c>
      <c r="U8" s="6">
        <v>52.2</v>
      </c>
      <c r="V8" s="6">
        <v>51.9</v>
      </c>
      <c r="W8" s="6">
        <v>52.8</v>
      </c>
      <c r="X8" s="6">
        <v>50.98</v>
      </c>
      <c r="Y8" s="6">
        <v>50.24</v>
      </c>
      <c r="Z8" s="6">
        <v>52.01</v>
      </c>
      <c r="AA8" s="6">
        <v>46.07</v>
      </c>
      <c r="AB8" s="6">
        <v>46.43</v>
      </c>
      <c r="AC8" s="6">
        <v>50.68</v>
      </c>
      <c r="AD8" s="6">
        <v>52.68</v>
      </c>
      <c r="AE8" s="6">
        <v>50.53</v>
      </c>
      <c r="AF8" s="6">
        <v>39.5</v>
      </c>
      <c r="AG8" s="6">
        <v>48.54</v>
      </c>
      <c r="AH8" s="6">
        <v>47.59</v>
      </c>
      <c r="AI8" s="6">
        <v>47.67</v>
      </c>
      <c r="AJ8" s="6" t="s">
        <v>193</v>
      </c>
      <c r="AK8" s="6"/>
      <c r="AL8" s="6"/>
      <c r="AM8" s="3"/>
      <c r="AN8" s="3"/>
      <c r="AO8" s="6" t="s">
        <v>192</v>
      </c>
      <c r="AP8" s="19">
        <f>(50.22-49.9)/49.9</f>
        <v>6.4128256513026113E-3</v>
      </c>
      <c r="AQ8" s="19">
        <f>0.17/50.22</f>
        <v>3.3851055356431702E-3</v>
      </c>
      <c r="AR8" s="24">
        <v>54</v>
      </c>
      <c r="AS8" s="25">
        <v>54.11</v>
      </c>
      <c r="AT8" s="17">
        <f>ABS(AR8-AS8)/AS8</f>
        <v>2.0328959526889566E-3</v>
      </c>
      <c r="AV8" s="1" t="s">
        <v>191</v>
      </c>
      <c r="AY8" s="20">
        <f>0.13/54.17</f>
        <v>2.399852316780506E-3</v>
      </c>
    </row>
    <row r="9" spans="1:51" x14ac:dyDescent="0.2">
      <c r="A9" s="3" t="s">
        <v>190</v>
      </c>
      <c r="B9" s="6">
        <v>2.39</v>
      </c>
      <c r="C9" s="6">
        <v>1.6</v>
      </c>
      <c r="D9" s="6">
        <v>3.05</v>
      </c>
      <c r="E9" s="6">
        <v>1.55</v>
      </c>
      <c r="F9" s="6">
        <v>1.65</v>
      </c>
      <c r="G9" s="6">
        <v>1.47</v>
      </c>
      <c r="H9" s="6">
        <v>2.34</v>
      </c>
      <c r="I9" s="6">
        <v>2.62</v>
      </c>
      <c r="J9" s="6">
        <v>2.06</v>
      </c>
      <c r="K9" s="6">
        <v>2.82</v>
      </c>
      <c r="L9" s="6">
        <v>2.23</v>
      </c>
      <c r="M9" s="6">
        <v>2.4900000000000002</v>
      </c>
      <c r="N9" s="6">
        <v>2.57</v>
      </c>
      <c r="O9" s="6">
        <v>2.52</v>
      </c>
      <c r="P9" s="6">
        <v>2.52</v>
      </c>
      <c r="Q9" s="6">
        <v>2.69</v>
      </c>
      <c r="R9" s="6">
        <v>2.85</v>
      </c>
      <c r="S9" s="6">
        <v>2.83</v>
      </c>
      <c r="T9" s="6">
        <v>2.84</v>
      </c>
      <c r="U9" s="6">
        <v>2.8</v>
      </c>
      <c r="V9" s="6">
        <v>2.69</v>
      </c>
      <c r="W9" s="6">
        <v>2.6</v>
      </c>
      <c r="X9" s="6">
        <v>2.5099999999999998</v>
      </c>
      <c r="Y9" s="6">
        <v>3</v>
      </c>
      <c r="Z9" s="6">
        <v>2.9</v>
      </c>
      <c r="AA9" s="6">
        <v>3.87</v>
      </c>
      <c r="AB9" s="6">
        <v>3.71</v>
      </c>
      <c r="AC9" s="6">
        <v>2.66</v>
      </c>
      <c r="AD9" s="6">
        <v>2.4900000000000002</v>
      </c>
      <c r="AE9" s="6">
        <v>2.57</v>
      </c>
      <c r="AF9" s="6">
        <v>4.3099999999999996</v>
      </c>
      <c r="AG9" s="6">
        <v>1.1200000000000001</v>
      </c>
      <c r="AH9" s="6">
        <v>0.98</v>
      </c>
      <c r="AI9" s="6">
        <v>1.05</v>
      </c>
      <c r="AJ9" s="6" t="s">
        <v>189</v>
      </c>
      <c r="AK9" s="6"/>
      <c r="AL9" s="6"/>
      <c r="AM9" s="3"/>
      <c r="AN9" s="3"/>
      <c r="AO9" s="6" t="s">
        <v>188</v>
      </c>
      <c r="AP9" s="19">
        <f>(2.73-2.73)/2.73</f>
        <v>0</v>
      </c>
      <c r="AQ9" s="19">
        <f>0.015/2.73</f>
        <v>5.4945054945054941E-3</v>
      </c>
      <c r="AR9" s="25">
        <v>2.2400000000000002</v>
      </c>
      <c r="AS9" s="25">
        <v>2.2400000000000002</v>
      </c>
      <c r="AT9" s="17">
        <f>ABS(AR9-AS9)/AS9</f>
        <v>0</v>
      </c>
      <c r="AV9" s="1" t="s">
        <v>187</v>
      </c>
      <c r="AY9" s="20">
        <f>0.01/2.27</f>
        <v>4.4052863436123352E-3</v>
      </c>
    </row>
    <row r="10" spans="1:51" x14ac:dyDescent="0.2">
      <c r="A10" s="3" t="s">
        <v>186</v>
      </c>
      <c r="B10" s="6">
        <v>13.8</v>
      </c>
      <c r="C10" s="6">
        <v>13.8</v>
      </c>
      <c r="D10" s="6">
        <v>14.2</v>
      </c>
      <c r="E10" s="6">
        <v>15.98</v>
      </c>
      <c r="F10" s="6">
        <v>14.55</v>
      </c>
      <c r="G10" s="6">
        <v>14.63</v>
      </c>
      <c r="H10" s="6">
        <v>14.41</v>
      </c>
      <c r="I10" s="6">
        <v>15.08</v>
      </c>
      <c r="J10" s="6">
        <v>14.2</v>
      </c>
      <c r="K10" s="6">
        <v>14.65</v>
      </c>
      <c r="L10" s="6">
        <v>14.38</v>
      </c>
      <c r="M10" s="6">
        <v>14.1</v>
      </c>
      <c r="N10" s="6">
        <v>14.1</v>
      </c>
      <c r="O10" s="6">
        <v>14.8</v>
      </c>
      <c r="P10" s="6">
        <v>14.3</v>
      </c>
      <c r="Q10" s="6">
        <v>14</v>
      </c>
      <c r="R10" s="6">
        <v>13.9</v>
      </c>
      <c r="S10" s="6">
        <v>14</v>
      </c>
      <c r="T10" s="6">
        <v>13.9</v>
      </c>
      <c r="U10" s="6">
        <v>14.4</v>
      </c>
      <c r="V10" s="6">
        <v>13</v>
      </c>
      <c r="W10" s="6">
        <v>13.2</v>
      </c>
      <c r="X10" s="6">
        <v>13.28</v>
      </c>
      <c r="Y10" s="6">
        <v>13.99</v>
      </c>
      <c r="Z10" s="6">
        <v>13.79</v>
      </c>
      <c r="AA10" s="6">
        <v>13.23</v>
      </c>
      <c r="AB10" s="6">
        <v>13.93</v>
      </c>
      <c r="AC10" s="6">
        <v>14.61</v>
      </c>
      <c r="AD10" s="6">
        <v>13.7</v>
      </c>
      <c r="AE10" s="6">
        <v>14.97</v>
      </c>
      <c r="AF10" s="6">
        <v>9.99</v>
      </c>
      <c r="AG10" s="6">
        <v>21.74</v>
      </c>
      <c r="AH10" s="6">
        <v>21.26</v>
      </c>
      <c r="AI10" s="6">
        <v>20.75</v>
      </c>
      <c r="AJ10" s="6" t="s">
        <v>185</v>
      </c>
      <c r="AK10" s="6"/>
      <c r="AL10" s="6"/>
      <c r="AM10" s="3"/>
      <c r="AN10" s="3"/>
      <c r="AO10" s="6" t="s">
        <v>184</v>
      </c>
      <c r="AP10" s="19">
        <f>(13.67-13.5)/13.5</f>
        <v>1.2592592592592588E-2</v>
      </c>
      <c r="AQ10" s="19">
        <f>0.08/13.67</f>
        <v>5.8522311631309439E-3</v>
      </c>
      <c r="AR10" s="24">
        <v>13.5</v>
      </c>
      <c r="AS10" s="25">
        <v>13.64</v>
      </c>
      <c r="AT10" s="17">
        <f>ABS(AR10-AS10)/AS10</f>
        <v>1.026392961876837E-2</v>
      </c>
      <c r="AV10" s="1" t="s">
        <v>183</v>
      </c>
      <c r="AY10" s="20">
        <f>0.02/13.48</f>
        <v>1.483679525222552E-3</v>
      </c>
    </row>
    <row r="11" spans="1:51" x14ac:dyDescent="0.2">
      <c r="A11" s="3" t="s">
        <v>182</v>
      </c>
      <c r="B11" s="6">
        <v>2.6126000000000005</v>
      </c>
      <c r="C11" s="6">
        <v>1.8683000000000014</v>
      </c>
      <c r="D11" s="6">
        <v>1.9904000000000028</v>
      </c>
      <c r="E11" s="6">
        <v>1.4958799999999997</v>
      </c>
      <c r="F11" s="6">
        <v>1.8071699999999993</v>
      </c>
      <c r="G11" s="6">
        <v>1.3949400000000018</v>
      </c>
      <c r="H11" s="6">
        <v>1.8692299999999999</v>
      </c>
      <c r="I11" s="6">
        <v>2.4146599999999996</v>
      </c>
      <c r="J11" s="6">
        <v>1.5117099999999972</v>
      </c>
      <c r="K11" s="6">
        <v>2.0359100000000012</v>
      </c>
      <c r="L11" s="6">
        <v>1.6292399999999994</v>
      </c>
      <c r="M11" s="6">
        <v>2.3679999999999986</v>
      </c>
      <c r="N11" s="6">
        <v>2.0014000000000003</v>
      </c>
      <c r="O11" s="6">
        <v>2.0791000000000004</v>
      </c>
      <c r="P11" s="6">
        <v>2.7679000000000009</v>
      </c>
      <c r="Q11" s="6">
        <v>1.9345999999999997</v>
      </c>
      <c r="R11" s="6">
        <v>1.6235999999999997</v>
      </c>
      <c r="S11" s="6">
        <v>2.3234999999999992</v>
      </c>
      <c r="T11" s="6">
        <v>2.2679999999999989</v>
      </c>
      <c r="U11" s="6">
        <v>3.2789000000000001</v>
      </c>
      <c r="V11" s="6">
        <v>1.8458999999999985</v>
      </c>
      <c r="W11" s="6">
        <v>2.468</v>
      </c>
      <c r="X11" s="6">
        <v>2.7359200000000001</v>
      </c>
      <c r="Y11" s="6">
        <v>3.0568800000000014</v>
      </c>
      <c r="Z11" s="6">
        <v>2.0546700000000016</v>
      </c>
      <c r="AA11" s="6">
        <v>3.3282899999999991</v>
      </c>
      <c r="AB11" s="6">
        <v>2.0727900000000012</v>
      </c>
      <c r="AC11" s="6">
        <v>2.3146500000000003</v>
      </c>
      <c r="AD11" s="6">
        <v>2.3913399999999996</v>
      </c>
      <c r="AE11" s="6">
        <v>1.9601799999999994</v>
      </c>
      <c r="AF11" s="6">
        <v>4.1435500000000012</v>
      </c>
      <c r="AG11" s="6">
        <v>0.85542000000000051</v>
      </c>
      <c r="AH11" s="6">
        <v>1.3243199999999984</v>
      </c>
      <c r="AI11" s="6">
        <v>1.4021399999999993</v>
      </c>
      <c r="AJ11" s="6" t="s">
        <v>181</v>
      </c>
      <c r="AK11" s="6" t="s">
        <v>181</v>
      </c>
      <c r="AL11" s="6" t="s">
        <v>181</v>
      </c>
      <c r="AM11" s="6" t="s">
        <v>181</v>
      </c>
      <c r="AN11" s="6" t="s">
        <v>181</v>
      </c>
      <c r="AO11" s="6" t="s">
        <v>181</v>
      </c>
      <c r="AP11" s="6" t="s">
        <v>181</v>
      </c>
      <c r="AQ11" s="6" t="s">
        <v>181</v>
      </c>
      <c r="AR11" s="25"/>
      <c r="AS11" s="25"/>
      <c r="AT11" s="17"/>
      <c r="AY11" s="20"/>
    </row>
    <row r="12" spans="1:51" x14ac:dyDescent="0.2">
      <c r="A12" s="3" t="s">
        <v>180</v>
      </c>
      <c r="B12" s="6">
        <v>13.4</v>
      </c>
      <c r="C12" s="6">
        <v>14.7</v>
      </c>
      <c r="D12" s="6">
        <v>13.6</v>
      </c>
      <c r="E12" s="6">
        <v>12.92</v>
      </c>
      <c r="F12" s="6">
        <v>14.53</v>
      </c>
      <c r="G12" s="6">
        <v>14.46</v>
      </c>
      <c r="H12" s="6">
        <v>13.07</v>
      </c>
      <c r="I12" s="6">
        <v>11.94</v>
      </c>
      <c r="J12" s="6">
        <v>15.39</v>
      </c>
      <c r="K12" s="6">
        <v>13.19</v>
      </c>
      <c r="L12" s="6">
        <v>13.16</v>
      </c>
      <c r="M12" s="6">
        <v>12</v>
      </c>
      <c r="N12" s="6">
        <v>12.6</v>
      </c>
      <c r="O12" s="6">
        <v>11.9</v>
      </c>
      <c r="P12" s="6">
        <v>11.1</v>
      </c>
      <c r="Q12" s="6">
        <v>11.4</v>
      </c>
      <c r="R12" s="6">
        <v>12.4</v>
      </c>
      <c r="S12" s="6">
        <v>11.5</v>
      </c>
      <c r="T12" s="6">
        <v>12</v>
      </c>
      <c r="U12" s="6">
        <v>10.1</v>
      </c>
      <c r="V12" s="6">
        <v>13.1</v>
      </c>
      <c r="W12" s="6">
        <v>12</v>
      </c>
      <c r="X12" s="6">
        <v>13.28</v>
      </c>
      <c r="Y12" s="6">
        <v>11.92</v>
      </c>
      <c r="Z12" s="6">
        <v>12.03</v>
      </c>
      <c r="AA12" s="6">
        <v>14.61</v>
      </c>
      <c r="AB12" s="6">
        <v>15.11</v>
      </c>
      <c r="AC12" s="6">
        <v>11.85</v>
      </c>
      <c r="AD12" s="6">
        <v>12.06</v>
      </c>
      <c r="AE12" s="6">
        <v>11.62</v>
      </c>
      <c r="AF12" s="6">
        <v>21.95</v>
      </c>
      <c r="AG12" s="6">
        <v>8.7799999999999994</v>
      </c>
      <c r="AH12" s="6">
        <v>8.8800000000000008</v>
      </c>
      <c r="AI12" s="6">
        <v>9.26</v>
      </c>
      <c r="AJ12" s="6"/>
      <c r="AK12" s="6"/>
      <c r="AL12" s="6"/>
      <c r="AM12" s="3"/>
      <c r="AN12" s="3" t="s">
        <v>179</v>
      </c>
      <c r="AO12" s="6" t="s">
        <v>178</v>
      </c>
      <c r="AP12" s="19">
        <f>(8.43-8.34)/8.34</f>
        <v>1.0791366906474803E-2</v>
      </c>
      <c r="AQ12" s="19">
        <f>0.04/8.43</f>
        <v>4.7449584816132862E-3</v>
      </c>
      <c r="AR12" s="25">
        <v>8.66</v>
      </c>
      <c r="AS12" s="25">
        <v>8.8800000000000008</v>
      </c>
      <c r="AT12" s="17">
        <f t="shared" ref="AT12:AT18" si="0">ABS(AR12-AS12)/AS12</f>
        <v>2.4774774774774844E-2</v>
      </c>
      <c r="AY12" s="26"/>
    </row>
    <row r="13" spans="1:51" x14ac:dyDescent="0.2">
      <c r="A13" s="3" t="s">
        <v>177</v>
      </c>
      <c r="B13" s="6">
        <v>0.21</v>
      </c>
      <c r="C13" s="6">
        <v>0.21</v>
      </c>
      <c r="D13" s="6">
        <v>0.21</v>
      </c>
      <c r="E13" s="6">
        <v>0.17899999999999999</v>
      </c>
      <c r="F13" s="6">
        <v>0.20300000000000001</v>
      </c>
      <c r="G13" s="6">
        <v>0.19900000000000001</v>
      </c>
      <c r="H13" s="6">
        <v>0.19600000000000001</v>
      </c>
      <c r="I13" s="6">
        <v>0.187</v>
      </c>
      <c r="J13" s="6">
        <v>0.20599999999999999</v>
      </c>
      <c r="K13" s="6">
        <v>0.19700000000000001</v>
      </c>
      <c r="L13" s="6">
        <v>0.19400000000000001</v>
      </c>
      <c r="M13" s="6">
        <v>0.19</v>
      </c>
      <c r="N13" s="6">
        <v>0.19</v>
      </c>
      <c r="O13" s="6">
        <v>0.18</v>
      </c>
      <c r="P13" s="6">
        <v>0.19</v>
      </c>
      <c r="Q13" s="6">
        <v>0.18</v>
      </c>
      <c r="R13" s="6">
        <v>0.19</v>
      </c>
      <c r="S13" s="6">
        <v>0.18</v>
      </c>
      <c r="T13" s="6">
        <v>0.19</v>
      </c>
      <c r="U13" s="6">
        <v>0.2</v>
      </c>
      <c r="V13" s="6">
        <v>0.21</v>
      </c>
      <c r="W13" s="6">
        <v>0.2</v>
      </c>
      <c r="X13" s="6">
        <v>0.20799999999999999</v>
      </c>
      <c r="Y13" s="6">
        <v>0.19600000000000001</v>
      </c>
      <c r="Z13" s="6">
        <v>0.187</v>
      </c>
      <c r="AA13" s="6">
        <v>0.23599999999999999</v>
      </c>
      <c r="AB13" s="6">
        <v>0.23100000000000001</v>
      </c>
      <c r="AC13" s="6">
        <v>0.17799999999999999</v>
      </c>
      <c r="AD13" s="6">
        <v>0.191</v>
      </c>
      <c r="AE13" s="6">
        <v>0.17899999999999999</v>
      </c>
      <c r="AF13" s="6">
        <v>0.33200000000000002</v>
      </c>
      <c r="AG13" s="6">
        <v>0.129</v>
      </c>
      <c r="AH13" s="6">
        <v>0.13200000000000001</v>
      </c>
      <c r="AI13" s="6">
        <v>0.13400000000000001</v>
      </c>
      <c r="AJ13" s="6" t="s">
        <v>176</v>
      </c>
      <c r="AK13" s="6"/>
      <c r="AL13" s="6"/>
      <c r="AM13" s="3"/>
      <c r="AN13" s="3"/>
      <c r="AO13" s="6" t="s">
        <v>175</v>
      </c>
      <c r="AP13" s="19">
        <f>(0.1717-0.166578)/0.166578</f>
        <v>3.0748358126523236E-2</v>
      </c>
      <c r="AQ13" s="19">
        <f>0.0021/0.1717</f>
        <v>1.2230634828188701E-2</v>
      </c>
      <c r="AR13" s="25">
        <v>0.19</v>
      </c>
      <c r="AS13" s="25">
        <v>0.18</v>
      </c>
      <c r="AT13" s="17">
        <f t="shared" si="0"/>
        <v>5.5555555555555608E-2</v>
      </c>
      <c r="AW13" s="1" t="s">
        <v>174</v>
      </c>
      <c r="AY13" s="20">
        <f>0.0001/0.107</f>
        <v>9.3457943925233649E-4</v>
      </c>
    </row>
    <row r="14" spans="1:51" x14ac:dyDescent="0.2">
      <c r="A14" s="3" t="s">
        <v>173</v>
      </c>
      <c r="B14" s="6">
        <v>7.07</v>
      </c>
      <c r="C14" s="6">
        <v>9.09</v>
      </c>
      <c r="D14" s="6">
        <v>4.74</v>
      </c>
      <c r="E14" s="6">
        <v>7.65</v>
      </c>
      <c r="F14" s="6">
        <v>8.1</v>
      </c>
      <c r="G14" s="6">
        <v>8.7200000000000006</v>
      </c>
      <c r="H14" s="6">
        <v>6.76</v>
      </c>
      <c r="I14" s="6">
        <v>5.47</v>
      </c>
      <c r="J14" s="6">
        <v>7.21</v>
      </c>
      <c r="K14" s="6">
        <v>5.52</v>
      </c>
      <c r="L14" s="6">
        <v>6.9</v>
      </c>
      <c r="M14" s="6">
        <v>4.8499999999999996</v>
      </c>
      <c r="N14" s="6">
        <v>5.0199999999999996</v>
      </c>
      <c r="O14" s="6">
        <v>4.55</v>
      </c>
      <c r="P14" s="6">
        <v>4.6100000000000003</v>
      </c>
      <c r="Q14" s="6">
        <v>3.01</v>
      </c>
      <c r="R14" s="6">
        <v>3.41</v>
      </c>
      <c r="S14" s="6">
        <v>3.27</v>
      </c>
      <c r="T14" s="6">
        <v>3.34</v>
      </c>
      <c r="U14" s="6">
        <v>3.44</v>
      </c>
      <c r="V14" s="6">
        <v>2.62</v>
      </c>
      <c r="W14" s="6">
        <v>2.4</v>
      </c>
      <c r="X14" s="6">
        <v>2.39</v>
      </c>
      <c r="Y14" s="6">
        <v>3.64</v>
      </c>
      <c r="Z14" s="6">
        <v>3.14</v>
      </c>
      <c r="AA14" s="6">
        <v>4.24</v>
      </c>
      <c r="AB14" s="6">
        <v>4.71</v>
      </c>
      <c r="AC14" s="6">
        <v>4.4000000000000004</v>
      </c>
      <c r="AD14" s="6">
        <v>2.4300000000000002</v>
      </c>
      <c r="AE14" s="6">
        <v>4.05</v>
      </c>
      <c r="AF14" s="6">
        <v>4.49</v>
      </c>
      <c r="AG14" s="6">
        <v>5.26</v>
      </c>
      <c r="AH14" s="6">
        <v>6.12</v>
      </c>
      <c r="AI14" s="6">
        <v>6.26</v>
      </c>
      <c r="AJ14" s="6" t="s">
        <v>172</v>
      </c>
      <c r="AK14" s="6"/>
      <c r="AL14" s="6"/>
      <c r="AM14" s="3"/>
      <c r="AN14" s="3"/>
      <c r="AO14" s="6" t="s">
        <v>171</v>
      </c>
      <c r="AP14" s="19">
        <f>(7.37-7.23)/7.23</f>
        <v>1.9363762102351269E-2</v>
      </c>
      <c r="AQ14" s="19">
        <f>0.05/7.37</f>
        <v>6.7842605156037995E-3</v>
      </c>
      <c r="AR14" s="25">
        <v>3.43</v>
      </c>
      <c r="AS14" s="25">
        <v>3.48</v>
      </c>
      <c r="AT14" s="17">
        <f t="shared" si="0"/>
        <v>1.4367816091953972E-2</v>
      </c>
      <c r="AV14" s="1" t="s">
        <v>170</v>
      </c>
      <c r="AY14" s="20">
        <f>0.02/3.6</f>
        <v>5.5555555555555558E-3</v>
      </c>
    </row>
    <row r="15" spans="1:51" x14ac:dyDescent="0.2">
      <c r="A15" s="3" t="s">
        <v>169</v>
      </c>
      <c r="B15" s="6">
        <v>6.32</v>
      </c>
      <c r="C15" s="6">
        <v>5.98</v>
      </c>
      <c r="D15" s="6">
        <v>6.98</v>
      </c>
      <c r="E15" s="6">
        <v>6.657</v>
      </c>
      <c r="F15" s="6">
        <v>6.0910000000000002</v>
      </c>
      <c r="G15" s="6">
        <v>6.0549999999999997</v>
      </c>
      <c r="H15" s="6">
        <v>6.1680000000000001</v>
      </c>
      <c r="I15" s="6">
        <v>6.3559999999999999</v>
      </c>
      <c r="J15" s="6">
        <v>6.0529999999999999</v>
      </c>
      <c r="K15" s="6">
        <v>6.4660000000000002</v>
      </c>
      <c r="L15" s="6">
        <v>6.25</v>
      </c>
      <c r="M15" s="6">
        <v>6.16</v>
      </c>
      <c r="N15" s="6">
        <v>6.33</v>
      </c>
      <c r="O15" s="6">
        <v>6.52</v>
      </c>
      <c r="P15" s="6">
        <v>5.25</v>
      </c>
      <c r="Q15" s="6">
        <v>5.81</v>
      </c>
      <c r="R15" s="6">
        <v>6.1</v>
      </c>
      <c r="S15" s="6">
        <v>6.08</v>
      </c>
      <c r="T15" s="6">
        <v>6.09</v>
      </c>
      <c r="U15" s="6">
        <v>5.91</v>
      </c>
      <c r="V15" s="6">
        <v>5.87</v>
      </c>
      <c r="W15" s="6">
        <v>5.8</v>
      </c>
      <c r="X15" s="6">
        <v>6.0149999999999997</v>
      </c>
      <c r="Y15" s="6">
        <v>6.2649999999999997</v>
      </c>
      <c r="Z15" s="6">
        <v>6.0270000000000001</v>
      </c>
      <c r="AA15" s="6">
        <v>7.5679999999999996</v>
      </c>
      <c r="AB15" s="6">
        <v>7.5679999999999996</v>
      </c>
      <c r="AC15" s="6">
        <v>6.4180000000000001</v>
      </c>
      <c r="AD15" s="6">
        <v>5.79</v>
      </c>
      <c r="AE15" s="6">
        <v>6.52</v>
      </c>
      <c r="AF15" s="6">
        <v>8.0079999999999991</v>
      </c>
      <c r="AG15" s="6">
        <v>9.2460000000000004</v>
      </c>
      <c r="AH15" s="6">
        <v>9.2319999999999993</v>
      </c>
      <c r="AI15" s="6">
        <v>8.9269999999999996</v>
      </c>
      <c r="AJ15" s="6" t="s">
        <v>168</v>
      </c>
      <c r="AK15" s="6"/>
      <c r="AL15" s="6"/>
      <c r="AM15" s="3"/>
      <c r="AN15" s="3"/>
      <c r="AO15" s="6" t="s">
        <v>167</v>
      </c>
      <c r="AP15" s="19">
        <f>ABS(11.34-11.4)/11.4</f>
        <v>5.2631578947368854E-3</v>
      </c>
      <c r="AQ15" s="19">
        <f>0.05/11.34</f>
        <v>4.4091710758377431E-3</v>
      </c>
      <c r="AR15" s="25">
        <v>6.82</v>
      </c>
      <c r="AS15" s="25">
        <v>6.95</v>
      </c>
      <c r="AT15" s="17">
        <f t="shared" si="0"/>
        <v>1.8705035971223007E-2</v>
      </c>
      <c r="AV15" s="1" t="s">
        <v>166</v>
      </c>
      <c r="AY15" s="20">
        <f>0.01/7.09</f>
        <v>1.4104372355430183E-3</v>
      </c>
    </row>
    <row r="16" spans="1:51" x14ac:dyDescent="0.2">
      <c r="A16" s="3" t="s">
        <v>165</v>
      </c>
      <c r="B16" s="6">
        <v>2.48</v>
      </c>
      <c r="C16" s="6">
        <v>2.4</v>
      </c>
      <c r="D16" s="6">
        <v>2.5099999999999998</v>
      </c>
      <c r="E16" s="6">
        <v>2.79</v>
      </c>
      <c r="F16" s="6">
        <v>2.56</v>
      </c>
      <c r="G16" s="6">
        <v>2.5099999999999998</v>
      </c>
      <c r="H16" s="6">
        <v>2.64</v>
      </c>
      <c r="I16" s="6">
        <v>2.79</v>
      </c>
      <c r="J16" s="6">
        <v>2.5499999999999998</v>
      </c>
      <c r="K16" s="6">
        <v>2.74</v>
      </c>
      <c r="L16" s="6">
        <v>2.65</v>
      </c>
      <c r="M16" s="6">
        <v>2.66</v>
      </c>
      <c r="N16" s="6">
        <v>2.67</v>
      </c>
      <c r="O16" s="6">
        <v>2.71</v>
      </c>
      <c r="P16" s="6">
        <v>1.99</v>
      </c>
      <c r="Q16" s="6">
        <v>2.5</v>
      </c>
      <c r="R16" s="6">
        <v>2.7</v>
      </c>
      <c r="S16" s="6">
        <v>2.93</v>
      </c>
      <c r="T16" s="6">
        <v>2.69</v>
      </c>
      <c r="U16" s="6">
        <v>3.11</v>
      </c>
      <c r="V16" s="6">
        <v>2.66</v>
      </c>
      <c r="W16" s="6">
        <v>2.59</v>
      </c>
      <c r="X16" s="6">
        <v>2.79</v>
      </c>
      <c r="Y16" s="6">
        <v>2.65</v>
      </c>
      <c r="Z16" s="6">
        <v>2.87</v>
      </c>
      <c r="AA16" s="6">
        <v>2.6</v>
      </c>
      <c r="AB16" s="6">
        <v>2.74</v>
      </c>
      <c r="AC16" s="6">
        <v>2.9</v>
      </c>
      <c r="AD16" s="6">
        <v>3.03</v>
      </c>
      <c r="AE16" s="6">
        <v>2.73</v>
      </c>
      <c r="AF16" s="6">
        <v>1.93</v>
      </c>
      <c r="AG16" s="6">
        <v>3.35</v>
      </c>
      <c r="AH16" s="6">
        <v>3.07</v>
      </c>
      <c r="AI16" s="6">
        <v>3.12</v>
      </c>
      <c r="AJ16" s="6" t="s">
        <v>164</v>
      </c>
      <c r="AK16" s="6"/>
      <c r="AL16" s="6"/>
      <c r="AM16" s="3"/>
      <c r="AN16" s="3"/>
      <c r="AO16" s="6" t="s">
        <v>163</v>
      </c>
      <c r="AP16" s="19">
        <f>(2.248-2.22)/2.22</f>
        <v>1.2612612612612623E-2</v>
      </c>
      <c r="AQ16" s="19">
        <f>0.03/2.248</f>
        <v>1.3345195729537365E-2</v>
      </c>
      <c r="AR16" s="25">
        <v>3.26</v>
      </c>
      <c r="AS16" s="25">
        <v>3.27</v>
      </c>
      <c r="AT16" s="17">
        <f t="shared" si="0"/>
        <v>3.0581039755352389E-3</v>
      </c>
      <c r="AV16" s="1" t="s">
        <v>162</v>
      </c>
      <c r="AY16" s="20">
        <f>0.05/3.08</f>
        <v>1.6233766233766236E-2</v>
      </c>
    </row>
    <row r="17" spans="1:51" x14ac:dyDescent="0.2">
      <c r="A17" s="3" t="s">
        <v>161</v>
      </c>
      <c r="B17" s="6">
        <v>1.61</v>
      </c>
      <c r="C17" s="6">
        <v>1.45</v>
      </c>
      <c r="D17" s="6">
        <v>1.6</v>
      </c>
      <c r="E17" s="6">
        <v>1.35</v>
      </c>
      <c r="F17" s="6">
        <v>1.41</v>
      </c>
      <c r="G17" s="6">
        <v>1.27</v>
      </c>
      <c r="H17" s="6">
        <v>1.68</v>
      </c>
      <c r="I17" s="6">
        <v>1.85</v>
      </c>
      <c r="J17" s="6">
        <v>1.58</v>
      </c>
      <c r="K17" s="6">
        <v>1.79</v>
      </c>
      <c r="L17" s="6">
        <v>1.72</v>
      </c>
      <c r="M17" s="6">
        <v>1.24</v>
      </c>
      <c r="N17" s="6">
        <v>1.42</v>
      </c>
      <c r="O17" s="6">
        <v>1.22</v>
      </c>
      <c r="P17" s="6">
        <v>3.29</v>
      </c>
      <c r="Q17" s="6">
        <v>2.14</v>
      </c>
      <c r="R17" s="6">
        <v>2.36</v>
      </c>
      <c r="S17" s="6">
        <v>1.53</v>
      </c>
      <c r="T17" s="6">
        <v>2.29</v>
      </c>
      <c r="U17" s="6">
        <v>1.17</v>
      </c>
      <c r="V17" s="6">
        <v>3.34</v>
      </c>
      <c r="W17" s="6">
        <v>3.68</v>
      </c>
      <c r="X17" s="6">
        <v>3.13</v>
      </c>
      <c r="Y17" s="6">
        <v>2.5</v>
      </c>
      <c r="Z17" s="6">
        <v>2.83</v>
      </c>
      <c r="AA17" s="6">
        <v>1.32</v>
      </c>
      <c r="AB17" s="6">
        <v>1.02</v>
      </c>
      <c r="AC17" s="6">
        <v>2.02</v>
      </c>
      <c r="AD17" s="6">
        <v>3.25</v>
      </c>
      <c r="AE17" s="6">
        <v>2.23</v>
      </c>
      <c r="AF17" s="6">
        <v>1.33</v>
      </c>
      <c r="AG17" s="6">
        <v>0.8</v>
      </c>
      <c r="AH17" s="6">
        <v>0.72</v>
      </c>
      <c r="AI17" s="6">
        <v>0.8</v>
      </c>
      <c r="AJ17" s="6" t="s">
        <v>160</v>
      </c>
      <c r="AK17" s="6"/>
      <c r="AL17" s="6"/>
      <c r="AM17" s="3"/>
      <c r="AN17" s="3"/>
      <c r="AO17" s="6" t="s">
        <v>159</v>
      </c>
      <c r="AP17" s="19">
        <f>(0.5242-0.52)/0.52</f>
        <v>8.0769230769230406E-3</v>
      </c>
      <c r="AQ17" s="19">
        <f>0.0031/0.5242</f>
        <v>5.913773368943151E-3</v>
      </c>
      <c r="AR17" s="25">
        <v>1.72</v>
      </c>
      <c r="AS17" s="25">
        <v>1.69</v>
      </c>
      <c r="AT17" s="17">
        <f t="shared" si="0"/>
        <v>1.7751479289940846E-2</v>
      </c>
      <c r="AV17" s="1" t="s">
        <v>158</v>
      </c>
      <c r="AY17" s="20">
        <f>0.01/1.77</f>
        <v>5.6497175141242938E-3</v>
      </c>
    </row>
    <row r="18" spans="1:51" x14ac:dyDescent="0.2">
      <c r="A18" s="3" t="s">
        <v>157</v>
      </c>
      <c r="B18" s="6">
        <v>0.61</v>
      </c>
      <c r="C18" s="6">
        <v>0.47</v>
      </c>
      <c r="D18" s="6">
        <v>0.92</v>
      </c>
      <c r="E18" s="6">
        <v>0.441</v>
      </c>
      <c r="F18" s="6">
        <v>0.49299999999999999</v>
      </c>
      <c r="G18" s="6">
        <v>0.35399999999999998</v>
      </c>
      <c r="H18" s="6">
        <v>0.58699999999999997</v>
      </c>
      <c r="I18" s="6">
        <v>0.64500000000000002</v>
      </c>
      <c r="J18" s="6">
        <v>0.56499999999999995</v>
      </c>
      <c r="K18" s="6">
        <v>0.70099999999999996</v>
      </c>
      <c r="L18" s="6">
        <v>0.57999999999999996</v>
      </c>
      <c r="M18" s="6">
        <v>0.74</v>
      </c>
      <c r="N18" s="6">
        <v>0.76</v>
      </c>
      <c r="O18" s="6">
        <v>0.73</v>
      </c>
      <c r="P18" s="6">
        <v>0.74</v>
      </c>
      <c r="Q18" s="6">
        <v>0.88</v>
      </c>
      <c r="R18" s="6">
        <v>0.93</v>
      </c>
      <c r="S18" s="6">
        <v>0.94</v>
      </c>
      <c r="T18" s="6">
        <v>0.94</v>
      </c>
      <c r="U18" s="6">
        <v>0.89</v>
      </c>
      <c r="V18" s="6">
        <v>1.04</v>
      </c>
      <c r="W18" s="6">
        <v>1.06</v>
      </c>
      <c r="X18" s="6">
        <v>1.141</v>
      </c>
      <c r="Y18" s="6">
        <v>0.98699999999999999</v>
      </c>
      <c r="Z18" s="6">
        <v>1.1279999999999999</v>
      </c>
      <c r="AA18" s="6">
        <v>1.8320000000000001</v>
      </c>
      <c r="AB18" s="6">
        <v>1.25</v>
      </c>
      <c r="AC18" s="6">
        <v>0.83599999999999997</v>
      </c>
      <c r="AD18" s="6">
        <v>1.196</v>
      </c>
      <c r="AE18" s="6">
        <v>0.80900000000000005</v>
      </c>
      <c r="AF18" s="6">
        <v>2.1819999999999999</v>
      </c>
      <c r="AG18" s="6">
        <v>0.17699999999999999</v>
      </c>
      <c r="AH18" s="6">
        <v>0.20100000000000001</v>
      </c>
      <c r="AI18" s="6">
        <v>0.222</v>
      </c>
      <c r="AJ18" s="6" t="s">
        <v>156</v>
      </c>
      <c r="AK18" s="6"/>
      <c r="AL18" s="6"/>
      <c r="AM18" s="3"/>
      <c r="AN18" s="3"/>
      <c r="AO18" s="6" t="s">
        <v>155</v>
      </c>
      <c r="AP18" s="19">
        <f>(0.2708-0.27)/0.27</f>
        <v>2.9629629629628423E-3</v>
      </c>
      <c r="AQ18" s="19">
        <f>0.0026/0.2708</f>
        <v>9.6011816838995571E-3</v>
      </c>
      <c r="AR18" s="25">
        <v>0.36</v>
      </c>
      <c r="AS18" s="25">
        <v>0.36</v>
      </c>
      <c r="AT18" s="17">
        <f t="shared" si="0"/>
        <v>0</v>
      </c>
      <c r="AW18" s="3" t="s">
        <v>154</v>
      </c>
      <c r="AX18" s="9"/>
      <c r="AY18" s="20">
        <f>0.004/0.187</f>
        <v>2.1390374331550804E-2</v>
      </c>
    </row>
    <row r="19" spans="1:51" x14ac:dyDescent="0.2">
      <c r="A19" s="3" t="s">
        <v>153</v>
      </c>
      <c r="B19" s="6">
        <v>99.60260000000001</v>
      </c>
      <c r="C19" s="6">
        <v>99.268300000000025</v>
      </c>
      <c r="D19" s="6">
        <v>98.800399999999996</v>
      </c>
      <c r="E19" s="6">
        <v>99.422880000000006</v>
      </c>
      <c r="F19" s="6">
        <v>99.04416999999998</v>
      </c>
      <c r="G19" s="6">
        <v>98.952939999999998</v>
      </c>
      <c r="H19" s="6">
        <v>98.940230000000028</v>
      </c>
      <c r="I19" s="6">
        <v>98.382659999999987</v>
      </c>
      <c r="J19" s="6">
        <v>98.895709999999994</v>
      </c>
      <c r="K19" s="6">
        <v>99.079909999999984</v>
      </c>
      <c r="L19" s="6">
        <v>98.583240000000004</v>
      </c>
      <c r="M19" s="6">
        <v>97.997999999999976</v>
      </c>
      <c r="N19" s="6">
        <v>97.461399999999998</v>
      </c>
      <c r="O19" s="6">
        <v>98.109099999999998</v>
      </c>
      <c r="P19" s="6">
        <v>97.357899999999987</v>
      </c>
      <c r="Q19" s="6">
        <v>97.24460000000002</v>
      </c>
      <c r="R19" s="6">
        <v>97.763599999999997</v>
      </c>
      <c r="S19" s="6">
        <v>97.683500000000009</v>
      </c>
      <c r="T19" s="6">
        <v>98.348000000000013</v>
      </c>
      <c r="U19" s="6">
        <v>97.498899999999992</v>
      </c>
      <c r="V19" s="6">
        <v>98.275900000000007</v>
      </c>
      <c r="W19" s="6">
        <v>98.798000000000016</v>
      </c>
      <c r="X19" s="6">
        <v>98.459919999999997</v>
      </c>
      <c r="Y19" s="6">
        <v>98.444879999999998</v>
      </c>
      <c r="Z19" s="6">
        <v>98.966670000000008</v>
      </c>
      <c r="AA19" s="6">
        <v>98.904289999999975</v>
      </c>
      <c r="AB19" s="6">
        <v>98.771789999999967</v>
      </c>
      <c r="AC19" s="6">
        <v>98.866650000000007</v>
      </c>
      <c r="AD19" s="6">
        <v>99.208340000000021</v>
      </c>
      <c r="AE19" s="6">
        <v>98.168180000000007</v>
      </c>
      <c r="AF19" s="6">
        <v>98.165549999999996</v>
      </c>
      <c r="AG19" s="6">
        <v>99.997420000000005</v>
      </c>
      <c r="AH19" s="6">
        <v>99.509319999999988</v>
      </c>
      <c r="AI19" s="6">
        <v>99.595140000000015</v>
      </c>
      <c r="AJ19" s="6"/>
      <c r="AK19" s="6"/>
      <c r="AL19" s="6"/>
      <c r="AM19" s="3"/>
      <c r="AN19" s="3"/>
      <c r="AO19" s="6"/>
      <c r="AP19" s="19"/>
      <c r="AQ19" s="4"/>
      <c r="AR19" s="25"/>
      <c r="AS19" s="25"/>
      <c r="AT19" s="17"/>
      <c r="AY19" s="9"/>
    </row>
    <row r="20" spans="1:51" x14ac:dyDescent="0.2">
      <c r="A20" s="3" t="s">
        <v>152</v>
      </c>
      <c r="B20" s="6" t="s">
        <v>151</v>
      </c>
      <c r="C20" s="6" t="s">
        <v>151</v>
      </c>
      <c r="D20" s="6" t="s">
        <v>151</v>
      </c>
      <c r="E20" s="6">
        <v>-0.53</v>
      </c>
      <c r="F20" s="6">
        <v>-0.72</v>
      </c>
      <c r="G20" s="6">
        <v>-0.56000000000000005</v>
      </c>
      <c r="H20" s="6">
        <v>-0.55000000000000004</v>
      </c>
      <c r="I20" s="6">
        <v>-0.15</v>
      </c>
      <c r="J20" s="6">
        <v>-0.81</v>
      </c>
      <c r="K20" s="6">
        <v>-0.61</v>
      </c>
      <c r="L20" s="6">
        <v>-0.57999999999999996</v>
      </c>
      <c r="M20" s="6">
        <v>0.35</v>
      </c>
      <c r="N20" s="6">
        <v>0.32</v>
      </c>
      <c r="O20" s="6">
        <v>7.0000000000000007E-2</v>
      </c>
      <c r="P20" s="6">
        <v>0.72</v>
      </c>
      <c r="Q20" s="6">
        <v>0.69</v>
      </c>
      <c r="R20" s="6" t="s">
        <v>151</v>
      </c>
      <c r="S20" s="6">
        <v>0.28000000000000003</v>
      </c>
      <c r="T20" s="6">
        <v>0.03</v>
      </c>
      <c r="U20" s="6">
        <v>0.82</v>
      </c>
      <c r="V20" s="6" t="s">
        <v>151</v>
      </c>
      <c r="W20" s="6" t="s">
        <v>151</v>
      </c>
      <c r="X20" s="6">
        <v>-0.32</v>
      </c>
      <c r="Y20" s="6">
        <v>0.13</v>
      </c>
      <c r="Z20" s="6">
        <v>-0.31</v>
      </c>
      <c r="AA20" s="6">
        <v>-0.28000000000000003</v>
      </c>
      <c r="AB20" s="6">
        <v>-0.34</v>
      </c>
      <c r="AC20" s="6">
        <v>-0.04</v>
      </c>
      <c r="AD20" s="6">
        <v>-0.19</v>
      </c>
      <c r="AE20" s="6">
        <v>0.27</v>
      </c>
      <c r="AF20" s="6">
        <v>-1.0900000000000001</v>
      </c>
      <c r="AG20" s="6">
        <v>-0.41</v>
      </c>
      <c r="AH20" s="6">
        <v>-0.06</v>
      </c>
      <c r="AI20" s="6">
        <v>-0.1</v>
      </c>
      <c r="AJ20" s="6"/>
      <c r="AK20" s="6"/>
      <c r="AL20" s="6"/>
      <c r="AM20" s="3"/>
      <c r="AN20" s="3"/>
      <c r="AO20" s="6"/>
      <c r="AP20" s="19"/>
      <c r="AQ20" s="4"/>
      <c r="AR20" s="25"/>
      <c r="AS20" s="25"/>
      <c r="AT20" s="17"/>
      <c r="AY20" s="9"/>
    </row>
    <row r="21" spans="1:51" x14ac:dyDescent="0.2">
      <c r="A21" s="1" t="s">
        <v>150</v>
      </c>
      <c r="B21" s="25">
        <v>0.7</v>
      </c>
      <c r="C21" s="25">
        <v>0.6</v>
      </c>
      <c r="D21" s="25">
        <v>0.6</v>
      </c>
      <c r="E21" s="25" t="s">
        <v>149</v>
      </c>
      <c r="F21" s="25" t="s">
        <v>149</v>
      </c>
      <c r="G21" s="25" t="s">
        <v>149</v>
      </c>
      <c r="H21" s="25" t="s">
        <v>149</v>
      </c>
      <c r="I21" s="25" t="s">
        <v>149</v>
      </c>
      <c r="J21" s="25" t="s">
        <v>149</v>
      </c>
      <c r="K21" s="25" t="s">
        <v>149</v>
      </c>
      <c r="L21" s="25" t="s">
        <v>149</v>
      </c>
      <c r="M21" s="25" t="s">
        <v>149</v>
      </c>
      <c r="N21" s="25">
        <v>1.1000000000000001</v>
      </c>
      <c r="O21" s="25">
        <v>1.3</v>
      </c>
      <c r="P21" s="25">
        <v>1.3</v>
      </c>
      <c r="Q21" s="25">
        <v>1.6</v>
      </c>
      <c r="R21" s="25">
        <v>0.8</v>
      </c>
      <c r="S21" s="25">
        <v>1</v>
      </c>
      <c r="T21" s="25">
        <v>0.8</v>
      </c>
      <c r="U21" s="25">
        <v>1.7</v>
      </c>
      <c r="V21" s="25">
        <v>1</v>
      </c>
      <c r="W21" s="25">
        <v>1.1000000000000001</v>
      </c>
      <c r="X21" s="25" t="s">
        <v>149</v>
      </c>
      <c r="Y21" s="25" t="s">
        <v>149</v>
      </c>
      <c r="Z21" s="25" t="s">
        <v>149</v>
      </c>
      <c r="AA21" s="25" t="s">
        <v>149</v>
      </c>
      <c r="AB21" s="25" t="s">
        <v>149</v>
      </c>
      <c r="AC21" s="25" t="s">
        <v>149</v>
      </c>
      <c r="AD21" s="25" t="s">
        <v>149</v>
      </c>
      <c r="AE21" s="25" t="s">
        <v>149</v>
      </c>
      <c r="AF21" s="25" t="s">
        <v>149</v>
      </c>
      <c r="AG21" s="25" t="s">
        <v>149</v>
      </c>
      <c r="AH21" s="25" t="s">
        <v>149</v>
      </c>
      <c r="AI21" s="25" t="s">
        <v>149</v>
      </c>
      <c r="AP21" s="25"/>
      <c r="AQ21" s="25"/>
      <c r="AR21" s="25"/>
      <c r="AS21" s="25"/>
      <c r="AT21" s="17"/>
    </row>
    <row r="22" spans="1:51" x14ac:dyDescent="0.2">
      <c r="A22" s="3" t="s">
        <v>148</v>
      </c>
      <c r="B22" s="6">
        <v>48.466919239870663</v>
      </c>
      <c r="C22" s="6">
        <v>52.432557605737315</v>
      </c>
      <c r="D22" s="6">
        <v>38.320162792688123</v>
      </c>
      <c r="E22" s="6">
        <v>51.349195340991685</v>
      </c>
      <c r="F22" s="6">
        <v>49.842509334028286</v>
      </c>
      <c r="G22" s="6">
        <v>51.806333287735264</v>
      </c>
      <c r="H22" s="6">
        <v>47.969994774583668</v>
      </c>
      <c r="I22" s="6">
        <v>44.953152014197208</v>
      </c>
      <c r="J22" s="6">
        <v>45.507219826894278</v>
      </c>
      <c r="K22" s="6">
        <v>42.726239724967542</v>
      </c>
      <c r="L22" s="6">
        <v>48.310424883636458</v>
      </c>
      <c r="M22" s="6">
        <v>41.875747170686331</v>
      </c>
      <c r="N22" s="6">
        <v>41.527150046735514</v>
      </c>
      <c r="O22" s="6">
        <v>40.531690714014388</v>
      </c>
      <c r="P22" s="6">
        <v>42.539480843235786</v>
      </c>
      <c r="Q22" s="6">
        <v>32.003270489565374</v>
      </c>
      <c r="R22" s="6">
        <v>32.895120821590396</v>
      </c>
      <c r="S22" s="6">
        <v>33.637172746369302</v>
      </c>
      <c r="T22" s="6">
        <v>33.161624631682471</v>
      </c>
      <c r="U22" s="6">
        <v>37.777283728382763</v>
      </c>
      <c r="V22" s="6">
        <v>26.281545950481977</v>
      </c>
      <c r="W22" s="6">
        <v>26.281545950481966</v>
      </c>
      <c r="X22" s="6">
        <v>24.288740299466436</v>
      </c>
      <c r="Y22" s="6">
        <v>35.247397146675418</v>
      </c>
      <c r="Z22" s="6">
        <v>31.753375038049182</v>
      </c>
      <c r="AA22" s="6">
        <v>34.09437930770514</v>
      </c>
      <c r="AB22" s="6">
        <v>35.718178884331678</v>
      </c>
      <c r="AC22" s="6">
        <v>39.827170493862624</v>
      </c>
      <c r="AD22" s="6">
        <v>26.425847627075765</v>
      </c>
      <c r="AE22" s="6">
        <v>38.320677741090023</v>
      </c>
      <c r="AF22" s="6">
        <v>26.720248718261217</v>
      </c>
      <c r="AG22" s="6">
        <v>51.642068951476801</v>
      </c>
      <c r="AH22" s="6">
        <v>55.127221922546354</v>
      </c>
      <c r="AI22" s="6">
        <v>54.649724077722631</v>
      </c>
      <c r="AJ22" s="6"/>
      <c r="AK22" s="6"/>
      <c r="AL22" s="6"/>
      <c r="AM22" s="3"/>
      <c r="AN22" s="3"/>
      <c r="AO22" s="6"/>
      <c r="AP22" s="19"/>
      <c r="AQ22" s="4"/>
      <c r="AR22" s="25"/>
      <c r="AS22" s="25"/>
      <c r="AT22" s="17"/>
      <c r="AY22" s="9"/>
    </row>
    <row r="23" spans="1:51" x14ac:dyDescent="0.2">
      <c r="A23" s="3" t="s">
        <v>147</v>
      </c>
      <c r="B23" s="6">
        <f t="shared" ref="B23:AI23" si="1">B12+0.8998*B11</f>
        <v>15.75081748</v>
      </c>
      <c r="C23" s="6">
        <f t="shared" si="1"/>
        <v>16.381096339999999</v>
      </c>
      <c r="D23" s="6">
        <f t="shared" si="1"/>
        <v>15.390961920000002</v>
      </c>
      <c r="E23" s="6">
        <f t="shared" si="1"/>
        <v>14.265992824</v>
      </c>
      <c r="F23" s="6">
        <f t="shared" si="1"/>
        <v>16.156091566000001</v>
      </c>
      <c r="G23" s="6">
        <f t="shared" si="1"/>
        <v>15.715167012000002</v>
      </c>
      <c r="H23" s="6">
        <f t="shared" si="1"/>
        <v>14.751933154</v>
      </c>
      <c r="I23" s="6">
        <f t="shared" si="1"/>
        <v>14.112711067999999</v>
      </c>
      <c r="J23" s="6">
        <f t="shared" si="1"/>
        <v>16.750236657999999</v>
      </c>
      <c r="K23" s="6">
        <f t="shared" si="1"/>
        <v>15.021911818000001</v>
      </c>
      <c r="L23" s="6">
        <f t="shared" si="1"/>
        <v>14.625990152</v>
      </c>
      <c r="M23" s="6">
        <f t="shared" si="1"/>
        <v>14.130726399999999</v>
      </c>
      <c r="N23" s="6">
        <f t="shared" si="1"/>
        <v>14.40085972</v>
      </c>
      <c r="O23" s="6">
        <f t="shared" si="1"/>
        <v>13.77077418</v>
      </c>
      <c r="P23" s="6">
        <f t="shared" si="1"/>
        <v>13.59055642</v>
      </c>
      <c r="Q23" s="6">
        <f t="shared" si="1"/>
        <v>13.14075308</v>
      </c>
      <c r="R23" s="6">
        <f t="shared" si="1"/>
        <v>13.86091528</v>
      </c>
      <c r="S23" s="6">
        <f t="shared" si="1"/>
        <v>13.590685299999999</v>
      </c>
      <c r="T23" s="6">
        <f t="shared" si="1"/>
        <v>14.0407464</v>
      </c>
      <c r="U23" s="6">
        <f t="shared" si="1"/>
        <v>13.050354219999999</v>
      </c>
      <c r="V23" s="6">
        <f t="shared" si="1"/>
        <v>14.760940819999998</v>
      </c>
      <c r="W23" s="6">
        <f t="shared" si="1"/>
        <v>14.220706400000001</v>
      </c>
      <c r="X23" s="6">
        <f t="shared" si="1"/>
        <v>15.741780815999999</v>
      </c>
      <c r="Y23" s="6">
        <f t="shared" si="1"/>
        <v>14.670580624000001</v>
      </c>
      <c r="Z23" s="6">
        <f t="shared" si="1"/>
        <v>13.878792066000001</v>
      </c>
      <c r="AA23" s="6">
        <f t="shared" si="1"/>
        <v>17.604795341999999</v>
      </c>
      <c r="AB23" s="6">
        <f t="shared" si="1"/>
        <v>16.975096442000002</v>
      </c>
      <c r="AC23" s="6">
        <f t="shared" si="1"/>
        <v>13.932722070000001</v>
      </c>
      <c r="AD23" s="6">
        <f t="shared" si="1"/>
        <v>14.211727732</v>
      </c>
      <c r="AE23" s="6">
        <f t="shared" si="1"/>
        <v>13.383769963999999</v>
      </c>
      <c r="AF23" s="6">
        <f t="shared" si="1"/>
        <v>25.67836629</v>
      </c>
      <c r="AG23" s="6">
        <f t="shared" si="1"/>
        <v>9.5497069159999999</v>
      </c>
      <c r="AH23" s="6">
        <f t="shared" si="1"/>
        <v>10.071623135999999</v>
      </c>
      <c r="AI23" s="6">
        <f t="shared" si="1"/>
        <v>10.521645571999999</v>
      </c>
      <c r="AJ23" s="6"/>
      <c r="AK23" s="6"/>
      <c r="AL23" s="6"/>
      <c r="AM23" s="3"/>
      <c r="AN23" s="3"/>
      <c r="AO23" s="6"/>
      <c r="AP23" s="19"/>
      <c r="AQ23" s="4"/>
      <c r="AR23" s="25"/>
      <c r="AS23" s="25"/>
      <c r="AT23" s="17"/>
      <c r="AY23" s="9"/>
    </row>
    <row r="24" spans="1:51" x14ac:dyDescent="0.2">
      <c r="A24" s="3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3"/>
      <c r="AN24" s="3"/>
      <c r="AO24" s="6"/>
      <c r="AP24" s="19"/>
      <c r="AQ24" s="4"/>
      <c r="AR24" s="25"/>
      <c r="AS24" s="25"/>
      <c r="AT24" s="17"/>
      <c r="AY24" s="9"/>
    </row>
    <row r="25" spans="1:51" x14ac:dyDescent="0.2">
      <c r="A25" s="3" t="s">
        <v>146</v>
      </c>
      <c r="B25" s="5">
        <v>63</v>
      </c>
      <c r="C25" s="5">
        <v>37</v>
      </c>
      <c r="D25" s="5">
        <v>48</v>
      </c>
      <c r="E25" s="5">
        <v>48</v>
      </c>
      <c r="F25" s="5">
        <v>46</v>
      </c>
      <c r="G25" s="5">
        <v>54</v>
      </c>
      <c r="H25" s="5">
        <v>79</v>
      </c>
      <c r="I25" s="5">
        <v>48</v>
      </c>
      <c r="J25" s="5">
        <v>25</v>
      </c>
      <c r="K25" s="5">
        <v>55</v>
      </c>
      <c r="L25" s="5">
        <v>56</v>
      </c>
      <c r="M25" s="5">
        <v>39</v>
      </c>
      <c r="N25" s="5">
        <v>42</v>
      </c>
      <c r="O25" s="5">
        <v>39</v>
      </c>
      <c r="P25" s="5">
        <v>39</v>
      </c>
      <c r="Q25" s="5">
        <v>24</v>
      </c>
      <c r="R25" s="5">
        <v>30</v>
      </c>
      <c r="S25" s="5">
        <v>26</v>
      </c>
      <c r="T25" s="5">
        <v>29</v>
      </c>
      <c r="U25" s="5">
        <v>39</v>
      </c>
      <c r="V25" s="21" t="s">
        <v>145</v>
      </c>
      <c r="W25" s="21" t="s">
        <v>145</v>
      </c>
      <c r="X25" s="5">
        <v>7</v>
      </c>
      <c r="Y25" s="5">
        <v>32</v>
      </c>
      <c r="Z25" s="5">
        <v>13</v>
      </c>
      <c r="AA25" s="5">
        <v>6</v>
      </c>
      <c r="AB25" s="5">
        <v>45</v>
      </c>
      <c r="AC25" s="5">
        <v>43</v>
      </c>
      <c r="AD25" s="5">
        <v>7</v>
      </c>
      <c r="AE25" s="5">
        <v>39</v>
      </c>
      <c r="AF25" s="5">
        <v>12</v>
      </c>
      <c r="AG25" s="5">
        <v>35</v>
      </c>
      <c r="AH25" s="5">
        <v>80</v>
      </c>
      <c r="AI25" s="5">
        <v>51</v>
      </c>
      <c r="AJ25" s="5" t="s">
        <v>144</v>
      </c>
      <c r="AK25" s="5"/>
      <c r="AL25" s="5"/>
      <c r="AM25" s="3"/>
      <c r="AN25" s="3"/>
      <c r="AO25" s="5" t="s">
        <v>143</v>
      </c>
      <c r="AP25" s="19">
        <f>(295-280)/280</f>
        <v>5.3571428571428568E-2</v>
      </c>
      <c r="AQ25" s="19">
        <f>6/295</f>
        <v>2.0338983050847456E-2</v>
      </c>
      <c r="AR25" s="24">
        <v>18</v>
      </c>
      <c r="AS25" s="24">
        <v>16</v>
      </c>
      <c r="AT25" s="17">
        <f t="shared" ref="AT25:AT59" si="2">ABS(AR25-AS25)/AS25</f>
        <v>0.125</v>
      </c>
      <c r="AX25" s="2" t="s">
        <v>142</v>
      </c>
      <c r="AY25" s="20">
        <f>4.21/185.2</f>
        <v>2.2732181425485963E-2</v>
      </c>
    </row>
    <row r="26" spans="1:51" x14ac:dyDescent="0.2">
      <c r="A26" s="3" t="s">
        <v>141</v>
      </c>
      <c r="B26" s="21">
        <v>72.2</v>
      </c>
      <c r="C26" s="21">
        <v>88.4</v>
      </c>
      <c r="D26" s="21">
        <v>56.9</v>
      </c>
      <c r="E26" s="21">
        <v>61.27</v>
      </c>
      <c r="F26" s="21">
        <v>69.33</v>
      </c>
      <c r="G26" s="21">
        <v>67.2</v>
      </c>
      <c r="H26" s="21">
        <v>52.05</v>
      </c>
      <c r="I26" s="21">
        <v>47.49</v>
      </c>
      <c r="J26" s="21">
        <v>65.260000000000005</v>
      </c>
      <c r="K26" s="21">
        <v>48.38</v>
      </c>
      <c r="L26" s="21">
        <v>55.1</v>
      </c>
      <c r="M26" s="21">
        <v>55.6</v>
      </c>
      <c r="N26" s="21">
        <v>65.3</v>
      </c>
      <c r="O26" s="21">
        <v>51.9</v>
      </c>
      <c r="P26" s="21">
        <v>52</v>
      </c>
      <c r="Q26" s="21">
        <v>39.200000000000003</v>
      </c>
      <c r="R26" s="21">
        <v>50.2</v>
      </c>
      <c r="S26" s="21">
        <v>45.1</v>
      </c>
      <c r="T26" s="21">
        <v>50.5</v>
      </c>
      <c r="U26" s="21">
        <v>42.2</v>
      </c>
      <c r="V26" s="21">
        <v>43.1</v>
      </c>
      <c r="W26" s="21">
        <v>43.7</v>
      </c>
      <c r="X26" s="21">
        <v>22.47</v>
      </c>
      <c r="Y26" s="21">
        <v>37.18</v>
      </c>
      <c r="Z26" s="21">
        <v>33.14</v>
      </c>
      <c r="AA26" s="21">
        <v>44.91</v>
      </c>
      <c r="AB26" s="21">
        <v>48.94</v>
      </c>
      <c r="AC26" s="21">
        <v>42.51</v>
      </c>
      <c r="AD26" s="21">
        <v>28.88</v>
      </c>
      <c r="AE26" s="21">
        <v>36.89</v>
      </c>
      <c r="AF26" s="21">
        <v>55.43</v>
      </c>
      <c r="AG26" s="21">
        <v>42.83</v>
      </c>
      <c r="AH26" s="21">
        <v>49.52</v>
      </c>
      <c r="AI26" s="21">
        <v>51.74</v>
      </c>
      <c r="AJ26" s="5" t="s">
        <v>140</v>
      </c>
      <c r="AK26" s="5"/>
      <c r="AL26" s="5"/>
      <c r="AM26" s="3"/>
      <c r="AN26" s="3"/>
      <c r="AO26" s="5" t="s">
        <v>139</v>
      </c>
      <c r="AP26" s="19">
        <f>(45.4-45)/45</f>
        <v>8.8888888888888577E-3</v>
      </c>
      <c r="AQ26" s="19">
        <f>1.1/45.4</f>
        <v>2.4229074889867846E-2</v>
      </c>
      <c r="AR26" s="24">
        <v>37.799999999999997</v>
      </c>
      <c r="AS26" s="24">
        <v>37</v>
      </c>
      <c r="AT26" s="17">
        <f t="shared" si="2"/>
        <v>2.1621621621621546E-2</v>
      </c>
      <c r="AX26" s="2" t="s">
        <v>138</v>
      </c>
      <c r="AY26" s="20">
        <f>0.43/25.16</f>
        <v>1.7090620031796504E-2</v>
      </c>
    </row>
    <row r="27" spans="1:51" x14ac:dyDescent="0.2">
      <c r="A27" s="3" t="s">
        <v>137</v>
      </c>
      <c r="B27" s="5">
        <v>56</v>
      </c>
      <c r="C27" s="5">
        <v>95</v>
      </c>
      <c r="D27" s="5">
        <v>27</v>
      </c>
      <c r="E27" s="5">
        <v>71.3</v>
      </c>
      <c r="F27" s="5">
        <v>94.9</v>
      </c>
      <c r="G27" s="5">
        <v>83</v>
      </c>
      <c r="H27" s="5">
        <v>48.6</v>
      </c>
      <c r="I27" s="5">
        <v>39.6</v>
      </c>
      <c r="J27" s="5">
        <v>74.5</v>
      </c>
      <c r="K27" s="5">
        <v>36</v>
      </c>
      <c r="L27" s="5">
        <v>56.1</v>
      </c>
      <c r="M27" s="5">
        <v>36</v>
      </c>
      <c r="N27" s="5">
        <v>40</v>
      </c>
      <c r="O27" s="5">
        <v>35</v>
      </c>
      <c r="P27" s="5">
        <v>36</v>
      </c>
      <c r="Q27" s="5">
        <v>13</v>
      </c>
      <c r="R27" s="5">
        <v>22</v>
      </c>
      <c r="S27" s="5">
        <v>16</v>
      </c>
      <c r="T27" s="5">
        <v>21</v>
      </c>
      <c r="U27" s="5">
        <v>18</v>
      </c>
      <c r="V27" s="5">
        <v>11</v>
      </c>
      <c r="W27" s="5">
        <v>8</v>
      </c>
      <c r="X27" s="5">
        <v>2.6</v>
      </c>
      <c r="Y27" s="5">
        <v>18.3</v>
      </c>
      <c r="Z27" s="5">
        <v>13.7</v>
      </c>
      <c r="AA27" s="5">
        <v>16.3</v>
      </c>
      <c r="AB27" s="5">
        <v>25.4</v>
      </c>
      <c r="AC27" s="5">
        <v>31.4</v>
      </c>
      <c r="AD27" s="5">
        <v>5.3</v>
      </c>
      <c r="AE27" s="5">
        <v>24.3</v>
      </c>
      <c r="AF27" s="5">
        <v>8.1999999999999993</v>
      </c>
      <c r="AG27" s="5">
        <v>57.6</v>
      </c>
      <c r="AH27" s="5">
        <v>68.400000000000006</v>
      </c>
      <c r="AI27" s="5">
        <v>76.900000000000006</v>
      </c>
      <c r="AJ27" s="5" t="s">
        <v>136</v>
      </c>
      <c r="AK27" s="5"/>
      <c r="AL27" s="5"/>
      <c r="AM27" s="3"/>
      <c r="AN27" s="3"/>
      <c r="AO27" s="5" t="s">
        <v>135</v>
      </c>
      <c r="AP27" s="19">
        <f>(122-119)/119</f>
        <v>2.5210084033613446E-2</v>
      </c>
      <c r="AQ27" s="19">
        <f>10/122</f>
        <v>8.1967213114754092E-2</v>
      </c>
      <c r="AR27" s="24">
        <v>12</v>
      </c>
      <c r="AS27" s="24">
        <v>13</v>
      </c>
      <c r="AT27" s="17">
        <f t="shared" si="2"/>
        <v>7.6923076923076927E-2</v>
      </c>
      <c r="AX27" s="2" t="s">
        <v>134</v>
      </c>
      <c r="AY27" s="20">
        <f>1.69/73.76</f>
        <v>2.2912147505422992E-2</v>
      </c>
    </row>
    <row r="28" spans="1:51" x14ac:dyDescent="0.2">
      <c r="A28" s="3" t="s">
        <v>133</v>
      </c>
      <c r="B28" s="21">
        <v>26</v>
      </c>
      <c r="C28" s="21">
        <v>18</v>
      </c>
      <c r="D28" s="21">
        <v>28</v>
      </c>
      <c r="E28" s="21">
        <v>16</v>
      </c>
      <c r="F28" s="21">
        <v>17.5</v>
      </c>
      <c r="G28" s="21">
        <v>16.899999999999999</v>
      </c>
      <c r="H28" s="21">
        <v>23.1</v>
      </c>
      <c r="I28" s="21">
        <v>23.1</v>
      </c>
      <c r="J28" s="21">
        <v>18.2</v>
      </c>
      <c r="K28" s="21">
        <v>24.2</v>
      </c>
      <c r="L28" s="21">
        <v>22.7</v>
      </c>
      <c r="M28" s="21">
        <v>24</v>
      </c>
      <c r="N28" s="21">
        <v>26</v>
      </c>
      <c r="O28" s="21">
        <v>24</v>
      </c>
      <c r="P28" s="21">
        <v>25</v>
      </c>
      <c r="Q28" s="21">
        <v>24</v>
      </c>
      <c r="R28" s="21">
        <v>27</v>
      </c>
      <c r="S28" s="21">
        <v>26</v>
      </c>
      <c r="T28" s="21">
        <v>26</v>
      </c>
      <c r="U28" s="21">
        <v>26</v>
      </c>
      <c r="V28" s="21">
        <v>30</v>
      </c>
      <c r="W28" s="21">
        <v>27</v>
      </c>
      <c r="X28" s="21">
        <v>34.200000000000003</v>
      </c>
      <c r="Y28" s="21">
        <v>27.9</v>
      </c>
      <c r="Z28" s="21">
        <v>23.4</v>
      </c>
      <c r="AA28" s="21">
        <v>29.7</v>
      </c>
      <c r="AB28" s="21">
        <v>29.3</v>
      </c>
      <c r="AC28" s="21">
        <v>25</v>
      </c>
      <c r="AD28" s="21">
        <v>27.1</v>
      </c>
      <c r="AE28" s="21">
        <v>24.7</v>
      </c>
      <c r="AF28" s="21">
        <v>47</v>
      </c>
      <c r="AG28" s="21">
        <v>10.199999999999999</v>
      </c>
      <c r="AH28" s="21">
        <v>10.1</v>
      </c>
      <c r="AI28" s="21">
        <v>10.6</v>
      </c>
      <c r="AJ28" s="5" t="s">
        <v>132</v>
      </c>
      <c r="AK28" s="5"/>
      <c r="AL28" s="5"/>
      <c r="AM28" s="3"/>
      <c r="AN28" s="3"/>
      <c r="AO28" s="5" t="s">
        <v>131</v>
      </c>
      <c r="AP28" s="19">
        <f>(32.2-32)/32</f>
        <v>6.2500000000000888E-3</v>
      </c>
      <c r="AQ28" s="19">
        <f>0.8/32.2</f>
        <v>2.4844720496894408E-2</v>
      </c>
      <c r="AR28" s="24">
        <v>32</v>
      </c>
      <c r="AS28" s="24">
        <v>32.6</v>
      </c>
      <c r="AT28" s="17">
        <f t="shared" si="2"/>
        <v>1.8404907975460166E-2</v>
      </c>
      <c r="AX28" s="2" t="s">
        <v>130</v>
      </c>
      <c r="AY28" s="20">
        <f>0.37/15.32</f>
        <v>2.4151436031331592E-2</v>
      </c>
    </row>
    <row r="29" spans="1:51" x14ac:dyDescent="0.2">
      <c r="A29" s="3" t="s">
        <v>129</v>
      </c>
      <c r="B29" s="5">
        <v>160</v>
      </c>
      <c r="C29" s="5">
        <v>104</v>
      </c>
      <c r="D29" s="5">
        <v>196</v>
      </c>
      <c r="E29" s="5">
        <v>101</v>
      </c>
      <c r="F29" s="5">
        <v>111.7</v>
      </c>
      <c r="G29" s="5">
        <v>101.1</v>
      </c>
      <c r="H29" s="5">
        <v>157.5</v>
      </c>
      <c r="I29" s="5">
        <v>173.2</v>
      </c>
      <c r="J29" s="5">
        <v>120.9</v>
      </c>
      <c r="K29" s="5">
        <v>181.8</v>
      </c>
      <c r="L29" s="5">
        <v>150.30000000000001</v>
      </c>
      <c r="M29" s="5">
        <v>154</v>
      </c>
      <c r="N29" s="5">
        <v>165</v>
      </c>
      <c r="O29" s="5">
        <v>153</v>
      </c>
      <c r="P29" s="5">
        <v>156</v>
      </c>
      <c r="Q29" s="5">
        <v>159</v>
      </c>
      <c r="R29" s="5">
        <v>173</v>
      </c>
      <c r="S29" s="5">
        <v>167</v>
      </c>
      <c r="T29" s="5">
        <v>170</v>
      </c>
      <c r="U29" s="5">
        <v>176</v>
      </c>
      <c r="V29" s="5">
        <v>113</v>
      </c>
      <c r="W29" s="5">
        <v>104</v>
      </c>
      <c r="X29" s="5">
        <v>70.599999999999994</v>
      </c>
      <c r="Y29" s="5">
        <v>174.8</v>
      </c>
      <c r="Z29" s="5">
        <v>171.6</v>
      </c>
      <c r="AA29" s="5">
        <v>242.6</v>
      </c>
      <c r="AB29" s="5">
        <v>264.10000000000002</v>
      </c>
      <c r="AC29" s="5">
        <v>161.69999999999999</v>
      </c>
      <c r="AD29" s="5">
        <v>98</v>
      </c>
      <c r="AE29" s="5">
        <v>160.19999999999999</v>
      </c>
      <c r="AF29" s="5">
        <v>121.3</v>
      </c>
      <c r="AG29" s="5">
        <v>69.7</v>
      </c>
      <c r="AH29" s="5">
        <v>95</v>
      </c>
      <c r="AI29" s="5">
        <v>94.5</v>
      </c>
      <c r="AJ29" s="5" t="s">
        <v>128</v>
      </c>
      <c r="AK29" s="5"/>
      <c r="AL29" s="5"/>
      <c r="AM29" s="3"/>
      <c r="AN29" s="3"/>
      <c r="AO29" s="5" t="s">
        <v>127</v>
      </c>
      <c r="AP29" s="19">
        <f>(320-317)/317</f>
        <v>9.4637223974763408E-3</v>
      </c>
      <c r="AQ29" s="19">
        <f>6/320</f>
        <v>1.8749999999999999E-2</v>
      </c>
      <c r="AR29" s="24">
        <v>407</v>
      </c>
      <c r="AS29" s="24">
        <v>407</v>
      </c>
      <c r="AT29" s="17">
        <f t="shared" si="2"/>
        <v>0</v>
      </c>
      <c r="AX29" s="2" t="s">
        <v>126</v>
      </c>
      <c r="AY29" s="20">
        <f>2.83/134</f>
        <v>2.1119402985074628E-2</v>
      </c>
    </row>
    <row r="30" spans="1:51" x14ac:dyDescent="0.2">
      <c r="A30" s="3" t="s">
        <v>125</v>
      </c>
      <c r="B30" s="21">
        <v>35</v>
      </c>
      <c r="C30" s="21">
        <v>31</v>
      </c>
      <c r="D30" s="21">
        <v>39</v>
      </c>
      <c r="E30" s="21">
        <v>14.4</v>
      </c>
      <c r="F30" s="21">
        <v>33.1</v>
      </c>
      <c r="G30" s="21">
        <v>21.6</v>
      </c>
      <c r="H30" s="21">
        <v>18.399999999999999</v>
      </c>
      <c r="I30" s="21">
        <v>21.8</v>
      </c>
      <c r="J30" s="21">
        <v>23.1</v>
      </c>
      <c r="K30" s="21">
        <v>23.8</v>
      </c>
      <c r="L30" s="21">
        <v>22.4</v>
      </c>
      <c r="M30" s="21">
        <v>35</v>
      </c>
      <c r="N30" s="21">
        <v>38</v>
      </c>
      <c r="O30" s="21">
        <v>34</v>
      </c>
      <c r="P30" s="21">
        <v>38</v>
      </c>
      <c r="Q30" s="21">
        <v>43</v>
      </c>
      <c r="R30" s="21">
        <v>36</v>
      </c>
      <c r="S30" s="21">
        <v>33</v>
      </c>
      <c r="T30" s="21">
        <v>36</v>
      </c>
      <c r="U30" s="21">
        <v>61</v>
      </c>
      <c r="V30" s="21">
        <v>34</v>
      </c>
      <c r="W30" s="21">
        <v>30</v>
      </c>
      <c r="X30" s="21">
        <v>15.4</v>
      </c>
      <c r="Y30" s="21">
        <v>29.9</v>
      </c>
      <c r="Z30" s="21">
        <v>32.6</v>
      </c>
      <c r="AA30" s="21">
        <v>42.2</v>
      </c>
      <c r="AB30" s="21">
        <v>40.700000000000003</v>
      </c>
      <c r="AC30" s="21">
        <v>30.6</v>
      </c>
      <c r="AD30" s="21">
        <v>28.8</v>
      </c>
      <c r="AE30" s="21">
        <v>27.8</v>
      </c>
      <c r="AF30" s="21">
        <v>57.3</v>
      </c>
      <c r="AG30" s="21">
        <v>14.8</v>
      </c>
      <c r="AH30" s="21">
        <v>9.1</v>
      </c>
      <c r="AI30" s="21">
        <v>14</v>
      </c>
      <c r="AJ30" s="5" t="s">
        <v>124</v>
      </c>
      <c r="AK30" s="5"/>
      <c r="AL30" s="5"/>
      <c r="AM30" s="3"/>
      <c r="AN30" s="3"/>
      <c r="AO30" s="5" t="s">
        <v>123</v>
      </c>
      <c r="AP30" s="19">
        <f>(132.7-127)/127</f>
        <v>4.4881889763779437E-2</v>
      </c>
      <c r="AQ30" s="19">
        <f>2.6/132.7</f>
        <v>1.9593067068575738E-2</v>
      </c>
      <c r="AR30" s="24">
        <v>21</v>
      </c>
      <c r="AS30" s="24">
        <v>19</v>
      </c>
      <c r="AT30" s="17">
        <f t="shared" si="2"/>
        <v>0.10526315789473684</v>
      </c>
      <c r="AX30" s="2" t="s">
        <v>122</v>
      </c>
      <c r="AY30" s="20">
        <f>8.28/361</f>
        <v>2.2936288088642658E-2</v>
      </c>
    </row>
    <row r="31" spans="1:51" x14ac:dyDescent="0.2">
      <c r="A31" s="3" t="s">
        <v>121</v>
      </c>
      <c r="B31" s="5">
        <v>186</v>
      </c>
      <c r="C31" s="5">
        <v>174</v>
      </c>
      <c r="D31" s="5">
        <v>190</v>
      </c>
      <c r="E31" s="5">
        <v>148</v>
      </c>
      <c r="F31" s="5">
        <v>173</v>
      </c>
      <c r="G31" s="5">
        <v>159.80000000000001</v>
      </c>
      <c r="H31" s="5">
        <v>166.8</v>
      </c>
      <c r="I31" s="5">
        <v>165.8</v>
      </c>
      <c r="J31" s="5">
        <v>185.1</v>
      </c>
      <c r="K31" s="5">
        <v>167.4</v>
      </c>
      <c r="L31" s="5">
        <v>159.6</v>
      </c>
      <c r="M31" s="5">
        <v>172</v>
      </c>
      <c r="N31" s="5">
        <v>187</v>
      </c>
      <c r="O31" s="5">
        <v>174</v>
      </c>
      <c r="P31" s="5">
        <v>200</v>
      </c>
      <c r="Q31" s="5">
        <v>196</v>
      </c>
      <c r="R31" s="5">
        <v>201</v>
      </c>
      <c r="S31" s="5">
        <v>190</v>
      </c>
      <c r="T31" s="5">
        <v>188</v>
      </c>
      <c r="U31" s="5">
        <v>160</v>
      </c>
      <c r="V31" s="5">
        <v>243</v>
      </c>
      <c r="W31" s="5">
        <v>241</v>
      </c>
      <c r="X31" s="5">
        <v>230.6</v>
      </c>
      <c r="Y31" s="5">
        <v>195.2</v>
      </c>
      <c r="Z31" s="5">
        <v>201.6</v>
      </c>
      <c r="AA31" s="5">
        <v>235.6</v>
      </c>
      <c r="AB31" s="5">
        <v>215.1</v>
      </c>
      <c r="AC31" s="5">
        <v>179.2</v>
      </c>
      <c r="AD31" s="5">
        <v>204.9</v>
      </c>
      <c r="AE31" s="5">
        <v>174.8</v>
      </c>
      <c r="AF31" s="5">
        <v>293.39999999999998</v>
      </c>
      <c r="AG31" s="5">
        <v>87.4</v>
      </c>
      <c r="AH31" s="5">
        <v>91.6</v>
      </c>
      <c r="AI31" s="5">
        <v>102.3</v>
      </c>
      <c r="AJ31" s="5" t="s">
        <v>120</v>
      </c>
      <c r="AK31" s="5"/>
      <c r="AL31" s="5"/>
      <c r="AM31" s="3"/>
      <c r="AN31" s="3"/>
      <c r="AO31" s="5" t="s">
        <v>119</v>
      </c>
      <c r="AP31" s="19">
        <f>(104-103)/103</f>
        <v>9.7087378640776691E-3</v>
      </c>
      <c r="AQ31" s="19">
        <f>4/104</f>
        <v>3.8461538461538464E-2</v>
      </c>
      <c r="AR31" s="18">
        <v>125</v>
      </c>
      <c r="AS31" s="18">
        <v>129.5</v>
      </c>
      <c r="AT31" s="17">
        <f t="shared" si="2"/>
        <v>3.4749034749034749E-2</v>
      </c>
      <c r="AX31" s="2" t="s">
        <v>118</v>
      </c>
      <c r="AY31" s="20">
        <f>2.83/138</f>
        <v>2.0507246376811596E-2</v>
      </c>
    </row>
    <row r="32" spans="1:51" x14ac:dyDescent="0.2">
      <c r="A32" s="3" t="s">
        <v>117</v>
      </c>
      <c r="B32" s="21">
        <v>21.3</v>
      </c>
      <c r="C32" s="21">
        <v>19.5</v>
      </c>
      <c r="D32" s="21">
        <v>23.5</v>
      </c>
      <c r="E32" s="21">
        <v>19.149999999999999</v>
      </c>
      <c r="F32" s="21">
        <v>18.68</v>
      </c>
      <c r="G32" s="21">
        <v>18.14</v>
      </c>
      <c r="H32" s="21">
        <v>19.670000000000002</v>
      </c>
      <c r="I32" s="21">
        <v>21.54</v>
      </c>
      <c r="J32" s="21">
        <v>18.34</v>
      </c>
      <c r="K32" s="21">
        <v>21.24</v>
      </c>
      <c r="L32" s="21">
        <v>19.649999999999999</v>
      </c>
      <c r="M32" s="21">
        <v>23.2</v>
      </c>
      <c r="N32" s="21">
        <v>25</v>
      </c>
      <c r="O32" s="21">
        <v>24.3</v>
      </c>
      <c r="P32" s="21">
        <v>23.2</v>
      </c>
      <c r="Q32" s="21">
        <v>23.6</v>
      </c>
      <c r="R32" s="21">
        <v>25.6</v>
      </c>
      <c r="S32" s="21">
        <v>24.5</v>
      </c>
      <c r="T32" s="21">
        <v>24.3</v>
      </c>
      <c r="U32" s="21">
        <v>25.2</v>
      </c>
      <c r="V32" s="21">
        <v>25</v>
      </c>
      <c r="W32" s="21">
        <v>25.6</v>
      </c>
      <c r="X32" s="21">
        <v>23.59</v>
      </c>
      <c r="Y32" s="21">
        <v>22.07</v>
      </c>
      <c r="Z32" s="21">
        <v>23.3</v>
      </c>
      <c r="AA32" s="21">
        <v>22.93</v>
      </c>
      <c r="AB32" s="21">
        <v>22.53</v>
      </c>
      <c r="AC32" s="21">
        <v>22.44</v>
      </c>
      <c r="AD32" s="21">
        <v>23.04</v>
      </c>
      <c r="AE32" s="21">
        <v>22.96</v>
      </c>
      <c r="AF32" s="21">
        <v>19.27</v>
      </c>
      <c r="AG32" s="21">
        <v>20.83</v>
      </c>
      <c r="AH32" s="21">
        <v>19.02</v>
      </c>
      <c r="AI32" s="21">
        <v>19.61</v>
      </c>
      <c r="AJ32" s="5" t="s">
        <v>116</v>
      </c>
      <c r="AK32" s="5"/>
      <c r="AL32" s="5"/>
      <c r="AM32" s="3"/>
      <c r="AN32" s="3"/>
      <c r="AO32" s="5" t="s">
        <v>115</v>
      </c>
      <c r="AP32" s="19">
        <f>ABS(21.1-21.7)/21.7</f>
        <v>2.7649769585253357E-2</v>
      </c>
      <c r="AQ32" s="19">
        <f>0.4/21.1</f>
        <v>1.8957345971563982E-2</v>
      </c>
      <c r="AR32" s="18">
        <v>22.8</v>
      </c>
      <c r="AS32" s="18">
        <v>22</v>
      </c>
      <c r="AT32" s="17">
        <f t="shared" si="2"/>
        <v>3.6363636363636397E-2</v>
      </c>
      <c r="AX32" s="2" t="s">
        <v>114</v>
      </c>
      <c r="AY32" s="20">
        <f>0.36/15.1</f>
        <v>2.3841059602649005E-2</v>
      </c>
    </row>
    <row r="33" spans="1:51" x14ac:dyDescent="0.2">
      <c r="A33" s="3" t="s">
        <v>113</v>
      </c>
      <c r="B33" s="6">
        <v>1.2</v>
      </c>
      <c r="C33" s="6">
        <v>1</v>
      </c>
      <c r="D33" s="6">
        <v>1.5</v>
      </c>
      <c r="E33" s="6">
        <v>0.76100000000000001</v>
      </c>
      <c r="F33" s="6">
        <v>0.81200000000000006</v>
      </c>
      <c r="G33" s="6">
        <v>0.66900000000000004</v>
      </c>
      <c r="H33" s="6">
        <v>1.0820000000000001</v>
      </c>
      <c r="I33" s="6">
        <v>1.19</v>
      </c>
      <c r="J33" s="6">
        <v>1.044</v>
      </c>
      <c r="K33" s="6">
        <v>1.159</v>
      </c>
      <c r="L33" s="6">
        <v>1.0529999999999999</v>
      </c>
      <c r="M33" s="6">
        <v>1.5</v>
      </c>
      <c r="N33" s="6">
        <v>1.5</v>
      </c>
      <c r="O33" s="6">
        <v>1.4</v>
      </c>
      <c r="P33" s="6">
        <v>1.5</v>
      </c>
      <c r="Q33" s="6">
        <v>1.6</v>
      </c>
      <c r="R33" s="6">
        <v>1.7</v>
      </c>
      <c r="S33" s="6">
        <v>1.7</v>
      </c>
      <c r="T33" s="6">
        <v>1.7</v>
      </c>
      <c r="U33" s="6">
        <v>1.6</v>
      </c>
      <c r="V33" s="6">
        <v>2.2999999999999998</v>
      </c>
      <c r="W33" s="6">
        <v>2.1</v>
      </c>
      <c r="X33" s="6">
        <v>1.956</v>
      </c>
      <c r="Y33" s="6">
        <v>1.5649999999999999</v>
      </c>
      <c r="Z33" s="6">
        <v>1.841</v>
      </c>
      <c r="AA33" s="6">
        <v>1.31</v>
      </c>
      <c r="AB33" s="6">
        <v>1.2290000000000001</v>
      </c>
      <c r="AC33" s="6">
        <v>1.3520000000000001</v>
      </c>
      <c r="AD33" s="6">
        <v>1.867</v>
      </c>
      <c r="AE33" s="6">
        <v>1.3680000000000001</v>
      </c>
      <c r="AF33" s="6">
        <v>1.681</v>
      </c>
      <c r="AG33" s="6">
        <v>0.42199999999999999</v>
      </c>
      <c r="AH33" s="6">
        <v>0.33600000000000002</v>
      </c>
      <c r="AI33" s="6">
        <v>0.435</v>
      </c>
      <c r="AJ33" s="5"/>
      <c r="AK33" s="5"/>
      <c r="AL33" s="5"/>
      <c r="AM33" s="3" t="s">
        <v>112</v>
      </c>
      <c r="AN33" s="3"/>
      <c r="AO33" s="5" t="s">
        <v>111</v>
      </c>
      <c r="AP33" s="19">
        <f>ABS(0.41-0.42)/0.42</f>
        <v>2.3809523809523832E-2</v>
      </c>
      <c r="AQ33" s="19">
        <f>0.017/0.41</f>
        <v>4.1463414634146344E-2</v>
      </c>
      <c r="AR33" s="18">
        <v>0.9</v>
      </c>
      <c r="AS33" s="18">
        <v>0.81</v>
      </c>
      <c r="AT33" s="17">
        <f t="shared" si="2"/>
        <v>0.11111111111111106</v>
      </c>
      <c r="AX33" s="2" t="s">
        <v>110</v>
      </c>
      <c r="AY33" s="20">
        <f>0.85/12.32</f>
        <v>6.8993506493506496E-2</v>
      </c>
    </row>
    <row r="34" spans="1:51" x14ac:dyDescent="0.2">
      <c r="A34" s="3" t="s">
        <v>109</v>
      </c>
      <c r="B34" s="21">
        <v>20.3</v>
      </c>
      <c r="C34" s="21">
        <v>15.2</v>
      </c>
      <c r="D34" s="21">
        <v>24.9</v>
      </c>
      <c r="E34" s="21">
        <v>13.295</v>
      </c>
      <c r="F34" s="21">
        <v>14.226000000000001</v>
      </c>
      <c r="G34" s="21">
        <v>11.734</v>
      </c>
      <c r="H34" s="21">
        <v>18.413</v>
      </c>
      <c r="I34" s="21">
        <v>19.93</v>
      </c>
      <c r="J34" s="21">
        <v>17.89</v>
      </c>
      <c r="K34" s="21">
        <v>19.792000000000002</v>
      </c>
      <c r="L34" s="21">
        <v>17.452999999999999</v>
      </c>
      <c r="M34" s="21">
        <v>22.5</v>
      </c>
      <c r="N34" s="21">
        <v>24.5</v>
      </c>
      <c r="O34" s="21">
        <v>23.2</v>
      </c>
      <c r="P34" s="21">
        <v>23.4</v>
      </c>
      <c r="Q34" s="21">
        <v>29.1</v>
      </c>
      <c r="R34" s="21">
        <v>29.8</v>
      </c>
      <c r="S34" s="21">
        <v>28.6</v>
      </c>
      <c r="T34" s="21">
        <v>29.9</v>
      </c>
      <c r="U34" s="21">
        <v>28</v>
      </c>
      <c r="V34" s="21">
        <v>37.299999999999997</v>
      </c>
      <c r="W34" s="21">
        <v>37.6</v>
      </c>
      <c r="X34" s="21">
        <v>40.668999999999997</v>
      </c>
      <c r="Y34" s="21">
        <v>31.082000000000001</v>
      </c>
      <c r="Z34" s="21">
        <v>33.47</v>
      </c>
      <c r="AA34" s="21">
        <v>24.914000000000001</v>
      </c>
      <c r="AB34" s="21">
        <v>23.381</v>
      </c>
      <c r="AC34" s="21">
        <v>24.257999999999999</v>
      </c>
      <c r="AD34" s="21">
        <v>33.951000000000001</v>
      </c>
      <c r="AE34" s="21">
        <v>23.888000000000002</v>
      </c>
      <c r="AF34" s="21">
        <v>31.878</v>
      </c>
      <c r="AG34" s="21">
        <v>7.0069999999999997</v>
      </c>
      <c r="AH34" s="21">
        <v>5.8369999999999997</v>
      </c>
      <c r="AI34" s="21">
        <v>7.5750000000000002</v>
      </c>
      <c r="AJ34" s="5"/>
      <c r="AK34" s="5" t="s">
        <v>108</v>
      </c>
      <c r="AL34" s="5"/>
      <c r="AM34" s="3"/>
      <c r="AN34" s="3"/>
      <c r="AO34" s="5" t="s">
        <v>107</v>
      </c>
      <c r="AP34" s="19">
        <f>ABS(25.3-27)/27</f>
        <v>6.2962962962962943E-2</v>
      </c>
      <c r="AQ34" s="19">
        <f>1.3/25.3</f>
        <v>5.1383399209486168E-2</v>
      </c>
      <c r="AR34" s="18">
        <v>11.7</v>
      </c>
      <c r="AS34" s="18">
        <v>14</v>
      </c>
      <c r="AT34" s="17">
        <f t="shared" si="2"/>
        <v>0.16428571428571434</v>
      </c>
      <c r="AX34" s="2" t="s">
        <v>106</v>
      </c>
      <c r="AY34" s="20">
        <f>0.83/10.11</f>
        <v>8.2096933728981206E-2</v>
      </c>
    </row>
    <row r="35" spans="1:51" x14ac:dyDescent="0.2">
      <c r="A35" s="3" t="s">
        <v>105</v>
      </c>
      <c r="B35" s="21">
        <v>6</v>
      </c>
      <c r="C35" s="21">
        <v>5</v>
      </c>
      <c r="D35" s="21">
        <v>6</v>
      </c>
      <c r="E35" s="21">
        <v>4.46</v>
      </c>
      <c r="F35" s="21">
        <v>4.75</v>
      </c>
      <c r="G35" s="21">
        <v>4.01</v>
      </c>
      <c r="H35" s="21">
        <v>6.18</v>
      </c>
      <c r="I35" s="21">
        <v>6.71</v>
      </c>
      <c r="J35" s="21">
        <v>5.71</v>
      </c>
      <c r="K35" s="21">
        <v>6.26</v>
      </c>
      <c r="L35" s="21">
        <v>6.24</v>
      </c>
      <c r="M35" s="21">
        <v>7</v>
      </c>
      <c r="N35" s="21">
        <v>8</v>
      </c>
      <c r="O35" s="21">
        <v>8</v>
      </c>
      <c r="P35" s="21">
        <v>7</v>
      </c>
      <c r="Q35" s="21">
        <v>10</v>
      </c>
      <c r="R35" s="21">
        <v>10</v>
      </c>
      <c r="S35" s="21">
        <v>10</v>
      </c>
      <c r="T35" s="21">
        <v>10</v>
      </c>
      <c r="U35" s="21">
        <v>10</v>
      </c>
      <c r="V35" s="21">
        <v>11</v>
      </c>
      <c r="W35" s="21">
        <v>6</v>
      </c>
      <c r="X35" s="21">
        <v>7.34</v>
      </c>
      <c r="Y35" s="21">
        <v>6.14</v>
      </c>
      <c r="Z35" s="21">
        <v>12.09</v>
      </c>
      <c r="AA35" s="21">
        <v>5.45</v>
      </c>
      <c r="AB35" s="21">
        <v>4.4000000000000004</v>
      </c>
      <c r="AC35" s="21">
        <v>8.1999999999999993</v>
      </c>
      <c r="AD35" s="21">
        <v>11.1</v>
      </c>
      <c r="AE35" s="21">
        <v>8.4</v>
      </c>
      <c r="AF35" s="21">
        <v>5.94</v>
      </c>
      <c r="AG35" s="21">
        <v>1.91</v>
      </c>
      <c r="AH35" s="21">
        <v>1.54</v>
      </c>
      <c r="AI35" s="21">
        <v>2.25</v>
      </c>
      <c r="AJ35" s="5" t="s">
        <v>104</v>
      </c>
      <c r="AK35" s="5"/>
      <c r="AL35" s="5"/>
      <c r="AM35" s="3"/>
      <c r="AN35" s="3"/>
      <c r="AO35" s="5" t="s">
        <v>103</v>
      </c>
      <c r="AP35" s="19">
        <f>(4.43-4.1)/4.1</f>
        <v>8.048780487804881E-2</v>
      </c>
      <c r="AQ35" s="19">
        <f>0.09/4.43</f>
        <v>2.0316027088036117E-2</v>
      </c>
      <c r="AR35" s="18">
        <v>5</v>
      </c>
      <c r="AS35" s="18">
        <v>4.95</v>
      </c>
      <c r="AT35" s="17">
        <f t="shared" si="2"/>
        <v>1.0101010101010065E-2</v>
      </c>
      <c r="AY35" s="16" t="s">
        <v>10</v>
      </c>
    </row>
    <row r="36" spans="1:51" x14ac:dyDescent="0.2">
      <c r="A36" s="3" t="s">
        <v>102</v>
      </c>
      <c r="B36" s="5">
        <v>243</v>
      </c>
      <c r="C36" s="5">
        <v>200</v>
      </c>
      <c r="D36" s="5">
        <v>265</v>
      </c>
      <c r="E36" s="5">
        <v>186</v>
      </c>
      <c r="F36" s="5">
        <v>195</v>
      </c>
      <c r="G36" s="5">
        <v>161</v>
      </c>
      <c r="H36" s="5">
        <v>253</v>
      </c>
      <c r="I36" s="5">
        <v>272</v>
      </c>
      <c r="J36" s="5">
        <v>227</v>
      </c>
      <c r="K36" s="5">
        <v>262</v>
      </c>
      <c r="L36" s="5">
        <v>251</v>
      </c>
      <c r="M36" s="5">
        <v>312</v>
      </c>
      <c r="N36" s="5">
        <v>332</v>
      </c>
      <c r="O36" s="5">
        <v>328</v>
      </c>
      <c r="P36" s="5">
        <v>278</v>
      </c>
      <c r="Q36" s="5">
        <v>420</v>
      </c>
      <c r="R36" s="5">
        <v>427</v>
      </c>
      <c r="S36" s="5">
        <v>419</v>
      </c>
      <c r="T36" s="5">
        <v>446</v>
      </c>
      <c r="U36" s="5">
        <v>412</v>
      </c>
      <c r="V36" s="5">
        <v>455</v>
      </c>
      <c r="W36" s="5">
        <v>218</v>
      </c>
      <c r="X36" s="5">
        <v>334</v>
      </c>
      <c r="Y36" s="5">
        <v>261</v>
      </c>
      <c r="Z36" s="5">
        <v>498</v>
      </c>
      <c r="AA36" s="5">
        <v>225</v>
      </c>
      <c r="AB36" s="5">
        <v>182</v>
      </c>
      <c r="AC36" s="5">
        <v>348</v>
      </c>
      <c r="AD36" s="5">
        <v>472</v>
      </c>
      <c r="AE36" s="5">
        <v>350</v>
      </c>
      <c r="AF36" s="5">
        <v>240</v>
      </c>
      <c r="AG36" s="5">
        <v>76</v>
      </c>
      <c r="AH36" s="5">
        <v>63</v>
      </c>
      <c r="AI36" s="5">
        <v>95</v>
      </c>
      <c r="AJ36" s="5" t="s">
        <v>101</v>
      </c>
      <c r="AK36" s="5"/>
      <c r="AL36" s="5"/>
      <c r="AM36" s="3"/>
      <c r="AN36" s="3"/>
      <c r="AO36" s="5" t="s">
        <v>100</v>
      </c>
      <c r="AP36" s="19">
        <f>(173-172)/172</f>
        <v>5.8139534883720929E-3</v>
      </c>
      <c r="AQ36" s="19">
        <f>4/173</f>
        <v>2.3121387283236993E-2</v>
      </c>
      <c r="AR36" s="23">
        <v>185</v>
      </c>
      <c r="AS36" s="23">
        <v>190</v>
      </c>
      <c r="AT36" s="17">
        <f t="shared" si="2"/>
        <v>2.6315789473684209E-2</v>
      </c>
      <c r="AY36" s="16" t="s">
        <v>10</v>
      </c>
    </row>
    <row r="37" spans="1:51" x14ac:dyDescent="0.2">
      <c r="A37" s="3" t="s">
        <v>99</v>
      </c>
      <c r="B37" s="21">
        <v>33</v>
      </c>
      <c r="C37" s="21">
        <v>26.9</v>
      </c>
      <c r="D37" s="21">
        <v>41.5</v>
      </c>
      <c r="E37" s="21">
        <v>24.38</v>
      </c>
      <c r="F37" s="21">
        <v>26.05</v>
      </c>
      <c r="G37" s="21">
        <v>20.76</v>
      </c>
      <c r="H37" s="21">
        <v>32.15</v>
      </c>
      <c r="I37" s="21">
        <v>35.49</v>
      </c>
      <c r="J37" s="21">
        <v>29.47</v>
      </c>
      <c r="K37" s="21">
        <v>35.049999999999997</v>
      </c>
      <c r="L37" s="21">
        <v>33.049999999999997</v>
      </c>
      <c r="M37" s="21">
        <v>41</v>
      </c>
      <c r="N37" s="21">
        <v>42.5</v>
      </c>
      <c r="O37" s="21">
        <v>41.6</v>
      </c>
      <c r="P37" s="21">
        <v>40.6</v>
      </c>
      <c r="Q37" s="21">
        <v>45.4</v>
      </c>
      <c r="R37" s="21">
        <v>49.9</v>
      </c>
      <c r="S37" s="21">
        <v>47.2</v>
      </c>
      <c r="T37" s="21">
        <v>48</v>
      </c>
      <c r="U37" s="21">
        <v>49.3</v>
      </c>
      <c r="V37" s="21">
        <v>63</v>
      </c>
      <c r="W37" s="21">
        <v>62.6</v>
      </c>
      <c r="X37" s="21">
        <v>72.44</v>
      </c>
      <c r="Y37" s="21">
        <v>50.65</v>
      </c>
      <c r="Z37" s="21">
        <v>51.21</v>
      </c>
      <c r="AA37" s="21">
        <v>56.36</v>
      </c>
      <c r="AB37" s="21">
        <v>40.200000000000003</v>
      </c>
      <c r="AC37" s="21">
        <v>46.04</v>
      </c>
      <c r="AD37" s="21">
        <v>62.82</v>
      </c>
      <c r="AE37" s="21">
        <v>44.64</v>
      </c>
      <c r="AF37" s="21">
        <v>56.87</v>
      </c>
      <c r="AG37" s="21">
        <v>11.31</v>
      </c>
      <c r="AH37" s="21">
        <v>10.68</v>
      </c>
      <c r="AI37" s="21">
        <v>13.49</v>
      </c>
      <c r="AJ37" s="5" t="s">
        <v>98</v>
      </c>
      <c r="AK37" s="5"/>
      <c r="AL37" s="5"/>
      <c r="AM37" s="3"/>
      <c r="AN37" s="3"/>
      <c r="AO37" s="5" t="s">
        <v>97</v>
      </c>
      <c r="AP37" s="19">
        <f>ABS(25.6-26)/26</f>
        <v>1.538461538461533E-2</v>
      </c>
      <c r="AQ37" s="19">
        <f>0.4/25.6</f>
        <v>1.5625E-2</v>
      </c>
      <c r="AR37" s="18">
        <v>34.6</v>
      </c>
      <c r="AS37" s="18">
        <v>38</v>
      </c>
      <c r="AT37" s="17">
        <f t="shared" si="2"/>
        <v>8.9473684210526275E-2</v>
      </c>
      <c r="AX37" s="2" t="s">
        <v>96</v>
      </c>
      <c r="AY37" s="20">
        <f>0.17/19.78</f>
        <v>8.5945399393326585E-3</v>
      </c>
    </row>
    <row r="38" spans="1:51" x14ac:dyDescent="0.2">
      <c r="A38" s="3" t="s">
        <v>95</v>
      </c>
      <c r="B38" s="5">
        <v>639</v>
      </c>
      <c r="C38" s="5">
        <v>580</v>
      </c>
      <c r="D38" s="5">
        <v>726</v>
      </c>
      <c r="E38" s="5">
        <v>583.29999999999995</v>
      </c>
      <c r="F38" s="5">
        <v>602.5</v>
      </c>
      <c r="G38" s="5">
        <v>517.9</v>
      </c>
      <c r="H38" s="5">
        <v>693.2</v>
      </c>
      <c r="I38" s="5">
        <v>765</v>
      </c>
      <c r="J38" s="5">
        <v>675.1</v>
      </c>
      <c r="K38" s="5">
        <v>699.6</v>
      </c>
      <c r="L38" s="5">
        <v>681.8</v>
      </c>
      <c r="M38" s="5">
        <v>737</v>
      </c>
      <c r="N38" s="5">
        <v>876</v>
      </c>
      <c r="O38" s="5">
        <v>738</v>
      </c>
      <c r="P38" s="5">
        <v>343</v>
      </c>
      <c r="Q38" s="5">
        <v>1000</v>
      </c>
      <c r="R38" s="5">
        <v>1030</v>
      </c>
      <c r="S38" s="5">
        <v>981</v>
      </c>
      <c r="T38" s="5">
        <v>1030</v>
      </c>
      <c r="U38" s="5">
        <v>890</v>
      </c>
      <c r="V38" s="5">
        <v>1250</v>
      </c>
      <c r="W38" s="5">
        <v>1130</v>
      </c>
      <c r="X38" s="5">
        <v>1610.1</v>
      </c>
      <c r="Y38" s="5">
        <v>1025.9000000000001</v>
      </c>
      <c r="Z38" s="5">
        <v>1142.9000000000001</v>
      </c>
      <c r="AA38" s="5">
        <v>737.3</v>
      </c>
      <c r="AB38" s="5">
        <v>369</v>
      </c>
      <c r="AC38" s="5">
        <v>890.3</v>
      </c>
      <c r="AD38" s="5">
        <v>1265.2</v>
      </c>
      <c r="AE38" s="5">
        <v>866.5</v>
      </c>
      <c r="AF38" s="5">
        <v>925.6</v>
      </c>
      <c r="AG38" s="5">
        <v>406.7</v>
      </c>
      <c r="AH38" s="5">
        <v>340.8</v>
      </c>
      <c r="AI38" s="5">
        <v>373.3</v>
      </c>
      <c r="AJ38" s="5" t="s">
        <v>94</v>
      </c>
      <c r="AK38" s="5"/>
      <c r="AL38" s="5"/>
      <c r="AM38" s="3"/>
      <c r="AN38" s="3"/>
      <c r="AO38" s="5" t="s">
        <v>93</v>
      </c>
      <c r="AP38" s="19">
        <f>(131.7-130)/130</f>
        <v>1.307692307692299E-2</v>
      </c>
      <c r="AQ38" s="19">
        <f>1.9/131.7</f>
        <v>1.4426727410782081E-2</v>
      </c>
      <c r="AR38" s="18">
        <v>673</v>
      </c>
      <c r="AS38" s="18">
        <v>681</v>
      </c>
      <c r="AT38" s="17">
        <f t="shared" si="2"/>
        <v>1.1747430249632892E-2</v>
      </c>
      <c r="AX38" s="2" t="s">
        <v>92</v>
      </c>
      <c r="AY38" s="20">
        <f>7.26/330.8</f>
        <v>2.1946795646916564E-2</v>
      </c>
    </row>
    <row r="39" spans="1:51" x14ac:dyDescent="0.2">
      <c r="A39" s="3" t="s">
        <v>91</v>
      </c>
      <c r="B39" s="21">
        <v>48.8</v>
      </c>
      <c r="C39" s="21">
        <v>42.8</v>
      </c>
      <c r="D39" s="21">
        <v>49.4</v>
      </c>
      <c r="E39" s="21">
        <v>35.630000000000003</v>
      </c>
      <c r="F39" s="21">
        <v>36.64</v>
      </c>
      <c r="G39" s="21">
        <v>31.55</v>
      </c>
      <c r="H39" s="21">
        <v>48.51</v>
      </c>
      <c r="I39" s="21">
        <v>56.73</v>
      </c>
      <c r="J39" s="21">
        <v>42.15</v>
      </c>
      <c r="K39" s="21">
        <v>50.69</v>
      </c>
      <c r="L39" s="21">
        <v>49.81</v>
      </c>
      <c r="M39" s="21">
        <v>87.1</v>
      </c>
      <c r="N39" s="21">
        <v>93.7</v>
      </c>
      <c r="O39" s="21">
        <v>70.400000000000006</v>
      </c>
      <c r="P39" s="21">
        <v>385</v>
      </c>
      <c r="Q39" s="21">
        <v>93.9</v>
      </c>
      <c r="R39" s="21">
        <v>90.4</v>
      </c>
      <c r="S39" s="21">
        <v>73.8</v>
      </c>
      <c r="T39" s="21">
        <v>88.4</v>
      </c>
      <c r="U39" s="21">
        <v>70.8</v>
      </c>
      <c r="V39" s="21">
        <v>80.7</v>
      </c>
      <c r="W39" s="21">
        <v>113</v>
      </c>
      <c r="X39" s="21">
        <v>76.209999999999994</v>
      </c>
      <c r="Y39" s="21">
        <v>67.92</v>
      </c>
      <c r="Z39" s="21">
        <v>77.89</v>
      </c>
      <c r="AA39" s="21">
        <v>34.1</v>
      </c>
      <c r="AB39" s="21">
        <v>23.61</v>
      </c>
      <c r="AC39" s="21">
        <v>72.819999999999993</v>
      </c>
      <c r="AD39" s="21">
        <v>88.42</v>
      </c>
      <c r="AE39" s="21">
        <v>107.12</v>
      </c>
      <c r="AF39" s="21">
        <v>28.22</v>
      </c>
      <c r="AG39" s="21">
        <v>11.7</v>
      </c>
      <c r="AH39" s="21">
        <v>12.35</v>
      </c>
      <c r="AI39" s="21">
        <v>15.59</v>
      </c>
      <c r="AJ39" s="5" t="s">
        <v>90</v>
      </c>
      <c r="AK39" s="5"/>
      <c r="AL39" s="5"/>
      <c r="AM39" s="3"/>
      <c r="AN39" s="3"/>
      <c r="AO39" s="5" t="s">
        <v>89</v>
      </c>
      <c r="AP39" s="19">
        <f>ABS(9.27-9.8)/9.8</f>
        <v>5.4081632653061339E-2</v>
      </c>
      <c r="AQ39" s="19">
        <f>0.22/9.27</f>
        <v>2.3732470334412083E-2</v>
      </c>
      <c r="AR39" s="18">
        <v>47.5</v>
      </c>
      <c r="AS39" s="18">
        <v>47.2</v>
      </c>
      <c r="AT39" s="17">
        <f t="shared" si="2"/>
        <v>6.3559322033897702E-3</v>
      </c>
      <c r="AY39" s="16" t="s">
        <v>10</v>
      </c>
    </row>
    <row r="40" spans="1:51" x14ac:dyDescent="0.2">
      <c r="A40" s="3" t="s">
        <v>88</v>
      </c>
      <c r="B40" s="5">
        <v>359</v>
      </c>
      <c r="C40" s="5">
        <v>381</v>
      </c>
      <c r="D40" s="5">
        <v>361</v>
      </c>
      <c r="E40" s="5">
        <v>425.6</v>
      </c>
      <c r="F40" s="5">
        <v>361.6</v>
      </c>
      <c r="G40" s="5">
        <v>369.4</v>
      </c>
      <c r="H40" s="5">
        <v>359.7</v>
      </c>
      <c r="I40" s="5">
        <v>379.7</v>
      </c>
      <c r="J40" s="5">
        <v>369.8</v>
      </c>
      <c r="K40" s="5">
        <v>362.4</v>
      </c>
      <c r="L40" s="5">
        <v>368.8</v>
      </c>
      <c r="M40" s="5">
        <v>326</v>
      </c>
      <c r="N40" s="5">
        <v>367</v>
      </c>
      <c r="O40" s="5">
        <v>351</v>
      </c>
      <c r="P40" s="5">
        <v>256</v>
      </c>
      <c r="Q40" s="5">
        <v>338</v>
      </c>
      <c r="R40" s="5">
        <v>352</v>
      </c>
      <c r="S40" s="5">
        <v>349</v>
      </c>
      <c r="T40" s="5">
        <v>335</v>
      </c>
      <c r="U40" s="5">
        <v>341</v>
      </c>
      <c r="V40" s="5">
        <v>285</v>
      </c>
      <c r="W40" s="5">
        <v>278</v>
      </c>
      <c r="X40" s="5">
        <v>338.7</v>
      </c>
      <c r="Y40" s="5">
        <v>359</v>
      </c>
      <c r="Z40" s="5">
        <v>333.5</v>
      </c>
      <c r="AA40" s="5">
        <v>417.8</v>
      </c>
      <c r="AB40" s="5">
        <v>358.7</v>
      </c>
      <c r="AC40" s="5">
        <v>347.4</v>
      </c>
      <c r="AD40" s="5">
        <v>304.8</v>
      </c>
      <c r="AE40" s="5">
        <v>364.9</v>
      </c>
      <c r="AF40" s="5">
        <v>320.7</v>
      </c>
      <c r="AG40" s="5">
        <v>579.4</v>
      </c>
      <c r="AH40" s="5">
        <v>582.5</v>
      </c>
      <c r="AI40" s="5">
        <v>578.79999999999995</v>
      </c>
      <c r="AJ40" s="5" t="s">
        <v>87</v>
      </c>
      <c r="AK40" s="5"/>
      <c r="AL40" s="5"/>
      <c r="AM40" s="3"/>
      <c r="AN40" s="3"/>
      <c r="AO40" s="5" t="s">
        <v>86</v>
      </c>
      <c r="AP40" s="19">
        <f>ABS(388-389)/389</f>
        <v>2.5706940874035988E-3</v>
      </c>
      <c r="AQ40" s="19">
        <v>1.5463917525773197E-4</v>
      </c>
      <c r="AR40" s="18">
        <v>316</v>
      </c>
      <c r="AS40" s="18">
        <v>330</v>
      </c>
      <c r="AT40" s="17">
        <f t="shared" si="2"/>
        <v>4.2424242424242427E-2</v>
      </c>
      <c r="AX40" s="2" t="s">
        <v>85</v>
      </c>
      <c r="AY40" s="20">
        <f>4.95/267</f>
        <v>1.853932584269663E-2</v>
      </c>
    </row>
    <row r="41" spans="1:51" x14ac:dyDescent="0.2">
      <c r="A41" s="3" t="s">
        <v>84</v>
      </c>
      <c r="B41" s="6">
        <v>0.8</v>
      </c>
      <c r="C41" s="6">
        <v>0.9</v>
      </c>
      <c r="D41" s="6">
        <v>0.8</v>
      </c>
      <c r="E41" s="6">
        <v>1.3140000000000001</v>
      </c>
      <c r="F41" s="6">
        <v>0.61099999999999999</v>
      </c>
      <c r="G41" s="6">
        <v>0.59199999999999997</v>
      </c>
      <c r="H41" s="6">
        <v>1.3089999999999999</v>
      </c>
      <c r="I41" s="6">
        <v>1.4530000000000001</v>
      </c>
      <c r="J41" s="6">
        <v>0.70499999999999996</v>
      </c>
      <c r="K41" s="6">
        <v>1.774</v>
      </c>
      <c r="L41" s="6">
        <v>1.0209999999999999</v>
      </c>
      <c r="M41" s="6">
        <v>3.9</v>
      </c>
      <c r="N41" s="6">
        <v>1.9</v>
      </c>
      <c r="O41" s="6">
        <v>2.6</v>
      </c>
      <c r="P41" s="6">
        <v>31.2</v>
      </c>
      <c r="Q41" s="6">
        <v>3.9</v>
      </c>
      <c r="R41" s="6">
        <v>1.5</v>
      </c>
      <c r="S41" s="6">
        <v>2.1</v>
      </c>
      <c r="T41" s="6">
        <v>2.9</v>
      </c>
      <c r="U41" s="6">
        <v>2.2000000000000002</v>
      </c>
      <c r="V41" s="6">
        <v>1.9</v>
      </c>
      <c r="W41" s="6">
        <v>2.9</v>
      </c>
      <c r="X41" s="6">
        <v>0.46800000000000003</v>
      </c>
      <c r="Y41" s="6">
        <v>1.327</v>
      </c>
      <c r="Z41" s="6">
        <v>0.96399999999999997</v>
      </c>
      <c r="AA41" s="6">
        <v>0.86199999999999999</v>
      </c>
      <c r="AB41" s="6">
        <v>0.65300000000000002</v>
      </c>
      <c r="AC41" s="6">
        <v>1.61</v>
      </c>
      <c r="AD41" s="6">
        <v>2.99</v>
      </c>
      <c r="AE41" s="6">
        <v>4.2489999999999997</v>
      </c>
      <c r="AF41" s="6">
        <v>0.27800000000000002</v>
      </c>
      <c r="AG41" s="6">
        <v>0.19</v>
      </c>
      <c r="AH41" s="6">
        <v>0.60499999999999998</v>
      </c>
      <c r="AI41" s="6">
        <v>0.60199999999999998</v>
      </c>
      <c r="AJ41" s="5"/>
      <c r="AK41" s="5"/>
      <c r="AL41" s="5"/>
      <c r="AM41" s="3" t="s">
        <v>83</v>
      </c>
      <c r="AN41" s="3"/>
      <c r="AO41" s="5" t="s">
        <v>82</v>
      </c>
      <c r="AP41" s="19">
        <f>ABS(2.72-3.2)/3.2</f>
        <v>0.15</v>
      </c>
      <c r="AQ41" s="19">
        <f>0.07/2.72</f>
        <v>2.5735294117647061E-2</v>
      </c>
      <c r="AR41" s="18">
        <v>1</v>
      </c>
      <c r="AS41" s="18">
        <v>0.96</v>
      </c>
      <c r="AT41" s="17">
        <f t="shared" si="2"/>
        <v>4.1666666666666706E-2</v>
      </c>
      <c r="AY41" s="16" t="s">
        <v>10</v>
      </c>
    </row>
    <row r="42" spans="1:51" x14ac:dyDescent="0.2">
      <c r="A42" s="3" t="s">
        <v>81</v>
      </c>
      <c r="B42" s="6">
        <v>4</v>
      </c>
      <c r="C42" s="6">
        <v>3.3</v>
      </c>
      <c r="D42" s="6">
        <v>4</v>
      </c>
      <c r="E42" s="6">
        <v>2.871</v>
      </c>
      <c r="F42" s="6">
        <v>2.9409999999999998</v>
      </c>
      <c r="G42" s="6">
        <v>2.7360000000000002</v>
      </c>
      <c r="H42" s="6">
        <v>3.9060000000000001</v>
      </c>
      <c r="I42" s="6">
        <v>4.4029999999999996</v>
      </c>
      <c r="J42" s="6">
        <v>3.5670000000000002</v>
      </c>
      <c r="K42" s="6">
        <v>3.9729999999999999</v>
      </c>
      <c r="L42" s="6">
        <v>3.988</v>
      </c>
      <c r="M42" s="6">
        <v>6.4</v>
      </c>
      <c r="N42" s="6">
        <v>5.6</v>
      </c>
      <c r="O42" s="6">
        <v>5.5</v>
      </c>
      <c r="P42" s="6">
        <v>6.1</v>
      </c>
      <c r="Q42" s="6">
        <v>7.5</v>
      </c>
      <c r="R42" s="6">
        <v>6.3</v>
      </c>
      <c r="S42" s="6">
        <v>7.3</v>
      </c>
      <c r="T42" s="6">
        <v>6.5</v>
      </c>
      <c r="U42" s="6">
        <v>7.4</v>
      </c>
      <c r="V42" s="6">
        <v>4.4000000000000004</v>
      </c>
      <c r="W42" s="6">
        <v>5.7</v>
      </c>
      <c r="X42" s="6">
        <v>3.0950000000000002</v>
      </c>
      <c r="Y42" s="6">
        <v>4.9089999999999998</v>
      </c>
      <c r="Z42" s="6">
        <v>8.07</v>
      </c>
      <c r="AA42" s="6">
        <v>4.0869999999999997</v>
      </c>
      <c r="AB42" s="6">
        <v>1.8959999999999999</v>
      </c>
      <c r="AC42" s="6">
        <v>5.58</v>
      </c>
      <c r="AD42" s="6">
        <v>5.4409999999999998</v>
      </c>
      <c r="AE42" s="6">
        <v>5.8689999999999998</v>
      </c>
      <c r="AF42" s="6">
        <v>2.6930000000000001</v>
      </c>
      <c r="AG42" s="6">
        <v>0.78700000000000003</v>
      </c>
      <c r="AH42" s="6">
        <v>0.62</v>
      </c>
      <c r="AI42" s="6">
        <v>1.05</v>
      </c>
      <c r="AJ42" s="5"/>
      <c r="AK42" s="5"/>
      <c r="AL42" s="5" t="s">
        <v>80</v>
      </c>
      <c r="AM42" s="3"/>
      <c r="AN42" s="3"/>
      <c r="AO42" s="5" t="s">
        <v>79</v>
      </c>
      <c r="AP42" s="19">
        <f>ABS(5.97-6.1)/6.1</f>
        <v>2.131147540983605E-2</v>
      </c>
      <c r="AQ42" s="19">
        <f>0.29/5.97</f>
        <v>4.8576214405360134E-2</v>
      </c>
      <c r="AR42" s="18">
        <v>5.9</v>
      </c>
      <c r="AS42" s="18">
        <v>5.98</v>
      </c>
      <c r="AT42" s="17">
        <f t="shared" si="2"/>
        <v>1.3377926421404692E-2</v>
      </c>
      <c r="AX42" s="2" t="s">
        <v>78</v>
      </c>
      <c r="AY42" s="20">
        <f>0.36/8.19</f>
        <v>4.3956043956043959E-2</v>
      </c>
    </row>
    <row r="43" spans="1:51" x14ac:dyDescent="0.2">
      <c r="A43" s="3" t="s">
        <v>77</v>
      </c>
      <c r="B43" s="6">
        <v>0.93</v>
      </c>
      <c r="C43" s="6">
        <v>0.76</v>
      </c>
      <c r="D43" s="6">
        <v>0.99</v>
      </c>
      <c r="E43" s="6">
        <v>0.78</v>
      </c>
      <c r="F43" s="6">
        <v>0.78700000000000003</v>
      </c>
      <c r="G43" s="6">
        <v>0.72899999999999998</v>
      </c>
      <c r="H43" s="6">
        <v>1.0680000000000001</v>
      </c>
      <c r="I43" s="6">
        <v>1.1830000000000001</v>
      </c>
      <c r="J43" s="6">
        <v>0.95599999999999996</v>
      </c>
      <c r="K43" s="6">
        <v>1.069</v>
      </c>
      <c r="L43" s="6">
        <v>1.107</v>
      </c>
      <c r="M43" s="6">
        <v>1.69</v>
      </c>
      <c r="N43" s="6">
        <v>1.38</v>
      </c>
      <c r="O43" s="6">
        <v>1.37</v>
      </c>
      <c r="P43" s="6">
        <v>1.99</v>
      </c>
      <c r="Q43" s="6">
        <v>1.61</v>
      </c>
      <c r="R43" s="6">
        <v>1.45</v>
      </c>
      <c r="S43" s="6">
        <v>1.54</v>
      </c>
      <c r="T43" s="6">
        <v>1.5</v>
      </c>
      <c r="U43" s="6">
        <v>1.78</v>
      </c>
      <c r="V43" s="6">
        <v>1.36</v>
      </c>
      <c r="W43" s="6">
        <v>1.41</v>
      </c>
      <c r="X43" s="6">
        <v>0.92900000000000005</v>
      </c>
      <c r="Y43" s="6">
        <v>1.1850000000000001</v>
      </c>
      <c r="Z43" s="6">
        <v>1.881</v>
      </c>
      <c r="AA43" s="6">
        <v>0.78500000000000003</v>
      </c>
      <c r="AB43" s="6">
        <v>0.47699999999999998</v>
      </c>
      <c r="AC43" s="6">
        <v>1.546</v>
      </c>
      <c r="AD43" s="6">
        <v>7.1989999999999998</v>
      </c>
      <c r="AE43" s="6">
        <v>1.57</v>
      </c>
      <c r="AF43" s="6">
        <v>0.65100000000000002</v>
      </c>
      <c r="AG43" s="6">
        <v>0.20899999999999999</v>
      </c>
      <c r="AH43" s="6">
        <v>0.17499999999999999</v>
      </c>
      <c r="AI43" s="6">
        <v>0.28199999999999997</v>
      </c>
      <c r="AJ43" s="5"/>
      <c r="AK43" s="5"/>
      <c r="AL43" s="5"/>
      <c r="AM43" s="3" t="s">
        <v>76</v>
      </c>
      <c r="AN43" s="3"/>
      <c r="AO43" s="5" t="s">
        <v>75</v>
      </c>
      <c r="AP43" s="19">
        <f>ABS(1.89-1.9)/1.9</f>
        <v>5.2631578947368472E-3</v>
      </c>
      <c r="AQ43" s="19">
        <f>0.05/1.89</f>
        <v>2.6455026455026457E-2</v>
      </c>
      <c r="AR43" s="18">
        <v>1.71</v>
      </c>
      <c r="AS43" s="18">
        <v>1.75</v>
      </c>
      <c r="AT43" s="17">
        <f t="shared" si="2"/>
        <v>2.2857142857142878E-2</v>
      </c>
      <c r="AX43" s="2" t="s">
        <v>74</v>
      </c>
      <c r="AY43" s="20">
        <f>0.05/2.34</f>
        <v>2.1367521367521371E-2</v>
      </c>
    </row>
    <row r="44" spans="1:51" x14ac:dyDescent="0.2">
      <c r="A44" s="3" t="s">
        <v>73</v>
      </c>
      <c r="B44" s="21">
        <v>9</v>
      </c>
      <c r="C44" s="21">
        <v>8</v>
      </c>
      <c r="D44" s="21">
        <v>10</v>
      </c>
      <c r="E44" s="21">
        <v>6.53</v>
      </c>
      <c r="F44" s="21">
        <v>7.6</v>
      </c>
      <c r="G44" s="21">
        <v>6.19</v>
      </c>
      <c r="H44" s="21">
        <v>8.7799999999999994</v>
      </c>
      <c r="I44" s="21">
        <v>9.94</v>
      </c>
      <c r="J44" s="21">
        <v>8.68</v>
      </c>
      <c r="K44" s="21">
        <v>9.31</v>
      </c>
      <c r="L44" s="21">
        <v>8.86</v>
      </c>
      <c r="M44" s="21">
        <v>12</v>
      </c>
      <c r="N44" s="21">
        <v>13</v>
      </c>
      <c r="O44" s="21">
        <v>12</v>
      </c>
      <c r="P44" s="21">
        <v>17</v>
      </c>
      <c r="Q44" s="21">
        <v>17</v>
      </c>
      <c r="R44" s="21">
        <v>17</v>
      </c>
      <c r="S44" s="21">
        <v>15</v>
      </c>
      <c r="T44" s="21">
        <v>15</v>
      </c>
      <c r="U44" s="21">
        <v>15</v>
      </c>
      <c r="V44" s="21">
        <v>16</v>
      </c>
      <c r="W44" s="21">
        <v>19</v>
      </c>
      <c r="X44" s="21">
        <v>15.31</v>
      </c>
      <c r="Y44" s="21">
        <v>13.07</v>
      </c>
      <c r="Z44" s="21">
        <v>16.05</v>
      </c>
      <c r="AA44" s="21">
        <v>7.86</v>
      </c>
      <c r="AB44" s="21">
        <v>8.0399999999999991</v>
      </c>
      <c r="AC44" s="21">
        <v>11.75</v>
      </c>
      <c r="AD44" s="21">
        <v>16.22</v>
      </c>
      <c r="AE44" s="21">
        <v>12.14</v>
      </c>
      <c r="AF44" s="21">
        <v>5.84</v>
      </c>
      <c r="AG44" s="21">
        <v>2.75</v>
      </c>
      <c r="AH44" s="21">
        <v>2.61</v>
      </c>
      <c r="AI44" s="21">
        <v>2.89</v>
      </c>
      <c r="AJ44" s="5"/>
      <c r="AK44" s="5"/>
      <c r="AL44" s="5"/>
      <c r="AM44" s="3" t="s">
        <v>72</v>
      </c>
      <c r="AN44" s="3"/>
      <c r="AO44" s="5" t="s">
        <v>71</v>
      </c>
      <c r="AP44" s="19">
        <f>ABS(15-18)/18</f>
        <v>0.16666666666666666</v>
      </c>
      <c r="AQ44" s="19">
        <f>0.9/15</f>
        <v>6.0000000000000005E-2</v>
      </c>
      <c r="AR44" s="18">
        <v>14</v>
      </c>
      <c r="AS44" s="18">
        <v>13.6</v>
      </c>
      <c r="AT44" s="17">
        <f t="shared" si="2"/>
        <v>2.941176470588238E-2</v>
      </c>
      <c r="AX44" s="2" t="s">
        <v>70</v>
      </c>
      <c r="AY44" s="20">
        <f>0.39/25.58</f>
        <v>1.5246286161063332E-2</v>
      </c>
    </row>
    <row r="45" spans="1:51" x14ac:dyDescent="0.2">
      <c r="A45" s="3" t="s">
        <v>69</v>
      </c>
      <c r="B45" s="21">
        <v>23</v>
      </c>
      <c r="C45" s="21">
        <v>17</v>
      </c>
      <c r="D45" s="21">
        <v>38</v>
      </c>
      <c r="E45" s="21">
        <v>15.9</v>
      </c>
      <c r="F45" s="21">
        <v>14</v>
      </c>
      <c r="G45" s="21">
        <v>14.1</v>
      </c>
      <c r="H45" s="21">
        <v>12.7</v>
      </c>
      <c r="I45" s="21">
        <v>22</v>
      </c>
      <c r="J45" s="21">
        <v>17.399999999999999</v>
      </c>
      <c r="K45" s="21">
        <v>9.1</v>
      </c>
      <c r="L45" s="21">
        <v>9.1999999999999993</v>
      </c>
      <c r="M45" s="21">
        <v>73</v>
      </c>
      <c r="N45" s="21">
        <v>75</v>
      </c>
      <c r="O45" s="21">
        <v>39</v>
      </c>
      <c r="P45" s="21">
        <v>198</v>
      </c>
      <c r="Q45" s="21">
        <v>36</v>
      </c>
      <c r="R45" s="21">
        <v>18</v>
      </c>
      <c r="S45" s="21">
        <v>32</v>
      </c>
      <c r="T45" s="21">
        <v>26</v>
      </c>
      <c r="U45" s="21">
        <v>31</v>
      </c>
      <c r="V45" s="21">
        <v>23</v>
      </c>
      <c r="W45" s="21">
        <v>11</v>
      </c>
      <c r="X45" s="21">
        <v>16.5</v>
      </c>
      <c r="Y45" s="21">
        <v>24.8</v>
      </c>
      <c r="Z45" s="21">
        <v>10.6</v>
      </c>
      <c r="AA45" s="21">
        <v>13</v>
      </c>
      <c r="AB45" s="21">
        <v>14.4</v>
      </c>
      <c r="AC45" s="21">
        <v>44.8</v>
      </c>
      <c r="AD45" s="21">
        <v>10.1</v>
      </c>
      <c r="AE45" s="21">
        <v>47.4</v>
      </c>
      <c r="AF45" s="21">
        <v>11.4</v>
      </c>
      <c r="AG45" s="21">
        <v>9.6999999999999993</v>
      </c>
      <c r="AH45" s="21">
        <v>22.9</v>
      </c>
      <c r="AI45" s="21">
        <v>6.7</v>
      </c>
      <c r="AJ45" s="5"/>
      <c r="AK45" s="5"/>
      <c r="AL45" s="5"/>
      <c r="AM45" s="3" t="s">
        <v>68</v>
      </c>
      <c r="AN45" s="3"/>
      <c r="AO45" s="5" t="s">
        <v>67</v>
      </c>
      <c r="AP45" s="19">
        <f>(21.2-20)/20</f>
        <v>5.9999999999999963E-2</v>
      </c>
      <c r="AQ45" s="19">
        <f>1/21.2</f>
        <v>4.716981132075472E-2</v>
      </c>
      <c r="AR45" s="18">
        <v>13</v>
      </c>
      <c r="AS45" s="18">
        <v>12.9</v>
      </c>
      <c r="AT45" s="17">
        <f t="shared" si="2"/>
        <v>7.7519379844960962E-3</v>
      </c>
      <c r="AX45" s="2" t="s">
        <v>66</v>
      </c>
      <c r="AY45" s="20">
        <f>1.01/40.32</f>
        <v>2.5049603174603176E-2</v>
      </c>
    </row>
    <row r="46" spans="1:51" x14ac:dyDescent="0.2">
      <c r="A46" s="3" t="s">
        <v>65</v>
      </c>
      <c r="B46" s="6">
        <v>38.700000000000003</v>
      </c>
      <c r="C46" s="6">
        <v>32.799999999999997</v>
      </c>
      <c r="D46" s="6">
        <v>48.4</v>
      </c>
      <c r="E46" s="6">
        <v>28.1</v>
      </c>
      <c r="F46" s="6">
        <v>30</v>
      </c>
      <c r="G46" s="6">
        <v>24.1</v>
      </c>
      <c r="H46" s="6">
        <v>36.4</v>
      </c>
      <c r="I46" s="6">
        <v>40.299999999999997</v>
      </c>
      <c r="J46" s="6">
        <v>34.5</v>
      </c>
      <c r="K46" s="6">
        <v>37.9</v>
      </c>
      <c r="L46" s="6">
        <v>35.799999999999997</v>
      </c>
      <c r="M46" s="6">
        <v>47.9</v>
      </c>
      <c r="N46" s="6">
        <v>52.9</v>
      </c>
      <c r="O46" s="6">
        <v>50.1</v>
      </c>
      <c r="P46" s="6">
        <v>39.299999999999997</v>
      </c>
      <c r="Q46" s="6">
        <v>64.7</v>
      </c>
      <c r="R46" s="6">
        <v>65.900000000000006</v>
      </c>
      <c r="S46" s="6">
        <v>65.3</v>
      </c>
      <c r="T46" s="6">
        <v>64.599999999999994</v>
      </c>
      <c r="U46" s="6">
        <v>66.7</v>
      </c>
      <c r="V46" s="6">
        <v>77.7</v>
      </c>
      <c r="W46" s="6">
        <v>84.2</v>
      </c>
      <c r="X46" s="6">
        <v>75.400000000000006</v>
      </c>
      <c r="Y46" s="6">
        <v>60.3</v>
      </c>
      <c r="Z46" s="6">
        <v>74.2</v>
      </c>
      <c r="AA46" s="6">
        <v>67.2</v>
      </c>
      <c r="AB46" s="6">
        <v>46.5</v>
      </c>
      <c r="AC46" s="6">
        <v>56</v>
      </c>
      <c r="AD46" s="6">
        <v>72.900000000000006</v>
      </c>
      <c r="AE46" s="6">
        <v>51</v>
      </c>
      <c r="AF46" s="6">
        <v>72.400000000000006</v>
      </c>
      <c r="AG46" s="6">
        <v>11.6</v>
      </c>
      <c r="AH46" s="6">
        <v>10.7</v>
      </c>
      <c r="AI46" s="6">
        <v>13.7</v>
      </c>
      <c r="AJ46" s="5" t="s">
        <v>64</v>
      </c>
      <c r="AK46" s="5"/>
      <c r="AL46" s="5"/>
      <c r="AM46" s="3"/>
      <c r="AN46" s="3"/>
      <c r="AO46" s="5" t="s">
        <v>63</v>
      </c>
      <c r="AP46" s="19">
        <f>(15.21-15)/15</f>
        <v>1.4000000000000058E-2</v>
      </c>
      <c r="AQ46" s="19">
        <f>0.25/15.21</f>
        <v>1.6436554898093359E-2</v>
      </c>
      <c r="AR46" s="18">
        <v>26.1</v>
      </c>
      <c r="AS46" s="18">
        <v>24.9</v>
      </c>
      <c r="AT46" s="17">
        <f t="shared" si="2"/>
        <v>4.8192771084337463E-2</v>
      </c>
      <c r="AU46" s="1" t="s">
        <v>62</v>
      </c>
      <c r="AY46" s="20">
        <f>0.39/25.7</f>
        <v>1.5175097276264593E-2</v>
      </c>
    </row>
    <row r="47" spans="1:51" x14ac:dyDescent="0.2">
      <c r="A47" s="3" t="s">
        <v>61</v>
      </c>
      <c r="B47" s="21">
        <v>84.2</v>
      </c>
      <c r="C47" s="21">
        <v>71.7</v>
      </c>
      <c r="D47" s="21">
        <v>107</v>
      </c>
      <c r="E47" s="21">
        <v>59.47</v>
      </c>
      <c r="F47" s="21">
        <v>62.76</v>
      </c>
      <c r="G47" s="21">
        <v>50.73</v>
      </c>
      <c r="H47" s="21">
        <v>77.52</v>
      </c>
      <c r="I47" s="21">
        <v>86.16</v>
      </c>
      <c r="J47" s="21">
        <v>73.48</v>
      </c>
      <c r="K47" s="21">
        <v>82.63</v>
      </c>
      <c r="L47" s="21">
        <v>75.91</v>
      </c>
      <c r="M47" s="21">
        <v>106</v>
      </c>
      <c r="N47" s="21">
        <v>117</v>
      </c>
      <c r="O47" s="21">
        <v>109</v>
      </c>
      <c r="P47" s="21">
        <v>91.3</v>
      </c>
      <c r="Q47" s="21">
        <v>139</v>
      </c>
      <c r="R47" s="21">
        <v>142</v>
      </c>
      <c r="S47" s="21">
        <v>138</v>
      </c>
      <c r="T47" s="21">
        <v>140</v>
      </c>
      <c r="U47" s="21">
        <v>143</v>
      </c>
      <c r="V47" s="21">
        <v>168</v>
      </c>
      <c r="W47" s="21">
        <v>177</v>
      </c>
      <c r="X47" s="21">
        <v>169.43</v>
      </c>
      <c r="Y47" s="21">
        <v>128.81</v>
      </c>
      <c r="Z47" s="21">
        <v>158.03</v>
      </c>
      <c r="AA47" s="21">
        <v>153.44</v>
      </c>
      <c r="AB47" s="21">
        <v>101.08</v>
      </c>
      <c r="AC47" s="21">
        <v>115.66</v>
      </c>
      <c r="AD47" s="21">
        <v>157.26</v>
      </c>
      <c r="AE47" s="21">
        <v>109.39</v>
      </c>
      <c r="AF47" s="21">
        <v>164.6</v>
      </c>
      <c r="AG47" s="21">
        <v>23.83</v>
      </c>
      <c r="AH47" s="21">
        <v>22.29</v>
      </c>
      <c r="AI47" s="21">
        <v>28.7</v>
      </c>
      <c r="AJ47" s="5" t="s">
        <v>60</v>
      </c>
      <c r="AK47" s="5"/>
      <c r="AL47" s="5"/>
      <c r="AM47" s="3"/>
      <c r="AN47" s="3"/>
      <c r="AO47" s="5" t="s">
        <v>59</v>
      </c>
      <c r="AP47" s="19">
        <f>ABS(36.9-38)/38</f>
        <v>2.894736842105267E-2</v>
      </c>
      <c r="AQ47" s="19">
        <f>0.8/36.9</f>
        <v>2.1680216802168025E-2</v>
      </c>
      <c r="AR47" s="18">
        <v>55.7</v>
      </c>
      <c r="AS47" s="18">
        <v>53.7</v>
      </c>
      <c r="AT47" s="17">
        <f t="shared" si="2"/>
        <v>3.7243947858472994E-2</v>
      </c>
      <c r="AU47" s="3" t="s">
        <v>58</v>
      </c>
      <c r="AY47" s="20">
        <f>0.79/53.4</f>
        <v>1.4794007490636705E-2</v>
      </c>
    </row>
    <row r="48" spans="1:51" x14ac:dyDescent="0.2">
      <c r="A48" s="3" t="s">
        <v>57</v>
      </c>
      <c r="B48" s="21">
        <v>10.5</v>
      </c>
      <c r="C48" s="21">
        <v>8.7100000000000009</v>
      </c>
      <c r="D48" s="21">
        <v>13.5</v>
      </c>
      <c r="E48" s="21">
        <v>7.9189999999999996</v>
      </c>
      <c r="F48" s="21">
        <v>8.548</v>
      </c>
      <c r="G48" s="21">
        <v>7.02</v>
      </c>
      <c r="H48" s="21">
        <v>10.808999999999999</v>
      </c>
      <c r="I48" s="21">
        <v>12.05</v>
      </c>
      <c r="J48" s="21">
        <v>9.9979999999999993</v>
      </c>
      <c r="K48" s="21">
        <v>11.278</v>
      </c>
      <c r="L48" s="21">
        <v>10.593999999999999</v>
      </c>
      <c r="M48" s="21">
        <v>13.1</v>
      </c>
      <c r="N48" s="21">
        <v>14.6</v>
      </c>
      <c r="O48" s="21">
        <v>13.4</v>
      </c>
      <c r="P48" s="21">
        <v>12</v>
      </c>
      <c r="Q48" s="21">
        <v>17.100000000000001</v>
      </c>
      <c r="R48" s="21">
        <v>17.399999999999999</v>
      </c>
      <c r="S48" s="21">
        <v>17</v>
      </c>
      <c r="T48" s="21">
        <v>17</v>
      </c>
      <c r="U48" s="21">
        <v>17.8</v>
      </c>
      <c r="V48" s="21">
        <v>20.9</v>
      </c>
      <c r="W48" s="21">
        <v>22.1</v>
      </c>
      <c r="X48" s="21">
        <v>23.869</v>
      </c>
      <c r="Y48" s="21">
        <v>17.021000000000001</v>
      </c>
      <c r="Z48" s="21">
        <v>21.469000000000001</v>
      </c>
      <c r="AA48" s="21">
        <v>22.257000000000001</v>
      </c>
      <c r="AB48" s="21">
        <v>13.88</v>
      </c>
      <c r="AC48" s="21">
        <v>15.563000000000001</v>
      </c>
      <c r="AD48" s="21">
        <v>21.4</v>
      </c>
      <c r="AE48" s="21">
        <v>14.742000000000001</v>
      </c>
      <c r="AF48" s="21">
        <v>24.109000000000002</v>
      </c>
      <c r="AG48" s="21">
        <v>3.165</v>
      </c>
      <c r="AH48" s="21">
        <v>2.9569999999999999</v>
      </c>
      <c r="AI48" s="21">
        <v>3.8039999999999998</v>
      </c>
      <c r="AJ48" s="5"/>
      <c r="AK48" s="5"/>
      <c r="AL48" s="5" t="s">
        <v>56</v>
      </c>
      <c r="AM48" s="3"/>
      <c r="AN48" s="3"/>
      <c r="AO48" s="5" t="s">
        <v>55</v>
      </c>
      <c r="AP48" s="19">
        <f>ABS(7.9-8.3)/8.3</f>
        <v>4.8192771084337387E-2</v>
      </c>
      <c r="AQ48" s="19">
        <f>0.4/7.9</f>
        <v>5.0632911392405063E-2</v>
      </c>
      <c r="AR48" s="23">
        <v>6.86</v>
      </c>
      <c r="AS48" s="22">
        <v>6.8</v>
      </c>
      <c r="AT48" s="17">
        <f t="shared" si="2"/>
        <v>8.8235294117647786E-3</v>
      </c>
      <c r="AU48" s="1" t="s">
        <v>54</v>
      </c>
      <c r="AY48" s="20">
        <f>0.11/6.5</f>
        <v>1.6923076923076923E-2</v>
      </c>
    </row>
    <row r="49" spans="1:51" x14ac:dyDescent="0.2">
      <c r="A49" s="3" t="s">
        <v>53</v>
      </c>
      <c r="B49" s="21">
        <v>40.5</v>
      </c>
      <c r="C49" s="21">
        <v>34.1</v>
      </c>
      <c r="D49" s="21">
        <v>51.9</v>
      </c>
      <c r="E49" s="21">
        <v>31.56</v>
      </c>
      <c r="F49" s="21">
        <v>33.56</v>
      </c>
      <c r="G49" s="21">
        <v>25.95</v>
      </c>
      <c r="H49" s="21">
        <v>41.36</v>
      </c>
      <c r="I49" s="21">
        <v>46.2</v>
      </c>
      <c r="J49" s="21">
        <v>39.36</v>
      </c>
      <c r="K49" s="21">
        <v>44</v>
      </c>
      <c r="L49" s="21">
        <v>41.11</v>
      </c>
      <c r="M49" s="21">
        <v>52.4</v>
      </c>
      <c r="N49" s="21">
        <v>56.4</v>
      </c>
      <c r="O49" s="21">
        <v>53.7</v>
      </c>
      <c r="P49" s="21">
        <v>49</v>
      </c>
      <c r="Q49" s="21">
        <v>66.099999999999994</v>
      </c>
      <c r="R49" s="21">
        <v>66.900000000000006</v>
      </c>
      <c r="S49" s="21">
        <v>65.900000000000006</v>
      </c>
      <c r="T49" s="21">
        <v>66.400000000000006</v>
      </c>
      <c r="U49" s="21">
        <v>70.599999999999994</v>
      </c>
      <c r="V49" s="21">
        <v>84.2</v>
      </c>
      <c r="W49" s="21">
        <v>85.2</v>
      </c>
      <c r="X49" s="21">
        <v>95.94</v>
      </c>
      <c r="Y49" s="21">
        <v>68.38</v>
      </c>
      <c r="Z49" s="21">
        <v>83.49</v>
      </c>
      <c r="AA49" s="21">
        <v>91.32</v>
      </c>
      <c r="AB49" s="21">
        <v>56.5</v>
      </c>
      <c r="AC49" s="21">
        <v>60.45</v>
      </c>
      <c r="AD49" s="21">
        <v>86.42</v>
      </c>
      <c r="AE49" s="21">
        <v>56.85</v>
      </c>
      <c r="AF49" s="21">
        <v>102.85</v>
      </c>
      <c r="AG49" s="21">
        <v>12.74</v>
      </c>
      <c r="AH49" s="21">
        <v>11.78</v>
      </c>
      <c r="AI49" s="21">
        <v>15.49</v>
      </c>
      <c r="AJ49" s="5" t="s">
        <v>52</v>
      </c>
      <c r="AK49" s="5"/>
      <c r="AL49" s="5"/>
      <c r="AM49" s="3"/>
      <c r="AN49" s="3"/>
      <c r="AO49" s="5" t="s">
        <v>51</v>
      </c>
      <c r="AP49" s="19">
        <f>ABS(24.7-25)/25</f>
        <v>1.2000000000000028E-2</v>
      </c>
      <c r="AQ49" s="19">
        <f>0.4/24.7</f>
        <v>1.6194331983805668E-2</v>
      </c>
      <c r="AR49" s="18">
        <v>28.2</v>
      </c>
      <c r="AS49" s="18">
        <v>28.8</v>
      </c>
      <c r="AT49" s="17">
        <f t="shared" si="2"/>
        <v>2.0833333333333381E-2</v>
      </c>
      <c r="AU49" s="1" t="s">
        <v>50</v>
      </c>
      <c r="AY49" s="20">
        <f>0.5/29</f>
        <v>1.7241379310344827E-2</v>
      </c>
    </row>
    <row r="50" spans="1:51" x14ac:dyDescent="0.2">
      <c r="A50" s="3" t="s">
        <v>49</v>
      </c>
      <c r="B50" s="6">
        <v>8.1</v>
      </c>
      <c r="C50" s="6">
        <v>6.5</v>
      </c>
      <c r="D50" s="6">
        <v>10.6</v>
      </c>
      <c r="E50" s="6">
        <v>6.359</v>
      </c>
      <c r="F50" s="6">
        <v>6.9509999999999996</v>
      </c>
      <c r="G50" s="6">
        <v>5.3689999999999998</v>
      </c>
      <c r="H50" s="6">
        <v>8.4149999999999991</v>
      </c>
      <c r="I50" s="6">
        <v>9.6419999999999995</v>
      </c>
      <c r="J50" s="6">
        <v>8.2490000000000006</v>
      </c>
      <c r="K50" s="6">
        <v>9.1980000000000004</v>
      </c>
      <c r="L50" s="6">
        <v>8.5670000000000002</v>
      </c>
      <c r="M50" s="6">
        <v>10.199999999999999</v>
      </c>
      <c r="N50" s="6">
        <v>10.9</v>
      </c>
      <c r="O50" s="6">
        <v>10.3</v>
      </c>
      <c r="P50" s="6">
        <v>10</v>
      </c>
      <c r="Q50" s="6">
        <v>12.6</v>
      </c>
      <c r="R50" s="6">
        <v>12.9</v>
      </c>
      <c r="S50" s="6">
        <v>12.3</v>
      </c>
      <c r="T50" s="6">
        <v>13.1</v>
      </c>
      <c r="U50" s="6">
        <v>12.9</v>
      </c>
      <c r="V50" s="6">
        <v>16.600000000000001</v>
      </c>
      <c r="W50" s="6">
        <v>16.600000000000001</v>
      </c>
      <c r="X50" s="6">
        <v>19.672000000000001</v>
      </c>
      <c r="Y50" s="6">
        <v>13.638</v>
      </c>
      <c r="Z50" s="6">
        <v>16.587</v>
      </c>
      <c r="AA50" s="6">
        <v>18.876999999999999</v>
      </c>
      <c r="AB50" s="6">
        <v>11.989000000000001</v>
      </c>
      <c r="AC50" s="6">
        <v>12.404999999999999</v>
      </c>
      <c r="AD50" s="6">
        <v>17.405999999999999</v>
      </c>
      <c r="AE50" s="6">
        <v>11.776</v>
      </c>
      <c r="AF50" s="6">
        <v>20.914999999999999</v>
      </c>
      <c r="AG50" s="6">
        <v>2.6349999999999998</v>
      </c>
      <c r="AH50" s="6">
        <v>2.5129999999999999</v>
      </c>
      <c r="AI50" s="6">
        <v>3.2229999999999999</v>
      </c>
      <c r="AJ50" s="5" t="s">
        <v>48</v>
      </c>
      <c r="AK50" s="5"/>
      <c r="AL50" s="5"/>
      <c r="AM50" s="3"/>
      <c r="AN50" s="3"/>
      <c r="AO50" s="5" t="s">
        <v>47</v>
      </c>
      <c r="AP50" s="19">
        <f>ABS(6.1-6.2)/6.2</f>
        <v>1.6129032258064602E-2</v>
      </c>
      <c r="AQ50" s="19">
        <f>0.11/6.1</f>
        <v>1.8032786885245903E-2</v>
      </c>
      <c r="AR50" s="18">
        <v>6.3</v>
      </c>
      <c r="AS50" s="18">
        <v>6.59</v>
      </c>
      <c r="AT50" s="17">
        <f t="shared" si="2"/>
        <v>4.4006069802731418E-2</v>
      </c>
      <c r="AU50" s="1" t="s">
        <v>46</v>
      </c>
      <c r="AY50" s="20">
        <f>0.14/6.6</f>
        <v>2.1212121212121217E-2</v>
      </c>
    </row>
    <row r="51" spans="1:51" x14ac:dyDescent="0.2">
      <c r="A51" s="3" t="s">
        <v>45</v>
      </c>
      <c r="B51" s="6">
        <v>2.31</v>
      </c>
      <c r="C51" s="6">
        <v>1.99</v>
      </c>
      <c r="D51" s="6">
        <v>2.96</v>
      </c>
      <c r="E51" s="6">
        <v>2.2004000000000001</v>
      </c>
      <c r="F51" s="6">
        <v>2.2482000000000002</v>
      </c>
      <c r="G51" s="6">
        <v>1.8556999999999999</v>
      </c>
      <c r="H51" s="6">
        <v>2.6465999999999998</v>
      </c>
      <c r="I51" s="6">
        <v>2.7810999999999999</v>
      </c>
      <c r="J51" s="6">
        <v>2.4685999999999999</v>
      </c>
      <c r="K51" s="6">
        <v>2.7149999999999999</v>
      </c>
      <c r="L51" s="6">
        <v>2.56</v>
      </c>
      <c r="M51" s="6">
        <v>2.63</v>
      </c>
      <c r="N51" s="6">
        <v>2.95</v>
      </c>
      <c r="O51" s="6">
        <v>2.83</v>
      </c>
      <c r="P51" s="6">
        <v>1.85</v>
      </c>
      <c r="Q51" s="6">
        <v>3.14</v>
      </c>
      <c r="R51" s="6">
        <v>3.4</v>
      </c>
      <c r="S51" s="6">
        <v>3.28</v>
      </c>
      <c r="T51" s="6">
        <v>3.25</v>
      </c>
      <c r="U51" s="6">
        <v>3.33</v>
      </c>
      <c r="V51" s="6">
        <v>4.1399999999999997</v>
      </c>
      <c r="W51" s="6">
        <v>3.71</v>
      </c>
      <c r="X51" s="6">
        <v>4.6087999999999996</v>
      </c>
      <c r="Y51" s="6">
        <v>3.2776000000000001</v>
      </c>
      <c r="Z51" s="6">
        <v>3.9662000000000002</v>
      </c>
      <c r="AA51" s="6">
        <v>4.3841000000000001</v>
      </c>
      <c r="AB51" s="6">
        <v>3.4089999999999998</v>
      </c>
      <c r="AC51" s="6">
        <v>3.3378000000000001</v>
      </c>
      <c r="AD51" s="6">
        <v>4.1032999999999999</v>
      </c>
      <c r="AE51" s="6">
        <v>3.0550000000000002</v>
      </c>
      <c r="AF51" s="6">
        <v>4.601</v>
      </c>
      <c r="AG51" s="6">
        <v>1.6472</v>
      </c>
      <c r="AH51" s="6">
        <v>1.4843</v>
      </c>
      <c r="AI51" s="6">
        <v>1.6275999999999999</v>
      </c>
      <c r="AJ51" s="5"/>
      <c r="AK51" s="5"/>
      <c r="AL51" s="5" t="s">
        <v>44</v>
      </c>
      <c r="AM51" s="3"/>
      <c r="AN51" s="3"/>
      <c r="AO51" s="5" t="s">
        <v>43</v>
      </c>
      <c r="AP51" s="19">
        <f>ABS(1.51-1.54)/1.54</f>
        <v>1.9480519480519497E-2</v>
      </c>
      <c r="AQ51" s="19">
        <f>0.07/1.51</f>
        <v>4.6357615894039736E-2</v>
      </c>
      <c r="AR51" s="18">
        <v>1.88</v>
      </c>
      <c r="AS51" s="18">
        <v>1.95</v>
      </c>
      <c r="AT51" s="17">
        <f t="shared" si="2"/>
        <v>3.5897435897435929E-2</v>
      </c>
      <c r="AU51" s="1" t="s">
        <v>42</v>
      </c>
      <c r="AY51" s="20">
        <f>0.02/2</f>
        <v>0.01</v>
      </c>
    </row>
    <row r="52" spans="1:51" x14ac:dyDescent="0.2">
      <c r="A52" s="3" t="s">
        <v>41</v>
      </c>
      <c r="B52" s="6">
        <v>7.89</v>
      </c>
      <c r="C52" s="6">
        <v>6.4</v>
      </c>
      <c r="D52" s="6">
        <v>10.7</v>
      </c>
      <c r="E52" s="6">
        <v>5.9530000000000003</v>
      </c>
      <c r="F52" s="6">
        <v>6.5389999999999997</v>
      </c>
      <c r="G52" s="6">
        <v>5.1420000000000003</v>
      </c>
      <c r="H52" s="6">
        <v>8.1709999999999994</v>
      </c>
      <c r="I52" s="6">
        <v>9</v>
      </c>
      <c r="J52" s="6">
        <v>7.6980000000000004</v>
      </c>
      <c r="K52" s="6">
        <v>8.8409999999999993</v>
      </c>
      <c r="L52" s="6">
        <v>8.1059999999999999</v>
      </c>
      <c r="M52" s="6">
        <v>9.98</v>
      </c>
      <c r="N52" s="6">
        <v>10.7</v>
      </c>
      <c r="O52" s="6">
        <v>10.199999999999999</v>
      </c>
      <c r="P52" s="6">
        <v>9.92</v>
      </c>
      <c r="Q52" s="6">
        <v>12.1</v>
      </c>
      <c r="R52" s="6">
        <v>12.6</v>
      </c>
      <c r="S52" s="6">
        <v>12.3</v>
      </c>
      <c r="T52" s="6">
        <v>12.2</v>
      </c>
      <c r="U52" s="6">
        <v>12.8</v>
      </c>
      <c r="V52" s="6">
        <v>15.8</v>
      </c>
      <c r="W52" s="6">
        <v>16</v>
      </c>
      <c r="X52" s="6">
        <v>18.111000000000001</v>
      </c>
      <c r="Y52" s="6">
        <v>12.198</v>
      </c>
      <c r="Z52" s="6">
        <v>14.336</v>
      </c>
      <c r="AA52" s="6">
        <v>16.715</v>
      </c>
      <c r="AB52" s="6">
        <v>10.81</v>
      </c>
      <c r="AC52" s="6">
        <v>11.371</v>
      </c>
      <c r="AD52" s="6">
        <v>16.055</v>
      </c>
      <c r="AE52" s="6">
        <v>10.867000000000001</v>
      </c>
      <c r="AF52" s="6">
        <v>19.236999999999998</v>
      </c>
      <c r="AG52" s="6">
        <v>2.6640000000000001</v>
      </c>
      <c r="AH52" s="6">
        <v>2.452</v>
      </c>
      <c r="AI52" s="6">
        <v>2.9929999999999999</v>
      </c>
      <c r="AJ52" s="5"/>
      <c r="AK52" s="5"/>
      <c r="AL52" s="5"/>
      <c r="AM52" s="3" t="s">
        <v>40</v>
      </c>
      <c r="AN52" s="3"/>
      <c r="AO52" s="5" t="s">
        <v>39</v>
      </c>
      <c r="AP52" s="19">
        <f>ABS(1.88-1.9)/1.9</f>
        <v>1.0526315789473694E-2</v>
      </c>
      <c r="AQ52" s="19">
        <f>0.04/1.88</f>
        <v>2.1276595744680854E-2</v>
      </c>
      <c r="AR52" s="18">
        <v>6.94</v>
      </c>
      <c r="AS52" s="18">
        <v>6.68</v>
      </c>
      <c r="AT52" s="17">
        <f t="shared" si="2"/>
        <v>3.892215568862286E-2</v>
      </c>
      <c r="AU52" s="1" t="s">
        <v>38</v>
      </c>
      <c r="AY52" s="20">
        <f>0.1/7</f>
        <v>1.4285714285714287E-2</v>
      </c>
    </row>
    <row r="53" spans="1:51" x14ac:dyDescent="0.2">
      <c r="A53" s="3" t="s">
        <v>37</v>
      </c>
      <c r="B53" s="6">
        <v>1.08</v>
      </c>
      <c r="C53" s="6">
        <v>0.89</v>
      </c>
      <c r="D53" s="6">
        <v>1.49</v>
      </c>
      <c r="E53" s="6">
        <v>0.88060000000000005</v>
      </c>
      <c r="F53" s="6">
        <v>0.96140000000000003</v>
      </c>
      <c r="G53" s="6">
        <v>0.73460000000000003</v>
      </c>
      <c r="H53" s="6">
        <v>1.2190000000000001</v>
      </c>
      <c r="I53" s="6">
        <v>1.3129</v>
      </c>
      <c r="J53" s="6">
        <v>1.1146</v>
      </c>
      <c r="K53" s="6">
        <v>1.2641</v>
      </c>
      <c r="L53" s="6">
        <v>1.1585000000000001</v>
      </c>
      <c r="M53" s="6">
        <v>1.4</v>
      </c>
      <c r="N53" s="6">
        <v>1.5</v>
      </c>
      <c r="O53" s="6">
        <v>1.41</v>
      </c>
      <c r="P53" s="6">
        <v>1.36</v>
      </c>
      <c r="Q53" s="6">
        <v>1.69</v>
      </c>
      <c r="R53" s="6">
        <v>1.73</v>
      </c>
      <c r="S53" s="6">
        <v>1.68</v>
      </c>
      <c r="T53" s="6">
        <v>1.69</v>
      </c>
      <c r="U53" s="6">
        <v>1.77</v>
      </c>
      <c r="V53" s="6">
        <v>2.2000000000000002</v>
      </c>
      <c r="W53" s="6">
        <v>2.25</v>
      </c>
      <c r="X53" s="6">
        <v>2.6711</v>
      </c>
      <c r="Y53" s="6">
        <v>1.694</v>
      </c>
      <c r="Z53" s="6">
        <v>2.0954000000000002</v>
      </c>
      <c r="AA53" s="6">
        <v>2.2547999999999999</v>
      </c>
      <c r="AB53" s="6">
        <v>1.4956</v>
      </c>
      <c r="AC53" s="6">
        <v>1.6847000000000001</v>
      </c>
      <c r="AD53" s="6">
        <v>2.3068</v>
      </c>
      <c r="AE53" s="6">
        <v>1.5627</v>
      </c>
      <c r="AF53" s="6">
        <v>2.5156999999999998</v>
      </c>
      <c r="AG53" s="6">
        <v>0.3972</v>
      </c>
      <c r="AH53" s="6">
        <v>0.37430000000000002</v>
      </c>
      <c r="AI53" s="6">
        <v>0.45910000000000001</v>
      </c>
      <c r="AJ53" s="5"/>
      <c r="AK53" s="5"/>
      <c r="AL53" s="5"/>
      <c r="AM53" s="3" t="s">
        <v>36</v>
      </c>
      <c r="AN53" s="3"/>
      <c r="AO53" s="5" t="s">
        <v>35</v>
      </c>
      <c r="AP53" s="19">
        <f>ABS(0.267-0.35)/0.35</f>
        <v>0.23714285714285704</v>
      </c>
      <c r="AQ53" s="19">
        <f>0.007/0.276</f>
        <v>2.5362318840579708E-2</v>
      </c>
      <c r="AR53" s="18">
        <v>1.02</v>
      </c>
      <c r="AS53" s="18">
        <v>1.05</v>
      </c>
      <c r="AT53" s="17">
        <f t="shared" si="2"/>
        <v>2.8571428571428595E-2</v>
      </c>
      <c r="AU53" s="1" t="s">
        <v>34</v>
      </c>
      <c r="AY53" s="20">
        <f>0.01/1.1</f>
        <v>9.0909090909090905E-3</v>
      </c>
    </row>
    <row r="54" spans="1:51" x14ac:dyDescent="0.2">
      <c r="A54" s="3" t="s">
        <v>33</v>
      </c>
      <c r="B54" s="6">
        <v>6.39</v>
      </c>
      <c r="C54" s="6">
        <v>5.05</v>
      </c>
      <c r="D54" s="6">
        <v>8.14</v>
      </c>
      <c r="E54" s="6">
        <v>4.8220000000000001</v>
      </c>
      <c r="F54" s="6">
        <v>5.3239999999999998</v>
      </c>
      <c r="G54" s="6">
        <v>4.1920000000000002</v>
      </c>
      <c r="H54" s="6">
        <v>6.6420000000000003</v>
      </c>
      <c r="I54" s="6">
        <v>7.5010000000000003</v>
      </c>
      <c r="J54" s="6">
        <v>6.173</v>
      </c>
      <c r="K54" s="6">
        <v>6.8789999999999996</v>
      </c>
      <c r="L54" s="6">
        <v>6.6180000000000003</v>
      </c>
      <c r="M54" s="6">
        <v>7.83</v>
      </c>
      <c r="N54" s="6">
        <v>8.56</v>
      </c>
      <c r="O54" s="6">
        <v>8.0399999999999991</v>
      </c>
      <c r="P54" s="6">
        <v>8.01</v>
      </c>
      <c r="Q54" s="6">
        <v>9.2200000000000006</v>
      </c>
      <c r="R54" s="6">
        <v>9.77</v>
      </c>
      <c r="S54" s="6">
        <v>9.43</v>
      </c>
      <c r="T54" s="6">
        <v>9.39</v>
      </c>
      <c r="U54" s="6">
        <v>9.6199999999999992</v>
      </c>
      <c r="V54" s="6">
        <v>12.9</v>
      </c>
      <c r="W54" s="6">
        <v>12.6</v>
      </c>
      <c r="X54" s="6">
        <v>14.461</v>
      </c>
      <c r="Y54" s="6">
        <v>9.4320000000000004</v>
      </c>
      <c r="Z54" s="6">
        <v>11.358000000000001</v>
      </c>
      <c r="AA54" s="6">
        <v>11.526999999999999</v>
      </c>
      <c r="AB54" s="6">
        <v>8.1240000000000006</v>
      </c>
      <c r="AC54" s="6">
        <v>9.1760000000000002</v>
      </c>
      <c r="AD54" s="6">
        <v>12.856999999999999</v>
      </c>
      <c r="AE54" s="6">
        <v>8.5830000000000002</v>
      </c>
      <c r="AF54" s="6">
        <v>13.038</v>
      </c>
      <c r="AG54" s="6">
        <v>2.2090000000000001</v>
      </c>
      <c r="AH54" s="6">
        <v>2.1080000000000001</v>
      </c>
      <c r="AI54" s="6">
        <v>2.613</v>
      </c>
      <c r="AJ54" s="5"/>
      <c r="AK54" s="5"/>
      <c r="AL54" s="5" t="s">
        <v>32</v>
      </c>
      <c r="AM54" s="3"/>
      <c r="AN54" s="3"/>
      <c r="AO54" s="5" t="s">
        <v>31</v>
      </c>
      <c r="AP54" s="19">
        <f>ABS(3.43-3.6)/3.6</f>
        <v>4.72222222222222E-2</v>
      </c>
      <c r="AQ54" s="19">
        <f>0.15/3.43</f>
        <v>4.3731778425655975E-2</v>
      </c>
      <c r="AR54" s="18">
        <v>6.39</v>
      </c>
      <c r="AS54" s="18">
        <v>6.34</v>
      </c>
      <c r="AT54" s="17">
        <f t="shared" si="2"/>
        <v>7.8864353312302557E-3</v>
      </c>
      <c r="AU54" s="3" t="s">
        <v>30</v>
      </c>
      <c r="AY54" s="20">
        <f>0.1/6.4</f>
        <v>1.5625E-2</v>
      </c>
    </row>
    <row r="55" spans="1:51" x14ac:dyDescent="0.2">
      <c r="A55" s="3" t="s">
        <v>29</v>
      </c>
      <c r="B55" s="6">
        <v>1.29</v>
      </c>
      <c r="C55" s="6">
        <v>1.03</v>
      </c>
      <c r="D55" s="6">
        <v>1.65</v>
      </c>
      <c r="E55" s="6">
        <v>0.99770000000000003</v>
      </c>
      <c r="F55" s="6">
        <v>1.1021000000000001</v>
      </c>
      <c r="G55" s="6">
        <v>0.85109999999999997</v>
      </c>
      <c r="H55" s="6">
        <v>1.3794999999999999</v>
      </c>
      <c r="I55" s="6">
        <v>1.5112000000000001</v>
      </c>
      <c r="J55" s="6">
        <v>1.2782</v>
      </c>
      <c r="K55" s="6">
        <v>1.4458</v>
      </c>
      <c r="L55" s="6">
        <v>1.3916999999999999</v>
      </c>
      <c r="M55" s="6">
        <v>1.6</v>
      </c>
      <c r="N55" s="6">
        <v>1.73</v>
      </c>
      <c r="O55" s="6">
        <v>1.62</v>
      </c>
      <c r="P55" s="6">
        <v>1.56</v>
      </c>
      <c r="Q55" s="6">
        <v>1.8</v>
      </c>
      <c r="R55" s="6">
        <v>1.96</v>
      </c>
      <c r="S55" s="6">
        <v>1.83</v>
      </c>
      <c r="T55" s="6">
        <v>1.86</v>
      </c>
      <c r="U55" s="6">
        <v>1.88</v>
      </c>
      <c r="V55" s="6">
        <v>2.52</v>
      </c>
      <c r="W55" s="6">
        <v>2.4500000000000002</v>
      </c>
      <c r="X55" s="6">
        <v>2.8039000000000001</v>
      </c>
      <c r="Y55" s="6">
        <v>1.8358000000000001</v>
      </c>
      <c r="Z55" s="6">
        <v>2.2214999999999998</v>
      </c>
      <c r="AA55" s="6">
        <v>2.2921</v>
      </c>
      <c r="AB55" s="6">
        <v>1.6111</v>
      </c>
      <c r="AC55" s="6">
        <v>1.8327</v>
      </c>
      <c r="AD55" s="6">
        <v>2.5377999999999998</v>
      </c>
      <c r="AE55" s="6">
        <v>1.784</v>
      </c>
      <c r="AF55" s="6">
        <v>2.3984000000000001</v>
      </c>
      <c r="AG55" s="6">
        <v>0.44900000000000001</v>
      </c>
      <c r="AH55" s="6">
        <v>0.42149999999999999</v>
      </c>
      <c r="AI55" s="6">
        <v>0.52790000000000004</v>
      </c>
      <c r="AJ55" s="5"/>
      <c r="AK55" s="5"/>
      <c r="AL55" s="5"/>
      <c r="AM55" s="3" t="s">
        <v>28</v>
      </c>
      <c r="AN55" s="3"/>
      <c r="AO55" s="5" t="s">
        <v>27</v>
      </c>
      <c r="AP55" s="19">
        <f>ABS(0.317-0.33)/0.33</f>
        <v>3.9393939393939426E-2</v>
      </c>
      <c r="AQ55" s="19">
        <f>0.007/0.317</f>
        <v>2.2082018927444796E-2</v>
      </c>
      <c r="AR55" s="18">
        <v>1.31</v>
      </c>
      <c r="AS55" s="18">
        <v>1.26</v>
      </c>
      <c r="AT55" s="17">
        <f t="shared" si="2"/>
        <v>3.9682539682539715E-2</v>
      </c>
      <c r="AU55" s="1" t="s">
        <v>26</v>
      </c>
      <c r="AY55" s="20">
        <f>0.01/1.24</f>
        <v>8.0645161290322578E-3</v>
      </c>
    </row>
    <row r="56" spans="1:51" x14ac:dyDescent="0.2">
      <c r="A56" s="3" t="s">
        <v>25</v>
      </c>
      <c r="B56" s="6">
        <v>3.67</v>
      </c>
      <c r="C56" s="6">
        <v>2.94</v>
      </c>
      <c r="D56" s="6">
        <v>4.59</v>
      </c>
      <c r="E56" s="6">
        <v>2.8170000000000002</v>
      </c>
      <c r="F56" s="6">
        <v>3.0979999999999999</v>
      </c>
      <c r="G56" s="6">
        <v>2.5379999999999998</v>
      </c>
      <c r="H56" s="6">
        <v>3.8580000000000001</v>
      </c>
      <c r="I56" s="6">
        <v>4.2169999999999996</v>
      </c>
      <c r="J56" s="6">
        <v>3.544</v>
      </c>
      <c r="K56" s="6">
        <v>3.9590000000000001</v>
      </c>
      <c r="L56" s="6">
        <v>3.8580000000000001</v>
      </c>
      <c r="M56" s="6">
        <v>4.4800000000000004</v>
      </c>
      <c r="N56" s="6">
        <v>4.6399999999999997</v>
      </c>
      <c r="O56" s="6">
        <v>4.3899999999999997</v>
      </c>
      <c r="P56" s="6">
        <v>4.3</v>
      </c>
      <c r="Q56" s="6">
        <v>4.8099999999999996</v>
      </c>
      <c r="R56" s="6">
        <v>5.27</v>
      </c>
      <c r="S56" s="6">
        <v>5.09</v>
      </c>
      <c r="T56" s="6">
        <v>4.9800000000000004</v>
      </c>
      <c r="U56" s="6">
        <v>4.99</v>
      </c>
      <c r="V56" s="6">
        <v>7.02</v>
      </c>
      <c r="W56" s="6">
        <v>6.73</v>
      </c>
      <c r="X56" s="6">
        <v>7.6230000000000002</v>
      </c>
      <c r="Y56" s="6">
        <v>5.0949999999999998</v>
      </c>
      <c r="Z56" s="6">
        <v>5.8860000000000001</v>
      </c>
      <c r="AA56" s="6">
        <v>6.0129999999999999</v>
      </c>
      <c r="AB56" s="6">
        <v>4.2939999999999996</v>
      </c>
      <c r="AC56" s="6">
        <v>5.2590000000000003</v>
      </c>
      <c r="AD56" s="6">
        <v>6.9349999999999996</v>
      </c>
      <c r="AE56" s="6">
        <v>4.9690000000000003</v>
      </c>
      <c r="AF56" s="6">
        <v>6.2640000000000002</v>
      </c>
      <c r="AG56" s="6">
        <v>1.284</v>
      </c>
      <c r="AH56" s="6">
        <v>1.1870000000000001</v>
      </c>
      <c r="AI56" s="6">
        <v>1.448</v>
      </c>
      <c r="AJ56" s="5"/>
      <c r="AK56" s="5"/>
      <c r="AL56" s="5"/>
      <c r="AM56" s="3" t="s">
        <v>24</v>
      </c>
      <c r="AN56" s="3"/>
      <c r="AO56" s="5" t="s">
        <v>23</v>
      </c>
      <c r="AP56" s="19">
        <f>ABS(0.911-1)/1</f>
        <v>8.8999999999999968E-2</v>
      </c>
      <c r="AQ56" s="19">
        <f>0.022/0.911</f>
        <v>2.4149286498353455E-2</v>
      </c>
      <c r="AR56" s="18">
        <v>3.63</v>
      </c>
      <c r="AS56" s="18">
        <v>3.63</v>
      </c>
      <c r="AT56" s="17">
        <f t="shared" si="2"/>
        <v>0</v>
      </c>
      <c r="AU56" s="3" t="s">
        <v>22</v>
      </c>
      <c r="AY56" s="20">
        <f>0.02/3.5</f>
        <v>5.7142857142857143E-3</v>
      </c>
    </row>
    <row r="57" spans="1:51" x14ac:dyDescent="0.2">
      <c r="A57" s="3" t="s">
        <v>21</v>
      </c>
      <c r="B57" s="6">
        <v>0.49</v>
      </c>
      <c r="C57" s="6">
        <v>0.39</v>
      </c>
      <c r="D57" s="6">
        <v>0.57999999999999996</v>
      </c>
      <c r="E57" s="6">
        <v>0.40089999999999998</v>
      </c>
      <c r="F57" s="6">
        <v>0.43640000000000001</v>
      </c>
      <c r="G57" s="6">
        <v>0.32990000000000003</v>
      </c>
      <c r="H57" s="6">
        <v>0.54430000000000001</v>
      </c>
      <c r="I57" s="6">
        <v>0.58309999999999995</v>
      </c>
      <c r="J57" s="6">
        <v>0.50739999999999996</v>
      </c>
      <c r="K57" s="6">
        <v>0.55889999999999995</v>
      </c>
      <c r="L57" s="6">
        <v>0.53590000000000004</v>
      </c>
      <c r="M57" s="6">
        <v>0.61</v>
      </c>
      <c r="N57" s="6">
        <v>0.64</v>
      </c>
      <c r="O57" s="6">
        <v>0.61</v>
      </c>
      <c r="P57" s="6">
        <v>0.56999999999999995</v>
      </c>
      <c r="Q57" s="6">
        <v>0.66</v>
      </c>
      <c r="R57" s="6">
        <v>0.73</v>
      </c>
      <c r="S57" s="6">
        <v>0.67</v>
      </c>
      <c r="T57" s="6">
        <v>0.69</v>
      </c>
      <c r="U57" s="6">
        <v>0.68</v>
      </c>
      <c r="V57" s="6">
        <v>0.96</v>
      </c>
      <c r="W57" s="6">
        <v>0.92</v>
      </c>
      <c r="X57" s="6">
        <v>1.0369999999999999</v>
      </c>
      <c r="Y57" s="6">
        <v>0.71209999999999996</v>
      </c>
      <c r="Z57" s="6">
        <v>0.8024</v>
      </c>
      <c r="AA57" s="6">
        <v>0.75349999999999995</v>
      </c>
      <c r="AB57" s="6">
        <v>0.58079999999999998</v>
      </c>
      <c r="AC57" s="6">
        <v>0.71640000000000004</v>
      </c>
      <c r="AD57" s="6">
        <v>0.96350000000000002</v>
      </c>
      <c r="AE57" s="6">
        <v>0.67900000000000005</v>
      </c>
      <c r="AF57" s="6">
        <v>0.76070000000000004</v>
      </c>
      <c r="AG57" s="6">
        <v>0.18099999999999999</v>
      </c>
      <c r="AH57" s="6">
        <v>0.17480000000000001</v>
      </c>
      <c r="AI57" s="6">
        <v>0.21590000000000001</v>
      </c>
      <c r="AJ57" s="5"/>
      <c r="AK57" s="5"/>
      <c r="AL57" s="5"/>
      <c r="AM57" s="3" t="s">
        <v>20</v>
      </c>
      <c r="AN57" s="3"/>
      <c r="AO57" s="5" t="s">
        <v>19</v>
      </c>
      <c r="AP57" s="19">
        <f>ABS(0.1302-0.17)/0.17</f>
        <v>0.23411764705882351</v>
      </c>
      <c r="AQ57" s="19">
        <f>0.003/0.1302</f>
        <v>2.3041474654377878E-2</v>
      </c>
      <c r="AR57" s="18">
        <v>0.52</v>
      </c>
      <c r="AS57" s="18">
        <v>0.56000000000000005</v>
      </c>
      <c r="AT57" s="17">
        <f t="shared" si="2"/>
        <v>7.142857142857148E-2</v>
      </c>
      <c r="AU57" s="1" t="s">
        <v>18</v>
      </c>
      <c r="AY57" s="20">
        <f>0.01/0.57</f>
        <v>1.754385964912281E-2</v>
      </c>
    </row>
    <row r="58" spans="1:51" x14ac:dyDescent="0.2">
      <c r="A58" s="3" t="s">
        <v>17</v>
      </c>
      <c r="B58" s="6">
        <v>3.1</v>
      </c>
      <c r="C58" s="6">
        <v>2.6</v>
      </c>
      <c r="D58" s="6">
        <v>3.8</v>
      </c>
      <c r="E58" s="6">
        <v>2.423</v>
      </c>
      <c r="F58" s="6">
        <v>2.625</v>
      </c>
      <c r="G58" s="6">
        <v>2.1829999999999998</v>
      </c>
      <c r="H58" s="6">
        <v>3.3639999999999999</v>
      </c>
      <c r="I58" s="6">
        <v>3.6890000000000001</v>
      </c>
      <c r="J58" s="6">
        <v>3.1139999999999999</v>
      </c>
      <c r="K58" s="6">
        <v>3.4380000000000002</v>
      </c>
      <c r="L58" s="6">
        <v>3.3769999999999998</v>
      </c>
      <c r="M58" s="6">
        <v>3.8</v>
      </c>
      <c r="N58" s="6">
        <v>4.0999999999999996</v>
      </c>
      <c r="O58" s="6">
        <v>3.9</v>
      </c>
      <c r="P58" s="6">
        <v>3.8</v>
      </c>
      <c r="Q58" s="6">
        <v>4.3</v>
      </c>
      <c r="R58" s="6">
        <v>4.5999999999999996</v>
      </c>
      <c r="S58" s="6">
        <v>4.5</v>
      </c>
      <c r="T58" s="6">
        <v>4.5</v>
      </c>
      <c r="U58" s="6">
        <v>4.3</v>
      </c>
      <c r="V58" s="6">
        <v>6.1</v>
      </c>
      <c r="W58" s="6">
        <v>5.8</v>
      </c>
      <c r="X58" s="6">
        <v>6.4880000000000004</v>
      </c>
      <c r="Y58" s="6">
        <v>4.4630000000000001</v>
      </c>
      <c r="Z58" s="6">
        <v>4.9749999999999996</v>
      </c>
      <c r="AA58" s="6">
        <v>4.5019999999999998</v>
      </c>
      <c r="AB58" s="6">
        <v>3.5830000000000002</v>
      </c>
      <c r="AC58" s="6">
        <v>4.415</v>
      </c>
      <c r="AD58" s="6">
        <v>5.9530000000000003</v>
      </c>
      <c r="AE58" s="6">
        <v>4.3029999999999999</v>
      </c>
      <c r="AF58" s="6">
        <v>4.3600000000000003</v>
      </c>
      <c r="AG58" s="6">
        <v>1.165</v>
      </c>
      <c r="AH58" s="6">
        <v>1.0640000000000001</v>
      </c>
      <c r="AI58" s="6">
        <v>1.367</v>
      </c>
      <c r="AJ58" s="5"/>
      <c r="AK58" s="5"/>
      <c r="AL58" s="5" t="s">
        <v>16</v>
      </c>
      <c r="AM58" s="3"/>
      <c r="AN58" s="3"/>
      <c r="AO58" s="5" t="s">
        <v>15</v>
      </c>
      <c r="AP58" s="19">
        <f>ABS(1.59-1.6)/1.6</f>
        <v>6.2500000000000056E-3</v>
      </c>
      <c r="AQ58" s="19">
        <f>0.06/1.59</f>
        <v>3.7735849056603772E-2</v>
      </c>
      <c r="AR58" s="18">
        <v>3.6</v>
      </c>
      <c r="AS58" s="18">
        <v>3.38</v>
      </c>
      <c r="AT58" s="17">
        <f t="shared" si="2"/>
        <v>6.5088757396449759E-2</v>
      </c>
      <c r="AU58" s="1" t="s">
        <v>14</v>
      </c>
      <c r="AY58" s="20">
        <f>0.05/3.4</f>
        <v>1.4705882352941178E-2</v>
      </c>
    </row>
    <row r="59" spans="1:51" x14ac:dyDescent="0.2">
      <c r="A59" s="3" t="s">
        <v>13</v>
      </c>
      <c r="B59" s="6">
        <v>0.47</v>
      </c>
      <c r="C59" s="6">
        <v>0.37</v>
      </c>
      <c r="D59" s="6">
        <v>0.56000000000000005</v>
      </c>
      <c r="E59" s="6">
        <v>0.36899999999999999</v>
      </c>
      <c r="F59" s="6">
        <v>0.41</v>
      </c>
      <c r="G59" s="6">
        <v>0.34200000000000003</v>
      </c>
      <c r="H59" s="6">
        <v>0.52500000000000002</v>
      </c>
      <c r="I59" s="6">
        <v>0.56999999999999995</v>
      </c>
      <c r="J59" s="6">
        <v>0.48099999999999998</v>
      </c>
      <c r="K59" s="6">
        <v>0.52500000000000002</v>
      </c>
      <c r="L59" s="6">
        <v>0.52300000000000002</v>
      </c>
      <c r="M59" s="6">
        <v>0.55000000000000004</v>
      </c>
      <c r="N59" s="6">
        <v>0.59</v>
      </c>
      <c r="O59" s="6">
        <v>0.56000000000000005</v>
      </c>
      <c r="P59" s="6">
        <v>0.53</v>
      </c>
      <c r="Q59" s="6">
        <v>0.56999999999999995</v>
      </c>
      <c r="R59" s="6">
        <v>0.66</v>
      </c>
      <c r="S59" s="6">
        <v>0.65</v>
      </c>
      <c r="T59" s="6">
        <v>0.61</v>
      </c>
      <c r="U59" s="6">
        <v>0.64</v>
      </c>
      <c r="V59" s="6">
        <v>0.86</v>
      </c>
      <c r="W59" s="6">
        <v>0.82</v>
      </c>
      <c r="X59" s="6">
        <v>0.95899999999999996</v>
      </c>
      <c r="Y59" s="6">
        <v>0.64400000000000002</v>
      </c>
      <c r="Z59" s="6">
        <v>0.73399999999999999</v>
      </c>
      <c r="AA59" s="6">
        <v>0.65200000000000002</v>
      </c>
      <c r="AB59" s="6">
        <v>0.53200000000000003</v>
      </c>
      <c r="AC59" s="6">
        <v>0.66800000000000004</v>
      </c>
      <c r="AD59" s="6">
        <v>0.876</v>
      </c>
      <c r="AE59" s="6">
        <v>0.65400000000000003</v>
      </c>
      <c r="AF59" s="6">
        <v>0.64800000000000002</v>
      </c>
      <c r="AG59" s="6">
        <v>0.18099999999999999</v>
      </c>
      <c r="AH59" s="6">
        <v>0.16</v>
      </c>
      <c r="AI59" s="6">
        <v>0.19900000000000001</v>
      </c>
      <c r="AJ59" s="5"/>
      <c r="AK59" s="5"/>
      <c r="AL59" s="5"/>
      <c r="AM59" s="3" t="s">
        <v>12</v>
      </c>
      <c r="AN59" s="3"/>
      <c r="AO59" s="5" t="s">
        <v>11</v>
      </c>
      <c r="AP59" s="19">
        <f>ABS(0.1238-0.14)/0.14</f>
        <v>0.11571428571428584</v>
      </c>
      <c r="AQ59" s="19">
        <f>0.003/0.1238</f>
        <v>2.4232633279483037E-2</v>
      </c>
      <c r="AR59" s="18">
        <v>0.5</v>
      </c>
      <c r="AS59" s="18">
        <v>0.51</v>
      </c>
      <c r="AT59" s="17">
        <f t="shared" si="2"/>
        <v>1.9607843137254919E-2</v>
      </c>
      <c r="AU59" s="3"/>
      <c r="AY59" s="16" t="s">
        <v>10</v>
      </c>
    </row>
    <row r="60" spans="1:5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L60" s="3"/>
      <c r="M60" s="3"/>
      <c r="N60" s="3"/>
      <c r="O60" s="3"/>
      <c r="AM60" s="3"/>
      <c r="AN60" s="3"/>
    </row>
    <row r="61" spans="1:51" x14ac:dyDescent="0.2">
      <c r="A61" s="3" t="s">
        <v>9</v>
      </c>
      <c r="B61" s="3"/>
      <c r="C61" s="3"/>
      <c r="D61" s="3"/>
      <c r="E61" s="3"/>
      <c r="F61" s="3"/>
      <c r="G61" s="3"/>
      <c r="H61" s="3"/>
      <c r="I61" s="3"/>
      <c r="J61" s="3"/>
      <c r="L61" s="3"/>
      <c r="M61" s="3"/>
      <c r="N61" s="3"/>
      <c r="O61" s="3"/>
      <c r="AM61" s="3"/>
      <c r="AN61" s="3"/>
    </row>
    <row r="62" spans="1:51" x14ac:dyDescent="0.2">
      <c r="A62" s="2" t="s">
        <v>8</v>
      </c>
      <c r="B62" s="3"/>
      <c r="C62" s="3"/>
      <c r="D62" s="3"/>
      <c r="E62" s="3"/>
      <c r="F62" s="3"/>
      <c r="G62" s="3"/>
      <c r="H62" s="3"/>
      <c r="I62" s="3"/>
      <c r="J62" s="3"/>
      <c r="L62" s="3"/>
      <c r="M62" s="3"/>
      <c r="N62" s="3"/>
      <c r="O62" s="3"/>
      <c r="AM62" s="3"/>
      <c r="AN62" s="3"/>
    </row>
    <row r="63" spans="1:51" x14ac:dyDescent="0.2">
      <c r="A63" s="3" t="s">
        <v>7</v>
      </c>
      <c r="B63" s="3"/>
      <c r="C63" s="3"/>
      <c r="D63" s="3"/>
      <c r="E63" s="3"/>
      <c r="F63" s="3"/>
      <c r="G63" s="3"/>
      <c r="H63" s="3"/>
      <c r="I63" s="3"/>
      <c r="J63" s="3"/>
      <c r="L63" s="3"/>
      <c r="M63" s="3"/>
      <c r="N63" s="3"/>
      <c r="O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</row>
    <row r="64" spans="1:51" x14ac:dyDescent="0.2">
      <c r="A64" s="3" t="s">
        <v>6</v>
      </c>
      <c r="B64" s="3"/>
      <c r="C64" s="3"/>
      <c r="D64" s="3"/>
      <c r="E64" s="3"/>
      <c r="F64" s="3"/>
      <c r="G64" s="3"/>
      <c r="H64" s="3"/>
      <c r="I64" s="3"/>
      <c r="J64" s="3"/>
      <c r="L64" s="3"/>
      <c r="M64" s="3"/>
      <c r="N64" s="3"/>
      <c r="O64" s="3"/>
      <c r="AD64" s="11"/>
      <c r="AF64" s="11"/>
      <c r="AG64" s="11"/>
      <c r="AH64" s="11"/>
      <c r="AI64" s="11"/>
      <c r="AJ64" s="11"/>
      <c r="AK64" s="11"/>
      <c r="AL64" s="11"/>
      <c r="AM64" s="3"/>
      <c r="AN64" s="3"/>
      <c r="AO64" s="11"/>
      <c r="AP64" s="3"/>
    </row>
    <row r="65" spans="1:42" x14ac:dyDescent="0.2">
      <c r="A65" s="3" t="s">
        <v>5</v>
      </c>
      <c r="B65" s="3"/>
      <c r="C65" s="3"/>
      <c r="D65" s="3"/>
      <c r="E65" s="3"/>
      <c r="F65" s="3"/>
      <c r="G65" s="3"/>
      <c r="H65" s="3"/>
      <c r="I65" s="3"/>
      <c r="J65" s="3"/>
      <c r="L65" s="3"/>
      <c r="M65" s="3"/>
      <c r="N65" s="3"/>
      <c r="O65" s="3"/>
      <c r="AD65" s="11"/>
      <c r="AF65" s="11"/>
      <c r="AG65" s="11"/>
      <c r="AH65" s="11"/>
      <c r="AI65" s="11"/>
      <c r="AJ65" s="11"/>
      <c r="AK65" s="11"/>
      <c r="AL65" s="11"/>
      <c r="AM65" s="3"/>
      <c r="AN65" s="3"/>
      <c r="AO65" s="11"/>
      <c r="AP65" s="11"/>
    </row>
    <row r="66" spans="1:42" x14ac:dyDescent="0.2">
      <c r="A66" s="9" t="s">
        <v>4</v>
      </c>
      <c r="B66" s="12"/>
      <c r="C66" s="12"/>
      <c r="D66" s="12"/>
      <c r="E66" s="14"/>
      <c r="F66" s="12"/>
      <c r="G66" s="13"/>
      <c r="H66" s="15"/>
      <c r="I66" s="13"/>
      <c r="J66" s="14"/>
      <c r="K66" s="12"/>
      <c r="L66" s="12"/>
      <c r="M66" s="12"/>
      <c r="N66" s="12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M66" s="12"/>
      <c r="AN66" s="12"/>
      <c r="AP66" s="11"/>
    </row>
    <row r="67" spans="1:42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L67" s="3"/>
      <c r="M67" s="3"/>
      <c r="N67" s="3"/>
      <c r="O67" s="3"/>
      <c r="AM67" s="3"/>
      <c r="AN67" s="3"/>
      <c r="AP67" s="3"/>
    </row>
    <row r="68" spans="1:42" x14ac:dyDescent="0.2">
      <c r="A68" s="10" t="s">
        <v>3</v>
      </c>
      <c r="B68" s="3"/>
      <c r="C68" s="3"/>
      <c r="D68" s="3"/>
      <c r="E68" s="3"/>
      <c r="F68" s="3"/>
      <c r="G68" s="3"/>
      <c r="H68" s="3"/>
      <c r="I68" s="3"/>
      <c r="J68" s="3"/>
      <c r="L68" s="3"/>
      <c r="M68" s="3"/>
      <c r="N68" s="3"/>
      <c r="O68" s="3"/>
      <c r="AM68" s="3"/>
      <c r="AN68" s="3"/>
      <c r="AP68" s="3"/>
    </row>
    <row r="69" spans="1:42" x14ac:dyDescent="0.2">
      <c r="A69" s="9" t="s">
        <v>2</v>
      </c>
      <c r="B69" s="3"/>
      <c r="C69" s="3"/>
      <c r="D69" s="3"/>
      <c r="E69" s="3"/>
      <c r="F69" s="3"/>
      <c r="G69" s="3"/>
      <c r="H69" s="3"/>
      <c r="I69" s="3"/>
      <c r="J69" s="3"/>
      <c r="L69" s="3"/>
      <c r="M69" s="3"/>
      <c r="N69" s="3"/>
      <c r="O69" s="3"/>
      <c r="AM69" s="3"/>
      <c r="AN69" s="3"/>
    </row>
    <row r="70" spans="1:42" x14ac:dyDescent="0.2">
      <c r="A70" s="9" t="s">
        <v>1</v>
      </c>
      <c r="B70" s="3"/>
      <c r="C70" s="3"/>
      <c r="D70" s="3"/>
      <c r="E70" s="3"/>
      <c r="F70" s="3"/>
      <c r="G70" s="3"/>
      <c r="H70" s="3"/>
      <c r="I70" s="3"/>
      <c r="J70" s="3"/>
      <c r="L70" s="3"/>
      <c r="M70" s="3"/>
      <c r="N70" s="3"/>
      <c r="O70" s="3"/>
      <c r="AM70" s="3"/>
      <c r="AN70" s="3"/>
    </row>
    <row r="71" spans="1:42" x14ac:dyDescent="0.2">
      <c r="A71" s="8" t="s">
        <v>0</v>
      </c>
      <c r="B71" s="3"/>
      <c r="C71" s="3"/>
      <c r="D71" s="3"/>
      <c r="E71" s="3"/>
      <c r="F71" s="3"/>
      <c r="G71" s="3"/>
      <c r="H71" s="3"/>
      <c r="I71" s="3"/>
      <c r="J71" s="3"/>
      <c r="L71" s="3"/>
      <c r="M71" s="3"/>
      <c r="N71" s="3"/>
      <c r="O71" s="3"/>
      <c r="AM71" s="3"/>
      <c r="AN71" s="3"/>
    </row>
    <row r="72" spans="1:42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L72" s="3"/>
      <c r="M72" s="3"/>
      <c r="N72" s="3"/>
      <c r="O72" s="3"/>
      <c r="AM72" s="3"/>
      <c r="AN72" s="3"/>
    </row>
    <row r="73" spans="1:42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L73" s="3"/>
      <c r="M73" s="3"/>
      <c r="N73" s="3"/>
      <c r="O73" s="3"/>
      <c r="AM73" s="3"/>
      <c r="AN73" s="3"/>
    </row>
    <row r="74" spans="1:42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L74" s="3"/>
      <c r="M74" s="3"/>
      <c r="N74" s="3"/>
      <c r="O74" s="3"/>
      <c r="AM74" s="3"/>
      <c r="AN74" s="3"/>
    </row>
    <row r="75" spans="1:42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L75" s="3"/>
      <c r="M75" s="3"/>
      <c r="N75" s="3"/>
      <c r="O75" s="3"/>
      <c r="AM75" s="3"/>
      <c r="AN75" s="3"/>
    </row>
    <row r="76" spans="1:42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L76" s="3"/>
      <c r="M76" s="3"/>
      <c r="N76" s="3"/>
      <c r="O76" s="3"/>
      <c r="AM76" s="3"/>
      <c r="AN76" s="3"/>
    </row>
    <row r="77" spans="1:42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L77" s="3"/>
      <c r="M77" s="3"/>
      <c r="N77" s="3"/>
      <c r="O77" s="3"/>
      <c r="AM77" s="3"/>
      <c r="AN77" s="3"/>
    </row>
    <row r="78" spans="1:42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L78" s="3"/>
      <c r="M78" s="3"/>
      <c r="N78" s="3"/>
      <c r="O78" s="3"/>
      <c r="AM78" s="3"/>
      <c r="AN78" s="3"/>
    </row>
    <row r="79" spans="1:42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L79" s="3"/>
      <c r="M79" s="3"/>
      <c r="N79" s="3"/>
      <c r="O79" s="3"/>
      <c r="AM79" s="3"/>
      <c r="AN79" s="3"/>
    </row>
    <row r="80" spans="1:42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L80" s="3"/>
      <c r="M80" s="3"/>
      <c r="N80" s="3"/>
      <c r="O80" s="3"/>
      <c r="AM80" s="3"/>
      <c r="AN80" s="3"/>
    </row>
    <row r="81" spans="1:40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L81" s="3"/>
      <c r="M81" s="3"/>
      <c r="N81" s="3"/>
      <c r="O81" s="3"/>
      <c r="AM81" s="3"/>
      <c r="AN81" s="3"/>
    </row>
    <row r="82" spans="1:40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L82" s="3"/>
      <c r="M82" s="3"/>
      <c r="N82" s="3"/>
      <c r="O82" s="3"/>
      <c r="AM82" s="3"/>
      <c r="AN82" s="3"/>
    </row>
    <row r="83" spans="1:40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L83" s="3"/>
      <c r="M83" s="3"/>
      <c r="N83" s="3"/>
      <c r="O83" s="3"/>
      <c r="AM83" s="3"/>
      <c r="AN83" s="3"/>
    </row>
    <row r="84" spans="1:40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L84" s="3"/>
      <c r="M84" s="3"/>
      <c r="N84" s="3"/>
      <c r="O84" s="3"/>
      <c r="AM84" s="3"/>
      <c r="AN84" s="3"/>
    </row>
    <row r="85" spans="1:40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L85" s="3"/>
      <c r="M85" s="3"/>
      <c r="N85" s="3"/>
      <c r="O85" s="3"/>
      <c r="AM85" s="3"/>
      <c r="AN85" s="3"/>
    </row>
    <row r="86" spans="1:40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L86" s="3"/>
      <c r="M86" s="3"/>
      <c r="N86" s="3"/>
      <c r="O86" s="3"/>
      <c r="AM86" s="3"/>
      <c r="AN86" s="3"/>
    </row>
    <row r="87" spans="1:40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L87" s="3"/>
      <c r="M87" s="3"/>
      <c r="N87" s="3"/>
      <c r="O87" s="3"/>
      <c r="AM87" s="3"/>
      <c r="AN87" s="3"/>
    </row>
    <row r="88" spans="1:40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L88" s="3"/>
      <c r="M88" s="3"/>
      <c r="N88" s="3"/>
      <c r="O88" s="3"/>
      <c r="AM88" s="3"/>
      <c r="AN88" s="3"/>
    </row>
    <row r="89" spans="1:40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L89" s="3"/>
      <c r="M89" s="3"/>
      <c r="N89" s="3"/>
      <c r="O89" s="3"/>
      <c r="AM89" s="3"/>
      <c r="AN89" s="3"/>
    </row>
    <row r="90" spans="1:40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L90" s="3"/>
      <c r="M90" s="3"/>
      <c r="N90" s="3"/>
      <c r="O90" s="3"/>
      <c r="AM90" s="3"/>
      <c r="AN90" s="3"/>
    </row>
    <row r="91" spans="1:40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L91" s="3"/>
      <c r="M91" s="3"/>
      <c r="N91" s="3"/>
      <c r="O91" s="3"/>
      <c r="AM91" s="3"/>
      <c r="AN91" s="3"/>
    </row>
    <row r="92" spans="1:40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L92" s="3"/>
      <c r="M92" s="3"/>
      <c r="N92" s="3"/>
      <c r="O92" s="3"/>
      <c r="AM92" s="3"/>
      <c r="AN92" s="3"/>
    </row>
    <row r="93" spans="1:40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L93" s="3"/>
      <c r="M93" s="3"/>
      <c r="N93" s="3"/>
      <c r="O93" s="3"/>
      <c r="AM93" s="3"/>
      <c r="AN93" s="3"/>
    </row>
    <row r="94" spans="1:40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L94" s="3"/>
      <c r="M94" s="3"/>
      <c r="N94" s="3"/>
      <c r="O94" s="3"/>
      <c r="AM94" s="3"/>
      <c r="AN94" s="3"/>
    </row>
    <row r="95" spans="1:40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L95" s="3"/>
      <c r="M95" s="3"/>
      <c r="N95" s="3"/>
      <c r="O95" s="3"/>
      <c r="AM95" s="3"/>
      <c r="AN95" s="3"/>
    </row>
    <row r="96" spans="1:40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L96" s="3"/>
      <c r="M96" s="3"/>
      <c r="N96" s="3"/>
      <c r="O96" s="3"/>
      <c r="AM96" s="3"/>
      <c r="AN96" s="3"/>
    </row>
    <row r="97" spans="1:40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L97" s="3"/>
      <c r="M97" s="3"/>
      <c r="N97" s="3"/>
      <c r="O97" s="3"/>
      <c r="AM97" s="3"/>
      <c r="AN97" s="3"/>
    </row>
    <row r="98" spans="1:40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L98" s="3"/>
      <c r="M98" s="3"/>
      <c r="N98" s="3"/>
      <c r="O98" s="3"/>
      <c r="AM98" s="3"/>
      <c r="AN98" s="3"/>
    </row>
    <row r="99" spans="1:40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L99" s="3"/>
      <c r="M99" s="3"/>
      <c r="N99" s="3"/>
      <c r="O99" s="3"/>
      <c r="AM99" s="3"/>
      <c r="AN99" s="3"/>
    </row>
    <row r="100" spans="1:40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L100" s="3"/>
      <c r="M100" s="3"/>
      <c r="N100" s="3"/>
      <c r="O100" s="3"/>
      <c r="AM100" s="3"/>
      <c r="AN100" s="3"/>
    </row>
    <row r="101" spans="1:40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L101" s="3"/>
      <c r="M101" s="3"/>
      <c r="N101" s="3"/>
      <c r="O101" s="3"/>
      <c r="AM101" s="3"/>
      <c r="AN101" s="3"/>
    </row>
    <row r="102" spans="1:40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L102" s="3"/>
      <c r="M102" s="3"/>
      <c r="N102" s="3"/>
      <c r="O102" s="3"/>
      <c r="AM102" s="3"/>
      <c r="AN102" s="3"/>
    </row>
    <row r="103" spans="1:40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L103" s="3"/>
      <c r="M103" s="3"/>
      <c r="N103" s="3"/>
      <c r="O103" s="3"/>
      <c r="AM103" s="3"/>
      <c r="AN103" s="3"/>
    </row>
    <row r="104" spans="1:40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L104" s="3"/>
      <c r="M104" s="3"/>
      <c r="N104" s="3"/>
      <c r="O104" s="3"/>
      <c r="AM104" s="3"/>
      <c r="AN104" s="3"/>
    </row>
    <row r="105" spans="1:40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L105" s="3"/>
      <c r="M105" s="3"/>
      <c r="N105" s="3"/>
      <c r="O105" s="3"/>
      <c r="AM105" s="3"/>
      <c r="AN105" s="3"/>
    </row>
    <row r="106" spans="1:40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L106" s="3"/>
      <c r="M106" s="3"/>
      <c r="N106" s="3"/>
      <c r="O106" s="3"/>
      <c r="AM106" s="3"/>
      <c r="AN106" s="3"/>
    </row>
    <row r="107" spans="1:40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L107" s="3"/>
      <c r="M107" s="3"/>
      <c r="N107" s="3"/>
      <c r="O107" s="3"/>
      <c r="AM107" s="3"/>
      <c r="AN107" s="3"/>
    </row>
    <row r="108" spans="1:40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L108" s="3"/>
      <c r="M108" s="3"/>
      <c r="N108" s="3"/>
      <c r="O108" s="3"/>
      <c r="AM108" s="3"/>
      <c r="AN108" s="3"/>
    </row>
    <row r="109" spans="1:40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L109" s="3"/>
      <c r="M109" s="3"/>
      <c r="N109" s="3"/>
      <c r="O109" s="3"/>
      <c r="AM109" s="3"/>
      <c r="AN109" s="3"/>
    </row>
    <row r="110" spans="1:40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L110" s="3"/>
      <c r="M110" s="3"/>
      <c r="N110" s="3"/>
      <c r="O110" s="3"/>
      <c r="AM110" s="3"/>
      <c r="AN110" s="3"/>
    </row>
    <row r="111" spans="1:40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L111" s="3"/>
      <c r="M111" s="3"/>
      <c r="N111" s="3"/>
      <c r="O111" s="3"/>
      <c r="AM111" s="3"/>
      <c r="AN111" s="3"/>
    </row>
    <row r="112" spans="1:40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L112" s="3"/>
      <c r="M112" s="3"/>
      <c r="N112" s="3"/>
      <c r="O112" s="3"/>
      <c r="AM112" s="3"/>
      <c r="AN112" s="3"/>
    </row>
    <row r="113" spans="1:40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L113" s="3"/>
      <c r="M113" s="3"/>
      <c r="N113" s="3"/>
      <c r="O113" s="3"/>
      <c r="AM113" s="3"/>
      <c r="AN113" s="3"/>
    </row>
    <row r="114" spans="1:40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L114" s="3"/>
      <c r="M114" s="3"/>
      <c r="N114" s="3"/>
      <c r="O114" s="3"/>
      <c r="AM114" s="3"/>
      <c r="AN114" s="3"/>
    </row>
    <row r="115" spans="1:40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L115" s="3"/>
      <c r="M115" s="3"/>
      <c r="N115" s="3"/>
      <c r="O115" s="3"/>
      <c r="AM115" s="3"/>
      <c r="AN115" s="3"/>
    </row>
    <row r="116" spans="1:40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L116" s="3"/>
      <c r="M116" s="3"/>
      <c r="N116" s="3"/>
      <c r="O116" s="3"/>
      <c r="AM116" s="3"/>
      <c r="AN116" s="3"/>
    </row>
    <row r="117" spans="1:40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L117" s="3"/>
      <c r="M117" s="3"/>
      <c r="N117" s="3"/>
      <c r="O117" s="3"/>
      <c r="AM117" s="3"/>
      <c r="AN117" s="3"/>
    </row>
    <row r="118" spans="1:40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L118" s="3"/>
      <c r="M118" s="3"/>
      <c r="N118" s="3"/>
      <c r="O118" s="3"/>
      <c r="AM118" s="3"/>
      <c r="AN118" s="3"/>
    </row>
    <row r="119" spans="1:40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L119" s="3"/>
      <c r="M119" s="3"/>
      <c r="N119" s="3"/>
      <c r="O119" s="3"/>
      <c r="AM119" s="3"/>
      <c r="AN119" s="3"/>
    </row>
    <row r="120" spans="1:40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L120" s="3"/>
      <c r="M120" s="3"/>
      <c r="N120" s="3"/>
      <c r="O120" s="3"/>
      <c r="AM120" s="3"/>
      <c r="AN120" s="3"/>
    </row>
    <row r="121" spans="1:40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L121" s="3"/>
      <c r="M121" s="3"/>
      <c r="N121" s="3"/>
      <c r="O121" s="3"/>
      <c r="AM121" s="3"/>
      <c r="AN121" s="3"/>
    </row>
    <row r="122" spans="1:40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L122" s="3"/>
      <c r="M122" s="3"/>
      <c r="N122" s="3"/>
      <c r="O122" s="3"/>
      <c r="AM122" s="3"/>
      <c r="AN122" s="3"/>
    </row>
    <row r="123" spans="1:40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L123" s="3"/>
      <c r="M123" s="3"/>
      <c r="N123" s="3"/>
      <c r="O123" s="3"/>
      <c r="AM123" s="3"/>
      <c r="AN123" s="3"/>
    </row>
    <row r="124" spans="1:40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L124" s="3"/>
      <c r="M124" s="3"/>
      <c r="N124" s="3"/>
      <c r="O124" s="3"/>
      <c r="AM124" s="3"/>
      <c r="AN124" s="3"/>
    </row>
    <row r="125" spans="1:40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L125" s="3"/>
      <c r="M125" s="3"/>
      <c r="N125" s="3"/>
      <c r="O125" s="3"/>
      <c r="AM125" s="3"/>
      <c r="AN125" s="3"/>
    </row>
    <row r="126" spans="1:40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L126" s="3"/>
      <c r="M126" s="3"/>
      <c r="N126" s="3"/>
      <c r="O126" s="3"/>
      <c r="AM126" s="3"/>
      <c r="AN126" s="3"/>
    </row>
    <row r="127" spans="1:40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L127" s="3"/>
      <c r="M127" s="3"/>
      <c r="N127" s="3"/>
      <c r="O127" s="3"/>
      <c r="AM127" s="3"/>
      <c r="AN127" s="3"/>
    </row>
    <row r="128" spans="1:40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L128" s="3"/>
      <c r="M128" s="3"/>
      <c r="N128" s="3"/>
      <c r="O128" s="3"/>
      <c r="AM128" s="3"/>
      <c r="AN128" s="3"/>
    </row>
    <row r="129" spans="1:40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L129" s="3"/>
      <c r="M129" s="3"/>
      <c r="N129" s="3"/>
      <c r="O129" s="3"/>
      <c r="AM129" s="3"/>
      <c r="AN129" s="3"/>
    </row>
    <row r="130" spans="1:40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L130" s="3"/>
      <c r="M130" s="3"/>
      <c r="N130" s="3"/>
      <c r="O130" s="3"/>
      <c r="AM130" s="3"/>
      <c r="AN130" s="3"/>
    </row>
    <row r="131" spans="1:40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L131" s="4"/>
      <c r="M131" s="4"/>
      <c r="N131" s="3"/>
      <c r="O131" s="3"/>
      <c r="AM131" s="3"/>
      <c r="AN131" s="3"/>
    </row>
    <row r="132" spans="1:40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L132" s="7"/>
      <c r="M132" s="7"/>
      <c r="N132" s="3"/>
      <c r="O132" s="3"/>
      <c r="AM132" s="3"/>
      <c r="AN132" s="3"/>
    </row>
    <row r="133" spans="1:40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L133" s="4"/>
      <c r="M133" s="4"/>
      <c r="N133" s="3"/>
      <c r="O133" s="3"/>
      <c r="AM133" s="3"/>
      <c r="AN133" s="3"/>
    </row>
    <row r="134" spans="1:40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L134" s="6"/>
      <c r="M134" s="6"/>
      <c r="N134" s="3"/>
      <c r="O134" s="3"/>
      <c r="AM134" s="3"/>
      <c r="AN134" s="3"/>
    </row>
    <row r="135" spans="1:40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L135" s="6"/>
      <c r="M135" s="6"/>
      <c r="N135" s="3"/>
      <c r="O135" s="3"/>
      <c r="AM135" s="3"/>
      <c r="AN135" s="3"/>
    </row>
    <row r="136" spans="1:40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L136" s="6"/>
      <c r="M136" s="6"/>
      <c r="N136" s="3"/>
      <c r="O136" s="3"/>
      <c r="AM136" s="3"/>
      <c r="AN136" s="3"/>
    </row>
    <row r="137" spans="1:40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L137" s="6"/>
      <c r="M137" s="6"/>
      <c r="N137" s="3"/>
      <c r="O137" s="3"/>
      <c r="AM137" s="3"/>
      <c r="AN137" s="3"/>
    </row>
    <row r="138" spans="1:40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L138" s="6"/>
      <c r="M138" s="6"/>
      <c r="N138" s="3"/>
      <c r="O138" s="3"/>
      <c r="AM138" s="3"/>
      <c r="AN138" s="3"/>
    </row>
    <row r="139" spans="1:40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L139" s="6"/>
      <c r="M139" s="6"/>
      <c r="N139" s="3"/>
      <c r="O139" s="3"/>
      <c r="AM139" s="3"/>
      <c r="AN139" s="3"/>
    </row>
    <row r="140" spans="1:40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L140" s="6"/>
      <c r="M140" s="6"/>
      <c r="N140" s="3"/>
      <c r="O140" s="3"/>
      <c r="AM140" s="3"/>
      <c r="AN140" s="3"/>
    </row>
    <row r="141" spans="1:40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L141" s="6"/>
      <c r="M141" s="6"/>
      <c r="N141" s="3"/>
      <c r="O141" s="3"/>
      <c r="AM141" s="3"/>
      <c r="AN141" s="3"/>
    </row>
    <row r="142" spans="1:40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L142" s="6"/>
      <c r="M142" s="6"/>
      <c r="N142" s="3"/>
      <c r="O142" s="3"/>
      <c r="AM142" s="3"/>
      <c r="AN142" s="3"/>
    </row>
    <row r="143" spans="1:40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L143" s="6"/>
      <c r="M143" s="6"/>
      <c r="N143" s="3"/>
      <c r="O143" s="3"/>
      <c r="AM143" s="3"/>
      <c r="AN143" s="3"/>
    </row>
    <row r="144" spans="1:40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L144" s="6"/>
      <c r="M144" s="6"/>
      <c r="N144" s="3"/>
      <c r="O144" s="3"/>
      <c r="AM144" s="3"/>
      <c r="AN144" s="3"/>
    </row>
    <row r="145" spans="1:40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L145" s="6"/>
      <c r="M145" s="6"/>
      <c r="N145" s="3"/>
      <c r="O145" s="3"/>
      <c r="AM145" s="3"/>
      <c r="AN145" s="3"/>
    </row>
    <row r="146" spans="1:40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L146" s="6"/>
      <c r="M146" s="6"/>
      <c r="N146" s="3"/>
      <c r="O146" s="3"/>
      <c r="AM146" s="3"/>
      <c r="AN146" s="3"/>
    </row>
    <row r="147" spans="1:40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L147" s="6"/>
      <c r="M147" s="6"/>
      <c r="N147" s="3"/>
      <c r="O147" s="3"/>
      <c r="AM147" s="3"/>
      <c r="AN147" s="3"/>
    </row>
    <row r="148" spans="1:40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L148" s="6"/>
      <c r="M148" s="6"/>
      <c r="N148" s="3"/>
      <c r="O148" s="3"/>
      <c r="AM148" s="3"/>
      <c r="AN148" s="3"/>
    </row>
    <row r="149" spans="1:40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L149" s="6"/>
      <c r="M149" s="6"/>
      <c r="N149" s="3"/>
      <c r="O149" s="3"/>
      <c r="AM149" s="3"/>
      <c r="AN149" s="3"/>
    </row>
    <row r="150" spans="1:40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L150" s="5"/>
      <c r="M150" s="5"/>
      <c r="N150" s="3"/>
      <c r="O150" s="3"/>
      <c r="AM150" s="3"/>
      <c r="AN150" s="3"/>
    </row>
    <row r="151" spans="1:40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L151" s="5"/>
      <c r="M151" s="5"/>
      <c r="N151" s="3"/>
      <c r="O151" s="3"/>
      <c r="AM151" s="3"/>
      <c r="AN151" s="3"/>
    </row>
    <row r="152" spans="1:40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L152" s="5"/>
      <c r="M152" s="5"/>
      <c r="N152" s="3"/>
      <c r="O152" s="3"/>
      <c r="AM152" s="3"/>
      <c r="AN152" s="3"/>
    </row>
    <row r="153" spans="1:40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L153" s="5"/>
      <c r="M153" s="5"/>
      <c r="N153" s="3"/>
      <c r="O153" s="3"/>
      <c r="AM153" s="3"/>
      <c r="AN153" s="3"/>
    </row>
    <row r="154" spans="1:40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L154" s="5"/>
      <c r="M154" s="5"/>
      <c r="N154" s="3"/>
      <c r="O154" s="3"/>
      <c r="AM154" s="3"/>
      <c r="AN154" s="3"/>
    </row>
    <row r="155" spans="1:40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L155" s="5"/>
      <c r="M155" s="5"/>
      <c r="N155" s="3"/>
      <c r="O155" s="3"/>
      <c r="AM155" s="3"/>
      <c r="AN155" s="3"/>
    </row>
    <row r="156" spans="1:40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L156" s="5"/>
      <c r="M156" s="5"/>
      <c r="N156" s="3"/>
      <c r="O156" s="3"/>
      <c r="AM156" s="3"/>
      <c r="AN156" s="3"/>
    </row>
    <row r="157" spans="1:40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L157" s="5"/>
      <c r="M157" s="5"/>
      <c r="N157" s="3"/>
      <c r="O157" s="3"/>
      <c r="AM157" s="3"/>
      <c r="AN157" s="3"/>
    </row>
    <row r="158" spans="1:40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L158" s="5"/>
      <c r="M158" s="5"/>
      <c r="N158" s="3"/>
      <c r="O158" s="3"/>
      <c r="AM158" s="3"/>
      <c r="AN158" s="3"/>
    </row>
    <row r="159" spans="1:40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L159" s="5"/>
      <c r="M159" s="5"/>
      <c r="N159" s="3"/>
      <c r="O159" s="3"/>
      <c r="AM159" s="3"/>
      <c r="AN159" s="3"/>
    </row>
    <row r="160" spans="1:40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L160" s="5"/>
      <c r="M160" s="5"/>
      <c r="N160" s="3"/>
      <c r="O160" s="3"/>
      <c r="AM160" s="3"/>
      <c r="AN160" s="3"/>
    </row>
    <row r="161" spans="1:40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L161" s="5"/>
      <c r="M161" s="5"/>
      <c r="N161" s="3"/>
      <c r="O161" s="3"/>
      <c r="AM161" s="3"/>
      <c r="AN161" s="3"/>
    </row>
    <row r="162" spans="1:40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L162" s="5"/>
      <c r="M162" s="5"/>
      <c r="N162" s="3"/>
      <c r="O162" s="3"/>
      <c r="AM162" s="3"/>
      <c r="AN162" s="3"/>
    </row>
    <row r="163" spans="1:40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L163" s="5"/>
      <c r="M163" s="5"/>
      <c r="N163" s="3"/>
      <c r="O163" s="3"/>
      <c r="AM163" s="3"/>
      <c r="AN163" s="3"/>
    </row>
    <row r="164" spans="1:40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L164" s="5"/>
      <c r="M164" s="5"/>
      <c r="N164" s="3"/>
      <c r="O164" s="3"/>
      <c r="AM164" s="3"/>
      <c r="AN164" s="3"/>
    </row>
    <row r="165" spans="1:40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L165" s="5"/>
      <c r="M165" s="5"/>
      <c r="N165" s="3"/>
      <c r="O165" s="3"/>
      <c r="AM165" s="3"/>
      <c r="AN165" s="3"/>
    </row>
    <row r="166" spans="1:40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L166" s="5"/>
      <c r="M166" s="5"/>
      <c r="N166" s="3"/>
      <c r="O166" s="3"/>
      <c r="AM166" s="3"/>
      <c r="AN166" s="3"/>
    </row>
    <row r="167" spans="1:40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L167" s="5"/>
      <c r="M167" s="5"/>
      <c r="N167" s="3"/>
      <c r="O167" s="3"/>
      <c r="AM167" s="3"/>
      <c r="AN167" s="3"/>
    </row>
    <row r="168" spans="1:40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L168" s="5"/>
      <c r="M168" s="5"/>
      <c r="N168" s="3"/>
      <c r="O168" s="3"/>
      <c r="AM168" s="3"/>
      <c r="AN168" s="3"/>
    </row>
    <row r="169" spans="1:40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L169" s="5"/>
      <c r="M169" s="5"/>
      <c r="N169" s="3"/>
      <c r="O169" s="3"/>
      <c r="AM169" s="3"/>
      <c r="AN169" s="3"/>
    </row>
    <row r="170" spans="1:40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L170" s="5"/>
      <c r="M170" s="5"/>
      <c r="N170" s="3"/>
      <c r="O170" s="3"/>
      <c r="AM170" s="3"/>
      <c r="AN170" s="3"/>
    </row>
    <row r="171" spans="1:40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L171" s="5"/>
      <c r="M171" s="5"/>
      <c r="N171" s="3"/>
      <c r="O171" s="3"/>
      <c r="AM171" s="3"/>
      <c r="AN171" s="3"/>
    </row>
    <row r="172" spans="1:40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L172" s="5"/>
      <c r="M172" s="5"/>
      <c r="N172" s="3"/>
      <c r="O172" s="3"/>
      <c r="AM172" s="3"/>
      <c r="AN172" s="3"/>
    </row>
    <row r="173" spans="1:40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L173" s="5"/>
      <c r="M173" s="5"/>
      <c r="N173" s="3"/>
      <c r="O173" s="3"/>
      <c r="AM173" s="3"/>
      <c r="AN173" s="3"/>
    </row>
    <row r="174" spans="1:40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L174" s="5"/>
      <c r="M174" s="5"/>
      <c r="N174" s="3"/>
      <c r="O174" s="3"/>
      <c r="AM174" s="3"/>
      <c r="AN174" s="3"/>
    </row>
    <row r="175" spans="1:40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L175" s="5"/>
      <c r="M175" s="5"/>
      <c r="N175" s="3"/>
      <c r="O175" s="3"/>
      <c r="AM175" s="3"/>
      <c r="AN175" s="3"/>
    </row>
    <row r="176" spans="1:40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L176" s="5"/>
      <c r="M176" s="5"/>
      <c r="N176" s="3"/>
      <c r="O176" s="3"/>
      <c r="AM176" s="3"/>
      <c r="AN176" s="3"/>
    </row>
    <row r="177" spans="1:40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L177" s="5"/>
      <c r="M177" s="5"/>
      <c r="N177" s="3"/>
      <c r="O177" s="3"/>
      <c r="AM177" s="3"/>
      <c r="AN177" s="3"/>
    </row>
    <row r="178" spans="1:40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L178" s="5"/>
      <c r="M178" s="5"/>
      <c r="N178" s="3"/>
      <c r="O178" s="3"/>
      <c r="AM178" s="3"/>
      <c r="AN178" s="3"/>
    </row>
    <row r="179" spans="1:40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L179" s="5"/>
      <c r="M179" s="5"/>
      <c r="N179" s="3"/>
      <c r="O179" s="3"/>
      <c r="AM179" s="3"/>
      <c r="AN179" s="3"/>
    </row>
    <row r="180" spans="1:40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L180" s="5"/>
      <c r="M180" s="5"/>
      <c r="N180" s="3"/>
      <c r="O180" s="3"/>
      <c r="AM180" s="3"/>
      <c r="AN180" s="3"/>
    </row>
    <row r="181" spans="1:40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L181" s="5"/>
      <c r="M181" s="5"/>
      <c r="N181" s="3"/>
      <c r="O181" s="3"/>
      <c r="AM181" s="3"/>
      <c r="AN181" s="3"/>
    </row>
    <row r="182" spans="1:40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L182" s="5"/>
      <c r="M182" s="5"/>
      <c r="N182" s="3"/>
      <c r="O182" s="3"/>
      <c r="AM182" s="3"/>
      <c r="AN182" s="3"/>
    </row>
    <row r="183" spans="1:40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L183" s="5"/>
      <c r="M183" s="5"/>
      <c r="N183" s="3"/>
      <c r="O183" s="3"/>
      <c r="AM183" s="3"/>
      <c r="AN183" s="3"/>
    </row>
    <row r="184" spans="1:40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L184" s="5"/>
      <c r="M184" s="5"/>
      <c r="N184" s="3"/>
      <c r="O184" s="3"/>
      <c r="AM184" s="3"/>
      <c r="AN184" s="3"/>
    </row>
    <row r="185" spans="1:40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L185" s="5"/>
      <c r="M185" s="5"/>
      <c r="N185" s="3"/>
      <c r="O185" s="3"/>
      <c r="AM185" s="3"/>
      <c r="AN185" s="3"/>
    </row>
    <row r="186" spans="1:40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L186" s="5"/>
      <c r="M186" s="5"/>
      <c r="N186" s="3"/>
      <c r="O186" s="3"/>
      <c r="AM186" s="3"/>
      <c r="AN186" s="3"/>
    </row>
    <row r="187" spans="1:40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L187" s="5"/>
      <c r="M187" s="5"/>
      <c r="N187" s="3"/>
      <c r="O187" s="3"/>
      <c r="AM187" s="3"/>
      <c r="AN187" s="3"/>
    </row>
    <row r="188" spans="1:40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L188" s="5"/>
      <c r="M188" s="5"/>
      <c r="N188" s="3"/>
      <c r="O188" s="3"/>
      <c r="AM188" s="3"/>
      <c r="AN188" s="3"/>
    </row>
    <row r="189" spans="1:40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L189" s="5"/>
      <c r="M189" s="5"/>
      <c r="N189" s="3"/>
      <c r="O189" s="3"/>
      <c r="AM189" s="3"/>
      <c r="AN189" s="3"/>
    </row>
    <row r="190" spans="1:40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L190" s="5"/>
      <c r="M190" s="5"/>
      <c r="N190" s="3"/>
      <c r="O190" s="3"/>
      <c r="AM190" s="3"/>
      <c r="AN190" s="3"/>
    </row>
    <row r="191" spans="1:40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L191" s="5"/>
      <c r="M191" s="5"/>
      <c r="N191" s="3"/>
      <c r="O191" s="3"/>
      <c r="AM191" s="3"/>
      <c r="AN191" s="3"/>
    </row>
    <row r="192" spans="1:40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L192" s="5"/>
      <c r="M192" s="5"/>
      <c r="N192" s="3"/>
      <c r="O192" s="3"/>
      <c r="AM192" s="3"/>
      <c r="AN192" s="3"/>
    </row>
    <row r="193" spans="1:40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L193" s="5"/>
      <c r="M193" s="5"/>
      <c r="N193" s="3"/>
      <c r="O193" s="3"/>
      <c r="AM193" s="3"/>
      <c r="AN193" s="3"/>
    </row>
    <row r="194" spans="1:40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L194" s="5"/>
      <c r="M194" s="5"/>
      <c r="N194" s="3"/>
      <c r="O194" s="3"/>
      <c r="AM194" s="3"/>
      <c r="AN194" s="3"/>
    </row>
    <row r="195" spans="1:40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L195" s="5"/>
      <c r="M195" s="5"/>
      <c r="N195" s="3"/>
      <c r="O195" s="3"/>
      <c r="AM195" s="3"/>
      <c r="AN195" s="3"/>
    </row>
    <row r="196" spans="1:40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L196" s="5"/>
      <c r="M196" s="5"/>
      <c r="N196" s="3"/>
      <c r="O196" s="3"/>
      <c r="AM196" s="3"/>
      <c r="AN196" s="3"/>
    </row>
    <row r="197" spans="1:40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L197" s="5"/>
      <c r="M197" s="5"/>
      <c r="N197" s="3"/>
      <c r="O197" s="3"/>
      <c r="AM197" s="3"/>
      <c r="AN197" s="3"/>
    </row>
    <row r="198" spans="1:40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L198" s="5"/>
      <c r="M198" s="5"/>
      <c r="N198" s="3"/>
      <c r="O198" s="3"/>
      <c r="AM198" s="3"/>
      <c r="AN198" s="3"/>
    </row>
    <row r="199" spans="1:40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L199" s="5"/>
      <c r="M199" s="5"/>
      <c r="N199" s="3"/>
      <c r="O199" s="3"/>
      <c r="AM199" s="3"/>
      <c r="AN199" s="3"/>
    </row>
    <row r="200" spans="1:40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L200" s="5"/>
      <c r="M200" s="5"/>
      <c r="N200" s="3"/>
      <c r="O200" s="3"/>
      <c r="AM200" s="3"/>
      <c r="AN200" s="3"/>
    </row>
    <row r="201" spans="1:40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L201" s="4"/>
      <c r="M201" s="4"/>
      <c r="N201" s="3"/>
      <c r="O201" s="3"/>
      <c r="AM201" s="3"/>
      <c r="AN201" s="3"/>
    </row>
    <row r="202" spans="1:40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L202" s="3"/>
      <c r="M202" s="3"/>
      <c r="N202" s="3"/>
      <c r="O202" s="3"/>
      <c r="AM202" s="3"/>
      <c r="AN202" s="3"/>
    </row>
    <row r="203" spans="1:40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L203" s="3"/>
      <c r="M203" s="3"/>
      <c r="N203" s="3"/>
      <c r="O203" s="3"/>
      <c r="AM203" s="3"/>
      <c r="AN203" s="3"/>
    </row>
    <row r="204" spans="1:40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L204" s="3"/>
      <c r="M204" s="3"/>
      <c r="N204" s="3"/>
      <c r="O204" s="3"/>
      <c r="AM204" s="3"/>
      <c r="AN204" s="3"/>
    </row>
    <row r="205" spans="1:40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L205" s="3"/>
      <c r="M205" s="3"/>
      <c r="N205" s="3"/>
      <c r="O205" s="3"/>
      <c r="AM205" s="3"/>
      <c r="AN205" s="3"/>
    </row>
    <row r="206" spans="1:40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L206" s="3"/>
      <c r="M206" s="3"/>
      <c r="N206" s="3"/>
      <c r="O206" s="3"/>
      <c r="AM206" s="3"/>
      <c r="AN206" s="3"/>
    </row>
    <row r="207" spans="1:40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L207" s="3"/>
      <c r="M207" s="3"/>
      <c r="N207" s="3"/>
      <c r="O207" s="3"/>
      <c r="AM207" s="3"/>
      <c r="AN207" s="3"/>
    </row>
    <row r="208" spans="1:40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L208" s="3"/>
      <c r="M208" s="3"/>
      <c r="N208" s="3"/>
      <c r="O208" s="3"/>
      <c r="AM208" s="3"/>
      <c r="AN208" s="3"/>
    </row>
    <row r="209" spans="1:40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L209" s="3"/>
      <c r="M209" s="3"/>
      <c r="N209" s="3"/>
      <c r="O209" s="3"/>
      <c r="AM209" s="3"/>
      <c r="AN209" s="3"/>
    </row>
    <row r="210" spans="1:40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L210" s="3"/>
      <c r="M210" s="3"/>
      <c r="N210" s="3"/>
      <c r="O210" s="3"/>
      <c r="AM210" s="3"/>
      <c r="AN210" s="3"/>
    </row>
    <row r="211" spans="1:40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L211" s="3"/>
      <c r="M211" s="3"/>
      <c r="N211" s="3"/>
      <c r="O211" s="3"/>
      <c r="AM211" s="3"/>
      <c r="AN211" s="3"/>
    </row>
    <row r="212" spans="1:40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L212" s="3"/>
      <c r="M212" s="3"/>
      <c r="N212" s="3"/>
      <c r="O212" s="3"/>
      <c r="AM212" s="3"/>
      <c r="AN212" s="3"/>
    </row>
    <row r="213" spans="1:40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L213" s="3"/>
      <c r="M213" s="3"/>
      <c r="N213" s="3"/>
      <c r="O213" s="3"/>
      <c r="AM213" s="3"/>
      <c r="AN213" s="3"/>
    </row>
    <row r="214" spans="1:40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L214" s="3"/>
      <c r="M214" s="3"/>
      <c r="N214" s="3"/>
      <c r="O214" s="3"/>
      <c r="AM214" s="3"/>
      <c r="AN214" s="3"/>
    </row>
    <row r="215" spans="1:40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L215" s="3"/>
      <c r="M215" s="3"/>
      <c r="N215" s="3"/>
      <c r="O215" s="3"/>
      <c r="AM215" s="3"/>
      <c r="AN215" s="3"/>
    </row>
    <row r="216" spans="1:40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L216" s="3"/>
      <c r="M216" s="3"/>
      <c r="N216" s="3"/>
      <c r="O216" s="3"/>
      <c r="AM216" s="3"/>
      <c r="AN216" s="3"/>
    </row>
    <row r="217" spans="1:40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L217" s="3"/>
      <c r="M217" s="3"/>
      <c r="N217" s="3"/>
      <c r="O217" s="3"/>
      <c r="AM217" s="3"/>
      <c r="AN217" s="3"/>
    </row>
    <row r="218" spans="1:40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L218" s="3"/>
      <c r="M218" s="3"/>
      <c r="N218" s="3"/>
      <c r="O218" s="3"/>
      <c r="AM218" s="3"/>
      <c r="AN218" s="3"/>
    </row>
    <row r="219" spans="1:40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L219" s="3"/>
      <c r="M219" s="3"/>
      <c r="N219" s="3"/>
      <c r="O219" s="3"/>
      <c r="AM219" s="3"/>
      <c r="AN219" s="3"/>
    </row>
    <row r="220" spans="1:40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L220" s="3"/>
      <c r="M220" s="3"/>
      <c r="N220" s="3"/>
      <c r="O220" s="3"/>
      <c r="AM220" s="3"/>
      <c r="AN220" s="3"/>
    </row>
    <row r="221" spans="1:40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L221" s="3"/>
      <c r="M221" s="3"/>
      <c r="N221" s="3"/>
      <c r="O221" s="3"/>
      <c r="AM221" s="3"/>
      <c r="AN221" s="3"/>
    </row>
    <row r="222" spans="1:40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L222" s="3"/>
      <c r="M222" s="3"/>
      <c r="N222" s="3"/>
      <c r="O222" s="3"/>
      <c r="AM222" s="3"/>
      <c r="AN222" s="3"/>
    </row>
    <row r="223" spans="1:40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L223" s="3"/>
      <c r="M223" s="3"/>
      <c r="N223" s="3"/>
      <c r="O223" s="3"/>
      <c r="AM223" s="3"/>
      <c r="AN223" s="3"/>
    </row>
    <row r="224" spans="1:40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L224" s="3"/>
      <c r="M224" s="3"/>
      <c r="N224" s="3"/>
      <c r="O224" s="3"/>
      <c r="AM224" s="3"/>
      <c r="AN224" s="3"/>
    </row>
    <row r="225" spans="1:40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L225" s="3"/>
      <c r="M225" s="3"/>
      <c r="N225" s="3"/>
      <c r="O225" s="3"/>
      <c r="AM225" s="3"/>
      <c r="AN225" s="3"/>
    </row>
    <row r="226" spans="1:40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L226" s="3"/>
      <c r="M226" s="3"/>
      <c r="N226" s="3"/>
      <c r="O226" s="3"/>
      <c r="AM226" s="3"/>
      <c r="AN226" s="3"/>
    </row>
    <row r="227" spans="1:40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L227" s="3"/>
      <c r="M227" s="3"/>
      <c r="N227" s="3"/>
      <c r="O227" s="3"/>
      <c r="AM227" s="3"/>
      <c r="AN227" s="3"/>
    </row>
    <row r="228" spans="1:40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L228" s="3"/>
      <c r="M228" s="3"/>
      <c r="N228" s="3"/>
      <c r="O228" s="3"/>
      <c r="AM228" s="3"/>
      <c r="AN228" s="3"/>
    </row>
    <row r="229" spans="1:40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L229" s="3"/>
      <c r="M229" s="3"/>
      <c r="N229" s="3"/>
      <c r="O229" s="3"/>
      <c r="AM229" s="3"/>
      <c r="AN229" s="3"/>
    </row>
    <row r="230" spans="1:40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L230" s="3"/>
      <c r="M230" s="3"/>
      <c r="N230" s="3"/>
      <c r="O230" s="3"/>
      <c r="AM230" s="3"/>
      <c r="AN230" s="3"/>
    </row>
    <row r="231" spans="1:40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L231" s="3"/>
      <c r="M231" s="3"/>
      <c r="N231" s="3"/>
      <c r="O231" s="3"/>
      <c r="AM231" s="3"/>
      <c r="AN231" s="3"/>
    </row>
    <row r="232" spans="1:40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L232" s="3"/>
      <c r="M232" s="3"/>
      <c r="N232" s="3"/>
      <c r="O232" s="3"/>
      <c r="AM232" s="3"/>
      <c r="AN232" s="3"/>
    </row>
    <row r="233" spans="1:40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L233" s="3"/>
      <c r="M233" s="3"/>
      <c r="N233" s="3"/>
      <c r="O233" s="3"/>
      <c r="AM233" s="3"/>
      <c r="AN233" s="3"/>
    </row>
    <row r="234" spans="1:40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L234" s="3"/>
      <c r="M234" s="3"/>
      <c r="N234" s="3"/>
      <c r="O234" s="3"/>
      <c r="AM234" s="3"/>
      <c r="AN234" s="3"/>
    </row>
    <row r="235" spans="1:40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L235" s="3"/>
      <c r="M235" s="3"/>
      <c r="N235" s="3"/>
      <c r="O235" s="3"/>
      <c r="AM235" s="3"/>
      <c r="AN235" s="3"/>
    </row>
    <row r="236" spans="1:40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L236" s="3"/>
      <c r="M236" s="3"/>
      <c r="N236" s="3"/>
      <c r="O236" s="3"/>
      <c r="AM236" s="3"/>
      <c r="AN236" s="3"/>
    </row>
    <row r="237" spans="1:40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L237" s="3"/>
      <c r="M237" s="3"/>
      <c r="N237" s="3"/>
      <c r="O237" s="3"/>
      <c r="AM237" s="3"/>
      <c r="AN237" s="3"/>
    </row>
    <row r="238" spans="1:40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L238" s="3"/>
      <c r="M238" s="3"/>
      <c r="N238" s="3"/>
      <c r="O238" s="3"/>
      <c r="AM238" s="3"/>
      <c r="AN238" s="3"/>
    </row>
    <row r="239" spans="1:40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L239" s="3"/>
      <c r="M239" s="3"/>
      <c r="N239" s="3"/>
      <c r="O239" s="3"/>
      <c r="AM239" s="3"/>
      <c r="AN239" s="3"/>
    </row>
    <row r="240" spans="1:40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L240" s="3"/>
      <c r="M240" s="3"/>
      <c r="N240" s="3"/>
      <c r="O240" s="3"/>
      <c r="AM240" s="3"/>
      <c r="AN240" s="3"/>
    </row>
    <row r="241" spans="1:40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L241" s="3"/>
      <c r="M241" s="3"/>
      <c r="N241" s="3"/>
      <c r="O241" s="3"/>
      <c r="AM241" s="3"/>
      <c r="AN241" s="3"/>
    </row>
    <row r="242" spans="1:40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L242" s="3"/>
      <c r="M242" s="3"/>
      <c r="N242" s="3"/>
      <c r="O242" s="3"/>
      <c r="AM242" s="3"/>
      <c r="AN242" s="3"/>
    </row>
    <row r="243" spans="1:40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L243" s="3"/>
      <c r="M243" s="3"/>
      <c r="N243" s="3"/>
      <c r="O243" s="3"/>
      <c r="AM243" s="3"/>
      <c r="AN243" s="3"/>
    </row>
    <row r="244" spans="1:40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L244" s="3"/>
      <c r="M244" s="3"/>
      <c r="N244" s="3"/>
      <c r="O244" s="3"/>
      <c r="AM244" s="3"/>
      <c r="AN244" s="3"/>
    </row>
    <row r="245" spans="1:40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L245" s="3"/>
      <c r="M245" s="3"/>
      <c r="N245" s="3"/>
      <c r="O245" s="3"/>
      <c r="AM245" s="3"/>
      <c r="AN245" s="3"/>
    </row>
    <row r="246" spans="1:40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L246" s="3"/>
      <c r="M246" s="3"/>
      <c r="N246" s="3"/>
      <c r="O246" s="3"/>
      <c r="AM246" s="3"/>
      <c r="AN246" s="3"/>
    </row>
    <row r="247" spans="1:40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L247" s="3"/>
      <c r="M247" s="3"/>
      <c r="N247" s="3"/>
      <c r="O247" s="3"/>
      <c r="AM247" s="3"/>
      <c r="AN247" s="3"/>
    </row>
    <row r="248" spans="1:40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L248" s="3"/>
      <c r="M248" s="3"/>
      <c r="N248" s="3"/>
      <c r="O248" s="3"/>
      <c r="AM248" s="3"/>
      <c r="AN248" s="3"/>
    </row>
    <row r="249" spans="1:40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L249" s="3"/>
      <c r="M249" s="3"/>
      <c r="N249" s="3"/>
      <c r="O249" s="3"/>
      <c r="AM249" s="3"/>
      <c r="AN249" s="3"/>
    </row>
    <row r="250" spans="1:40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L250" s="3"/>
      <c r="M250" s="3"/>
      <c r="N250" s="3"/>
      <c r="O250" s="3"/>
      <c r="AM250" s="3"/>
      <c r="AN250" s="3"/>
    </row>
    <row r="251" spans="1:40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L251" s="3"/>
      <c r="M251" s="3"/>
      <c r="N251" s="3"/>
      <c r="O251" s="3"/>
      <c r="AM251" s="3"/>
      <c r="AN251" s="3"/>
    </row>
    <row r="252" spans="1:40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L252" s="3"/>
      <c r="M252" s="3"/>
      <c r="N252" s="3"/>
      <c r="O252" s="3"/>
      <c r="AM252" s="3"/>
      <c r="AN252" s="3"/>
    </row>
  </sheetData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EMPA</vt:lpstr>
      <vt:lpstr>XRF, ICP-MS</vt:lpstr>
    </vt:vector>
  </TitlesOfParts>
  <Company>University of Helsinki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Fred, Riikka M</dc:creator>
  <cp:lastModifiedBy>Fred, Riikka M</cp:lastModifiedBy>
  <dcterms:created xsi:type="dcterms:W3CDTF">2020-02-05T11:08:10Z</dcterms:created>
  <dcterms:modified xsi:type="dcterms:W3CDTF">2020-07-07T11:30:27Z</dcterms:modified>
</cp:coreProperties>
</file>