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My Drive\Work\BGI\PhD_project\papers\2021_Rustioni_Subduction_zone_composition\For_pubblication\Reviews\"/>
    </mc:Choice>
  </mc:AlternateContent>
  <bookViews>
    <workbookView xWindow="2955" yWindow="885" windowWidth="43095" windowHeight="24195" tabRatio="500"/>
  </bookViews>
  <sheets>
    <sheet name="4 GPa, 800 C, 2% rutile" sheetId="1" r:id="rId1"/>
    <sheet name="4 GPa, 800 C, no rutile" sheetId="2" r:id="rId2"/>
    <sheet name="6 GPa, 800 C, no rutile" sheetId="3" r:id="rId3"/>
    <sheet name="Readme" sheetId="4" r:id="rId4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0" i="1" l="1"/>
  <c r="H16" i="2"/>
  <c r="N17" i="1"/>
  <c r="F24" i="1"/>
  <c r="F23" i="1"/>
  <c r="F22" i="1"/>
  <c r="F21" i="1"/>
  <c r="F20" i="1"/>
  <c r="F12" i="1"/>
  <c r="F18" i="1"/>
  <c r="F17" i="1"/>
  <c r="F16" i="1"/>
  <c r="F15" i="1"/>
  <c r="F14" i="1"/>
  <c r="F13" i="1"/>
  <c r="F10" i="1"/>
  <c r="F9" i="1"/>
  <c r="F8" i="1"/>
  <c r="F7" i="1"/>
  <c r="F24" i="2"/>
  <c r="F23" i="2"/>
  <c r="F22" i="2"/>
  <c r="F21" i="2"/>
  <c r="F20" i="2"/>
  <c r="F19" i="2"/>
  <c r="F18" i="2"/>
  <c r="F17" i="2"/>
  <c r="F16" i="2"/>
  <c r="F14" i="2"/>
  <c r="F13" i="2"/>
  <c r="F12" i="2"/>
  <c r="F10" i="2"/>
  <c r="F9" i="2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H9" i="3"/>
  <c r="F8" i="3"/>
  <c r="F7" i="3"/>
  <c r="H24" i="3"/>
  <c r="J24" i="3"/>
  <c r="M24" i="3"/>
  <c r="N24" i="3"/>
  <c r="O24" i="3"/>
  <c r="H23" i="3"/>
  <c r="J23" i="3"/>
  <c r="M23" i="3"/>
  <c r="N23" i="3"/>
  <c r="O23" i="3"/>
  <c r="H22" i="3"/>
  <c r="J22" i="3"/>
  <c r="M22" i="3"/>
  <c r="N22" i="3"/>
  <c r="O22" i="3"/>
  <c r="H21" i="3"/>
  <c r="J21" i="3"/>
  <c r="M21" i="3"/>
  <c r="N21" i="3"/>
  <c r="O21" i="3"/>
  <c r="H20" i="3"/>
  <c r="J20" i="3"/>
  <c r="M20" i="3"/>
  <c r="N20" i="3"/>
  <c r="O20" i="3"/>
  <c r="H19" i="3"/>
  <c r="J19" i="3"/>
  <c r="M19" i="3"/>
  <c r="N19" i="3"/>
  <c r="O19" i="3"/>
  <c r="H18" i="3"/>
  <c r="J18" i="3"/>
  <c r="M18" i="3"/>
  <c r="N18" i="3"/>
  <c r="O18" i="3"/>
  <c r="H17" i="3"/>
  <c r="J17" i="3"/>
  <c r="M17" i="3"/>
  <c r="N17" i="3"/>
  <c r="O17" i="3"/>
  <c r="H16" i="3"/>
  <c r="J16" i="3"/>
  <c r="M16" i="3"/>
  <c r="N16" i="3"/>
  <c r="O16" i="3"/>
  <c r="H15" i="3"/>
  <c r="J15" i="3"/>
  <c r="M15" i="3"/>
  <c r="N15" i="3"/>
  <c r="O15" i="3"/>
  <c r="H14" i="3"/>
  <c r="J14" i="3"/>
  <c r="M14" i="3"/>
  <c r="N14" i="3"/>
  <c r="O14" i="3"/>
  <c r="H13" i="3"/>
  <c r="J13" i="3"/>
  <c r="M13" i="3"/>
  <c r="N13" i="3"/>
  <c r="O13" i="3"/>
  <c r="H12" i="3"/>
  <c r="J12" i="3"/>
  <c r="M12" i="3"/>
  <c r="N12" i="3"/>
  <c r="O12" i="3"/>
  <c r="H11" i="3"/>
  <c r="J11" i="3"/>
  <c r="M11" i="3"/>
  <c r="N11" i="3"/>
  <c r="O11" i="3"/>
  <c r="H10" i="3"/>
  <c r="J10" i="3"/>
  <c r="M10" i="3"/>
  <c r="N10" i="3"/>
  <c r="O10" i="3"/>
  <c r="J9" i="3"/>
  <c r="M9" i="3"/>
  <c r="N9" i="3"/>
  <c r="O9" i="3"/>
  <c r="H8" i="3"/>
  <c r="J8" i="3"/>
  <c r="M8" i="3"/>
  <c r="N8" i="3"/>
  <c r="O8" i="3"/>
  <c r="H7" i="3"/>
  <c r="J7" i="3"/>
  <c r="M7" i="3"/>
  <c r="N7" i="3"/>
  <c r="O7" i="3"/>
  <c r="F11" i="2"/>
  <c r="F19" i="1"/>
  <c r="F11" i="1"/>
  <c r="H24" i="2"/>
  <c r="J24" i="2"/>
  <c r="M24" i="2"/>
  <c r="N24" i="2"/>
  <c r="O24" i="2"/>
  <c r="H23" i="2"/>
  <c r="J23" i="2"/>
  <c r="M23" i="2"/>
  <c r="N23" i="2"/>
  <c r="O23" i="2"/>
  <c r="H22" i="2"/>
  <c r="J22" i="2"/>
  <c r="M22" i="2"/>
  <c r="N22" i="2"/>
  <c r="O22" i="2"/>
  <c r="H21" i="2"/>
  <c r="J21" i="2"/>
  <c r="M21" i="2"/>
  <c r="N21" i="2"/>
  <c r="O21" i="2"/>
  <c r="H20" i="2"/>
  <c r="J20" i="2"/>
  <c r="M20" i="2"/>
  <c r="N20" i="2"/>
  <c r="O20" i="2"/>
  <c r="H19" i="2"/>
  <c r="J19" i="2"/>
  <c r="M19" i="2"/>
  <c r="N19" i="2"/>
  <c r="O19" i="2"/>
  <c r="H18" i="2"/>
  <c r="J18" i="2"/>
  <c r="M18" i="2"/>
  <c r="N18" i="2"/>
  <c r="O18" i="2"/>
  <c r="H17" i="2"/>
  <c r="J17" i="2"/>
  <c r="M17" i="2"/>
  <c r="N17" i="2"/>
  <c r="O17" i="2"/>
  <c r="J16" i="2"/>
  <c r="M16" i="2"/>
  <c r="N16" i="2"/>
  <c r="O16" i="2"/>
  <c r="F15" i="2"/>
  <c r="H15" i="2"/>
  <c r="J15" i="2"/>
  <c r="M15" i="2"/>
  <c r="N15" i="2"/>
  <c r="O15" i="2"/>
  <c r="H14" i="2"/>
  <c r="J14" i="2"/>
  <c r="M14" i="2"/>
  <c r="N14" i="2"/>
  <c r="O14" i="2"/>
  <c r="H13" i="2"/>
  <c r="J13" i="2"/>
  <c r="M13" i="2"/>
  <c r="N13" i="2"/>
  <c r="O13" i="2"/>
  <c r="H12" i="2"/>
  <c r="J12" i="2"/>
  <c r="M12" i="2"/>
  <c r="N12" i="2"/>
  <c r="O12" i="2"/>
  <c r="H11" i="2"/>
  <c r="J11" i="2"/>
  <c r="M11" i="2"/>
  <c r="N11" i="2"/>
  <c r="O11" i="2"/>
  <c r="H10" i="2"/>
  <c r="J10" i="2"/>
  <c r="M10" i="2"/>
  <c r="N10" i="2"/>
  <c r="O10" i="2"/>
  <c r="H9" i="2"/>
  <c r="J9" i="2"/>
  <c r="M9" i="2"/>
  <c r="N9" i="2"/>
  <c r="O9" i="2"/>
  <c r="F8" i="2"/>
  <c r="H8" i="2"/>
  <c r="J8" i="2"/>
  <c r="M8" i="2"/>
  <c r="N8" i="2"/>
  <c r="O8" i="2"/>
  <c r="F7" i="2"/>
  <c r="H7" i="2"/>
  <c r="J7" i="2"/>
  <c r="M7" i="2"/>
  <c r="N7" i="2"/>
  <c r="O7" i="2"/>
  <c r="H9" i="1"/>
  <c r="H7" i="1"/>
  <c r="J7" i="1"/>
  <c r="H8" i="1"/>
  <c r="J8" i="1"/>
  <c r="M8" i="1"/>
  <c r="N8" i="1"/>
  <c r="O8" i="1"/>
  <c r="J9" i="1"/>
  <c r="M9" i="1"/>
  <c r="N9" i="1"/>
  <c r="O9" i="1"/>
  <c r="H10" i="1"/>
  <c r="M10" i="1"/>
  <c r="N10" i="1"/>
  <c r="O10" i="1"/>
  <c r="H11" i="1"/>
  <c r="J11" i="1"/>
  <c r="M11" i="1"/>
  <c r="N11" i="1"/>
  <c r="O11" i="1"/>
  <c r="H12" i="1"/>
  <c r="J12" i="1"/>
  <c r="M12" i="1"/>
  <c r="N12" i="1"/>
  <c r="O12" i="1"/>
  <c r="H13" i="1"/>
  <c r="J13" i="1"/>
  <c r="M13" i="1"/>
  <c r="N13" i="1"/>
  <c r="O13" i="1"/>
  <c r="H14" i="1"/>
  <c r="J14" i="1"/>
  <c r="M14" i="1"/>
  <c r="N14" i="1"/>
  <c r="O14" i="1"/>
  <c r="H15" i="1"/>
  <c r="J15" i="1"/>
  <c r="M15" i="1"/>
  <c r="N15" i="1"/>
  <c r="O15" i="1"/>
  <c r="H16" i="1"/>
  <c r="J16" i="1"/>
  <c r="M16" i="1"/>
  <c r="N16" i="1"/>
  <c r="O16" i="1"/>
  <c r="H17" i="1"/>
  <c r="J17" i="1"/>
  <c r="M17" i="1"/>
  <c r="O17" i="1"/>
  <c r="H18" i="1"/>
  <c r="J18" i="1"/>
  <c r="M18" i="1"/>
  <c r="N18" i="1"/>
  <c r="O18" i="1"/>
  <c r="H19" i="1"/>
  <c r="J19" i="1"/>
  <c r="M19" i="1"/>
  <c r="N19" i="1"/>
  <c r="O19" i="1"/>
  <c r="H20" i="1"/>
  <c r="J20" i="1"/>
  <c r="M20" i="1"/>
  <c r="N20" i="1"/>
  <c r="O20" i="1"/>
  <c r="H21" i="1"/>
  <c r="J21" i="1"/>
  <c r="M21" i="1"/>
  <c r="N21" i="1"/>
  <c r="O21" i="1"/>
  <c r="H22" i="1"/>
  <c r="J22" i="1"/>
  <c r="M22" i="1"/>
  <c r="N22" i="1"/>
  <c r="O22" i="1"/>
  <c r="H23" i="1"/>
  <c r="J23" i="1"/>
  <c r="M23" i="1"/>
  <c r="N23" i="1"/>
  <c r="O23" i="1"/>
  <c r="H24" i="1"/>
  <c r="J24" i="1"/>
  <c r="M24" i="1"/>
  <c r="N24" i="1"/>
  <c r="O24" i="1"/>
  <c r="M7" i="1"/>
  <c r="N7" i="1"/>
  <c r="O7" i="1"/>
</calcChain>
</file>

<file path=xl/sharedStrings.xml><?xml version="1.0" encoding="utf-8"?>
<sst xmlns="http://schemas.openxmlformats.org/spreadsheetml/2006/main" count="121" uniqueCount="53">
  <si>
    <t>Subduction calculator</t>
  </si>
  <si>
    <t>Element</t>
  </si>
  <si>
    <t>Rb</t>
  </si>
  <si>
    <t>Ba</t>
  </si>
  <si>
    <t>Th</t>
  </si>
  <si>
    <t>U</t>
  </si>
  <si>
    <t>Nb</t>
  </si>
  <si>
    <t>La</t>
  </si>
  <si>
    <t>Ce</t>
  </si>
  <si>
    <t>Pb</t>
  </si>
  <si>
    <t>Sr</t>
  </si>
  <si>
    <t>Nd</t>
  </si>
  <si>
    <t>Sm</t>
  </si>
  <si>
    <t>Eu</t>
  </si>
  <si>
    <t>Ti</t>
  </si>
  <si>
    <t>Er</t>
  </si>
  <si>
    <t>Yb</t>
  </si>
  <si>
    <t>Lu</t>
  </si>
  <si>
    <t>Y</t>
  </si>
  <si>
    <t>Gd</t>
  </si>
  <si>
    <t xml:space="preserve"> </t>
  </si>
  <si>
    <t>Melt/MORB</t>
  </si>
  <si>
    <t>log (Melt/MORB)</t>
  </si>
  <si>
    <t>Concentration  MORB (ppm)</t>
  </si>
  <si>
    <t>Concentration Peridotite (ppm)</t>
  </si>
  <si>
    <t>Fluid salinity (wt. % Cl)</t>
  </si>
  <si>
    <t>Fluid fraction in slab (wt. %)</t>
  </si>
  <si>
    <t>Concentration Fluid (ppm)</t>
  </si>
  <si>
    <t>Fluid added to source (wt. %)</t>
  </si>
  <si>
    <t>Composition of source (ppm)</t>
  </si>
  <si>
    <t>Degree of melting (wt. %)</t>
  </si>
  <si>
    <t>Concentration Melt (ppm)</t>
  </si>
  <si>
    <r>
      <t>D</t>
    </r>
    <r>
      <rPr>
        <b/>
        <vertAlign val="superscript"/>
        <sz val="12"/>
        <rFont val="Calibri"/>
        <family val="2"/>
        <scheme val="minor"/>
      </rPr>
      <t>fluid/eclogite</t>
    </r>
  </si>
  <si>
    <r>
      <t>D</t>
    </r>
    <r>
      <rPr>
        <b/>
        <vertAlign val="superscript"/>
        <sz val="12"/>
        <rFont val="Calibri"/>
        <family val="2"/>
        <scheme val="minor"/>
      </rPr>
      <t>peridotite/basalt</t>
    </r>
  </si>
  <si>
    <r>
      <t xml:space="preserve">Fluid released at 4 GPa and 800 </t>
    </r>
    <r>
      <rPr>
        <sz val="14"/>
        <color theme="3"/>
        <rFont val="Calibri"/>
        <family val="2"/>
      </rPr>
      <t>⁰</t>
    </r>
    <r>
      <rPr>
        <sz val="14"/>
        <color theme="3"/>
        <rFont val="Calibri"/>
        <family val="2"/>
        <scheme val="minor"/>
      </rPr>
      <t>C in equilibrium with an eclogite containing 2 % of rutile</t>
    </r>
  </si>
  <si>
    <r>
      <t xml:space="preserve">Fluid released at 4 GPa and 800 </t>
    </r>
    <r>
      <rPr>
        <sz val="14"/>
        <color theme="3"/>
        <rFont val="Calibri"/>
        <family val="2"/>
      </rPr>
      <t>⁰</t>
    </r>
    <r>
      <rPr>
        <sz val="14"/>
        <color theme="3"/>
        <rFont val="Calibri"/>
        <family val="2"/>
        <scheme val="minor"/>
      </rPr>
      <t>C in equilibrium with an eclogite containing no rutile</t>
    </r>
  </si>
  <si>
    <t>.</t>
  </si>
  <si>
    <r>
      <t xml:space="preserve">Fluid released at 6 GPa and 800 </t>
    </r>
    <r>
      <rPr>
        <sz val="14"/>
        <color theme="3"/>
        <rFont val="Calibri"/>
        <family val="2"/>
      </rPr>
      <t>⁰</t>
    </r>
    <r>
      <rPr>
        <sz val="14"/>
        <color theme="3"/>
        <rFont val="Calibri"/>
        <family val="2"/>
        <scheme val="minor"/>
      </rPr>
      <t>C in equilibrium with an eclogite containing no rutile</t>
    </r>
  </si>
  <si>
    <t>Brief explanation of the “Subduction Calculator” Excel spreadsheet</t>
  </si>
  <si>
    <t xml:space="preserve">The subduction calculator predicts the trace element concentrations in partial melts of the mantle wedge, after metasomatic enrichment </t>
  </si>
  <si>
    <t>by an aqueous fluid released from the basaltic part of the subducted slab. It assumes batch equilibrium between the fluid and the residual eclogite</t>
  </si>
  <si>
    <t xml:space="preserve"> in the subducted slab, transfer of the fluid without further modification to the zone of melting, and batch melting in the metasomatized mantle source.</t>
  </si>
  <si>
    <t>The separate sheets refer to different conditions of fluid release from the subducted slab.</t>
  </si>
  <si>
    <t xml:space="preserve"> Under normal circumstances, we recommend to use the sheet “4 GPa, 800 C, 2 % rutile”.</t>
  </si>
  <si>
    <t>Every sheet allows to vary four different parameters (marked in red):</t>
  </si>
  <si>
    <r>
      <t>-</t>
    </r>
    <r>
      <rPr>
        <sz val="12"/>
        <color rgb="FF000000"/>
        <rFont val="Times New Roman"/>
        <family val="1"/>
      </rPr>
      <t xml:space="preserve">        </t>
    </r>
    <r>
      <rPr>
        <sz val="12"/>
        <color rgb="FF000000"/>
        <rFont val="Calibri"/>
        <family val="2"/>
        <scheme val="minor"/>
      </rPr>
      <t>Fluid salinity (in wt. % Cl), column E; recommended parameter space: 1 - 10 wt. %</t>
    </r>
  </si>
  <si>
    <r>
      <t>-</t>
    </r>
    <r>
      <rPr>
        <sz val="12"/>
        <color rgb="FF000000"/>
        <rFont val="Times New Roman"/>
        <family val="1"/>
      </rPr>
      <t xml:space="preserve">        </t>
    </r>
    <r>
      <rPr>
        <sz val="12"/>
        <color rgb="FF000000"/>
        <rFont val="Calibri"/>
        <family val="2"/>
        <scheme val="minor"/>
      </rPr>
      <t>Fluid fraction in slab (wt. %), column G; recommended parameter space: 1 - 2 wt. %</t>
    </r>
  </si>
  <si>
    <r>
      <t>-</t>
    </r>
    <r>
      <rPr>
        <sz val="12"/>
        <color rgb="FF000000"/>
        <rFont val="Times New Roman"/>
        <family val="1"/>
      </rPr>
      <t xml:space="preserve">        </t>
    </r>
    <r>
      <rPr>
        <sz val="12"/>
        <color rgb="FF000000"/>
        <rFont val="Calibri"/>
        <family val="2"/>
        <scheme val="minor"/>
      </rPr>
      <t>Fluid added to source (wt.%), column I; recommended parameter space: 2 - 10 wt. %</t>
    </r>
  </si>
  <si>
    <r>
      <t>-</t>
    </r>
    <r>
      <rPr>
        <sz val="12"/>
        <color rgb="FF000000"/>
        <rFont val="Times New Roman"/>
        <family val="1"/>
      </rPr>
      <t xml:space="preserve">        </t>
    </r>
    <r>
      <rPr>
        <sz val="12"/>
        <color rgb="FF000000"/>
        <rFont val="Calibri"/>
        <family val="2"/>
        <scheme val="minor"/>
      </rPr>
      <t>Degree of melting (wt. %), column L; recommended parameter space: 5 - 20 wt.%</t>
    </r>
  </si>
  <si>
    <t xml:space="preserve">To change any of those parameters, please type in a new value in the first line, mark the entire column, and use the “fill down” command to adjust all the parameters in the lines below. </t>
  </si>
  <si>
    <t xml:space="preserve">Obviously, there has to be the same parameter in the entire column. </t>
  </si>
  <si>
    <t xml:space="preserve">The source of all data and the equations used for the calculation are explained in the main text of the article. </t>
  </si>
  <si>
    <t>This file is a supplementary online resource to Rustioni et al. (2021): The composition of subduction zone fluids and the origin of the trace element enrichment in arc magmas, published in Contributions to Mineralogy and Petrology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</si>
</sst>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theme="3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19">
    <xf numFmtId="0" fontId="0" fillId="0" borderId="0" xfId="0"/>
    <xf numFmtId="0" fontId="8" fillId="0" borderId="0" xfId="5" applyFont="1" applyFill="1" applyBorder="1" applyAlignment="1" applyProtection="1">
      <alignment horizontal="center"/>
      <protection locked="0"/>
    </xf>
    <xf numFmtId="0" fontId="0" fillId="5" borderId="0" xfId="0" applyFill="1" applyProtection="1"/>
    <xf numFmtId="0" fontId="6" fillId="4" borderId="0" xfId="0" applyFont="1" applyFill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center" vertical="center" wrapText="1"/>
    </xf>
    <xf numFmtId="0" fontId="5" fillId="5" borderId="0" xfId="0" applyFont="1" applyFill="1" applyAlignment="1" applyProtection="1">
      <alignment vertical="center"/>
    </xf>
    <xf numFmtId="0" fontId="0" fillId="3" borderId="0" xfId="0" applyFill="1" applyBorder="1" applyAlignment="1" applyProtection="1">
      <alignment horizontal="center"/>
    </xf>
    <xf numFmtId="164" fontId="0" fillId="3" borderId="0" xfId="0" applyNumberFormat="1" applyFill="1" applyBorder="1" applyAlignment="1" applyProtection="1">
      <alignment horizontal="center"/>
    </xf>
    <xf numFmtId="2" fontId="0" fillId="3" borderId="0" xfId="0" applyNumberFormat="1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/>
    </xf>
    <xf numFmtId="0" fontId="0" fillId="5" borderId="0" xfId="0" applyFill="1" applyBorder="1" applyProtection="1"/>
    <xf numFmtId="0" fontId="12" fillId="4" borderId="0" xfId="0" applyFont="1" applyFill="1" applyAlignment="1">
      <alignment vertical="center"/>
    </xf>
    <xf numFmtId="0" fontId="0" fillId="4" borderId="0" xfId="0" applyFont="1" applyFill="1"/>
    <xf numFmtId="0" fontId="0" fillId="4" borderId="0" xfId="0" applyFill="1"/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left" vertical="center" indent="3"/>
    </xf>
    <xf numFmtId="0" fontId="15" fillId="4" borderId="0" xfId="0" applyFont="1" applyFill="1" applyAlignment="1">
      <alignment vertical="center"/>
    </xf>
    <xf numFmtId="0" fontId="4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center" vertical="center"/>
    </xf>
  </cellXfs>
  <cellStyles count="6">
    <cellStyle name="20% - Accent6" xfId="5" builtinId="50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523582819488E-2"/>
          <c:y val="3.127368156451428E-2"/>
          <c:w val="0.92040362089268368"/>
          <c:h val="0.8834158504292408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4BACC6">
                  <a:lumMod val="50000"/>
                </a:srgbClr>
              </a:solidFill>
              <a:round/>
            </a:ln>
            <a:effectLst/>
          </c:spPr>
          <c:marker>
            <c:symbol val="diamond"/>
            <c:size val="11"/>
            <c:spPr>
              <a:solidFill>
                <a:srgbClr val="4BACC6"/>
              </a:solidFill>
              <a:ln w="9525">
                <a:solidFill>
                  <a:srgbClr val="4BACC6">
                    <a:lumMod val="50000"/>
                  </a:srgbClr>
                </a:solidFill>
              </a:ln>
              <a:effectLst/>
            </c:spPr>
          </c:marker>
          <c:cat>
            <c:strRef>
              <c:f>'4 GPa, 800 C, 2% rutile'!$B$7:$B$24</c:f>
              <c:strCache>
                <c:ptCount val="18"/>
                <c:pt idx="0">
                  <c:v>Rb</c:v>
                </c:pt>
                <c:pt idx="1">
                  <c:v>Ba</c:v>
                </c:pt>
                <c:pt idx="2">
                  <c:v>Th</c:v>
                </c:pt>
                <c:pt idx="3">
                  <c:v>U</c:v>
                </c:pt>
                <c:pt idx="4">
                  <c:v>Nb</c:v>
                </c:pt>
                <c:pt idx="5">
                  <c:v>La</c:v>
                </c:pt>
                <c:pt idx="6">
                  <c:v>Ce</c:v>
                </c:pt>
                <c:pt idx="7">
                  <c:v>Pb</c:v>
                </c:pt>
                <c:pt idx="8">
                  <c:v>Sr</c:v>
                </c:pt>
                <c:pt idx="9">
                  <c:v>Nd</c:v>
                </c:pt>
                <c:pt idx="10">
                  <c:v>Sm</c:v>
                </c:pt>
                <c:pt idx="11">
                  <c:v>Eu</c:v>
                </c:pt>
                <c:pt idx="12">
                  <c:v>Ti</c:v>
                </c:pt>
                <c:pt idx="13">
                  <c:v>Gd</c:v>
                </c:pt>
                <c:pt idx="14">
                  <c:v>Er</c:v>
                </c:pt>
                <c:pt idx="15">
                  <c:v>Yb</c:v>
                </c:pt>
                <c:pt idx="16">
                  <c:v>Lu</c:v>
                </c:pt>
                <c:pt idx="17">
                  <c:v>Y</c:v>
                </c:pt>
              </c:strCache>
            </c:strRef>
          </c:cat>
          <c:val>
            <c:numRef>
              <c:f>'4 GPa, 800 C, 2% rutile'!$O$7:$O$24</c:f>
              <c:numCache>
                <c:formatCode>0.000</c:formatCode>
                <c:ptCount val="18"/>
                <c:pt idx="0">
                  <c:v>1.3392585575679905</c:v>
                </c:pt>
                <c:pt idx="1">
                  <c:v>1.1024815471122522</c:v>
                </c:pt>
                <c:pt idx="2">
                  <c:v>-0.23650759259653034</c:v>
                </c:pt>
                <c:pt idx="3">
                  <c:v>0.82554878069149196</c:v>
                </c:pt>
                <c:pt idx="4">
                  <c:v>-0.66199070533565763</c:v>
                </c:pt>
                <c:pt idx="5">
                  <c:v>0.33304271983398587</c:v>
                </c:pt>
                <c:pt idx="6">
                  <c:v>0.31415824549302163</c:v>
                </c:pt>
                <c:pt idx="7">
                  <c:v>1.2508454848032806</c:v>
                </c:pt>
                <c:pt idx="8">
                  <c:v>0.99808450273155103</c:v>
                </c:pt>
                <c:pt idx="9">
                  <c:v>-8.7674758855407126E-2</c:v>
                </c:pt>
                <c:pt idx="10">
                  <c:v>-0.24320091569721217</c:v>
                </c:pt>
                <c:pt idx="11">
                  <c:v>-0.13708549058790903</c:v>
                </c:pt>
                <c:pt idx="12">
                  <c:v>-0.52100900709069697</c:v>
                </c:pt>
                <c:pt idx="13">
                  <c:v>-0.4466346050073795</c:v>
                </c:pt>
                <c:pt idx="14">
                  <c:v>-0.53361587236995411</c:v>
                </c:pt>
                <c:pt idx="15">
                  <c:v>-0.61018737176326387</c:v>
                </c:pt>
                <c:pt idx="16">
                  <c:v>-0.61614661495247591</c:v>
                </c:pt>
                <c:pt idx="17">
                  <c:v>-0.30275867705457249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CD-4240-A35B-C257823EE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89496"/>
        <c:axId val="604209280"/>
      </c:lineChart>
      <c:catAx>
        <c:axId val="496689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rgbClr val="4BACC6">
                <a:lumMod val="5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4209280"/>
        <c:crossesAt val="-2"/>
        <c:auto val="0"/>
        <c:lblAlgn val="ctr"/>
        <c:lblOffset val="100"/>
        <c:noMultiLvlLbl val="0"/>
      </c:catAx>
      <c:valAx>
        <c:axId val="604209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ysClr val="windowText" lastClr="000000"/>
                    </a:solidFill>
                  </a:rPr>
                  <a:t>Log (melt/MORB)</a:t>
                </a:r>
              </a:p>
            </c:rich>
          </c:tx>
          <c:layout>
            <c:manualLayout>
              <c:xMode val="edge"/>
              <c:yMode val="edge"/>
              <c:x val="1.2655503992404119E-2"/>
              <c:y val="0.33020818829177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 w="19050">
            <a:solidFill>
              <a:srgbClr val="4BACC6">
                <a:lumMod val="5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89496"/>
        <c:crosses val="autoZero"/>
        <c:crossBetween val="midCat"/>
      </c:valAx>
      <c:spPr>
        <a:solidFill>
          <a:sysClr val="window" lastClr="FFFFFF"/>
        </a:solidFill>
        <a:ln w="19050">
          <a:solidFill>
            <a:srgbClr val="4BACC6">
              <a:lumMod val="50000"/>
            </a:srgbClr>
          </a:solidFill>
        </a:ln>
        <a:effectLst/>
      </c:spPr>
    </c:plotArea>
    <c:plotVisOnly val="1"/>
    <c:dispBlanksAs val="gap"/>
    <c:showDLblsOverMax val="0"/>
  </c:chart>
  <c:spPr>
    <a:solidFill>
      <a:srgbClr val="4BACC6">
        <a:lumMod val="20000"/>
        <a:lumOff val="80000"/>
      </a:srgbClr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523582819488E-2"/>
          <c:y val="3.127368156451428E-2"/>
          <c:w val="0.92040362089268368"/>
          <c:h val="0.8834158504292408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4BACC6">
                  <a:lumMod val="50000"/>
                </a:srgbClr>
              </a:solidFill>
              <a:round/>
            </a:ln>
            <a:effectLst/>
          </c:spPr>
          <c:marker>
            <c:symbol val="diamond"/>
            <c:size val="11"/>
            <c:spPr>
              <a:solidFill>
                <a:srgbClr val="4BACC6"/>
              </a:solidFill>
              <a:ln w="9525">
                <a:solidFill>
                  <a:srgbClr val="4BACC6">
                    <a:lumMod val="50000"/>
                  </a:srgbClr>
                </a:solidFill>
              </a:ln>
              <a:effectLst/>
            </c:spPr>
          </c:marker>
          <c:cat>
            <c:strRef>
              <c:f>'4 GPa, 800 C, no rutile'!$B$7:$B$24</c:f>
              <c:strCache>
                <c:ptCount val="18"/>
                <c:pt idx="0">
                  <c:v>Rb</c:v>
                </c:pt>
                <c:pt idx="1">
                  <c:v>Ba</c:v>
                </c:pt>
                <c:pt idx="2">
                  <c:v>Th</c:v>
                </c:pt>
                <c:pt idx="3">
                  <c:v>U</c:v>
                </c:pt>
                <c:pt idx="4">
                  <c:v>Nb</c:v>
                </c:pt>
                <c:pt idx="5">
                  <c:v>La</c:v>
                </c:pt>
                <c:pt idx="6">
                  <c:v>Ce</c:v>
                </c:pt>
                <c:pt idx="7">
                  <c:v>Pb</c:v>
                </c:pt>
                <c:pt idx="8">
                  <c:v>Sr</c:v>
                </c:pt>
                <c:pt idx="9">
                  <c:v>Nd</c:v>
                </c:pt>
                <c:pt idx="10">
                  <c:v>Sm</c:v>
                </c:pt>
                <c:pt idx="11">
                  <c:v>Eu</c:v>
                </c:pt>
                <c:pt idx="12">
                  <c:v>Ti</c:v>
                </c:pt>
                <c:pt idx="13">
                  <c:v>Gd</c:v>
                </c:pt>
                <c:pt idx="14">
                  <c:v>Er</c:v>
                </c:pt>
                <c:pt idx="15">
                  <c:v>Yb</c:v>
                </c:pt>
                <c:pt idx="16">
                  <c:v>Lu</c:v>
                </c:pt>
                <c:pt idx="17">
                  <c:v>Y</c:v>
                </c:pt>
              </c:strCache>
            </c:strRef>
          </c:cat>
          <c:val>
            <c:numRef>
              <c:f>'4 GPa, 800 C, no rutile'!$O$7:$O$24</c:f>
              <c:numCache>
                <c:formatCode>0.000</c:formatCode>
                <c:ptCount val="18"/>
                <c:pt idx="0">
                  <c:v>1.3392585575679905</c:v>
                </c:pt>
                <c:pt idx="1">
                  <c:v>1.1024815471122522</c:v>
                </c:pt>
                <c:pt idx="2">
                  <c:v>-0.23650759259653034</c:v>
                </c:pt>
                <c:pt idx="3">
                  <c:v>0.82554878069149196</c:v>
                </c:pt>
                <c:pt idx="4">
                  <c:v>-0.27592564639275924</c:v>
                </c:pt>
                <c:pt idx="5">
                  <c:v>0.33304271983398587</c:v>
                </c:pt>
                <c:pt idx="6">
                  <c:v>0.31415824549302163</c:v>
                </c:pt>
                <c:pt idx="7">
                  <c:v>1.2508454848032806</c:v>
                </c:pt>
                <c:pt idx="8">
                  <c:v>0.99808450273155103</c:v>
                </c:pt>
                <c:pt idx="9">
                  <c:v>-8.7674758855407126E-2</c:v>
                </c:pt>
                <c:pt idx="10">
                  <c:v>-0.24320091569721217</c:v>
                </c:pt>
                <c:pt idx="11">
                  <c:v>-0.13708549058790903</c:v>
                </c:pt>
                <c:pt idx="12">
                  <c:v>-0.47686100834162864</c:v>
                </c:pt>
                <c:pt idx="13">
                  <c:v>-0.4466346050073795</c:v>
                </c:pt>
                <c:pt idx="14">
                  <c:v>-0.53361587236995411</c:v>
                </c:pt>
                <c:pt idx="15">
                  <c:v>-0.61018737176326387</c:v>
                </c:pt>
                <c:pt idx="16">
                  <c:v>-0.61614661495247591</c:v>
                </c:pt>
                <c:pt idx="17">
                  <c:v>-0.30275867705457249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D-4EC9-9FEB-CA6FE5D9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89496"/>
        <c:axId val="604209280"/>
      </c:lineChart>
      <c:catAx>
        <c:axId val="496689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rgbClr val="4BACC6">
                <a:lumMod val="5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4209280"/>
        <c:crossesAt val="-2"/>
        <c:auto val="0"/>
        <c:lblAlgn val="ctr"/>
        <c:lblOffset val="100"/>
        <c:noMultiLvlLbl val="0"/>
      </c:catAx>
      <c:valAx>
        <c:axId val="604209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ysClr val="windowText" lastClr="000000"/>
                    </a:solidFill>
                  </a:rPr>
                  <a:t>Log (melt/MORB)</a:t>
                </a:r>
              </a:p>
            </c:rich>
          </c:tx>
          <c:layout>
            <c:manualLayout>
              <c:xMode val="edge"/>
              <c:yMode val="edge"/>
              <c:x val="1.2655503992404119E-2"/>
              <c:y val="0.33020818829177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 w="19050">
            <a:solidFill>
              <a:srgbClr val="4BACC6">
                <a:lumMod val="5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89496"/>
        <c:crosses val="autoZero"/>
        <c:crossBetween val="midCat"/>
      </c:valAx>
      <c:spPr>
        <a:solidFill>
          <a:sysClr val="window" lastClr="FFFFFF"/>
        </a:solidFill>
        <a:ln w="19050">
          <a:solidFill>
            <a:srgbClr val="4BACC6">
              <a:lumMod val="50000"/>
            </a:srgbClr>
          </a:solidFill>
        </a:ln>
        <a:effectLst/>
      </c:spPr>
    </c:plotArea>
    <c:plotVisOnly val="1"/>
    <c:dispBlanksAs val="gap"/>
    <c:showDLblsOverMax val="0"/>
  </c:chart>
  <c:spPr>
    <a:solidFill>
      <a:srgbClr val="4BACC6">
        <a:lumMod val="20000"/>
        <a:lumOff val="80000"/>
      </a:srgbClr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523582819488E-2"/>
          <c:y val="3.127368156451428E-2"/>
          <c:w val="0.92040362089268368"/>
          <c:h val="0.8834158504292408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4BACC6">
                  <a:lumMod val="50000"/>
                </a:srgbClr>
              </a:solidFill>
              <a:round/>
            </a:ln>
            <a:effectLst/>
          </c:spPr>
          <c:marker>
            <c:symbol val="diamond"/>
            <c:size val="11"/>
            <c:spPr>
              <a:solidFill>
                <a:srgbClr val="4BACC6"/>
              </a:solidFill>
              <a:ln w="9525">
                <a:solidFill>
                  <a:srgbClr val="4BACC6">
                    <a:lumMod val="50000"/>
                  </a:srgbClr>
                </a:solidFill>
              </a:ln>
              <a:effectLst/>
            </c:spPr>
          </c:marker>
          <c:cat>
            <c:strRef>
              <c:f>'6 GPa, 800 C, no rutile'!$B$7:$B$24</c:f>
              <c:strCache>
                <c:ptCount val="18"/>
                <c:pt idx="0">
                  <c:v>Rb</c:v>
                </c:pt>
                <c:pt idx="1">
                  <c:v>Ba</c:v>
                </c:pt>
                <c:pt idx="2">
                  <c:v>Th</c:v>
                </c:pt>
                <c:pt idx="3">
                  <c:v>U</c:v>
                </c:pt>
                <c:pt idx="4">
                  <c:v>Nb</c:v>
                </c:pt>
                <c:pt idx="5">
                  <c:v>La</c:v>
                </c:pt>
                <c:pt idx="6">
                  <c:v>Ce</c:v>
                </c:pt>
                <c:pt idx="7">
                  <c:v>Pb</c:v>
                </c:pt>
                <c:pt idx="8">
                  <c:v>Sr</c:v>
                </c:pt>
                <c:pt idx="9">
                  <c:v>Nd</c:v>
                </c:pt>
                <c:pt idx="10">
                  <c:v>Sm</c:v>
                </c:pt>
                <c:pt idx="11">
                  <c:v>Eu</c:v>
                </c:pt>
                <c:pt idx="12">
                  <c:v>Ti</c:v>
                </c:pt>
                <c:pt idx="13">
                  <c:v>Gd</c:v>
                </c:pt>
                <c:pt idx="14">
                  <c:v>Er</c:v>
                </c:pt>
                <c:pt idx="15">
                  <c:v>Yb</c:v>
                </c:pt>
                <c:pt idx="16">
                  <c:v>Lu</c:v>
                </c:pt>
                <c:pt idx="17">
                  <c:v>Y</c:v>
                </c:pt>
              </c:strCache>
            </c:strRef>
          </c:cat>
          <c:val>
            <c:numRef>
              <c:f>'6 GPa, 800 C, no rutile'!$O$7:$O$24</c:f>
              <c:numCache>
                <c:formatCode>0.000</c:formatCode>
                <c:ptCount val="18"/>
                <c:pt idx="0">
                  <c:v>1.0893355836922942</c:v>
                </c:pt>
                <c:pt idx="1">
                  <c:v>0.25609501706084237</c:v>
                </c:pt>
                <c:pt idx="2">
                  <c:v>-0.20624236519809055</c:v>
                </c:pt>
                <c:pt idx="3">
                  <c:v>0.14362357931423622</c:v>
                </c:pt>
                <c:pt idx="4">
                  <c:v>-0.41277576815372818</c:v>
                </c:pt>
                <c:pt idx="5">
                  <c:v>0.40132047870210907</c:v>
                </c:pt>
                <c:pt idx="6">
                  <c:v>0.36260518867464792</c:v>
                </c:pt>
                <c:pt idx="7">
                  <c:v>0.61590763047304542</c:v>
                </c:pt>
                <c:pt idx="8">
                  <c:v>0.79483104431566698</c:v>
                </c:pt>
                <c:pt idx="9">
                  <c:v>-7.4457387901972996E-2</c:v>
                </c:pt>
                <c:pt idx="10">
                  <c:v>-0.33913646895404087</c:v>
                </c:pt>
                <c:pt idx="11">
                  <c:v>-0.29962228462895274</c:v>
                </c:pt>
                <c:pt idx="12">
                  <c:v>-0.48648080924162823</c:v>
                </c:pt>
                <c:pt idx="13">
                  <c:v>-0.44987562554104343</c:v>
                </c:pt>
                <c:pt idx="14">
                  <c:v>-0.53062106603668913</c:v>
                </c:pt>
                <c:pt idx="15">
                  <c:v>-0.61133926783358494</c:v>
                </c:pt>
                <c:pt idx="16">
                  <c:v>-0.61676368141925764</c:v>
                </c:pt>
                <c:pt idx="17">
                  <c:v>-0.46159826613908966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00-4376-BC17-653130927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89496"/>
        <c:axId val="604209280"/>
      </c:lineChart>
      <c:catAx>
        <c:axId val="496689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rgbClr val="4BACC6">
                <a:lumMod val="5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4209280"/>
        <c:crossesAt val="-2"/>
        <c:auto val="0"/>
        <c:lblAlgn val="ctr"/>
        <c:lblOffset val="100"/>
        <c:noMultiLvlLbl val="0"/>
      </c:catAx>
      <c:valAx>
        <c:axId val="604209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ysClr val="windowText" lastClr="000000"/>
                    </a:solidFill>
                  </a:rPr>
                  <a:t>Log (melt/MORB)</a:t>
                </a:r>
              </a:p>
            </c:rich>
          </c:tx>
          <c:layout>
            <c:manualLayout>
              <c:xMode val="edge"/>
              <c:yMode val="edge"/>
              <c:x val="1.2655503992404119E-2"/>
              <c:y val="0.33020818829177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 w="19050">
            <a:solidFill>
              <a:srgbClr val="4BACC6">
                <a:lumMod val="5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89496"/>
        <c:crosses val="autoZero"/>
        <c:crossBetween val="midCat"/>
      </c:valAx>
      <c:spPr>
        <a:solidFill>
          <a:sysClr val="window" lastClr="FFFFFF"/>
        </a:solidFill>
        <a:ln w="19050">
          <a:solidFill>
            <a:srgbClr val="4BACC6">
              <a:lumMod val="50000"/>
            </a:srgbClr>
          </a:solidFill>
        </a:ln>
        <a:effectLst/>
      </c:spPr>
    </c:plotArea>
    <c:plotVisOnly val="1"/>
    <c:dispBlanksAs val="gap"/>
    <c:showDLblsOverMax val="0"/>
  </c:chart>
  <c:spPr>
    <a:solidFill>
      <a:srgbClr val="4BACC6">
        <a:lumMod val="20000"/>
        <a:lumOff val="80000"/>
      </a:srgbClr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</xdr:colOff>
      <xdr:row>25</xdr:row>
      <xdr:rowOff>17208</xdr:rowOff>
    </xdr:from>
    <xdr:to>
      <xdr:col>15</xdr:col>
      <xdr:colOff>9526</xdr:colOff>
      <xdr:row>56</xdr:row>
      <xdr:rowOff>67236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</xdr:colOff>
      <xdr:row>25</xdr:row>
      <xdr:rowOff>17208</xdr:rowOff>
    </xdr:from>
    <xdr:to>
      <xdr:col>15</xdr:col>
      <xdr:colOff>9526</xdr:colOff>
      <xdr:row>56</xdr:row>
      <xdr:rowOff>67236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</xdr:colOff>
      <xdr:row>25</xdr:row>
      <xdr:rowOff>17208</xdr:rowOff>
    </xdr:from>
    <xdr:to>
      <xdr:col>15</xdr:col>
      <xdr:colOff>9526</xdr:colOff>
      <xdr:row>56</xdr:row>
      <xdr:rowOff>67236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Normal="100" zoomScalePageLayoutView="200" workbookViewId="0">
      <selection activeCell="E7" sqref="E7"/>
    </sheetView>
  </sheetViews>
  <sheetFormatPr defaultColWidth="11" defaultRowHeight="15.75" x14ac:dyDescent="0.25"/>
  <cols>
    <col min="1" max="1" width="5.625" style="2" customWidth="1"/>
    <col min="2" max="2" width="8.125" style="2" bestFit="1" customWidth="1"/>
    <col min="3" max="3" width="15.5" style="2" customWidth="1"/>
    <col min="4" max="4" width="20.375" style="2" customWidth="1"/>
    <col min="5" max="5" width="13.125" style="2" customWidth="1"/>
    <col min="6" max="6" width="12.625" style="2" customWidth="1"/>
    <col min="7" max="8" width="15.625" style="2" customWidth="1"/>
    <col min="9" max="10" width="15.125" style="2" customWidth="1"/>
    <col min="11" max="11" width="12.875" style="2" customWidth="1"/>
    <col min="12" max="12" width="16.625" style="2" customWidth="1"/>
    <col min="13" max="13" width="16" style="2" customWidth="1"/>
    <col min="14" max="14" width="23.5" style="2" customWidth="1"/>
    <col min="15" max="15" width="23.125" style="2" customWidth="1"/>
    <col min="16" max="16384" width="11" style="2"/>
  </cols>
  <sheetData>
    <row r="2" spans="2:15" ht="32.2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2:15" ht="9" customHeight="1" x14ac:dyDescent="0.25"/>
    <row r="4" spans="2:15" ht="18.75" x14ac:dyDescent="0.25">
      <c r="B4" s="18" t="s">
        <v>34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6" spans="2:15" s="5" customFormat="1" ht="31.5" customHeight="1" x14ac:dyDescent="0.25">
      <c r="B6" s="3" t="s">
        <v>1</v>
      </c>
      <c r="C6" s="3" t="s">
        <v>23</v>
      </c>
      <c r="D6" s="3" t="s">
        <v>24</v>
      </c>
      <c r="E6" s="4" t="s">
        <v>25</v>
      </c>
      <c r="F6" s="3" t="s">
        <v>32</v>
      </c>
      <c r="G6" s="4" t="s">
        <v>26</v>
      </c>
      <c r="H6" s="3" t="s">
        <v>27</v>
      </c>
      <c r="I6" s="4" t="s">
        <v>28</v>
      </c>
      <c r="J6" s="3" t="s">
        <v>29</v>
      </c>
      <c r="K6" s="3" t="s">
        <v>33</v>
      </c>
      <c r="L6" s="4" t="s">
        <v>30</v>
      </c>
      <c r="M6" s="3" t="s">
        <v>31</v>
      </c>
      <c r="N6" s="3" t="s">
        <v>21</v>
      </c>
      <c r="O6" s="3" t="s">
        <v>22</v>
      </c>
    </row>
    <row r="7" spans="2:15" s="9" customFormat="1" x14ac:dyDescent="0.25">
      <c r="B7" s="6" t="s">
        <v>2</v>
      </c>
      <c r="C7" s="6">
        <v>2.88</v>
      </c>
      <c r="D7" s="6">
        <v>8.7999999999999995E-2</v>
      </c>
      <c r="E7" s="1">
        <v>7</v>
      </c>
      <c r="F7" s="7">
        <f xml:space="preserve"> 3.003*EXP(0.669*$E$7)</f>
        <v>324.60588632403085</v>
      </c>
      <c r="G7" s="1">
        <v>2</v>
      </c>
      <c r="H7" s="7">
        <f>F7*C7/(1+0.01*G7*(F7-1))</f>
        <v>125.11378792923973</v>
      </c>
      <c r="I7" s="1">
        <v>10</v>
      </c>
      <c r="J7" s="8">
        <f>0.01*I7*H7+0.01*(100-I7)*D7</f>
        <v>12.590578792923974</v>
      </c>
      <c r="K7" s="6">
        <v>2.1000000000000001E-4</v>
      </c>
      <c r="L7" s="1">
        <v>20</v>
      </c>
      <c r="M7" s="7">
        <f>(J7/K7)/(1+0.01*L7*((1/K7)-1))</f>
        <v>62.90005791597045</v>
      </c>
      <c r="N7" s="7">
        <f>M7/C7</f>
        <v>21.84029788748974</v>
      </c>
      <c r="O7" s="7">
        <f>LOG10(N7)</f>
        <v>1.3392585575679905</v>
      </c>
    </row>
    <row r="8" spans="2:15" s="9" customFormat="1" x14ac:dyDescent="0.25">
      <c r="B8" s="6" t="s">
        <v>3</v>
      </c>
      <c r="C8" s="6">
        <v>29.2</v>
      </c>
      <c r="D8" s="6">
        <v>1.2</v>
      </c>
      <c r="E8" s="1">
        <v>7</v>
      </c>
      <c r="F8" s="7">
        <f>4.339*EXP(0.347*E8)</f>
        <v>49.23692779066355</v>
      </c>
      <c r="G8" s="1">
        <v>2</v>
      </c>
      <c r="H8" s="7">
        <f t="shared" ref="H8:H24" si="0">F8*C8/(1+0.01*G8*(F8-1))</f>
        <v>731.76061376382768</v>
      </c>
      <c r="I8" s="1">
        <v>10</v>
      </c>
      <c r="J8" s="8">
        <f t="shared" ref="J8:J24" si="1">0.01*I8*H8+0.01*(100-I8)*D8</f>
        <v>74.256061376382775</v>
      </c>
      <c r="K8" s="6">
        <v>1.06E-3</v>
      </c>
      <c r="L8" s="1">
        <v>20</v>
      </c>
      <c r="M8" s="7">
        <f t="shared" ref="M8:M24" si="2">(J8/K8)/(1+0.01*L8*((1/K8)-1))</f>
        <v>369.71272492821822</v>
      </c>
      <c r="N8" s="7">
        <f t="shared" ref="N8:N24" si="3">M8/C8</f>
        <v>12.661394689322542</v>
      </c>
      <c r="O8" s="7">
        <f t="shared" ref="O8:O24" si="4">LOG10(N8)</f>
        <v>1.1024815471122522</v>
      </c>
    </row>
    <row r="9" spans="2:15" s="9" customFormat="1" x14ac:dyDescent="0.25">
      <c r="B9" s="6" t="s">
        <v>4</v>
      </c>
      <c r="C9" s="6">
        <v>0.40400000000000003</v>
      </c>
      <c r="D9" s="6">
        <v>1.37E-2</v>
      </c>
      <c r="E9" s="1">
        <v>7</v>
      </c>
      <c r="F9" s="7">
        <f>0.003*EXP(0.809*E9)</f>
        <v>0.86403414583725791</v>
      </c>
      <c r="G9" s="1">
        <v>2</v>
      </c>
      <c r="H9" s="7">
        <f>F9*C9/(1+0.01*G9*(F9-1))</f>
        <v>0.35002161467454518</v>
      </c>
      <c r="I9" s="1">
        <v>10</v>
      </c>
      <c r="J9" s="8">
        <f t="shared" si="1"/>
        <v>4.7332161467454517E-2</v>
      </c>
      <c r="K9" s="6">
        <v>2.4599999999999999E-3</v>
      </c>
      <c r="L9" s="1">
        <v>20</v>
      </c>
      <c r="M9" s="7">
        <f t="shared" si="2"/>
        <v>0.23435475653298798</v>
      </c>
      <c r="N9" s="7">
        <f t="shared" si="3"/>
        <v>0.58008603102224743</v>
      </c>
      <c r="O9" s="7">
        <f t="shared" si="4"/>
        <v>-0.23650759259653034</v>
      </c>
    </row>
    <row r="10" spans="2:15" s="9" customFormat="1" x14ac:dyDescent="0.25">
      <c r="B10" s="6" t="s">
        <v>5</v>
      </c>
      <c r="C10" s="6">
        <v>0.11899999999999999</v>
      </c>
      <c r="D10" s="6">
        <v>4.7000000000000002E-3</v>
      </c>
      <c r="E10" s="1">
        <v>7</v>
      </c>
      <c r="F10" s="7">
        <f xml:space="preserve"> 0.109*EXP(0.727*E10)</f>
        <v>17.682803316164616</v>
      </c>
      <c r="G10" s="1">
        <v>2</v>
      </c>
      <c r="H10" s="7">
        <f t="shared" si="0"/>
        <v>1.5778082878779454</v>
      </c>
      <c r="I10" s="1">
        <v>10</v>
      </c>
      <c r="J10" s="8">
        <f t="shared" si="1"/>
        <v>0.16201082878779455</v>
      </c>
      <c r="K10" s="6">
        <v>4.3070000000000001E-3</v>
      </c>
      <c r="L10" s="1">
        <v>20</v>
      </c>
      <c r="M10" s="7">
        <f t="shared" si="2"/>
        <v>0.79633488651410755</v>
      </c>
      <c r="N10" s="7">
        <f t="shared" si="3"/>
        <v>6.6918898026395599</v>
      </c>
      <c r="O10" s="7">
        <f t="shared" si="4"/>
        <v>0.82554878069149196</v>
      </c>
    </row>
    <row r="11" spans="2:15" s="9" customFormat="1" x14ac:dyDescent="0.25">
      <c r="B11" s="6" t="s">
        <v>6</v>
      </c>
      <c r="C11" s="6">
        <v>5.24</v>
      </c>
      <c r="D11" s="6">
        <v>0.21</v>
      </c>
      <c r="E11" s="1">
        <v>7</v>
      </c>
      <c r="F11" s="7">
        <f>0.018*EXP(0.233*E11)</f>
        <v>9.1961660628782638E-2</v>
      </c>
      <c r="G11" s="1">
        <v>2</v>
      </c>
      <c r="H11" s="7">
        <f t="shared" si="0"/>
        <v>0.49079226557092631</v>
      </c>
      <c r="I11" s="1">
        <v>10</v>
      </c>
      <c r="J11" s="8">
        <f t="shared" si="1"/>
        <v>0.23807922655709263</v>
      </c>
      <c r="K11" s="6">
        <v>1.0789999999999999E-2</v>
      </c>
      <c r="L11" s="1">
        <v>20</v>
      </c>
      <c r="M11" s="7">
        <f t="shared" si="2"/>
        <v>1.1411443429440002</v>
      </c>
      <c r="N11" s="7">
        <f t="shared" si="3"/>
        <v>0.21777563796641225</v>
      </c>
      <c r="O11" s="7">
        <f t="shared" si="4"/>
        <v>-0.66199070533565763</v>
      </c>
    </row>
    <row r="12" spans="2:15" s="9" customFormat="1" x14ac:dyDescent="0.25">
      <c r="B12" s="6" t="s">
        <v>7</v>
      </c>
      <c r="C12" s="6">
        <v>5.21</v>
      </c>
      <c r="D12" s="6">
        <v>0.23400000000000001</v>
      </c>
      <c r="E12" s="1">
        <v>7</v>
      </c>
      <c r="F12" s="7">
        <f>0.005*EXP(0.961*E12)</f>
        <v>4.1731979377731889</v>
      </c>
      <c r="G12" s="1">
        <v>2</v>
      </c>
      <c r="H12" s="7">
        <f t="shared" si="0"/>
        <v>20.444850130363299</v>
      </c>
      <c r="I12" s="1">
        <v>10</v>
      </c>
      <c r="J12" s="8">
        <f t="shared" si="1"/>
        <v>2.25508501303633</v>
      </c>
      <c r="K12" s="6">
        <v>1.2999999999999999E-3</v>
      </c>
      <c r="L12" s="1">
        <v>20</v>
      </c>
      <c r="M12" s="7">
        <f t="shared" si="2"/>
        <v>11.217096165123008</v>
      </c>
      <c r="N12" s="7">
        <f t="shared" si="3"/>
        <v>2.1529935057817675</v>
      </c>
      <c r="O12" s="7">
        <f t="shared" si="4"/>
        <v>0.33304271983398587</v>
      </c>
    </row>
    <row r="13" spans="2:15" s="9" customFormat="1" x14ac:dyDescent="0.25">
      <c r="B13" s="6" t="s">
        <v>8</v>
      </c>
      <c r="C13" s="6">
        <v>14.86</v>
      </c>
      <c r="D13" s="6">
        <v>0.77200000000000002</v>
      </c>
      <c r="E13" s="1">
        <v>7</v>
      </c>
      <c r="F13" s="7">
        <f>0.01*EXP(0.855*E13)</f>
        <v>3.9742252124935153</v>
      </c>
      <c r="G13" s="1">
        <v>2</v>
      </c>
      <c r="H13" s="7">
        <f t="shared" si="0"/>
        <v>55.741246257741921</v>
      </c>
      <c r="I13" s="1">
        <v>10</v>
      </c>
      <c r="J13" s="8">
        <f t="shared" si="1"/>
        <v>6.2689246257741926</v>
      </c>
      <c r="K13" s="6">
        <v>5.8149999999999999E-3</v>
      </c>
      <c r="L13" s="1">
        <v>20</v>
      </c>
      <c r="M13" s="7">
        <f t="shared" si="2"/>
        <v>30.632120017269276</v>
      </c>
      <c r="N13" s="7">
        <f t="shared" si="3"/>
        <v>2.0613808894528449</v>
      </c>
      <c r="O13" s="7">
        <f t="shared" si="4"/>
        <v>0.31415824549302163</v>
      </c>
    </row>
    <row r="14" spans="2:15" s="9" customFormat="1" x14ac:dyDescent="0.25">
      <c r="B14" s="6" t="s">
        <v>9</v>
      </c>
      <c r="C14" s="6">
        <v>0.56999999999999995</v>
      </c>
      <c r="D14" s="6">
        <v>2.3199999999999998E-2</v>
      </c>
      <c r="E14" s="1">
        <v>7</v>
      </c>
      <c r="F14" s="7">
        <f>2.428*EXP(0.565*E14)</f>
        <v>126.73114489708006</v>
      </c>
      <c r="G14" s="1">
        <v>2</v>
      </c>
      <c r="H14" s="7">
        <f t="shared" si="0"/>
        <v>20.553201492439577</v>
      </c>
      <c r="I14" s="1">
        <v>10</v>
      </c>
      <c r="J14" s="8">
        <f t="shared" si="1"/>
        <v>2.0762001492439577</v>
      </c>
      <c r="K14" s="6">
        <v>5.5399999999999998E-3</v>
      </c>
      <c r="L14" s="1">
        <v>20</v>
      </c>
      <c r="M14" s="7">
        <f t="shared" si="2"/>
        <v>10.15594500491096</v>
      </c>
      <c r="N14" s="7">
        <f t="shared" si="3"/>
        <v>17.817447377036771</v>
      </c>
      <c r="O14" s="7">
        <f t="shared" si="4"/>
        <v>1.2508454848032806</v>
      </c>
    </row>
    <row r="15" spans="2:15" s="9" customFormat="1" x14ac:dyDescent="0.25">
      <c r="B15" s="6" t="s">
        <v>10</v>
      </c>
      <c r="C15" s="6">
        <v>129</v>
      </c>
      <c r="D15" s="6">
        <v>9.8000000000000007</v>
      </c>
      <c r="E15" s="1">
        <v>7</v>
      </c>
      <c r="F15" s="7">
        <f xml:space="preserve"> 2.408*EXP(0.368*E15)</f>
        <v>31.651847744738813</v>
      </c>
      <c r="G15" s="1">
        <v>2</v>
      </c>
      <c r="H15" s="7">
        <f t="shared" si="0"/>
        <v>2531.3049069837712</v>
      </c>
      <c r="I15" s="1">
        <v>10</v>
      </c>
      <c r="J15" s="8">
        <f t="shared" si="1"/>
        <v>261.95049069837711</v>
      </c>
      <c r="K15" s="6">
        <v>4.9500000000000004E-3</v>
      </c>
      <c r="L15" s="1">
        <v>20</v>
      </c>
      <c r="M15" s="7">
        <f t="shared" si="2"/>
        <v>1284.3228608471129</v>
      </c>
      <c r="N15" s="7">
        <f t="shared" si="3"/>
        <v>9.9559911693574641</v>
      </c>
      <c r="O15" s="7">
        <f t="shared" si="4"/>
        <v>0.99808450273155103</v>
      </c>
    </row>
    <row r="16" spans="2:15" s="9" customFormat="1" x14ac:dyDescent="0.25">
      <c r="B16" s="6" t="s">
        <v>11</v>
      </c>
      <c r="C16" s="6">
        <v>12.03</v>
      </c>
      <c r="D16" s="6">
        <v>0.71299999999999997</v>
      </c>
      <c r="E16" s="1">
        <v>7</v>
      </c>
      <c r="F16" s="7">
        <f>0.008*EXP(0.714*E16)</f>
        <v>1.1849330353032339</v>
      </c>
      <c r="G16" s="1">
        <v>2</v>
      </c>
      <c r="H16" s="7">
        <f t="shared" si="0"/>
        <v>14.202215239253404</v>
      </c>
      <c r="I16" s="1">
        <v>10</v>
      </c>
      <c r="J16" s="8">
        <f t="shared" si="1"/>
        <v>2.0619215239253403</v>
      </c>
      <c r="K16" s="6">
        <v>1.2175E-2</v>
      </c>
      <c r="L16" s="1">
        <v>20</v>
      </c>
      <c r="M16" s="7">
        <f t="shared" si="2"/>
        <v>9.830845446387622</v>
      </c>
      <c r="N16" s="7">
        <f t="shared" si="3"/>
        <v>0.81719413519431605</v>
      </c>
      <c r="O16" s="7">
        <f t="shared" si="4"/>
        <v>-8.7674758855407126E-2</v>
      </c>
    </row>
    <row r="17" spans="2:15" s="9" customFormat="1" x14ac:dyDescent="0.25">
      <c r="B17" s="6" t="s">
        <v>12</v>
      </c>
      <c r="C17" s="6">
        <v>3.82</v>
      </c>
      <c r="D17" s="6">
        <v>0.27</v>
      </c>
      <c r="E17" s="1">
        <v>7</v>
      </c>
      <c r="F17" s="7">
        <f>0.01*EXP(0.588*E17)</f>
        <v>0.61313497113333082</v>
      </c>
      <c r="G17" s="1">
        <v>2</v>
      </c>
      <c r="H17" s="7">
        <f t="shared" si="0"/>
        <v>2.3604390158897273</v>
      </c>
      <c r="I17" s="1">
        <v>10</v>
      </c>
      <c r="J17" s="8">
        <f t="shared" si="1"/>
        <v>0.47904390158897275</v>
      </c>
      <c r="K17" s="6">
        <v>2.4424499999999998E-2</v>
      </c>
      <c r="L17" s="1">
        <v>20</v>
      </c>
      <c r="M17" s="7">
        <f t="shared" si="2"/>
        <v>2.1820386918304155</v>
      </c>
      <c r="N17" s="7">
        <f t="shared" si="3"/>
        <v>0.57121431723309313</v>
      </c>
      <c r="O17" s="7">
        <f t="shared" si="4"/>
        <v>-0.24320091569721217</v>
      </c>
    </row>
    <row r="18" spans="2:15" s="9" customFormat="1" x14ac:dyDescent="0.25">
      <c r="B18" s="6" t="s">
        <v>13</v>
      </c>
      <c r="C18" s="6">
        <v>1.36</v>
      </c>
      <c r="D18" s="6">
        <v>0.107</v>
      </c>
      <c r="E18" s="1">
        <v>7</v>
      </c>
      <c r="F18" s="7">
        <f>0.017*EXP(0.572*E18)</f>
        <v>0.93188866002448301</v>
      </c>
      <c r="G18" s="1">
        <v>2</v>
      </c>
      <c r="H18" s="7">
        <f t="shared" si="0"/>
        <v>1.2690973760901954</v>
      </c>
      <c r="I18" s="1">
        <v>10</v>
      </c>
      <c r="J18" s="8">
        <f t="shared" si="1"/>
        <v>0.22320973760901955</v>
      </c>
      <c r="K18" s="6">
        <v>3.1300000000000001E-2</v>
      </c>
      <c r="L18" s="1">
        <v>20</v>
      </c>
      <c r="M18" s="7">
        <f t="shared" si="2"/>
        <v>0.9918669463607338</v>
      </c>
      <c r="N18" s="7">
        <f t="shared" si="3"/>
        <v>0.72931393114759835</v>
      </c>
      <c r="O18" s="7">
        <f t="shared" si="4"/>
        <v>-0.13708549058790903</v>
      </c>
    </row>
    <row r="19" spans="2:15" s="9" customFormat="1" x14ac:dyDescent="0.25">
      <c r="B19" s="6" t="s">
        <v>14</v>
      </c>
      <c r="C19" s="6">
        <v>10070</v>
      </c>
      <c r="D19" s="6">
        <v>798</v>
      </c>
      <c r="E19" s="1">
        <v>7</v>
      </c>
      <c r="F19" s="7">
        <f>0.007*EXP(0.223*E19)</f>
        <v>3.3345077126108645E-2</v>
      </c>
      <c r="G19" s="1">
        <v>2</v>
      </c>
      <c r="H19" s="7">
        <f t="shared" si="0"/>
        <v>342.4046698545115</v>
      </c>
      <c r="I19" s="1">
        <v>10</v>
      </c>
      <c r="J19" s="8">
        <f t="shared" si="1"/>
        <v>752.44046698545117</v>
      </c>
      <c r="K19" s="6">
        <v>0.06</v>
      </c>
      <c r="L19" s="1">
        <v>20</v>
      </c>
      <c r="M19" s="7">
        <f t="shared" si="2"/>
        <v>3034.0341410703672</v>
      </c>
      <c r="N19" s="7">
        <f t="shared" si="3"/>
        <v>0.30129435363161544</v>
      </c>
      <c r="O19" s="7">
        <f t="shared" si="4"/>
        <v>-0.52100900709069697</v>
      </c>
    </row>
    <row r="20" spans="2:15" s="9" customFormat="1" x14ac:dyDescent="0.25">
      <c r="B20" s="6" t="s">
        <v>19</v>
      </c>
      <c r="C20" s="6">
        <v>4.99</v>
      </c>
      <c r="D20" s="6">
        <v>0.39500000000000002</v>
      </c>
      <c r="E20" s="1">
        <v>7</v>
      </c>
      <c r="F20" s="7">
        <f>0.005*EXP(0.462*E20)</f>
        <v>0.12690489053011025</v>
      </c>
      <c r="G20" s="1">
        <v>2</v>
      </c>
      <c r="H20" s="7">
        <f t="shared" si="0"/>
        <v>0.644509770314595</v>
      </c>
      <c r="I20" s="1">
        <v>10</v>
      </c>
      <c r="J20" s="8">
        <f t="shared" si="1"/>
        <v>0.41995097703145956</v>
      </c>
      <c r="K20" s="6">
        <v>4.4200000000000003E-2</v>
      </c>
      <c r="L20" s="1">
        <v>20</v>
      </c>
      <c r="M20" s="7">
        <f t="shared" si="2"/>
        <v>1.7842920506095323</v>
      </c>
      <c r="N20" s="7">
        <f t="shared" si="3"/>
        <v>0.35757355723637924</v>
      </c>
      <c r="O20" s="7">
        <f t="shared" si="4"/>
        <v>-0.4466346050073795</v>
      </c>
    </row>
    <row r="21" spans="2:15" s="9" customFormat="1" x14ac:dyDescent="0.25">
      <c r="B21" s="6" t="s">
        <v>15</v>
      </c>
      <c r="C21" s="6">
        <v>3.79</v>
      </c>
      <c r="D21" s="6">
        <v>0.371</v>
      </c>
      <c r="E21" s="1">
        <v>7</v>
      </c>
      <c r="F21" s="7">
        <f>0.003*EXP(0.171*E21)</f>
        <v>9.9305144926954882E-3</v>
      </c>
      <c r="G21" s="1">
        <v>2</v>
      </c>
      <c r="H21" s="7">
        <f t="shared" si="0"/>
        <v>3.839696315850355E-2</v>
      </c>
      <c r="I21" s="1">
        <v>10</v>
      </c>
      <c r="J21" s="8">
        <f t="shared" si="1"/>
        <v>0.33773969631585038</v>
      </c>
      <c r="K21" s="6">
        <v>0.13059999999999999</v>
      </c>
      <c r="L21" s="1">
        <v>20</v>
      </c>
      <c r="M21" s="7">
        <f t="shared" si="2"/>
        <v>1.1092344203752311</v>
      </c>
      <c r="N21" s="7">
        <f t="shared" si="3"/>
        <v>0.29267398954491586</v>
      </c>
      <c r="O21" s="7">
        <f t="shared" si="4"/>
        <v>-0.53361587236995411</v>
      </c>
    </row>
    <row r="22" spans="2:15" s="9" customFormat="1" x14ac:dyDescent="0.25">
      <c r="B22" s="6" t="s">
        <v>16</v>
      </c>
      <c r="C22" s="6">
        <v>3.63</v>
      </c>
      <c r="D22" s="6">
        <v>0.40100000000000002</v>
      </c>
      <c r="E22" s="1">
        <v>7</v>
      </c>
      <c r="F22" s="7">
        <f>0.003*EXP(0.204*E22)</f>
        <v>1.2511050436106909E-2</v>
      </c>
      <c r="G22" s="1">
        <v>2</v>
      </c>
      <c r="H22" s="7">
        <f t="shared" si="0"/>
        <v>4.6330122768382394E-2</v>
      </c>
      <c r="I22" s="1">
        <v>10</v>
      </c>
      <c r="J22" s="8">
        <f t="shared" si="1"/>
        <v>0.36553301227683832</v>
      </c>
      <c r="K22" s="6">
        <v>0.26300000000000001</v>
      </c>
      <c r="L22" s="1">
        <v>20</v>
      </c>
      <c r="M22" s="7">
        <f t="shared" si="2"/>
        <v>0.89067498118137978</v>
      </c>
      <c r="N22" s="7">
        <f t="shared" si="3"/>
        <v>0.24536500858991178</v>
      </c>
      <c r="O22" s="7">
        <f t="shared" si="4"/>
        <v>-0.61018737176326387</v>
      </c>
    </row>
    <row r="23" spans="2:15" s="9" customFormat="1" x14ac:dyDescent="0.25">
      <c r="B23" s="6" t="s">
        <v>17</v>
      </c>
      <c r="C23" s="6">
        <v>0.53</v>
      </c>
      <c r="D23" s="6">
        <v>6.3E-2</v>
      </c>
      <c r="E23" s="1">
        <v>7</v>
      </c>
      <c r="F23" s="7">
        <f xml:space="preserve"> 0.002*EXP(0.235*E23)</f>
        <v>1.0362019813897012E-2</v>
      </c>
      <c r="G23" s="1">
        <v>2</v>
      </c>
      <c r="H23" s="7">
        <f t="shared" si="0"/>
        <v>5.6027646757079294E-3</v>
      </c>
      <c r="I23" s="1">
        <v>10</v>
      </c>
      <c r="J23" s="8">
        <f t="shared" si="1"/>
        <v>5.7260276467570793E-2</v>
      </c>
      <c r="K23" s="6">
        <v>0.308</v>
      </c>
      <c r="L23" s="1">
        <v>20</v>
      </c>
      <c r="M23" s="7">
        <f t="shared" si="2"/>
        <v>0.12827122864599191</v>
      </c>
      <c r="N23" s="7">
        <f t="shared" si="3"/>
        <v>0.24202118612451304</v>
      </c>
      <c r="O23" s="7">
        <f t="shared" si="4"/>
        <v>-0.61614661495247591</v>
      </c>
    </row>
    <row r="24" spans="2:15" s="9" customFormat="1" x14ac:dyDescent="0.25">
      <c r="B24" s="6" t="s">
        <v>18</v>
      </c>
      <c r="C24" s="6">
        <v>36.799999999999997</v>
      </c>
      <c r="D24" s="6">
        <v>4.07</v>
      </c>
      <c r="E24" s="1">
        <v>7</v>
      </c>
      <c r="F24" s="7">
        <f>0.035*EXP(0.387*E24)</f>
        <v>0.52549888130229117</v>
      </c>
      <c r="G24" s="1">
        <v>2</v>
      </c>
      <c r="H24" s="7">
        <f t="shared" si="0"/>
        <v>19.523638599050294</v>
      </c>
      <c r="I24" s="1">
        <v>10</v>
      </c>
      <c r="J24" s="8">
        <f t="shared" si="1"/>
        <v>5.6153638599050293</v>
      </c>
      <c r="K24" s="6">
        <v>0.13300000000000001</v>
      </c>
      <c r="L24" s="1">
        <v>20</v>
      </c>
      <c r="M24" s="7">
        <f t="shared" si="2"/>
        <v>18.326905547992915</v>
      </c>
      <c r="N24" s="7">
        <f t="shared" si="3"/>
        <v>0.49801373771719881</v>
      </c>
      <c r="O24" s="7">
        <f t="shared" si="4"/>
        <v>-0.30275867705457249</v>
      </c>
    </row>
    <row r="25" spans="2:15" s="10" customFormat="1" x14ac:dyDescent="0.25"/>
    <row r="26" spans="2:15" x14ac:dyDescent="0.25">
      <c r="E26" s="2" t="s">
        <v>20</v>
      </c>
    </row>
  </sheetData>
  <sheetProtection algorithmName="SHA-512" hashValue="g7lNyQV6lJRjzmKDqPf0qlP4+2Xh28LJUznfeFyda7sVst2AV0/YHdTCqI6cLEjZhd7suuxsnyER5NmnluKM2g==" saltValue="5MdR9eUj4K5HQ6U9mUxzdQ==" spinCount="100000" sheet="1" objects="1" scenarios="1"/>
  <mergeCells count="2">
    <mergeCell ref="B2:O2"/>
    <mergeCell ref="B4:O4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opLeftCell="A22" zoomScaleNormal="100" zoomScalePageLayoutView="200" workbookViewId="0">
      <selection activeCell="E7" sqref="E7"/>
    </sheetView>
  </sheetViews>
  <sheetFormatPr defaultColWidth="11" defaultRowHeight="15.75" x14ac:dyDescent="0.25"/>
  <cols>
    <col min="1" max="1" width="5.625" style="2" customWidth="1"/>
    <col min="2" max="2" width="8.125" style="2" bestFit="1" customWidth="1"/>
    <col min="3" max="3" width="15.5" style="2" customWidth="1"/>
    <col min="4" max="4" width="20.375" style="2" customWidth="1"/>
    <col min="5" max="5" width="13.125" style="2" customWidth="1"/>
    <col min="6" max="6" width="12.625" style="2" customWidth="1"/>
    <col min="7" max="8" width="15.625" style="2" customWidth="1"/>
    <col min="9" max="10" width="15.125" style="2" customWidth="1"/>
    <col min="11" max="11" width="12.875" style="2" customWidth="1"/>
    <col min="12" max="12" width="16.625" style="2" customWidth="1"/>
    <col min="13" max="13" width="16" style="2" customWidth="1"/>
    <col min="14" max="14" width="23.5" style="2" customWidth="1"/>
    <col min="15" max="15" width="23.125" style="2" customWidth="1"/>
    <col min="16" max="16384" width="11" style="2"/>
  </cols>
  <sheetData>
    <row r="2" spans="2:15" ht="32.2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2:15" ht="9" customHeight="1" x14ac:dyDescent="0.25"/>
    <row r="4" spans="2:15" ht="18.75" x14ac:dyDescent="0.25">
      <c r="B4" s="18" t="s">
        <v>35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6" spans="2:15" s="5" customFormat="1" ht="31.5" customHeight="1" x14ac:dyDescent="0.25">
      <c r="B6" s="3" t="s">
        <v>1</v>
      </c>
      <c r="C6" s="3" t="s">
        <v>23</v>
      </c>
      <c r="D6" s="3" t="s">
        <v>24</v>
      </c>
      <c r="E6" s="4" t="s">
        <v>25</v>
      </c>
      <c r="F6" s="3" t="s">
        <v>32</v>
      </c>
      <c r="G6" s="4" t="s">
        <v>26</v>
      </c>
      <c r="H6" s="3" t="s">
        <v>27</v>
      </c>
      <c r="I6" s="4" t="s">
        <v>28</v>
      </c>
      <c r="J6" s="3" t="s">
        <v>29</v>
      </c>
      <c r="K6" s="3" t="s">
        <v>33</v>
      </c>
      <c r="L6" s="4" t="s">
        <v>30</v>
      </c>
      <c r="M6" s="3" t="s">
        <v>31</v>
      </c>
      <c r="N6" s="3" t="s">
        <v>21</v>
      </c>
      <c r="O6" s="3" t="s">
        <v>22</v>
      </c>
    </row>
    <row r="7" spans="2:15" s="9" customFormat="1" x14ac:dyDescent="0.25">
      <c r="B7" s="6" t="s">
        <v>2</v>
      </c>
      <c r="C7" s="6">
        <v>2.88</v>
      </c>
      <c r="D7" s="6">
        <v>8.7999999999999995E-2</v>
      </c>
      <c r="E7" s="1">
        <v>7</v>
      </c>
      <c r="F7" s="7">
        <f xml:space="preserve"> 3.003*EXP(0.669*$E$7)</f>
        <v>324.60588632403085</v>
      </c>
      <c r="G7" s="1">
        <v>2</v>
      </c>
      <c r="H7" s="7">
        <f>F7*C7/(1+0.01*G7*(F7-1))</f>
        <v>125.11378792923973</v>
      </c>
      <c r="I7" s="1">
        <v>10</v>
      </c>
      <c r="J7" s="8">
        <f>0.01*I7*H7+0.01*(100-I7)*D7</f>
        <v>12.590578792923974</v>
      </c>
      <c r="K7" s="6">
        <v>2.1000000000000001E-4</v>
      </c>
      <c r="L7" s="1">
        <v>20</v>
      </c>
      <c r="M7" s="7">
        <f>(J7/K7)/(1+0.01*L7*((1/K7)-1))</f>
        <v>62.90005791597045</v>
      </c>
      <c r="N7" s="7">
        <f>M7/C7</f>
        <v>21.84029788748974</v>
      </c>
      <c r="O7" s="7">
        <f>LOG10(N7)</f>
        <v>1.3392585575679905</v>
      </c>
    </row>
    <row r="8" spans="2:15" s="9" customFormat="1" x14ac:dyDescent="0.25">
      <c r="B8" s="6" t="s">
        <v>3</v>
      </c>
      <c r="C8" s="6">
        <v>29.2</v>
      </c>
      <c r="D8" s="6">
        <v>1.2</v>
      </c>
      <c r="E8" s="1">
        <v>7</v>
      </c>
      <c r="F8" s="7">
        <f>4.339*EXP(0.347*E8)</f>
        <v>49.23692779066355</v>
      </c>
      <c r="G8" s="1">
        <v>2</v>
      </c>
      <c r="H8" s="7">
        <f t="shared" ref="H8:H24" si="0">F8*C8/(1+0.01*G8*(F8-1))</f>
        <v>731.76061376382768</v>
      </c>
      <c r="I8" s="1">
        <v>10</v>
      </c>
      <c r="J8" s="8">
        <f t="shared" ref="J8:J24" si="1">0.01*I8*H8+0.01*(100-I8)*D8</f>
        <v>74.256061376382775</v>
      </c>
      <c r="K8" s="6">
        <v>1.06E-3</v>
      </c>
      <c r="L8" s="1">
        <v>20</v>
      </c>
      <c r="M8" s="7">
        <f t="shared" ref="M8:M24" si="2">(J8/K8)/(1+0.01*L8*((1/K8)-1))</f>
        <v>369.71272492821822</v>
      </c>
      <c r="N8" s="7">
        <f t="shared" ref="N8:N24" si="3">M8/C8</f>
        <v>12.661394689322542</v>
      </c>
      <c r="O8" s="7">
        <f t="shared" ref="O8:O24" si="4">LOG10(N8)</f>
        <v>1.1024815471122522</v>
      </c>
    </row>
    <row r="9" spans="2:15" s="9" customFormat="1" x14ac:dyDescent="0.25">
      <c r="B9" s="6" t="s">
        <v>4</v>
      </c>
      <c r="C9" s="6">
        <v>0.40400000000000003</v>
      </c>
      <c r="D9" s="6">
        <v>1.37E-2</v>
      </c>
      <c r="E9" s="1">
        <v>7</v>
      </c>
      <c r="F9" s="7">
        <f>0.003*EXP(0.809*E9)</f>
        <v>0.86403414583725791</v>
      </c>
      <c r="G9" s="1">
        <v>2</v>
      </c>
      <c r="H9" s="7">
        <f>F9*C9/(1+0.01*G9*(F9-1))</f>
        <v>0.35002161467454518</v>
      </c>
      <c r="I9" s="1">
        <v>10</v>
      </c>
      <c r="J9" s="8">
        <f t="shared" si="1"/>
        <v>4.7332161467454517E-2</v>
      </c>
      <c r="K9" s="6">
        <v>2.4599999999999999E-3</v>
      </c>
      <c r="L9" s="1">
        <v>20</v>
      </c>
      <c r="M9" s="7">
        <f t="shared" si="2"/>
        <v>0.23435475653298798</v>
      </c>
      <c r="N9" s="7">
        <f t="shared" si="3"/>
        <v>0.58008603102224743</v>
      </c>
      <c r="O9" s="7">
        <f t="shared" si="4"/>
        <v>-0.23650759259653034</v>
      </c>
    </row>
    <row r="10" spans="2:15" s="9" customFormat="1" x14ac:dyDescent="0.25">
      <c r="B10" s="6" t="s">
        <v>5</v>
      </c>
      <c r="C10" s="6">
        <v>0.11899999999999999</v>
      </c>
      <c r="D10" s="6">
        <v>4.7000000000000002E-3</v>
      </c>
      <c r="E10" s="1">
        <v>7</v>
      </c>
      <c r="F10" s="7">
        <f xml:space="preserve"> 0.109*EXP(0.727*E10)</f>
        <v>17.682803316164616</v>
      </c>
      <c r="G10" s="1">
        <v>2</v>
      </c>
      <c r="H10" s="7">
        <f t="shared" si="0"/>
        <v>1.5778082878779454</v>
      </c>
      <c r="I10" s="1">
        <v>10</v>
      </c>
      <c r="J10" s="8">
        <f t="shared" si="1"/>
        <v>0.16201082878779455</v>
      </c>
      <c r="K10" s="6">
        <v>4.3070000000000001E-3</v>
      </c>
      <c r="L10" s="1">
        <v>20</v>
      </c>
      <c r="M10" s="7">
        <f t="shared" si="2"/>
        <v>0.79633488651410755</v>
      </c>
      <c r="N10" s="7">
        <f t="shared" si="3"/>
        <v>6.6918898026395599</v>
      </c>
      <c r="O10" s="7">
        <f t="shared" si="4"/>
        <v>0.82554878069149196</v>
      </c>
    </row>
    <row r="11" spans="2:15" s="9" customFormat="1" x14ac:dyDescent="0.25">
      <c r="B11" s="6" t="s">
        <v>6</v>
      </c>
      <c r="C11" s="6">
        <v>5.24</v>
      </c>
      <c r="D11" s="6">
        <v>0.21</v>
      </c>
      <c r="E11" s="1">
        <v>7</v>
      </c>
      <c r="F11" s="7">
        <f>0.294*EXP(0.132*E11)</f>
        <v>0.74068820986784378</v>
      </c>
      <c r="G11" s="1">
        <v>2</v>
      </c>
      <c r="H11" s="7">
        <f t="shared" si="0"/>
        <v>3.9014400075565558</v>
      </c>
      <c r="I11" s="1">
        <v>10</v>
      </c>
      <c r="J11" s="8">
        <f t="shared" si="1"/>
        <v>0.57914400075565564</v>
      </c>
      <c r="K11" s="6">
        <v>1.0789999999999999E-2</v>
      </c>
      <c r="L11" s="1">
        <v>20</v>
      </c>
      <c r="M11" s="7">
        <f t="shared" si="2"/>
        <v>2.7759116566761364</v>
      </c>
      <c r="N11" s="7">
        <f t="shared" si="3"/>
        <v>0.52975413295346108</v>
      </c>
      <c r="O11" s="7">
        <f t="shared" si="4"/>
        <v>-0.27592564639275924</v>
      </c>
    </row>
    <row r="12" spans="2:15" s="9" customFormat="1" x14ac:dyDescent="0.25">
      <c r="B12" s="6" t="s">
        <v>7</v>
      </c>
      <c r="C12" s="6">
        <v>5.21</v>
      </c>
      <c r="D12" s="6">
        <v>0.23400000000000001</v>
      </c>
      <c r="E12" s="1">
        <v>7</v>
      </c>
      <c r="F12" s="7">
        <f>0.005*EXP(0.961*E12)</f>
        <v>4.1731979377731889</v>
      </c>
      <c r="G12" s="1">
        <v>2</v>
      </c>
      <c r="H12" s="7">
        <f t="shared" si="0"/>
        <v>20.444850130363299</v>
      </c>
      <c r="I12" s="1">
        <v>10</v>
      </c>
      <c r="J12" s="8">
        <f t="shared" si="1"/>
        <v>2.25508501303633</v>
      </c>
      <c r="K12" s="6">
        <v>1.2999999999999999E-3</v>
      </c>
      <c r="L12" s="1">
        <v>20</v>
      </c>
      <c r="M12" s="7">
        <f t="shared" si="2"/>
        <v>11.217096165123008</v>
      </c>
      <c r="N12" s="7">
        <f t="shared" si="3"/>
        <v>2.1529935057817675</v>
      </c>
      <c r="O12" s="7">
        <f t="shared" si="4"/>
        <v>0.33304271983398587</v>
      </c>
    </row>
    <row r="13" spans="2:15" s="9" customFormat="1" x14ac:dyDescent="0.25">
      <c r="B13" s="6" t="s">
        <v>8</v>
      </c>
      <c r="C13" s="6">
        <v>14.86</v>
      </c>
      <c r="D13" s="6">
        <v>0.77200000000000002</v>
      </c>
      <c r="E13" s="1">
        <v>7</v>
      </c>
      <c r="F13" s="7">
        <f>0.01*EXP(0.855*E13)</f>
        <v>3.9742252124935153</v>
      </c>
      <c r="G13" s="1">
        <v>2</v>
      </c>
      <c r="H13" s="7">
        <f t="shared" si="0"/>
        <v>55.741246257741921</v>
      </c>
      <c r="I13" s="1">
        <v>10</v>
      </c>
      <c r="J13" s="8">
        <f t="shared" si="1"/>
        <v>6.2689246257741926</v>
      </c>
      <c r="K13" s="6">
        <v>5.8149999999999999E-3</v>
      </c>
      <c r="L13" s="1">
        <v>20</v>
      </c>
      <c r="M13" s="7">
        <f t="shared" si="2"/>
        <v>30.632120017269276</v>
      </c>
      <c r="N13" s="7">
        <f t="shared" si="3"/>
        <v>2.0613808894528449</v>
      </c>
      <c r="O13" s="7">
        <f t="shared" si="4"/>
        <v>0.31415824549302163</v>
      </c>
    </row>
    <row r="14" spans="2:15" s="9" customFormat="1" x14ac:dyDescent="0.25">
      <c r="B14" s="6" t="s">
        <v>9</v>
      </c>
      <c r="C14" s="6">
        <v>0.56999999999999995</v>
      </c>
      <c r="D14" s="6">
        <v>2.3199999999999998E-2</v>
      </c>
      <c r="E14" s="1">
        <v>7</v>
      </c>
      <c r="F14" s="7">
        <f>2.428*EXP(0.565*E14)</f>
        <v>126.73114489708006</v>
      </c>
      <c r="G14" s="1">
        <v>2</v>
      </c>
      <c r="H14" s="7">
        <f t="shared" si="0"/>
        <v>20.553201492439577</v>
      </c>
      <c r="I14" s="1">
        <v>10</v>
      </c>
      <c r="J14" s="8">
        <f t="shared" si="1"/>
        <v>2.0762001492439577</v>
      </c>
      <c r="K14" s="6">
        <v>5.5399999999999998E-3</v>
      </c>
      <c r="L14" s="1">
        <v>20</v>
      </c>
      <c r="M14" s="7">
        <f t="shared" si="2"/>
        <v>10.15594500491096</v>
      </c>
      <c r="N14" s="7">
        <f t="shared" si="3"/>
        <v>17.817447377036771</v>
      </c>
      <c r="O14" s="7">
        <f t="shared" si="4"/>
        <v>1.2508454848032806</v>
      </c>
    </row>
    <row r="15" spans="2:15" s="9" customFormat="1" x14ac:dyDescent="0.25">
      <c r="B15" s="6" t="s">
        <v>10</v>
      </c>
      <c r="C15" s="6">
        <v>129</v>
      </c>
      <c r="D15" s="6">
        <v>9.8000000000000007</v>
      </c>
      <c r="E15" s="1">
        <v>7</v>
      </c>
      <c r="F15" s="7">
        <f xml:space="preserve"> 2.408*EXP(0.368*E15)</f>
        <v>31.651847744738813</v>
      </c>
      <c r="G15" s="1">
        <v>2</v>
      </c>
      <c r="H15" s="7">
        <f t="shared" si="0"/>
        <v>2531.3049069837712</v>
      </c>
      <c r="I15" s="1">
        <v>10</v>
      </c>
      <c r="J15" s="8">
        <f t="shared" si="1"/>
        <v>261.95049069837711</v>
      </c>
      <c r="K15" s="6">
        <v>4.9500000000000004E-3</v>
      </c>
      <c r="L15" s="1">
        <v>20</v>
      </c>
      <c r="M15" s="7">
        <f t="shared" si="2"/>
        <v>1284.3228608471129</v>
      </c>
      <c r="N15" s="7">
        <f t="shared" si="3"/>
        <v>9.9559911693574641</v>
      </c>
      <c r="O15" s="7">
        <f t="shared" si="4"/>
        <v>0.99808450273155103</v>
      </c>
    </row>
    <row r="16" spans="2:15" s="9" customFormat="1" x14ac:dyDescent="0.25">
      <c r="B16" s="6" t="s">
        <v>11</v>
      </c>
      <c r="C16" s="6">
        <v>12.03</v>
      </c>
      <c r="D16" s="6">
        <v>0.71299999999999997</v>
      </c>
      <c r="E16" s="1">
        <v>7</v>
      </c>
      <c r="F16" s="7">
        <f>0.008*EXP(0.714*E16)</f>
        <v>1.1849330353032339</v>
      </c>
      <c r="G16" s="1">
        <v>2</v>
      </c>
      <c r="H16" s="7">
        <f t="shared" si="0"/>
        <v>14.202215239253404</v>
      </c>
      <c r="I16" s="1">
        <v>10</v>
      </c>
      <c r="J16" s="8">
        <f t="shared" si="1"/>
        <v>2.0619215239253403</v>
      </c>
      <c r="K16" s="6">
        <v>1.2175E-2</v>
      </c>
      <c r="L16" s="1">
        <v>20</v>
      </c>
      <c r="M16" s="7">
        <f t="shared" si="2"/>
        <v>9.830845446387622</v>
      </c>
      <c r="N16" s="7">
        <f t="shared" si="3"/>
        <v>0.81719413519431605</v>
      </c>
      <c r="O16" s="7">
        <f t="shared" si="4"/>
        <v>-8.7674758855407126E-2</v>
      </c>
    </row>
    <row r="17" spans="2:15" s="9" customFormat="1" x14ac:dyDescent="0.25">
      <c r="B17" s="6" t="s">
        <v>12</v>
      </c>
      <c r="C17" s="6">
        <v>3.82</v>
      </c>
      <c r="D17" s="6">
        <v>0.27</v>
      </c>
      <c r="E17" s="1">
        <v>7</v>
      </c>
      <c r="F17" s="7">
        <f>0.01*EXP(0.588*E17)</f>
        <v>0.61313497113333082</v>
      </c>
      <c r="G17" s="1">
        <v>2</v>
      </c>
      <c r="H17" s="7">
        <f t="shared" si="0"/>
        <v>2.3604390158897273</v>
      </c>
      <c r="I17" s="1">
        <v>10</v>
      </c>
      <c r="J17" s="8">
        <f t="shared" si="1"/>
        <v>0.47904390158897275</v>
      </c>
      <c r="K17" s="6">
        <v>2.4424499999999998E-2</v>
      </c>
      <c r="L17" s="1">
        <v>20</v>
      </c>
      <c r="M17" s="7">
        <f t="shared" si="2"/>
        <v>2.1820386918304155</v>
      </c>
      <c r="N17" s="7">
        <f t="shared" si="3"/>
        <v>0.57121431723309313</v>
      </c>
      <c r="O17" s="7">
        <f t="shared" si="4"/>
        <v>-0.24320091569721217</v>
      </c>
    </row>
    <row r="18" spans="2:15" s="9" customFormat="1" x14ac:dyDescent="0.25">
      <c r="B18" s="6" t="s">
        <v>13</v>
      </c>
      <c r="C18" s="6">
        <v>1.36</v>
      </c>
      <c r="D18" s="6">
        <v>0.107</v>
      </c>
      <c r="E18" s="1">
        <v>7</v>
      </c>
      <c r="F18" s="7">
        <f>0.017*EXP(0.572*E18)</f>
        <v>0.93188866002448301</v>
      </c>
      <c r="G18" s="1">
        <v>2</v>
      </c>
      <c r="H18" s="7">
        <f t="shared" si="0"/>
        <v>1.2690973760901954</v>
      </c>
      <c r="I18" s="1">
        <v>10</v>
      </c>
      <c r="J18" s="8">
        <f t="shared" si="1"/>
        <v>0.22320973760901955</v>
      </c>
      <c r="K18" s="6">
        <v>3.1300000000000001E-2</v>
      </c>
      <c r="L18" s="1">
        <v>20</v>
      </c>
      <c r="M18" s="7">
        <f t="shared" si="2"/>
        <v>0.9918669463607338</v>
      </c>
      <c r="N18" s="7">
        <f t="shared" si="3"/>
        <v>0.72931393114759835</v>
      </c>
      <c r="O18" s="7">
        <f t="shared" si="4"/>
        <v>-0.13708549058790903</v>
      </c>
    </row>
    <row r="19" spans="2:15" s="9" customFormat="1" x14ac:dyDescent="0.25">
      <c r="B19" s="6" t="s">
        <v>14</v>
      </c>
      <c r="C19" s="6">
        <v>10070</v>
      </c>
      <c r="D19" s="6">
        <v>798</v>
      </c>
      <c r="E19" s="1">
        <v>7</v>
      </c>
      <c r="F19" s="7">
        <f>0.04*EXP(0.147*E19)</f>
        <v>0.11193064675722278</v>
      </c>
      <c r="G19" s="1">
        <v>2</v>
      </c>
      <c r="H19" s="7">
        <f t="shared" si="0"/>
        <v>1147.5232168658968</v>
      </c>
      <c r="I19" s="1">
        <v>10</v>
      </c>
      <c r="J19" s="8">
        <f t="shared" si="1"/>
        <v>832.9523216865897</v>
      </c>
      <c r="K19" s="6">
        <v>0.06</v>
      </c>
      <c r="L19" s="1">
        <v>20</v>
      </c>
      <c r="M19" s="7">
        <f t="shared" si="2"/>
        <v>3358.678716478184</v>
      </c>
      <c r="N19" s="7">
        <f t="shared" si="3"/>
        <v>0.33353313967012749</v>
      </c>
      <c r="O19" s="7">
        <f t="shared" si="4"/>
        <v>-0.47686100834162864</v>
      </c>
    </row>
    <row r="20" spans="2:15" s="9" customFormat="1" x14ac:dyDescent="0.25">
      <c r="B20" s="6" t="s">
        <v>19</v>
      </c>
      <c r="C20" s="6">
        <v>4.99</v>
      </c>
      <c r="D20" s="6">
        <v>0.39500000000000002</v>
      </c>
      <c r="E20" s="1">
        <v>7</v>
      </c>
      <c r="F20" s="7">
        <f>0.005*EXP(0.462*E20)</f>
        <v>0.12690489053011025</v>
      </c>
      <c r="G20" s="1">
        <v>2</v>
      </c>
      <c r="H20" s="7">
        <f t="shared" si="0"/>
        <v>0.644509770314595</v>
      </c>
      <c r="I20" s="1">
        <v>10</v>
      </c>
      <c r="J20" s="8">
        <f t="shared" si="1"/>
        <v>0.41995097703145956</v>
      </c>
      <c r="K20" s="6">
        <v>4.4200000000000003E-2</v>
      </c>
      <c r="L20" s="1">
        <v>20</v>
      </c>
      <c r="M20" s="7">
        <f t="shared" si="2"/>
        <v>1.7842920506095323</v>
      </c>
      <c r="N20" s="7">
        <f t="shared" si="3"/>
        <v>0.35757355723637924</v>
      </c>
      <c r="O20" s="7">
        <f t="shared" si="4"/>
        <v>-0.4466346050073795</v>
      </c>
    </row>
    <row r="21" spans="2:15" s="9" customFormat="1" x14ac:dyDescent="0.25">
      <c r="B21" s="6" t="s">
        <v>15</v>
      </c>
      <c r="C21" s="6">
        <v>3.79</v>
      </c>
      <c r="D21" s="6">
        <v>0.371</v>
      </c>
      <c r="E21" s="1">
        <v>7</v>
      </c>
      <c r="F21" s="7">
        <f>0.003*EXP(0.171*E21)</f>
        <v>9.9305144926954882E-3</v>
      </c>
      <c r="G21" s="1">
        <v>2</v>
      </c>
      <c r="H21" s="7">
        <f t="shared" si="0"/>
        <v>3.839696315850355E-2</v>
      </c>
      <c r="I21" s="1">
        <v>10</v>
      </c>
      <c r="J21" s="8">
        <f t="shared" si="1"/>
        <v>0.33773969631585038</v>
      </c>
      <c r="K21" s="6">
        <v>0.13059999999999999</v>
      </c>
      <c r="L21" s="1">
        <v>20</v>
      </c>
      <c r="M21" s="7">
        <f t="shared" si="2"/>
        <v>1.1092344203752311</v>
      </c>
      <c r="N21" s="7">
        <f t="shared" si="3"/>
        <v>0.29267398954491586</v>
      </c>
      <c r="O21" s="7">
        <f t="shared" si="4"/>
        <v>-0.53361587236995411</v>
      </c>
    </row>
    <row r="22" spans="2:15" s="9" customFormat="1" x14ac:dyDescent="0.25">
      <c r="B22" s="6" t="s">
        <v>16</v>
      </c>
      <c r="C22" s="6">
        <v>3.63</v>
      </c>
      <c r="D22" s="6">
        <v>0.40100000000000002</v>
      </c>
      <c r="E22" s="1">
        <v>7</v>
      </c>
      <c r="F22" s="7">
        <f>0.003*EXP(0.204*E22)</f>
        <v>1.2511050436106909E-2</v>
      </c>
      <c r="G22" s="1">
        <v>2</v>
      </c>
      <c r="H22" s="7">
        <f t="shared" si="0"/>
        <v>4.6330122768382394E-2</v>
      </c>
      <c r="I22" s="1">
        <v>10</v>
      </c>
      <c r="J22" s="8">
        <f t="shared" si="1"/>
        <v>0.36553301227683832</v>
      </c>
      <c r="K22" s="6">
        <v>0.26300000000000001</v>
      </c>
      <c r="L22" s="1">
        <v>20</v>
      </c>
      <c r="M22" s="7">
        <f t="shared" si="2"/>
        <v>0.89067498118137978</v>
      </c>
      <c r="N22" s="7">
        <f t="shared" si="3"/>
        <v>0.24536500858991178</v>
      </c>
      <c r="O22" s="7">
        <f t="shared" si="4"/>
        <v>-0.61018737176326387</v>
      </c>
    </row>
    <row r="23" spans="2:15" s="9" customFormat="1" x14ac:dyDescent="0.25">
      <c r="B23" s="6" t="s">
        <v>17</v>
      </c>
      <c r="C23" s="6">
        <v>0.53</v>
      </c>
      <c r="D23" s="6">
        <v>6.3E-2</v>
      </c>
      <c r="E23" s="1">
        <v>7</v>
      </c>
      <c r="F23" s="7">
        <f xml:space="preserve"> 0.002*EXP(0.235*E23)</f>
        <v>1.0362019813897012E-2</v>
      </c>
      <c r="G23" s="1">
        <v>2</v>
      </c>
      <c r="H23" s="7">
        <f t="shared" si="0"/>
        <v>5.6027646757079294E-3</v>
      </c>
      <c r="I23" s="1">
        <v>10</v>
      </c>
      <c r="J23" s="8">
        <f t="shared" si="1"/>
        <v>5.7260276467570793E-2</v>
      </c>
      <c r="K23" s="6">
        <v>0.308</v>
      </c>
      <c r="L23" s="1">
        <v>20</v>
      </c>
      <c r="M23" s="7">
        <f t="shared" si="2"/>
        <v>0.12827122864599191</v>
      </c>
      <c r="N23" s="7">
        <f t="shared" si="3"/>
        <v>0.24202118612451304</v>
      </c>
      <c r="O23" s="7">
        <f t="shared" si="4"/>
        <v>-0.61614661495247591</v>
      </c>
    </row>
    <row r="24" spans="2:15" s="9" customFormat="1" x14ac:dyDescent="0.25">
      <c r="B24" s="6" t="s">
        <v>18</v>
      </c>
      <c r="C24" s="6">
        <v>36.799999999999997</v>
      </c>
      <c r="D24" s="6">
        <v>4.07</v>
      </c>
      <c r="E24" s="1">
        <v>7</v>
      </c>
      <c r="F24" s="7">
        <f>0.035*EXP(0.387*E24)</f>
        <v>0.52549888130229117</v>
      </c>
      <c r="G24" s="1">
        <v>2</v>
      </c>
      <c r="H24" s="7">
        <f t="shared" si="0"/>
        <v>19.523638599050294</v>
      </c>
      <c r="I24" s="1">
        <v>10</v>
      </c>
      <c r="J24" s="8">
        <f t="shared" si="1"/>
        <v>5.6153638599050293</v>
      </c>
      <c r="K24" s="6">
        <v>0.13300000000000001</v>
      </c>
      <c r="L24" s="1">
        <v>20</v>
      </c>
      <c r="M24" s="7">
        <f t="shared" si="2"/>
        <v>18.326905547992915</v>
      </c>
      <c r="N24" s="7">
        <f t="shared" si="3"/>
        <v>0.49801373771719881</v>
      </c>
      <c r="O24" s="7">
        <f t="shared" si="4"/>
        <v>-0.30275867705457249</v>
      </c>
    </row>
    <row r="25" spans="2:15" s="10" customFormat="1" x14ac:dyDescent="0.25"/>
    <row r="26" spans="2:15" x14ac:dyDescent="0.25">
      <c r="E26" s="2" t="s">
        <v>20</v>
      </c>
    </row>
  </sheetData>
  <sheetProtection algorithmName="SHA-512" hashValue="CvRc67KJqg9YIN5aXbpSL/+8h8eTSwlu8y0Jcoj//DoL90UqmcQboQrZup/zott5ujq7PgD6FU0uLi0byPQQIQ==" saltValue="nM6Ghj9dZemgoGUcub7VkA==" spinCount="100000" sheet="1" objects="1" scenarios="1"/>
  <mergeCells count="2">
    <mergeCell ref="B2:O2"/>
    <mergeCell ref="B4:O4"/>
  </mergeCells>
  <pageMargins left="0.75" right="0.75" top="1" bottom="1" header="0.5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6"/>
  <sheetViews>
    <sheetView topLeftCell="A22" zoomScaleNormal="100" zoomScalePageLayoutView="200" workbookViewId="0">
      <selection activeCell="E7" sqref="E7"/>
    </sheetView>
  </sheetViews>
  <sheetFormatPr defaultColWidth="11" defaultRowHeight="15.75" x14ac:dyDescent="0.25"/>
  <cols>
    <col min="1" max="1" width="5.625" style="2" customWidth="1"/>
    <col min="2" max="2" width="8.125" style="2" bestFit="1" customWidth="1"/>
    <col min="3" max="3" width="15.5" style="2" customWidth="1"/>
    <col min="4" max="4" width="20.375" style="2" customWidth="1"/>
    <col min="5" max="5" width="13.125" style="2" customWidth="1"/>
    <col min="6" max="6" width="12.625" style="2" customWidth="1"/>
    <col min="7" max="8" width="15.625" style="2" customWidth="1"/>
    <col min="9" max="10" width="15.125" style="2" customWidth="1"/>
    <col min="11" max="11" width="12.875" style="2" customWidth="1"/>
    <col min="12" max="12" width="16.625" style="2" customWidth="1"/>
    <col min="13" max="13" width="16" style="2" customWidth="1"/>
    <col min="14" max="14" width="23.5" style="2" customWidth="1"/>
    <col min="15" max="15" width="23.125" style="2" customWidth="1"/>
    <col min="16" max="16384" width="11" style="2"/>
  </cols>
  <sheetData>
    <row r="2" spans="2:18" ht="32.2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2:18" ht="9" customHeight="1" x14ac:dyDescent="0.25"/>
    <row r="4" spans="2:18" ht="18.75" x14ac:dyDescent="0.25">
      <c r="B4" s="18" t="s">
        <v>37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6" spans="2:18" s="5" customFormat="1" ht="31.5" customHeight="1" x14ac:dyDescent="0.25">
      <c r="B6" s="3" t="s">
        <v>1</v>
      </c>
      <c r="C6" s="3" t="s">
        <v>23</v>
      </c>
      <c r="D6" s="3" t="s">
        <v>24</v>
      </c>
      <c r="E6" s="4" t="s">
        <v>25</v>
      </c>
      <c r="F6" s="3" t="s">
        <v>32</v>
      </c>
      <c r="G6" s="4" t="s">
        <v>26</v>
      </c>
      <c r="H6" s="3" t="s">
        <v>27</v>
      </c>
      <c r="I6" s="4" t="s">
        <v>28</v>
      </c>
      <c r="J6" s="3" t="s">
        <v>29</v>
      </c>
      <c r="K6" s="3" t="s">
        <v>33</v>
      </c>
      <c r="L6" s="4" t="s">
        <v>30</v>
      </c>
      <c r="M6" s="3" t="s">
        <v>31</v>
      </c>
      <c r="N6" s="3" t="s">
        <v>21</v>
      </c>
      <c r="O6" s="3" t="s">
        <v>22</v>
      </c>
    </row>
    <row r="7" spans="2:18" s="9" customFormat="1" x14ac:dyDescent="0.25">
      <c r="B7" s="6" t="s">
        <v>2</v>
      </c>
      <c r="C7" s="6">
        <v>2.88</v>
      </c>
      <c r="D7" s="6">
        <v>8.7999999999999995E-2</v>
      </c>
      <c r="E7" s="1">
        <v>7</v>
      </c>
      <c r="F7" s="7">
        <f xml:space="preserve"> 7.056*EXP(0.269*$E$7)</f>
        <v>46.380463193673037</v>
      </c>
      <c r="G7" s="1">
        <v>2</v>
      </c>
      <c r="H7" s="7">
        <f>F7*C7/(1+0.01*G7*(F7-1))</f>
        <v>70.022586138289455</v>
      </c>
      <c r="I7" s="1">
        <v>10</v>
      </c>
      <c r="J7" s="8">
        <f>0.01*I7*H7+0.01*(100-I7)*D7</f>
        <v>7.0814586138289464</v>
      </c>
      <c r="K7" s="6">
        <v>2.1000000000000001E-4</v>
      </c>
      <c r="L7" s="1">
        <v>20</v>
      </c>
      <c r="M7" s="7">
        <f>(J7/K7)/(1+0.01*L7*((1/K7)-1))</f>
        <v>35.377575905384212</v>
      </c>
      <c r="N7" s="7">
        <f>M7/C7</f>
        <v>12.283880522702852</v>
      </c>
      <c r="O7" s="7">
        <f>LOG10(N7)</f>
        <v>1.0893355836922942</v>
      </c>
    </row>
    <row r="8" spans="2:18" s="9" customFormat="1" x14ac:dyDescent="0.25">
      <c r="B8" s="6" t="s">
        <v>3</v>
      </c>
      <c r="C8" s="6">
        <v>29.2</v>
      </c>
      <c r="D8" s="6">
        <v>1.2</v>
      </c>
      <c r="E8" s="1">
        <v>7</v>
      </c>
      <c r="F8" s="7">
        <f>2.431*EXP(0.0483*E8)</f>
        <v>3.4089444411782983</v>
      </c>
      <c r="G8" s="1">
        <v>2</v>
      </c>
      <c r="H8" s="7">
        <f t="shared" ref="H8:H24" si="0">F8*C8/(1+0.01*G8*(F8-1))</f>
        <v>94.965829539008695</v>
      </c>
      <c r="I8" s="1">
        <v>10</v>
      </c>
      <c r="J8" s="8">
        <f t="shared" ref="J8:J24" si="1">0.01*I8*H8+0.01*(100-I8)*D8</f>
        <v>10.57658295390087</v>
      </c>
      <c r="K8" s="6">
        <v>1.06E-3</v>
      </c>
      <c r="L8" s="1">
        <v>20</v>
      </c>
      <c r="M8" s="7">
        <f t="shared" ref="M8:M24" si="2">(J8/K8)/(1+0.01*L8*((1/K8)-1))</f>
        <v>52.659637904788042</v>
      </c>
      <c r="N8" s="7">
        <f t="shared" ref="N8:N24" si="3">M8/C8</f>
        <v>1.8034122570132891</v>
      </c>
      <c r="O8" s="7">
        <f t="shared" ref="O8:O24" si="4">LOG10(N8)</f>
        <v>0.25609501706084237</v>
      </c>
    </row>
    <row r="9" spans="2:18" s="9" customFormat="1" x14ac:dyDescent="0.25">
      <c r="B9" s="6" t="s">
        <v>4</v>
      </c>
      <c r="C9" s="6">
        <v>0.40400000000000003</v>
      </c>
      <c r="D9" s="6">
        <v>1.37E-2</v>
      </c>
      <c r="E9" s="1">
        <v>7</v>
      </c>
      <c r="F9" s="7">
        <f>2.216*EXP(-0.121*E9)</f>
        <v>0.94999721011305527</v>
      </c>
      <c r="G9" s="1">
        <v>2</v>
      </c>
      <c r="H9" s="7">
        <f>F9*C9/(1+0.01*G9*(F9-1))</f>
        <v>0.38418307739962104</v>
      </c>
      <c r="I9" s="1">
        <v>10</v>
      </c>
      <c r="J9" s="8">
        <f t="shared" si="1"/>
        <v>5.0748307739962105E-2</v>
      </c>
      <c r="K9" s="6">
        <v>2.4599999999999999E-3</v>
      </c>
      <c r="L9" s="1">
        <v>20</v>
      </c>
      <c r="M9" s="7">
        <f t="shared" si="2"/>
        <v>0.25126905123565169</v>
      </c>
      <c r="N9" s="7">
        <f t="shared" si="3"/>
        <v>0.62195309711794966</v>
      </c>
      <c r="O9" s="7">
        <f t="shared" si="4"/>
        <v>-0.20624236519809055</v>
      </c>
    </row>
    <row r="10" spans="2:18" s="9" customFormat="1" x14ac:dyDescent="0.25">
      <c r="B10" s="6" t="s">
        <v>5</v>
      </c>
      <c r="C10" s="6">
        <v>0.11899999999999999</v>
      </c>
      <c r="D10" s="6">
        <v>4.7000000000000002E-3</v>
      </c>
      <c r="E10" s="1">
        <v>7</v>
      </c>
      <c r="F10" s="7">
        <f xml:space="preserve"> 5.956*EXP(-0.121*E10)</f>
        <v>2.5533318517298542</v>
      </c>
      <c r="G10" s="1">
        <v>2</v>
      </c>
      <c r="H10" s="7">
        <f t="shared" si="0"/>
        <v>0.29469141900443158</v>
      </c>
      <c r="I10" s="1">
        <v>10</v>
      </c>
      <c r="J10" s="8">
        <f t="shared" si="1"/>
        <v>3.3699141900443159E-2</v>
      </c>
      <c r="K10" s="6">
        <v>4.3070000000000001E-3</v>
      </c>
      <c r="L10" s="1">
        <v>20</v>
      </c>
      <c r="M10" s="7">
        <f t="shared" si="2"/>
        <v>0.16564202863292768</v>
      </c>
      <c r="N10" s="7">
        <f t="shared" si="3"/>
        <v>1.3919498204447704</v>
      </c>
      <c r="O10" s="7">
        <f t="shared" si="4"/>
        <v>0.14362357931423622</v>
      </c>
      <c r="R10" s="9" t="s">
        <v>36</v>
      </c>
    </row>
    <row r="11" spans="2:18" s="9" customFormat="1" x14ac:dyDescent="0.25">
      <c r="B11" s="6" t="s">
        <v>6</v>
      </c>
      <c r="C11" s="6">
        <v>5.24</v>
      </c>
      <c r="D11" s="6">
        <v>0.21</v>
      </c>
      <c r="E11" s="1">
        <v>7</v>
      </c>
      <c r="F11" s="7">
        <f>0.986*EXP(-0.115*E11)</f>
        <v>0.44082869558752541</v>
      </c>
      <c r="G11" s="1">
        <v>2</v>
      </c>
      <c r="H11" s="7">
        <f t="shared" si="0"/>
        <v>2.3360676042681199</v>
      </c>
      <c r="I11" s="1">
        <v>10</v>
      </c>
      <c r="J11" s="8">
        <f t="shared" si="1"/>
        <v>0.422606760426812</v>
      </c>
      <c r="K11" s="6">
        <v>1.0789999999999999E-2</v>
      </c>
      <c r="L11" s="1">
        <v>20</v>
      </c>
      <c r="M11" s="7">
        <f t="shared" si="2"/>
        <v>2.025608537649124</v>
      </c>
      <c r="N11" s="7">
        <f t="shared" si="3"/>
        <v>0.3865665148185351</v>
      </c>
      <c r="O11" s="7">
        <f t="shared" si="4"/>
        <v>-0.41277576815372818</v>
      </c>
    </row>
    <row r="12" spans="2:18" s="9" customFormat="1" x14ac:dyDescent="0.25">
      <c r="B12" s="6" t="s">
        <v>7</v>
      </c>
      <c r="C12" s="6">
        <v>5.21</v>
      </c>
      <c r="D12" s="6">
        <v>0.23400000000000001</v>
      </c>
      <c r="E12" s="1">
        <v>7</v>
      </c>
      <c r="F12" s="7">
        <f>0.74*EXP(0.274*E12)</f>
        <v>5.0374243370324914</v>
      </c>
      <c r="G12" s="1">
        <v>2</v>
      </c>
      <c r="H12" s="7">
        <f t="shared" si="0"/>
        <v>24.284078227201221</v>
      </c>
      <c r="I12" s="1">
        <v>10</v>
      </c>
      <c r="J12" s="8">
        <f t="shared" si="1"/>
        <v>2.6390078227201221</v>
      </c>
      <c r="K12" s="6">
        <v>1.2999999999999999E-3</v>
      </c>
      <c r="L12" s="1">
        <v>20</v>
      </c>
      <c r="M12" s="7">
        <f t="shared" si="2"/>
        <v>13.126779858337255</v>
      </c>
      <c r="N12" s="7">
        <f t="shared" si="3"/>
        <v>2.5195354814466899</v>
      </c>
      <c r="O12" s="7">
        <f t="shared" si="4"/>
        <v>0.40132047870210907</v>
      </c>
    </row>
    <row r="13" spans="2:18" s="9" customFormat="1" x14ac:dyDescent="0.25">
      <c r="B13" s="6" t="s">
        <v>8</v>
      </c>
      <c r="C13" s="6">
        <v>14.86</v>
      </c>
      <c r="D13" s="6">
        <v>0.77200000000000002</v>
      </c>
      <c r="E13" s="1">
        <v>7</v>
      </c>
      <c r="F13" s="7">
        <f>1.146*EXP(0.197*E13)</f>
        <v>4.5506843047034886</v>
      </c>
      <c r="G13" s="1">
        <v>2</v>
      </c>
      <c r="H13" s="7">
        <f t="shared" si="0"/>
        <v>63.13940675633377</v>
      </c>
      <c r="I13" s="1">
        <v>10</v>
      </c>
      <c r="J13" s="8">
        <f t="shared" si="1"/>
        <v>7.0087406756333772</v>
      </c>
      <c r="K13" s="6">
        <v>5.8149999999999999E-3</v>
      </c>
      <c r="L13" s="1">
        <v>20</v>
      </c>
      <c r="M13" s="7">
        <f t="shared" si="2"/>
        <v>34.247115472281614</v>
      </c>
      <c r="N13" s="7">
        <f t="shared" si="3"/>
        <v>2.3046511084980899</v>
      </c>
      <c r="O13" s="7">
        <f t="shared" si="4"/>
        <v>0.36260518867464792</v>
      </c>
    </row>
    <row r="14" spans="2:18" s="9" customFormat="1" x14ac:dyDescent="0.25">
      <c r="B14" s="6" t="s">
        <v>9</v>
      </c>
      <c r="C14" s="6">
        <v>0.56999999999999995</v>
      </c>
      <c r="D14" s="6">
        <v>2.3199999999999998E-2</v>
      </c>
      <c r="E14" s="1">
        <v>7</v>
      </c>
      <c r="F14" s="7">
        <f>5.354*EXP(0.081*E14)</f>
        <v>9.4389424482832354</v>
      </c>
      <c r="G14" s="1">
        <v>2</v>
      </c>
      <c r="H14" s="7">
        <f t="shared" si="0"/>
        <v>4.6032636544396413</v>
      </c>
      <c r="I14" s="1">
        <v>10</v>
      </c>
      <c r="J14" s="8">
        <f t="shared" si="1"/>
        <v>0.48120636544396417</v>
      </c>
      <c r="K14" s="6">
        <v>5.5399999999999998E-3</v>
      </c>
      <c r="L14" s="1">
        <v>20</v>
      </c>
      <c r="M14" s="7">
        <f t="shared" si="2"/>
        <v>2.3538700665451793</v>
      </c>
      <c r="N14" s="7">
        <f t="shared" si="3"/>
        <v>4.1295966079739994</v>
      </c>
      <c r="O14" s="7">
        <f t="shared" si="4"/>
        <v>0.61590763047304542</v>
      </c>
    </row>
    <row r="15" spans="2:18" s="9" customFormat="1" x14ac:dyDescent="0.25">
      <c r="B15" s="6" t="s">
        <v>10</v>
      </c>
      <c r="C15" s="6">
        <v>129</v>
      </c>
      <c r="D15" s="6">
        <v>9.8000000000000007</v>
      </c>
      <c r="E15" s="1">
        <v>7</v>
      </c>
      <c r="F15" s="7">
        <f xml:space="preserve"> 1.285*EXP(0.356*E15)</f>
        <v>15.529768312555957</v>
      </c>
      <c r="G15" s="1">
        <v>2</v>
      </c>
      <c r="H15" s="7">
        <f t="shared" si="0"/>
        <v>1552.260425464689</v>
      </c>
      <c r="I15" s="1">
        <v>10</v>
      </c>
      <c r="J15" s="8">
        <f t="shared" si="1"/>
        <v>164.0460425464689</v>
      </c>
      <c r="K15" s="6">
        <v>4.9500000000000004E-3</v>
      </c>
      <c r="L15" s="1">
        <v>20</v>
      </c>
      <c r="M15" s="7">
        <f t="shared" si="2"/>
        <v>804.30497424234613</v>
      </c>
      <c r="N15" s="7">
        <f t="shared" si="3"/>
        <v>6.2349222809484193</v>
      </c>
      <c r="O15" s="7">
        <f t="shared" si="4"/>
        <v>0.79483104431566698</v>
      </c>
    </row>
    <row r="16" spans="2:18" s="9" customFormat="1" x14ac:dyDescent="0.25">
      <c r="B16" s="6" t="s">
        <v>11</v>
      </c>
      <c r="C16" s="6">
        <v>12.03</v>
      </c>
      <c r="D16" s="6">
        <v>0.71299999999999997</v>
      </c>
      <c r="E16" s="1">
        <v>7</v>
      </c>
      <c r="F16" s="7">
        <f>0.396*EXP(0.163*E16)</f>
        <v>1.2394390921928862</v>
      </c>
      <c r="G16" s="1">
        <v>2</v>
      </c>
      <c r="H16" s="7">
        <f t="shared" si="0"/>
        <v>14.839389679210687</v>
      </c>
      <c r="I16" s="1">
        <v>10</v>
      </c>
      <c r="J16" s="8">
        <f t="shared" si="1"/>
        <v>2.125638967921069</v>
      </c>
      <c r="K16" s="6">
        <v>1.2175E-2</v>
      </c>
      <c r="L16" s="1">
        <v>20</v>
      </c>
      <c r="M16" s="7">
        <f t="shared" si="2"/>
        <v>10.134637970444688</v>
      </c>
      <c r="N16" s="7">
        <f t="shared" si="3"/>
        <v>0.84244704658725589</v>
      </c>
      <c r="O16" s="7">
        <f t="shared" si="4"/>
        <v>-7.4457387901972996E-2</v>
      </c>
    </row>
    <row r="17" spans="2:15" s="9" customFormat="1" x14ac:dyDescent="0.25">
      <c r="B17" s="6" t="s">
        <v>12</v>
      </c>
      <c r="C17" s="6">
        <v>3.82</v>
      </c>
      <c r="D17" s="6">
        <v>0.27</v>
      </c>
      <c r="E17" s="1">
        <v>7</v>
      </c>
      <c r="F17" s="7">
        <f>0.268*EXP(0.044*E17)</f>
        <v>0.36466786503515625</v>
      </c>
      <c r="G17" s="1">
        <v>2</v>
      </c>
      <c r="H17" s="7">
        <f t="shared" si="0"/>
        <v>1.410959806559315</v>
      </c>
      <c r="I17" s="1">
        <v>10</v>
      </c>
      <c r="J17" s="8">
        <f t="shared" si="1"/>
        <v>0.38409598065593153</v>
      </c>
      <c r="K17" s="6">
        <v>2.4424499999999998E-2</v>
      </c>
      <c r="L17" s="1">
        <v>20</v>
      </c>
      <c r="M17" s="7">
        <f t="shared" si="2"/>
        <v>1.7495521566766612</v>
      </c>
      <c r="N17" s="7">
        <f t="shared" si="3"/>
        <v>0.45799794677399508</v>
      </c>
      <c r="O17" s="7">
        <f t="shared" si="4"/>
        <v>-0.33913646895404087</v>
      </c>
    </row>
    <row r="18" spans="2:15" s="9" customFormat="1" x14ac:dyDescent="0.25">
      <c r="B18" s="6" t="s">
        <v>13</v>
      </c>
      <c r="C18" s="6">
        <v>1.36</v>
      </c>
      <c r="D18" s="6">
        <v>0.107</v>
      </c>
      <c r="E18" s="1">
        <v>7</v>
      </c>
      <c r="F18" s="7">
        <f>0.359*EXP(0.021*E18)</f>
        <v>0.41584907272771804</v>
      </c>
      <c r="G18" s="1">
        <v>2</v>
      </c>
      <c r="H18" s="7">
        <f t="shared" si="0"/>
        <v>0.57224023215440656</v>
      </c>
      <c r="I18" s="1">
        <v>10</v>
      </c>
      <c r="J18" s="8">
        <f t="shared" si="1"/>
        <v>0.15352402321544065</v>
      </c>
      <c r="K18" s="6">
        <v>3.1300000000000001E-2</v>
      </c>
      <c r="L18" s="1">
        <v>20</v>
      </c>
      <c r="M18" s="7">
        <f t="shared" si="2"/>
        <v>0.68220771069783437</v>
      </c>
      <c r="N18" s="7">
        <f t="shared" si="3"/>
        <v>0.50162331668958404</v>
      </c>
      <c r="O18" s="7">
        <f t="shared" si="4"/>
        <v>-0.29962228462895274</v>
      </c>
    </row>
    <row r="19" spans="2:15" s="9" customFormat="1" x14ac:dyDescent="0.25">
      <c r="B19" s="6" t="s">
        <v>14</v>
      </c>
      <c r="C19" s="6">
        <v>10070</v>
      </c>
      <c r="D19" s="6">
        <v>798</v>
      </c>
      <c r="E19" s="1">
        <v>7</v>
      </c>
      <c r="F19" s="7">
        <f>0.209*EXP(-0.114*E19)</f>
        <v>9.4097760952282949E-2</v>
      </c>
      <c r="G19" s="1">
        <v>2</v>
      </c>
      <c r="H19" s="7">
        <f t="shared" si="0"/>
        <v>965.04925847028073</v>
      </c>
      <c r="I19" s="1">
        <v>10</v>
      </c>
      <c r="J19" s="8">
        <f t="shared" si="1"/>
        <v>814.70492584702811</v>
      </c>
      <c r="K19" s="6">
        <v>0.06</v>
      </c>
      <c r="L19" s="1">
        <v>20</v>
      </c>
      <c r="M19" s="7">
        <f t="shared" si="2"/>
        <v>3285.1005074476934</v>
      </c>
      <c r="N19" s="7">
        <f t="shared" si="3"/>
        <v>0.3262264654863648</v>
      </c>
      <c r="O19" s="7">
        <f t="shared" si="4"/>
        <v>-0.48648080924162823</v>
      </c>
    </row>
    <row r="20" spans="2:15" s="9" customFormat="1" x14ac:dyDescent="0.25">
      <c r="B20" s="6" t="s">
        <v>19</v>
      </c>
      <c r="C20" s="6">
        <v>4.99</v>
      </c>
      <c r="D20" s="6">
        <v>0.39500000000000002</v>
      </c>
      <c r="E20" s="1">
        <v>7</v>
      </c>
      <c r="F20" s="7">
        <f>0.136*EXP(-0.017*E20)</f>
        <v>0.12074186090362522</v>
      </c>
      <c r="G20" s="1">
        <v>2</v>
      </c>
      <c r="H20" s="7">
        <f t="shared" si="0"/>
        <v>0.61328663114983972</v>
      </c>
      <c r="I20" s="1">
        <v>10</v>
      </c>
      <c r="J20" s="8">
        <f t="shared" si="1"/>
        <v>0.41682866311498401</v>
      </c>
      <c r="K20" s="6">
        <v>4.4200000000000003E-2</v>
      </c>
      <c r="L20" s="1">
        <v>20</v>
      </c>
      <c r="M20" s="7">
        <f t="shared" si="2"/>
        <v>1.7710259309780081</v>
      </c>
      <c r="N20" s="7">
        <f t="shared" si="3"/>
        <v>0.35491501622805771</v>
      </c>
      <c r="O20" s="7">
        <f t="shared" si="4"/>
        <v>-0.44987562554104343</v>
      </c>
    </row>
    <row r="21" spans="2:15" s="9" customFormat="1" x14ac:dyDescent="0.25">
      <c r="B21" s="6" t="s">
        <v>15</v>
      </c>
      <c r="C21" s="6">
        <v>3.79</v>
      </c>
      <c r="D21" s="6">
        <v>0.371</v>
      </c>
      <c r="E21" s="1">
        <v>7</v>
      </c>
      <c r="F21" s="7">
        <f>0.108*EXP(-0.273*E21)</f>
        <v>1.5976697064233731E-2</v>
      </c>
      <c r="G21" s="1">
        <v>2</v>
      </c>
      <c r="H21" s="7">
        <f t="shared" si="0"/>
        <v>6.1767290946456367E-2</v>
      </c>
      <c r="I21" s="1">
        <v>10</v>
      </c>
      <c r="J21" s="8">
        <f t="shared" si="1"/>
        <v>0.34007672909464565</v>
      </c>
      <c r="K21" s="6">
        <v>0.13059999999999999</v>
      </c>
      <c r="L21" s="1">
        <v>20</v>
      </c>
      <c r="M21" s="7">
        <f t="shared" si="2"/>
        <v>1.116909909007638</v>
      </c>
      <c r="N21" s="7">
        <f t="shared" si="3"/>
        <v>0.29469918443473297</v>
      </c>
      <c r="O21" s="7">
        <f t="shared" si="4"/>
        <v>-0.53062106603668913</v>
      </c>
    </row>
    <row r="22" spans="2:15" s="9" customFormat="1" x14ac:dyDescent="0.25">
      <c r="B22" s="6" t="s">
        <v>16</v>
      </c>
      <c r="C22" s="6">
        <v>3.63</v>
      </c>
      <c r="D22" s="6">
        <v>0.40100000000000002</v>
      </c>
      <c r="E22" s="1">
        <v>7</v>
      </c>
      <c r="F22" s="7">
        <f>0.099*EXP(-0.329*E22)</f>
        <v>9.8958932726549414E-3</v>
      </c>
      <c r="G22" s="1">
        <v>2</v>
      </c>
      <c r="H22" s="7">
        <f t="shared" si="0"/>
        <v>3.6647795230950776E-2</v>
      </c>
      <c r="I22" s="1">
        <v>10</v>
      </c>
      <c r="J22" s="8">
        <f t="shared" si="1"/>
        <v>0.36456477952309513</v>
      </c>
      <c r="K22" s="6">
        <v>0.26300000000000001</v>
      </c>
      <c r="L22" s="1">
        <v>20</v>
      </c>
      <c r="M22" s="7">
        <f t="shared" si="2"/>
        <v>0.8883157395786917</v>
      </c>
      <c r="N22" s="7">
        <f t="shared" si="3"/>
        <v>0.24471507977374427</v>
      </c>
      <c r="O22" s="7">
        <f t="shared" si="4"/>
        <v>-0.61133926783358494</v>
      </c>
    </row>
    <row r="23" spans="2:15" s="9" customFormat="1" x14ac:dyDescent="0.25">
      <c r="B23" s="6" t="s">
        <v>17</v>
      </c>
      <c r="C23" s="6">
        <v>0.53</v>
      </c>
      <c r="D23" s="6">
        <v>6.3E-2</v>
      </c>
      <c r="E23" s="1">
        <v>7</v>
      </c>
      <c r="F23" s="7">
        <f xml:space="preserve"> 0.088*EXP(-0.328*E23)</f>
        <v>8.8581400370269531E-3</v>
      </c>
      <c r="G23" s="1">
        <v>2</v>
      </c>
      <c r="H23" s="7">
        <f t="shared" si="0"/>
        <v>4.7897608695650568E-3</v>
      </c>
      <c r="I23" s="1">
        <v>10</v>
      </c>
      <c r="J23" s="8">
        <f t="shared" si="1"/>
        <v>5.7178976086956504E-2</v>
      </c>
      <c r="K23" s="6">
        <v>0.308</v>
      </c>
      <c r="L23" s="1">
        <v>20</v>
      </c>
      <c r="M23" s="7">
        <f t="shared" si="2"/>
        <v>0.12808910413744737</v>
      </c>
      <c r="N23" s="7">
        <f t="shared" si="3"/>
        <v>0.24167755497631577</v>
      </c>
      <c r="O23" s="7">
        <f t="shared" si="4"/>
        <v>-0.61676368141925764</v>
      </c>
    </row>
    <row r="24" spans="2:15" s="9" customFormat="1" x14ac:dyDescent="0.25">
      <c r="B24" s="6" t="s">
        <v>18</v>
      </c>
      <c r="C24" s="6">
        <v>36.799999999999997</v>
      </c>
      <c r="D24" s="6">
        <v>4.07</v>
      </c>
      <c r="E24" s="1">
        <v>7</v>
      </c>
      <c r="F24" s="7">
        <f>1.583*EXP(-0.463*E24)</f>
        <v>6.193448048364765E-2</v>
      </c>
      <c r="G24" s="1">
        <v>2</v>
      </c>
      <c r="H24" s="7">
        <f t="shared" si="0"/>
        <v>2.3227670351083205</v>
      </c>
      <c r="I24" s="1">
        <v>10</v>
      </c>
      <c r="J24" s="8">
        <f t="shared" si="1"/>
        <v>3.8952767035108322</v>
      </c>
      <c r="K24" s="6">
        <v>0.13300000000000001</v>
      </c>
      <c r="L24" s="1">
        <v>20</v>
      </c>
      <c r="M24" s="7">
        <f t="shared" si="2"/>
        <v>12.713044071510549</v>
      </c>
      <c r="N24" s="7">
        <f t="shared" si="3"/>
        <v>0.34546315411713452</v>
      </c>
      <c r="O24" s="7">
        <f t="shared" si="4"/>
        <v>-0.46159826613908966</v>
      </c>
    </row>
    <row r="25" spans="2:15" s="10" customFormat="1" x14ac:dyDescent="0.25"/>
    <row r="26" spans="2:15" x14ac:dyDescent="0.25">
      <c r="E26" s="2" t="s">
        <v>20</v>
      </c>
    </row>
  </sheetData>
  <sheetProtection algorithmName="SHA-512" hashValue="uXYn1/ZEF7X7B/Q/hRmP5gmayCWhTMJd2ibt/JwsNlpNTHr/hDGSkbcRg3GRjD741QMI0tUMPrylUZeeZbNmxw==" saltValue="krwgO5VIKa0m2hk4P6xejw==" spinCount="100000" sheet="1" objects="1" scenarios="1"/>
  <mergeCells count="2">
    <mergeCell ref="B2:O2"/>
    <mergeCell ref="B4:O4"/>
  </mergeCells>
  <pageMargins left="0.75" right="0.75" top="1" bottom="1" header="0.5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H30" sqref="H30"/>
    </sheetView>
  </sheetViews>
  <sheetFormatPr defaultColWidth="10.875" defaultRowHeight="15.75" x14ac:dyDescent="0.25"/>
  <cols>
    <col min="1" max="1" width="5.625" style="13" customWidth="1"/>
    <col min="2" max="16384" width="10.875" style="13"/>
  </cols>
  <sheetData>
    <row r="2" spans="2:14" x14ac:dyDescent="0.25">
      <c r="B2" s="11" t="s">
        <v>38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x14ac:dyDescent="0.25">
      <c r="B4" s="14" t="s">
        <v>52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2:14" x14ac:dyDescent="0.25">
      <c r="B5" s="16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4" x14ac:dyDescent="0.25">
      <c r="B6" s="14" t="s">
        <v>39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2:14" x14ac:dyDescent="0.25">
      <c r="B7" s="14" t="s">
        <v>40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14" x14ac:dyDescent="0.25">
      <c r="B8" s="14" t="s">
        <v>41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2:14" x14ac:dyDescent="0.25">
      <c r="B9" s="1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x14ac:dyDescent="0.25">
      <c r="B10" s="14" t="s">
        <v>42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x14ac:dyDescent="0.25">
      <c r="B11" s="14" t="s">
        <v>43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2:14" x14ac:dyDescent="0.25">
      <c r="B12" s="1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2:14" x14ac:dyDescent="0.25">
      <c r="B13" s="14" t="s">
        <v>44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2:14" x14ac:dyDescent="0.25">
      <c r="B14" s="15" t="s">
        <v>45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2:14" x14ac:dyDescent="0.25">
      <c r="B15" s="1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2:14" x14ac:dyDescent="0.25">
      <c r="B16" s="15" t="s">
        <v>46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2:14" x14ac:dyDescent="0.25">
      <c r="B17" s="1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2:14" x14ac:dyDescent="0.25">
      <c r="B18" s="15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2:14" x14ac:dyDescent="0.25">
      <c r="B19" s="1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2:14" x14ac:dyDescent="0.25">
      <c r="B20" s="15" t="s">
        <v>48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2:14" x14ac:dyDescent="0.25">
      <c r="B21" s="1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2:14" x14ac:dyDescent="0.25">
      <c r="B22" s="14" t="s">
        <v>49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2:14" x14ac:dyDescent="0.25">
      <c r="B23" s="14" t="s">
        <v>50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2:14" x14ac:dyDescent="0.25">
      <c r="B24" s="14" t="s">
        <v>51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2:14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2:14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</sheetData>
  <sheetProtection algorithmName="SHA-512" hashValue="ddtMJL4H7Ni6/ExB2O2kNq4c0KnLg5UzmO3Rbdq21lTJFKjSvkgXlblzWjnecjGwxebwQDthrTCgMsK2aoRzKQ==" saltValue="SL2u+NV/4AY81d2xbmr/x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 GPa, 800 C, 2% rutile</vt:lpstr>
      <vt:lpstr>4 GPa, 800 C, no rutile</vt:lpstr>
      <vt:lpstr>6 GPa, 800 C, no rutile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Keppler</dc:creator>
  <cp:lastModifiedBy>Greta Rustioni</cp:lastModifiedBy>
  <dcterms:created xsi:type="dcterms:W3CDTF">2020-03-11T12:01:36Z</dcterms:created>
  <dcterms:modified xsi:type="dcterms:W3CDTF">2021-05-03T12:37:24Z</dcterms:modified>
</cp:coreProperties>
</file>