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/>
  <mc:AlternateContent xmlns:mc="http://schemas.openxmlformats.org/markup-compatibility/2006">
    <mc:Choice Requires="x15">
      <x15ac:absPath xmlns:x15ac="http://schemas.microsoft.com/office/spreadsheetml/2010/11/ac" url="C:\Users\Tobias\OneDrive\Uni\Uni Münster\PostDoc\Dejan metasome experiments\Paper\"/>
    </mc:Choice>
  </mc:AlternateContent>
  <xr:revisionPtr revIDLastSave="0" documentId="13_ncr:1_{A2DADAC5-DF68-4E47-83D2-9B1C7F808B41}" xr6:coauthVersionLast="47" xr6:coauthVersionMax="47" xr10:uidLastSave="{00000000-0000-0000-0000-000000000000}"/>
  <bookViews>
    <workbookView xWindow="40920" yWindow="5385" windowWidth="29040" windowHeight="15840" xr2:uid="{00000000-000D-0000-FFFF-FFFF00000000}"/>
  </bookViews>
  <sheets>
    <sheet name="glass trace elements" sheetId="9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R128" i="9" l="1"/>
  <c r="AQ128" i="9"/>
  <c r="AP128" i="9"/>
  <c r="AO128" i="9"/>
  <c r="AN128" i="9"/>
  <c r="AM128" i="9"/>
  <c r="AL128" i="9"/>
  <c r="AK128" i="9"/>
  <c r="AJ128" i="9"/>
  <c r="AI128" i="9"/>
  <c r="AH128" i="9"/>
  <c r="AG128" i="9"/>
  <c r="AF128" i="9"/>
  <c r="AE128" i="9"/>
  <c r="AD128" i="9"/>
  <c r="AC128" i="9"/>
  <c r="AB128" i="9"/>
  <c r="AA128" i="9"/>
  <c r="Z128" i="9"/>
  <c r="Y128" i="9"/>
  <c r="X128" i="9"/>
  <c r="W128" i="9"/>
  <c r="V128" i="9"/>
  <c r="T128" i="9"/>
  <c r="S128" i="9"/>
  <c r="R128" i="9"/>
  <c r="Q128" i="9"/>
  <c r="P128" i="9"/>
  <c r="O128" i="9"/>
  <c r="N128" i="9"/>
  <c r="L128" i="9"/>
  <c r="K128" i="9"/>
  <c r="J128" i="9"/>
  <c r="I128" i="9"/>
  <c r="H128" i="9"/>
  <c r="G128" i="9"/>
  <c r="F128" i="9"/>
  <c r="E128" i="9"/>
  <c r="D128" i="9"/>
  <c r="C128" i="9"/>
  <c r="B128" i="9"/>
  <c r="AR127" i="9"/>
  <c r="AQ127" i="9"/>
  <c r="AP127" i="9"/>
  <c r="AO127" i="9"/>
  <c r="AN127" i="9"/>
  <c r="AM127" i="9"/>
  <c r="AL127" i="9"/>
  <c r="AK127" i="9"/>
  <c r="AJ127" i="9"/>
  <c r="AI127" i="9"/>
  <c r="AH127" i="9"/>
  <c r="AG127" i="9"/>
  <c r="AF127" i="9"/>
  <c r="AE127" i="9"/>
  <c r="AD127" i="9"/>
  <c r="AC127" i="9"/>
  <c r="AB127" i="9"/>
  <c r="AA127" i="9"/>
  <c r="Z127" i="9"/>
  <c r="Y127" i="9"/>
  <c r="X127" i="9"/>
  <c r="W127" i="9"/>
  <c r="V127" i="9"/>
  <c r="T127" i="9"/>
  <c r="S127" i="9"/>
  <c r="R127" i="9"/>
  <c r="Q127" i="9"/>
  <c r="P127" i="9"/>
  <c r="O127" i="9"/>
  <c r="N127" i="9"/>
  <c r="L127" i="9"/>
  <c r="K127" i="9"/>
  <c r="J127" i="9"/>
  <c r="I127" i="9"/>
  <c r="H127" i="9"/>
  <c r="G127" i="9"/>
  <c r="F127" i="9"/>
  <c r="E127" i="9"/>
  <c r="D127" i="9"/>
  <c r="C127" i="9"/>
  <c r="B127" i="9"/>
  <c r="U126" i="9"/>
  <c r="M126" i="9"/>
  <c r="U125" i="9"/>
  <c r="M125" i="9"/>
  <c r="U124" i="9"/>
  <c r="M124" i="9"/>
  <c r="U123" i="9"/>
  <c r="M123" i="9"/>
  <c r="U122" i="9"/>
  <c r="M122" i="9"/>
  <c r="M121" i="9"/>
  <c r="M120" i="9"/>
  <c r="U119" i="9"/>
  <c r="M119" i="9"/>
  <c r="U118" i="9"/>
  <c r="M118" i="9"/>
  <c r="U117" i="9"/>
  <c r="M117" i="9"/>
  <c r="AR114" i="9"/>
  <c r="AQ114" i="9"/>
  <c r="AO114" i="9"/>
  <c r="AN114" i="9"/>
  <c r="AM114" i="9"/>
  <c r="AL114" i="9"/>
  <c r="AK114" i="9"/>
  <c r="AJ114" i="9"/>
  <c r="AI114" i="9"/>
  <c r="AH114" i="9"/>
  <c r="AG114" i="9"/>
  <c r="AF114" i="9"/>
  <c r="AE114" i="9"/>
  <c r="AD114" i="9"/>
  <c r="AC114" i="9"/>
  <c r="AB114" i="9"/>
  <c r="AA114" i="9"/>
  <c r="Z114" i="9"/>
  <c r="Y114" i="9"/>
  <c r="X114" i="9"/>
  <c r="W114" i="9"/>
  <c r="V114" i="9"/>
  <c r="S114" i="9"/>
  <c r="R114" i="9"/>
  <c r="Q114" i="9"/>
  <c r="P114" i="9"/>
  <c r="O114" i="9"/>
  <c r="N114" i="9"/>
  <c r="L114" i="9"/>
  <c r="I114" i="9"/>
  <c r="H114" i="9"/>
  <c r="G114" i="9"/>
  <c r="F114" i="9"/>
  <c r="E114" i="9"/>
  <c r="D114" i="9"/>
  <c r="C114" i="9"/>
  <c r="B114" i="9"/>
  <c r="AR113" i="9"/>
  <c r="AQ113" i="9"/>
  <c r="AO113" i="9"/>
  <c r="AN113" i="9"/>
  <c r="AM113" i="9"/>
  <c r="AL113" i="9"/>
  <c r="AK113" i="9"/>
  <c r="AJ113" i="9"/>
  <c r="AI113" i="9"/>
  <c r="AH113" i="9"/>
  <c r="AG113" i="9"/>
  <c r="AF113" i="9"/>
  <c r="AE113" i="9"/>
  <c r="AD113" i="9"/>
  <c r="AC113" i="9"/>
  <c r="AB113" i="9"/>
  <c r="AA113" i="9"/>
  <c r="Z113" i="9"/>
  <c r="Y113" i="9"/>
  <c r="X113" i="9"/>
  <c r="W113" i="9"/>
  <c r="V113" i="9"/>
  <c r="S113" i="9"/>
  <c r="R113" i="9"/>
  <c r="Q113" i="9"/>
  <c r="P113" i="9"/>
  <c r="O113" i="9"/>
  <c r="N113" i="9"/>
  <c r="L113" i="9"/>
  <c r="I113" i="9"/>
  <c r="H113" i="9"/>
  <c r="G113" i="9"/>
  <c r="F113" i="9"/>
  <c r="E113" i="9"/>
  <c r="D113" i="9"/>
  <c r="C113" i="9"/>
  <c r="B113" i="9"/>
  <c r="U112" i="9"/>
  <c r="T112" i="9"/>
  <c r="M112" i="9"/>
  <c r="K112" i="9"/>
  <c r="J112" i="9"/>
  <c r="AP111" i="9"/>
  <c r="J111" i="9"/>
  <c r="U110" i="9"/>
  <c r="T110" i="9"/>
  <c r="K110" i="9"/>
  <c r="J110" i="9"/>
  <c r="AP109" i="9"/>
  <c r="U109" i="9"/>
  <c r="J109" i="9"/>
  <c r="U108" i="9"/>
  <c r="T108" i="9"/>
  <c r="AP107" i="9"/>
  <c r="U107" i="9"/>
  <c r="T107" i="9"/>
  <c r="AP106" i="9"/>
  <c r="U106" i="9"/>
  <c r="T106" i="9"/>
  <c r="J106" i="9"/>
  <c r="U105" i="9"/>
  <c r="T105" i="9"/>
  <c r="M105" i="9"/>
  <c r="U104" i="9"/>
  <c r="T104" i="9"/>
  <c r="K104" i="9"/>
  <c r="AP103" i="9"/>
  <c r="U103" i="9"/>
  <c r="T103" i="9"/>
  <c r="K103" i="9"/>
  <c r="J103" i="9"/>
  <c r="K102" i="9"/>
  <c r="AR99" i="9"/>
  <c r="AQ99" i="9"/>
  <c r="AO99" i="9"/>
  <c r="AN99" i="9"/>
  <c r="AM99" i="9"/>
  <c r="AL99" i="9"/>
  <c r="AK99" i="9"/>
  <c r="AJ99" i="9"/>
  <c r="AI99" i="9"/>
  <c r="AH99" i="9"/>
  <c r="AG99" i="9"/>
  <c r="AF99" i="9"/>
  <c r="AE99" i="9"/>
  <c r="AD99" i="9"/>
  <c r="AC99" i="9"/>
  <c r="AB99" i="9"/>
  <c r="AA99" i="9"/>
  <c r="Z99" i="9"/>
  <c r="Y99" i="9"/>
  <c r="X99" i="9"/>
  <c r="W99" i="9"/>
  <c r="V99" i="9"/>
  <c r="S99" i="9"/>
  <c r="R99" i="9"/>
  <c r="Q99" i="9"/>
  <c r="P99" i="9"/>
  <c r="O99" i="9"/>
  <c r="N99" i="9"/>
  <c r="L99" i="9"/>
  <c r="I99" i="9"/>
  <c r="H99" i="9"/>
  <c r="G99" i="9"/>
  <c r="F99" i="9"/>
  <c r="E99" i="9"/>
  <c r="D99" i="9"/>
  <c r="C99" i="9"/>
  <c r="B99" i="9"/>
  <c r="AR98" i="9"/>
  <c r="AQ98" i="9"/>
  <c r="AO98" i="9"/>
  <c r="AN98" i="9"/>
  <c r="AM98" i="9"/>
  <c r="AL98" i="9"/>
  <c r="AK98" i="9"/>
  <c r="AJ98" i="9"/>
  <c r="AI98" i="9"/>
  <c r="AH98" i="9"/>
  <c r="AG98" i="9"/>
  <c r="AF98" i="9"/>
  <c r="AE98" i="9"/>
  <c r="AD98" i="9"/>
  <c r="AC98" i="9"/>
  <c r="AB98" i="9"/>
  <c r="AA98" i="9"/>
  <c r="Z98" i="9"/>
  <c r="Y98" i="9"/>
  <c r="X98" i="9"/>
  <c r="W98" i="9"/>
  <c r="V98" i="9"/>
  <c r="S98" i="9"/>
  <c r="R98" i="9"/>
  <c r="Q98" i="9"/>
  <c r="P98" i="9"/>
  <c r="O98" i="9"/>
  <c r="N98" i="9"/>
  <c r="L98" i="9"/>
  <c r="I98" i="9"/>
  <c r="H98" i="9"/>
  <c r="G98" i="9"/>
  <c r="F98" i="9"/>
  <c r="E98" i="9"/>
  <c r="D98" i="9"/>
  <c r="C98" i="9"/>
  <c r="B98" i="9"/>
  <c r="U97" i="9"/>
  <c r="T97" i="9"/>
  <c r="K97" i="9"/>
  <c r="U96" i="9"/>
  <c r="T96" i="9"/>
  <c r="AP95" i="9"/>
  <c r="U95" i="9"/>
  <c r="T95" i="9"/>
  <c r="J95" i="9"/>
  <c r="U94" i="9"/>
  <c r="T94" i="9"/>
  <c r="U93" i="9"/>
  <c r="T93" i="9"/>
  <c r="U92" i="9"/>
  <c r="T92" i="9"/>
  <c r="K92" i="9"/>
  <c r="AP91" i="9"/>
  <c r="U91" i="9"/>
  <c r="T91" i="9"/>
  <c r="J91" i="9"/>
  <c r="U90" i="9"/>
  <c r="T90" i="9"/>
  <c r="M90" i="9"/>
  <c r="J90" i="9"/>
  <c r="U89" i="9"/>
  <c r="T89" i="9"/>
  <c r="M89" i="9"/>
  <c r="M99" i="9" s="1"/>
  <c r="J89" i="9"/>
  <c r="AP88" i="9"/>
  <c r="U88" i="9"/>
  <c r="T88" i="9"/>
  <c r="AP87" i="9"/>
  <c r="U87" i="9"/>
  <c r="T87" i="9"/>
  <c r="U86" i="9"/>
  <c r="T86" i="9"/>
  <c r="J86" i="9"/>
  <c r="AR83" i="9"/>
  <c r="AQ83" i="9"/>
  <c r="AP83" i="9"/>
  <c r="AO83" i="9"/>
  <c r="AN83" i="9"/>
  <c r="AM83" i="9"/>
  <c r="AL83" i="9"/>
  <c r="AK83" i="9"/>
  <c r="AJ83" i="9"/>
  <c r="AI83" i="9"/>
  <c r="AH83" i="9"/>
  <c r="AG83" i="9"/>
  <c r="AF83" i="9"/>
  <c r="AE83" i="9"/>
  <c r="AD83" i="9"/>
  <c r="AC83" i="9"/>
  <c r="AB83" i="9"/>
  <c r="AA83" i="9"/>
  <c r="Z83" i="9"/>
  <c r="Y83" i="9"/>
  <c r="X83" i="9"/>
  <c r="W83" i="9"/>
  <c r="V83" i="9"/>
  <c r="S83" i="9"/>
  <c r="R83" i="9"/>
  <c r="Q83" i="9"/>
  <c r="P83" i="9"/>
  <c r="O83" i="9"/>
  <c r="N83" i="9"/>
  <c r="L83" i="9"/>
  <c r="J83" i="9"/>
  <c r="I83" i="9"/>
  <c r="H83" i="9"/>
  <c r="G83" i="9"/>
  <c r="F83" i="9"/>
  <c r="E83" i="9"/>
  <c r="D83" i="9"/>
  <c r="C83" i="9"/>
  <c r="U82" i="9"/>
  <c r="T82" i="9"/>
  <c r="M82" i="9"/>
  <c r="K82" i="9"/>
  <c r="K83" i="9" s="1"/>
  <c r="U81" i="9"/>
  <c r="U83" i="9" s="1"/>
  <c r="T81" i="9"/>
  <c r="T83" i="9" s="1"/>
  <c r="M81" i="9"/>
  <c r="M83" i="9" s="1"/>
  <c r="B81" i="9"/>
  <c r="B83" i="9" s="1"/>
  <c r="AR59" i="9"/>
  <c r="AQ59" i="9"/>
  <c r="AP59" i="9"/>
  <c r="AO59" i="9"/>
  <c r="AN59" i="9"/>
  <c r="AM59" i="9"/>
  <c r="AL59" i="9"/>
  <c r="AK59" i="9"/>
  <c r="AJ59" i="9"/>
  <c r="AI59" i="9"/>
  <c r="AH59" i="9"/>
  <c r="AG59" i="9"/>
  <c r="AF59" i="9"/>
  <c r="AE59" i="9"/>
  <c r="AD59" i="9"/>
  <c r="AC59" i="9"/>
  <c r="AB59" i="9"/>
  <c r="AA59" i="9"/>
  <c r="Z59" i="9"/>
  <c r="Y59" i="9"/>
  <c r="X59" i="9"/>
  <c r="W59" i="9"/>
  <c r="V59" i="9"/>
  <c r="S59" i="9"/>
  <c r="R59" i="9"/>
  <c r="Q59" i="9"/>
  <c r="P59" i="9"/>
  <c r="O59" i="9"/>
  <c r="N59" i="9"/>
  <c r="L59" i="9"/>
  <c r="K59" i="9"/>
  <c r="I59" i="9"/>
  <c r="H59" i="9"/>
  <c r="G59" i="9"/>
  <c r="F59" i="9"/>
  <c r="E59" i="9"/>
  <c r="D59" i="9"/>
  <c r="C59" i="9"/>
  <c r="B59" i="9"/>
  <c r="AR58" i="9"/>
  <c r="AQ58" i="9"/>
  <c r="AP58" i="9"/>
  <c r="AO58" i="9"/>
  <c r="AN58" i="9"/>
  <c r="AM58" i="9"/>
  <c r="AL58" i="9"/>
  <c r="AK58" i="9"/>
  <c r="AJ58" i="9"/>
  <c r="AI58" i="9"/>
  <c r="AH58" i="9"/>
  <c r="AG58" i="9"/>
  <c r="AF58" i="9"/>
  <c r="AE58" i="9"/>
  <c r="AD58" i="9"/>
  <c r="AC58" i="9"/>
  <c r="AB58" i="9"/>
  <c r="AA58" i="9"/>
  <c r="Z58" i="9"/>
  <c r="Y58" i="9"/>
  <c r="X58" i="9"/>
  <c r="W58" i="9"/>
  <c r="V58" i="9"/>
  <c r="S58" i="9"/>
  <c r="R58" i="9"/>
  <c r="Q58" i="9"/>
  <c r="P58" i="9"/>
  <c r="O58" i="9"/>
  <c r="N58" i="9"/>
  <c r="L58" i="9"/>
  <c r="K58" i="9"/>
  <c r="I58" i="9"/>
  <c r="H58" i="9"/>
  <c r="G58" i="9"/>
  <c r="F58" i="9"/>
  <c r="E58" i="9"/>
  <c r="D58" i="9"/>
  <c r="C58" i="9"/>
  <c r="B58" i="9"/>
  <c r="U57" i="9"/>
  <c r="T57" i="9"/>
  <c r="M57" i="9"/>
  <c r="J57" i="9"/>
  <c r="U56" i="9"/>
  <c r="T56" i="9"/>
  <c r="J56" i="9"/>
  <c r="U55" i="9"/>
  <c r="T55" i="9"/>
  <c r="J55" i="9"/>
  <c r="U54" i="9"/>
  <c r="T54" i="9"/>
  <c r="J54" i="9"/>
  <c r="U53" i="9"/>
  <c r="M53" i="9"/>
  <c r="J53" i="9"/>
  <c r="U52" i="9"/>
  <c r="T52" i="9"/>
  <c r="M52" i="9"/>
  <c r="M59" i="9" s="1"/>
  <c r="J52" i="9"/>
  <c r="U51" i="9"/>
  <c r="J51" i="9"/>
  <c r="U50" i="9"/>
  <c r="T50" i="9"/>
  <c r="J50" i="9"/>
  <c r="AR47" i="9"/>
  <c r="AQ47" i="9"/>
  <c r="AP47" i="9"/>
  <c r="AO47" i="9"/>
  <c r="AN47" i="9"/>
  <c r="AM47" i="9"/>
  <c r="AL47" i="9"/>
  <c r="AK47" i="9"/>
  <c r="AJ47" i="9"/>
  <c r="AI47" i="9"/>
  <c r="AH47" i="9"/>
  <c r="AG47" i="9"/>
  <c r="AF47" i="9"/>
  <c r="AE47" i="9"/>
  <c r="AD47" i="9"/>
  <c r="AC47" i="9"/>
  <c r="AB47" i="9"/>
  <c r="AA47" i="9"/>
  <c r="Z47" i="9"/>
  <c r="Y47" i="9"/>
  <c r="X47" i="9"/>
  <c r="W47" i="9"/>
  <c r="V47" i="9"/>
  <c r="S47" i="9"/>
  <c r="R47" i="9"/>
  <c r="Q47" i="9"/>
  <c r="P47" i="9"/>
  <c r="O47" i="9"/>
  <c r="N47" i="9"/>
  <c r="L47" i="9"/>
  <c r="I47" i="9"/>
  <c r="H47" i="9"/>
  <c r="G47" i="9"/>
  <c r="F47" i="9"/>
  <c r="E47" i="9"/>
  <c r="D47" i="9"/>
  <c r="C47" i="9"/>
  <c r="B47" i="9"/>
  <c r="AR46" i="9"/>
  <c r="AQ46" i="9"/>
  <c r="AP46" i="9"/>
  <c r="AO46" i="9"/>
  <c r="AN46" i="9"/>
  <c r="AM46" i="9"/>
  <c r="AL46" i="9"/>
  <c r="AK46" i="9"/>
  <c r="AJ46" i="9"/>
  <c r="AI46" i="9"/>
  <c r="AH46" i="9"/>
  <c r="AG46" i="9"/>
  <c r="AF46" i="9"/>
  <c r="AE46" i="9"/>
  <c r="AD46" i="9"/>
  <c r="AC46" i="9"/>
  <c r="AB46" i="9"/>
  <c r="AA46" i="9"/>
  <c r="Z46" i="9"/>
  <c r="Y46" i="9"/>
  <c r="X46" i="9"/>
  <c r="W46" i="9"/>
  <c r="V46" i="9"/>
  <c r="S46" i="9"/>
  <c r="R46" i="9"/>
  <c r="Q46" i="9"/>
  <c r="P46" i="9"/>
  <c r="O46" i="9"/>
  <c r="N46" i="9"/>
  <c r="L46" i="9"/>
  <c r="I46" i="9"/>
  <c r="H46" i="9"/>
  <c r="G46" i="9"/>
  <c r="F46" i="9"/>
  <c r="E46" i="9"/>
  <c r="D46" i="9"/>
  <c r="C46" i="9"/>
  <c r="B46" i="9"/>
  <c r="U45" i="9"/>
  <c r="T45" i="9"/>
  <c r="M45" i="9"/>
  <c r="K45" i="9"/>
  <c r="U44" i="9"/>
  <c r="T44" i="9"/>
  <c r="M44" i="9"/>
  <c r="J44" i="9"/>
  <c r="U43" i="9"/>
  <c r="T43" i="9"/>
  <c r="M43" i="9"/>
  <c r="M46" i="9" s="1"/>
  <c r="U42" i="9"/>
  <c r="T42" i="9"/>
  <c r="K42" i="9"/>
  <c r="U41" i="9"/>
  <c r="T41" i="9"/>
  <c r="K41" i="9"/>
  <c r="U40" i="9"/>
  <c r="T40" i="9"/>
  <c r="J40" i="9"/>
  <c r="J46" i="9" s="1"/>
  <c r="U39" i="9"/>
  <c r="T39" i="9"/>
  <c r="J62" i="9"/>
  <c r="K62" i="9"/>
  <c r="M62" i="9"/>
  <c r="T62" i="9"/>
  <c r="U62" i="9"/>
  <c r="AP62" i="9"/>
  <c r="Q69" i="9"/>
  <c r="AC68" i="9"/>
  <c r="AD68" i="9"/>
  <c r="AF69" i="9"/>
  <c r="AG69" i="9"/>
  <c r="AH69" i="9"/>
  <c r="AJ68" i="9"/>
  <c r="AK69" i="9"/>
  <c r="K63" i="9"/>
  <c r="M63" i="9"/>
  <c r="T63" i="9"/>
  <c r="M64" i="9"/>
  <c r="T64" i="9"/>
  <c r="U64" i="9"/>
  <c r="J65" i="9"/>
  <c r="M65" i="9"/>
  <c r="T65" i="9"/>
  <c r="U65" i="9"/>
  <c r="AP65" i="9"/>
  <c r="J66" i="9"/>
  <c r="K66" i="9"/>
  <c r="M66" i="9"/>
  <c r="T66" i="9"/>
  <c r="U66" i="9"/>
  <c r="AP66" i="9"/>
  <c r="J67" i="9"/>
  <c r="K67" i="9"/>
  <c r="M67" i="9"/>
  <c r="T67" i="9"/>
  <c r="U67" i="9"/>
  <c r="AP67" i="9"/>
  <c r="AQ69" i="9"/>
  <c r="C68" i="9"/>
  <c r="D68" i="9"/>
  <c r="E68" i="9"/>
  <c r="F68" i="9"/>
  <c r="G68" i="9"/>
  <c r="H68" i="9"/>
  <c r="I68" i="9"/>
  <c r="L68" i="9"/>
  <c r="O68" i="9"/>
  <c r="P68" i="9"/>
  <c r="R68" i="9"/>
  <c r="W68" i="9"/>
  <c r="X68" i="9"/>
  <c r="Y68" i="9"/>
  <c r="Z68" i="9"/>
  <c r="AA68" i="9"/>
  <c r="AB68" i="9"/>
  <c r="AE68" i="9"/>
  <c r="AI68" i="9"/>
  <c r="AL68" i="9"/>
  <c r="AM68" i="9"/>
  <c r="AN68" i="9"/>
  <c r="AO68" i="9"/>
  <c r="C69" i="9"/>
  <c r="D69" i="9"/>
  <c r="E69" i="9"/>
  <c r="F69" i="9"/>
  <c r="G69" i="9"/>
  <c r="H69" i="9"/>
  <c r="I69" i="9"/>
  <c r="L69" i="9"/>
  <c r="O69" i="9"/>
  <c r="P69" i="9"/>
  <c r="R69" i="9"/>
  <c r="W69" i="9"/>
  <c r="X69" i="9"/>
  <c r="Y69" i="9"/>
  <c r="Z69" i="9"/>
  <c r="AA69" i="9"/>
  <c r="AB69" i="9"/>
  <c r="AE69" i="9"/>
  <c r="AI69" i="9"/>
  <c r="AL69" i="9"/>
  <c r="AM69" i="9"/>
  <c r="AN69" i="9"/>
  <c r="AO69" i="9"/>
  <c r="M72" i="9"/>
  <c r="T72" i="9"/>
  <c r="U72" i="9"/>
  <c r="AP72" i="9"/>
  <c r="B73" i="9"/>
  <c r="K73" i="9"/>
  <c r="M73" i="9"/>
  <c r="T73" i="9"/>
  <c r="U73" i="9"/>
  <c r="AP73" i="9"/>
  <c r="M74" i="9"/>
  <c r="U74" i="9"/>
  <c r="AP74" i="9"/>
  <c r="AE78" i="9"/>
  <c r="AG78" i="9"/>
  <c r="AH78" i="9"/>
  <c r="J75" i="9"/>
  <c r="K75" i="9"/>
  <c r="M75" i="9"/>
  <c r="T75" i="9"/>
  <c r="U75" i="9"/>
  <c r="AP75" i="9"/>
  <c r="J76" i="9"/>
  <c r="K76" i="9"/>
  <c r="M76" i="9"/>
  <c r="T76" i="9"/>
  <c r="AP76" i="9"/>
  <c r="N77" i="9"/>
  <c r="AQ78" i="9"/>
  <c r="C77" i="9"/>
  <c r="D77" i="9"/>
  <c r="E77" i="9"/>
  <c r="F77" i="9"/>
  <c r="G77" i="9"/>
  <c r="H77" i="9"/>
  <c r="I77" i="9"/>
  <c r="L77" i="9"/>
  <c r="O77" i="9"/>
  <c r="P77" i="9"/>
  <c r="Q77" i="9"/>
  <c r="R77" i="9"/>
  <c r="W77" i="9"/>
  <c r="X77" i="9"/>
  <c r="Y77" i="9"/>
  <c r="Z77" i="9"/>
  <c r="AA77" i="9"/>
  <c r="AC77" i="9"/>
  <c r="AD77" i="9"/>
  <c r="AE77" i="9"/>
  <c r="AF77" i="9"/>
  <c r="AL77" i="9"/>
  <c r="AM77" i="9"/>
  <c r="AN77" i="9"/>
  <c r="AO77" i="9"/>
  <c r="AQ77" i="9"/>
  <c r="AR77" i="9"/>
  <c r="C78" i="9"/>
  <c r="D78" i="9"/>
  <c r="E78" i="9"/>
  <c r="F78" i="9"/>
  <c r="G78" i="9"/>
  <c r="H78" i="9"/>
  <c r="I78" i="9"/>
  <c r="L78" i="9"/>
  <c r="O78" i="9"/>
  <c r="P78" i="9"/>
  <c r="Q78" i="9"/>
  <c r="R78" i="9"/>
  <c r="W78" i="9"/>
  <c r="X78" i="9"/>
  <c r="Y78" i="9"/>
  <c r="Z78" i="9"/>
  <c r="AA78" i="9"/>
  <c r="AC78" i="9"/>
  <c r="AF78" i="9"/>
  <c r="AL78" i="9"/>
  <c r="AM78" i="9"/>
  <c r="AN78" i="9"/>
  <c r="AO78" i="9"/>
  <c r="AR78" i="9"/>
  <c r="AE36" i="9"/>
  <c r="P36" i="9"/>
  <c r="O36" i="9"/>
  <c r="I36" i="9"/>
  <c r="H36" i="9"/>
  <c r="G36" i="9"/>
  <c r="F36" i="9"/>
  <c r="E36" i="9"/>
  <c r="D36" i="9"/>
  <c r="C36" i="9"/>
  <c r="B36" i="9"/>
  <c r="AE35" i="9"/>
  <c r="P35" i="9"/>
  <c r="O35" i="9"/>
  <c r="I35" i="9"/>
  <c r="H35" i="9"/>
  <c r="G35" i="9"/>
  <c r="F35" i="9"/>
  <c r="E35" i="9"/>
  <c r="D35" i="9"/>
  <c r="C35" i="9"/>
  <c r="B35" i="9"/>
  <c r="AQ35" i="9"/>
  <c r="AM35" i="9"/>
  <c r="AI35" i="9"/>
  <c r="L36" i="9"/>
  <c r="AR36" i="9"/>
  <c r="AO35" i="9"/>
  <c r="AN36" i="9"/>
  <c r="AH35" i="9"/>
  <c r="AB36" i="9"/>
  <c r="AA35" i="9"/>
  <c r="Z35" i="9"/>
  <c r="Y35" i="9"/>
  <c r="R35" i="9"/>
  <c r="AP34" i="9"/>
  <c r="U34" i="9"/>
  <c r="T34" i="9"/>
  <c r="M34" i="9"/>
  <c r="J34" i="9"/>
  <c r="AP33" i="9"/>
  <c r="U33" i="9"/>
  <c r="T33" i="9"/>
  <c r="M33" i="9"/>
  <c r="K33" i="9"/>
  <c r="AP32" i="9"/>
  <c r="T32" i="9"/>
  <c r="M32" i="9"/>
  <c r="K32" i="9"/>
  <c r="J32" i="9"/>
  <c r="AP31" i="9"/>
  <c r="U31" i="9"/>
  <c r="T31" i="9"/>
  <c r="M31" i="9"/>
  <c r="K31" i="9"/>
  <c r="J31" i="9"/>
  <c r="U30" i="9"/>
  <c r="T30" i="9"/>
  <c r="M30" i="9"/>
  <c r="K30" i="9"/>
  <c r="J30" i="9"/>
  <c r="AP29" i="9"/>
  <c r="T29" i="9"/>
  <c r="M29" i="9"/>
  <c r="K29" i="9"/>
  <c r="J29" i="9"/>
  <c r="AP28" i="9"/>
  <c r="U28" i="9"/>
  <c r="M28" i="9"/>
  <c r="J28" i="9"/>
  <c r="U27" i="9"/>
  <c r="M27" i="9"/>
  <c r="K27" i="9"/>
  <c r="J27" i="9"/>
  <c r="AP26" i="9"/>
  <c r="T26" i="9"/>
  <c r="M26" i="9"/>
  <c r="K26" i="9"/>
  <c r="J26" i="9"/>
  <c r="AP25" i="9"/>
  <c r="U25" i="9"/>
  <c r="T25" i="9"/>
  <c r="M25" i="9"/>
  <c r="K25" i="9"/>
  <c r="J25" i="9"/>
  <c r="B16" i="9"/>
  <c r="J16" i="9"/>
  <c r="K16" i="9"/>
  <c r="M16" i="9"/>
  <c r="T16" i="9"/>
  <c r="U16" i="9"/>
  <c r="V16" i="9"/>
  <c r="AP16" i="9"/>
  <c r="J17" i="9"/>
  <c r="K17" i="9"/>
  <c r="M17" i="9"/>
  <c r="T17" i="9"/>
  <c r="U17" i="9"/>
  <c r="V17" i="9"/>
  <c r="AP17" i="9"/>
  <c r="B18" i="9"/>
  <c r="J18" i="9"/>
  <c r="K18" i="9"/>
  <c r="M18" i="9"/>
  <c r="T18" i="9"/>
  <c r="U18" i="9"/>
  <c r="V18" i="9"/>
  <c r="J19" i="9"/>
  <c r="K19" i="9"/>
  <c r="M19" i="9"/>
  <c r="T19" i="9"/>
  <c r="U19" i="9"/>
  <c r="V19" i="9"/>
  <c r="AP19" i="9"/>
  <c r="B20" i="9"/>
  <c r="J20" i="9"/>
  <c r="K20" i="9"/>
  <c r="M20" i="9"/>
  <c r="T20" i="9"/>
  <c r="U20" i="9"/>
  <c r="V20" i="9"/>
  <c r="AP20" i="9"/>
  <c r="E22" i="9"/>
  <c r="C21" i="9"/>
  <c r="F21" i="9"/>
  <c r="I21" i="9"/>
  <c r="C22" i="9"/>
  <c r="F22" i="9"/>
  <c r="I22" i="9"/>
  <c r="M113" i="9" l="1"/>
  <c r="K99" i="9"/>
  <c r="U127" i="9"/>
  <c r="U128" i="9"/>
  <c r="AD78" i="9"/>
  <c r="J113" i="9"/>
  <c r="AP113" i="9"/>
  <c r="T113" i="9"/>
  <c r="U114" i="9"/>
  <c r="M127" i="9"/>
  <c r="M128" i="9"/>
  <c r="T98" i="9"/>
  <c r="AP98" i="9"/>
  <c r="U99" i="9"/>
  <c r="K98" i="9"/>
  <c r="M98" i="9"/>
  <c r="T114" i="9"/>
  <c r="AR68" i="9"/>
  <c r="J99" i="9"/>
  <c r="U98" i="9"/>
  <c r="AP99" i="9"/>
  <c r="K113" i="9"/>
  <c r="U113" i="9"/>
  <c r="M114" i="9"/>
  <c r="AR69" i="9"/>
  <c r="AC69" i="9"/>
  <c r="AH68" i="9"/>
  <c r="J98" i="9"/>
  <c r="J114" i="9"/>
  <c r="AP114" i="9"/>
  <c r="T99" i="9"/>
  <c r="K114" i="9"/>
  <c r="T59" i="9"/>
  <c r="AI77" i="9"/>
  <c r="K47" i="9"/>
  <c r="T58" i="9"/>
  <c r="U59" i="9"/>
  <c r="M58" i="9"/>
  <c r="J58" i="9"/>
  <c r="U58" i="9"/>
  <c r="AI78" i="9"/>
  <c r="AJ69" i="9"/>
  <c r="AD69" i="9"/>
  <c r="J59" i="9"/>
  <c r="J77" i="9"/>
  <c r="V78" i="9"/>
  <c r="AJ77" i="9"/>
  <c r="T78" i="9"/>
  <c r="S68" i="9"/>
  <c r="B69" i="9"/>
  <c r="K69" i="9"/>
  <c r="J68" i="9"/>
  <c r="V68" i="9"/>
  <c r="AJ78" i="9"/>
  <c r="J78" i="9"/>
  <c r="AG77" i="9"/>
  <c r="V77" i="9"/>
  <c r="S69" i="9"/>
  <c r="AQ68" i="9"/>
  <c r="AG68" i="9"/>
  <c r="Q68" i="9"/>
  <c r="B68" i="9"/>
  <c r="J69" i="9"/>
  <c r="N69" i="9"/>
  <c r="T47" i="9"/>
  <c r="U47" i="9"/>
  <c r="K46" i="9"/>
  <c r="U46" i="9"/>
  <c r="M47" i="9"/>
  <c r="N78" i="9"/>
  <c r="S78" i="9"/>
  <c r="AK78" i="9"/>
  <c r="AB78" i="9"/>
  <c r="K78" i="9"/>
  <c r="V69" i="9"/>
  <c r="M69" i="9"/>
  <c r="K77" i="9"/>
  <c r="J47" i="9"/>
  <c r="B78" i="9"/>
  <c r="AP78" i="9"/>
  <c r="U78" i="9"/>
  <c r="AP69" i="9"/>
  <c r="T69" i="9"/>
  <c r="S77" i="9"/>
  <c r="AB77" i="9"/>
  <c r="T77" i="9"/>
  <c r="M78" i="9"/>
  <c r="K68" i="9"/>
  <c r="U69" i="9"/>
  <c r="T46" i="9"/>
  <c r="O22" i="9"/>
  <c r="L21" i="9"/>
  <c r="AG21" i="9"/>
  <c r="AF35" i="9"/>
  <c r="AK36" i="9"/>
  <c r="AP68" i="9"/>
  <c r="N68" i="9"/>
  <c r="O21" i="9"/>
  <c r="S35" i="9"/>
  <c r="AP77" i="9"/>
  <c r="AH77" i="9"/>
  <c r="B77" i="9"/>
  <c r="AK68" i="9"/>
  <c r="U68" i="9"/>
  <c r="M68" i="9"/>
  <c r="AI22" i="9"/>
  <c r="N35" i="9"/>
  <c r="AC35" i="9"/>
  <c r="AK77" i="9"/>
  <c r="U77" i="9"/>
  <c r="M77" i="9"/>
  <c r="AF68" i="9"/>
  <c r="T68" i="9"/>
  <c r="Q36" i="9"/>
  <c r="Z21" i="9"/>
  <c r="AG22" i="9"/>
  <c r="Y21" i="9"/>
  <c r="Q21" i="9"/>
  <c r="AL22" i="9"/>
  <c r="V21" i="9"/>
  <c r="AD35" i="9"/>
  <c r="AJ36" i="9"/>
  <c r="E21" i="9"/>
  <c r="W22" i="9"/>
  <c r="AE22" i="9"/>
  <c r="AA22" i="9"/>
  <c r="G22" i="9"/>
  <c r="K22" i="9"/>
  <c r="T36" i="9"/>
  <c r="X36" i="9"/>
  <c r="AG35" i="9"/>
  <c r="AL35" i="9"/>
  <c r="AR35" i="9"/>
  <c r="Z22" i="9"/>
  <c r="R21" i="9"/>
  <c r="J35" i="9"/>
  <c r="U35" i="9"/>
  <c r="AG36" i="9"/>
  <c r="AM22" i="9"/>
  <c r="AQ22" i="9"/>
  <c r="AD21" i="9"/>
  <c r="AP21" i="9"/>
  <c r="N21" i="9"/>
  <c r="B21" i="9"/>
  <c r="J21" i="9"/>
  <c r="AH21" i="9"/>
  <c r="K35" i="9"/>
  <c r="AP35" i="9"/>
  <c r="T35" i="9"/>
  <c r="M36" i="9"/>
  <c r="U36" i="9"/>
  <c r="V35" i="9"/>
  <c r="AC36" i="9"/>
  <c r="L35" i="9"/>
  <c r="AB35" i="9"/>
  <c r="M35" i="9"/>
  <c r="W35" i="9"/>
  <c r="AF36" i="9"/>
  <c r="AK35" i="9"/>
  <c r="X35" i="9"/>
  <c r="AN35" i="9"/>
  <c r="Y36" i="9"/>
  <c r="L22" i="9"/>
  <c r="AJ35" i="9"/>
  <c r="AO36" i="9"/>
  <c r="AH22" i="9"/>
  <c r="Q35" i="9"/>
  <c r="J36" i="9"/>
  <c r="N36" i="9"/>
  <c r="R36" i="9"/>
  <c r="V36" i="9"/>
  <c r="Z36" i="9"/>
  <c r="AD36" i="9"/>
  <c r="AH36" i="9"/>
  <c r="AL36" i="9"/>
  <c r="AP36" i="9"/>
  <c r="AL21" i="9"/>
  <c r="AR22" i="9"/>
  <c r="AB22" i="9"/>
  <c r="X22" i="9"/>
  <c r="H22" i="9"/>
  <c r="AO22" i="9"/>
  <c r="J22" i="9"/>
  <c r="AK22" i="9"/>
  <c r="AE21" i="9"/>
  <c r="AA21" i="9"/>
  <c r="R22" i="9"/>
  <c r="N22" i="9"/>
  <c r="AJ22" i="9"/>
  <c r="AF22" i="9"/>
  <c r="P22" i="9"/>
  <c r="V22" i="9"/>
  <c r="AQ21" i="9"/>
  <c r="AD22" i="9"/>
  <c r="U22" i="9"/>
  <c r="M21" i="9"/>
  <c r="AP22" i="9"/>
  <c r="AC22" i="9"/>
  <c r="S21" i="9"/>
  <c r="B22" i="9"/>
  <c r="K36" i="9"/>
  <c r="S36" i="9"/>
  <c r="W36" i="9"/>
  <c r="AA36" i="9"/>
  <c r="AI36" i="9"/>
  <c r="AM36" i="9"/>
  <c r="AQ36" i="9"/>
  <c r="S22" i="9"/>
  <c r="AN22" i="9"/>
  <c r="W21" i="9"/>
  <c r="Y22" i="9"/>
  <c r="Q22" i="9"/>
  <c r="D22" i="9"/>
  <c r="AM21" i="9"/>
  <c r="G21" i="9"/>
  <c r="T22" i="9"/>
  <c r="K21" i="9"/>
  <c r="AI21" i="9"/>
  <c r="M22" i="9"/>
  <c r="AO21" i="9"/>
  <c r="AK21" i="9"/>
  <c r="AC21" i="9"/>
  <c r="U21" i="9"/>
  <c r="AR21" i="9"/>
  <c r="AN21" i="9"/>
  <c r="AJ21" i="9"/>
  <c r="AF21" i="9"/>
  <c r="AB21" i="9"/>
  <c r="X21" i="9"/>
  <c r="T21" i="9"/>
  <c r="P21" i="9"/>
  <c r="H21" i="9"/>
  <c r="D21" i="9"/>
  <c r="AO13" i="9" l="1"/>
  <c r="AN13" i="9"/>
  <c r="Z13" i="9"/>
  <c r="Y13" i="9"/>
  <c r="X13" i="9"/>
  <c r="W13" i="9"/>
  <c r="R13" i="9"/>
  <c r="P13" i="9"/>
  <c r="O13" i="9"/>
  <c r="I13" i="9"/>
  <c r="H13" i="9"/>
  <c r="G13" i="9"/>
  <c r="F13" i="9"/>
  <c r="E13" i="9"/>
  <c r="D13" i="9"/>
  <c r="C13" i="9"/>
  <c r="AO12" i="9"/>
  <c r="AN12" i="9"/>
  <c r="Z12" i="9"/>
  <c r="Y12" i="9"/>
  <c r="X12" i="9"/>
  <c r="W12" i="9"/>
  <c r="R12" i="9"/>
  <c r="P12" i="9"/>
  <c r="O12" i="9"/>
  <c r="I12" i="9"/>
  <c r="H12" i="9"/>
  <c r="G12" i="9"/>
  <c r="F12" i="9"/>
  <c r="E12" i="9"/>
  <c r="D12" i="9"/>
  <c r="C12" i="9"/>
  <c r="AR13" i="9"/>
  <c r="AQ12" i="9"/>
  <c r="AM12" i="9"/>
  <c r="AL12" i="9"/>
  <c r="AK12" i="9"/>
  <c r="AJ13" i="9"/>
  <c r="AI12" i="9"/>
  <c r="AH12" i="9"/>
  <c r="AG12" i="9"/>
  <c r="AF13" i="9"/>
  <c r="AE12" i="9"/>
  <c r="AD12" i="9"/>
  <c r="AC12" i="9"/>
  <c r="AB13" i="9"/>
  <c r="AA12" i="9"/>
  <c r="Q12" i="9"/>
  <c r="L13" i="9"/>
  <c r="V11" i="9"/>
  <c r="U11" i="9"/>
  <c r="T11" i="9"/>
  <c r="J11" i="9"/>
  <c r="AP10" i="9"/>
  <c r="U10" i="9"/>
  <c r="T10" i="9"/>
  <c r="M10" i="9"/>
  <c r="K10" i="9"/>
  <c r="AP9" i="9"/>
  <c r="U9" i="9"/>
  <c r="T9" i="9"/>
  <c r="M9" i="9"/>
  <c r="K9" i="9"/>
  <c r="AP8" i="9"/>
  <c r="U8" i="9"/>
  <c r="T8" i="9"/>
  <c r="M8" i="9"/>
  <c r="K8" i="9"/>
  <c r="AP7" i="9"/>
  <c r="U7" i="9"/>
  <c r="T7" i="9"/>
  <c r="M7" i="9"/>
  <c r="J7" i="9"/>
  <c r="AP6" i="9"/>
  <c r="U6" i="9"/>
  <c r="T6" i="9"/>
  <c r="M6" i="9"/>
  <c r="AP5" i="9"/>
  <c r="U5" i="9"/>
  <c r="T5" i="9"/>
  <c r="M5" i="9"/>
  <c r="J5" i="9"/>
  <c r="AP4" i="9"/>
  <c r="U4" i="9"/>
  <c r="T4" i="9"/>
  <c r="M4" i="9"/>
  <c r="J4" i="9"/>
  <c r="N12" i="9" l="1"/>
  <c r="AR12" i="9"/>
  <c r="M12" i="9"/>
  <c r="AP12" i="9"/>
  <c r="V12" i="9"/>
  <c r="J12" i="9"/>
  <c r="AC13" i="9"/>
  <c r="B12" i="9"/>
  <c r="S12" i="9"/>
  <c r="U13" i="9"/>
  <c r="T12" i="9"/>
  <c r="M13" i="9"/>
  <c r="AG13" i="9"/>
  <c r="T13" i="9"/>
  <c r="L12" i="9"/>
  <c r="Q13" i="9"/>
  <c r="AK13" i="9"/>
  <c r="K12" i="9"/>
  <c r="U12" i="9"/>
  <c r="AB12" i="9"/>
  <c r="AJ12" i="9"/>
  <c r="B13" i="9"/>
  <c r="J13" i="9"/>
  <c r="N13" i="9"/>
  <c r="V13" i="9"/>
  <c r="AD13" i="9"/>
  <c r="AH13" i="9"/>
  <c r="AL13" i="9"/>
  <c r="AP13" i="9"/>
  <c r="AF12" i="9"/>
  <c r="K13" i="9"/>
  <c r="S13" i="9"/>
  <c r="AA13" i="9"/>
  <c r="AE13" i="9"/>
  <c r="AI13" i="9"/>
  <c r="AM13" i="9"/>
  <c r="AQ13" i="9"/>
</calcChain>
</file>

<file path=xl/sharedStrings.xml><?xml version="1.0" encoding="utf-8"?>
<sst xmlns="http://schemas.openxmlformats.org/spreadsheetml/2006/main" count="76" uniqueCount="57">
  <si>
    <t>Li7</t>
  </si>
  <si>
    <t>Si29</t>
  </si>
  <si>
    <t>Ca43</t>
  </si>
  <si>
    <t>Sc45</t>
  </si>
  <si>
    <t>Ti49</t>
  </si>
  <si>
    <t>V51</t>
  </si>
  <si>
    <t>Cr53</t>
  </si>
  <si>
    <t>Co59</t>
  </si>
  <si>
    <t>Ni62</t>
  </si>
  <si>
    <t>Cu65</t>
  </si>
  <si>
    <t>Ga71</t>
  </si>
  <si>
    <t>As75</t>
  </si>
  <si>
    <t>Rb85</t>
  </si>
  <si>
    <t>Sr88</t>
  </si>
  <si>
    <t>Y89</t>
  </si>
  <si>
    <t>Zr90</t>
  </si>
  <si>
    <t>Nb93</t>
  </si>
  <si>
    <t>Mo95</t>
  </si>
  <si>
    <t>Sn118</t>
  </si>
  <si>
    <t>Sb121</t>
  </si>
  <si>
    <t>Cs133</t>
  </si>
  <si>
    <t>Ba137</t>
  </si>
  <si>
    <t>La139</t>
  </si>
  <si>
    <t>Ce140</t>
  </si>
  <si>
    <t>Pr141</t>
  </si>
  <si>
    <t>Nd146</t>
  </si>
  <si>
    <t>Sm147</t>
  </si>
  <si>
    <t>Eu151</t>
  </si>
  <si>
    <t>Gd157</t>
  </si>
  <si>
    <t>Tb159</t>
  </si>
  <si>
    <t>Dy163</t>
  </si>
  <si>
    <t>Ho165</t>
  </si>
  <si>
    <t>Er167</t>
  </si>
  <si>
    <t>Tm169</t>
  </si>
  <si>
    <t>Yb173</t>
  </si>
  <si>
    <t>Lu175</t>
  </si>
  <si>
    <t>Hf178</t>
  </si>
  <si>
    <t>Ta181</t>
  </si>
  <si>
    <t>W182</t>
  </si>
  <si>
    <t>W183</t>
  </si>
  <si>
    <t>Pb208</t>
  </si>
  <si>
    <t>Th232</t>
  </si>
  <si>
    <t>U238</t>
  </si>
  <si>
    <t>A</t>
  </si>
  <si>
    <t>σ</t>
  </si>
  <si>
    <t>Spot no.</t>
  </si>
  <si>
    <t>E159: 1200 °C, 1 GPa (only metasome)</t>
  </si>
  <si>
    <t xml:space="preserve">E166: 1150 °C, 1 GPa </t>
  </si>
  <si>
    <t xml:space="preserve">E158: 1200 °C, 1 GPa </t>
  </si>
  <si>
    <t xml:space="preserve">E150: 1150 °C, 3 GPa </t>
  </si>
  <si>
    <t xml:space="preserve">E179: 1250 °C, 3 GPa </t>
  </si>
  <si>
    <t xml:space="preserve">E177: 1200 °C, 3 GPa </t>
  </si>
  <si>
    <t xml:space="preserve">E178: 1300 °C, 3 GPa </t>
  </si>
  <si>
    <t xml:space="preserve">E182: 1200 °C, 4 GPa </t>
  </si>
  <si>
    <t xml:space="preserve">E186: 1250 °C, 4 GPa </t>
  </si>
  <si>
    <t xml:space="preserve">E183: 1300 °C, 4 GPa </t>
  </si>
  <si>
    <t>KulX1 glass: 1500 °C, 1 atm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</si>
</sst>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9C5700"/>
      <name val="Arial"/>
      <family val="2"/>
    </font>
    <font>
      <sz val="11"/>
      <color theme="1"/>
      <name val="Arial"/>
      <family val="2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2" borderId="0" applyNumberFormat="0" applyBorder="0" applyAlignment="0" applyProtection="0"/>
  </cellStyleXfs>
  <cellXfs count="11">
    <xf numFmtId="0" fontId="0" fillId="0" borderId="0" xfId="0"/>
    <xf numFmtId="0" fontId="0" fillId="0" borderId="0" xfId="0" applyFont="1"/>
    <xf numFmtId="0" fontId="4" fillId="3" borderId="0" xfId="1" applyFont="1" applyFill="1"/>
    <xf numFmtId="0" fontId="1" fillId="0" borderId="0" xfId="0" applyFont="1" applyFill="1" applyAlignment="1">
      <alignment horizontal="center"/>
    </xf>
    <xf numFmtId="0" fontId="4" fillId="3" borderId="0" xfId="0" applyFont="1" applyFill="1"/>
    <xf numFmtId="2" fontId="0" fillId="0" borderId="0" xfId="0" applyNumberFormat="1" applyFont="1"/>
    <xf numFmtId="0" fontId="0" fillId="0" borderId="0" xfId="0" applyFont="1" applyFill="1"/>
    <xf numFmtId="0" fontId="3" fillId="0" borderId="0" xfId="0" applyFont="1" applyFill="1"/>
    <xf numFmtId="0" fontId="0" fillId="0" borderId="0" xfId="0" applyFill="1"/>
    <xf numFmtId="0" fontId="0" fillId="3" borderId="0" xfId="0" applyFont="1" applyFill="1"/>
    <xf numFmtId="2" fontId="0" fillId="3" borderId="0" xfId="0" applyNumberFormat="1" applyFont="1" applyFill="1"/>
  </cellXfs>
  <cellStyles count="2">
    <cellStyle name="Neutral" xfId="1" builtinId="2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tobias\Documents\Uni%20Mainz\Diplom\RFA\RFA%20gesam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latt 1"/>
      <sheetName val="Spider"/>
      <sheetName val="Indesign"/>
      <sheetName val="CIPW-Norm"/>
      <sheetName val="Alici 2002"/>
      <sheetName val="Sölpüker 2007"/>
      <sheetName val="Tabelle2"/>
    </sheetNames>
    <sheetDataSet>
      <sheetData sheetId="0">
        <row r="5">
          <cell r="D5">
            <v>114</v>
          </cell>
          <cell r="F5">
            <v>99</v>
          </cell>
          <cell r="M5">
            <v>218</v>
          </cell>
          <cell r="N5">
            <v>93</v>
          </cell>
          <cell r="U5">
            <v>44.85</v>
          </cell>
          <cell r="V5">
            <v>2.2109999999999999</v>
          </cell>
          <cell r="W5">
            <v>16.559999999999999</v>
          </cell>
          <cell r="Z5">
            <v>7.76</v>
          </cell>
          <cell r="AA5">
            <v>9.64</v>
          </cell>
          <cell r="AB5">
            <v>4.74</v>
          </cell>
          <cell r="AC5">
            <v>2.96</v>
          </cell>
          <cell r="AR5">
            <v>0.58212560386473433</v>
          </cell>
          <cell r="AZ5">
            <v>1</v>
          </cell>
          <cell r="BB5">
            <v>2.34</v>
          </cell>
          <cell r="BC5">
            <v>1.27</v>
          </cell>
        </row>
        <row r="6">
          <cell r="D6">
            <v>118</v>
          </cell>
          <cell r="F6">
            <v>94</v>
          </cell>
          <cell r="M6">
            <v>221</v>
          </cell>
          <cell r="N6">
            <v>95</v>
          </cell>
          <cell r="U6">
            <v>44.47</v>
          </cell>
          <cell r="V6">
            <v>2.2400000000000002</v>
          </cell>
          <cell r="W6">
            <v>16.48</v>
          </cell>
          <cell r="Z6">
            <v>7.69</v>
          </cell>
          <cell r="AA6">
            <v>9.58</v>
          </cell>
          <cell r="AB6">
            <v>4.6500000000000004</v>
          </cell>
          <cell r="AC6">
            <v>2.95</v>
          </cell>
          <cell r="AR6">
            <v>0.5813106796116505</v>
          </cell>
          <cell r="AZ6">
            <v>2</v>
          </cell>
          <cell r="BB6">
            <v>4.68</v>
          </cell>
          <cell r="BC6">
            <v>2.54</v>
          </cell>
        </row>
        <row r="7">
          <cell r="D7">
            <v>7</v>
          </cell>
          <cell r="F7">
            <v>13</v>
          </cell>
          <cell r="M7">
            <v>223</v>
          </cell>
          <cell r="N7">
            <v>113</v>
          </cell>
          <cell r="U7">
            <v>44.91</v>
          </cell>
          <cell r="V7">
            <v>2.194</v>
          </cell>
          <cell r="W7">
            <v>18.27</v>
          </cell>
          <cell r="Z7">
            <v>4.72</v>
          </cell>
          <cell r="AA7">
            <v>9.33</v>
          </cell>
          <cell r="AB7">
            <v>5.57</v>
          </cell>
          <cell r="AC7">
            <v>2.78</v>
          </cell>
          <cell r="AR7">
            <v>0.51067323481116589</v>
          </cell>
          <cell r="AZ7">
            <v>3</v>
          </cell>
          <cell r="BB7">
            <v>7.02</v>
          </cell>
          <cell r="BC7">
            <v>3.81</v>
          </cell>
        </row>
        <row r="8">
          <cell r="D8">
            <v>82</v>
          </cell>
          <cell r="F8">
            <v>78</v>
          </cell>
          <cell r="M8">
            <v>227</v>
          </cell>
          <cell r="N8">
            <v>98</v>
          </cell>
          <cell r="U8">
            <v>45.4</v>
          </cell>
          <cell r="V8">
            <v>2.1880000000000002</v>
          </cell>
          <cell r="W8">
            <v>16.84</v>
          </cell>
          <cell r="Z8">
            <v>7.1</v>
          </cell>
          <cell r="AA8">
            <v>9.3800000000000008</v>
          </cell>
          <cell r="AB8">
            <v>4.9800000000000004</v>
          </cell>
          <cell r="AC8">
            <v>2.94</v>
          </cell>
          <cell r="AR8">
            <v>0.55700712589073642</v>
          </cell>
          <cell r="AZ8">
            <v>4</v>
          </cell>
          <cell r="BB8">
            <v>9.36</v>
          </cell>
          <cell r="BC8">
            <v>5.08</v>
          </cell>
        </row>
        <row r="9">
          <cell r="D9">
            <v>82</v>
          </cell>
          <cell r="F9">
            <v>83</v>
          </cell>
          <cell r="M9">
            <v>224</v>
          </cell>
          <cell r="N9">
            <v>100</v>
          </cell>
          <cell r="U9">
            <v>45.43</v>
          </cell>
          <cell r="V9">
            <v>2.1970000000000001</v>
          </cell>
          <cell r="W9">
            <v>16.940000000000001</v>
          </cell>
          <cell r="Z9">
            <v>7.21</v>
          </cell>
          <cell r="AA9">
            <v>9.1999999999999993</v>
          </cell>
          <cell r="AB9">
            <v>4.9400000000000004</v>
          </cell>
          <cell r="AC9">
            <v>3.13</v>
          </cell>
          <cell r="AR9">
            <v>0.54309327036599753</v>
          </cell>
          <cell r="AZ9">
            <v>10</v>
          </cell>
        </row>
        <row r="10">
          <cell r="D10">
            <v>24</v>
          </cell>
          <cell r="F10">
            <v>29</v>
          </cell>
          <cell r="M10">
            <v>214</v>
          </cell>
          <cell r="N10">
            <v>96</v>
          </cell>
          <cell r="U10">
            <v>45.08</v>
          </cell>
          <cell r="V10">
            <v>2.1549999999999998</v>
          </cell>
          <cell r="W10">
            <v>17.39</v>
          </cell>
          <cell r="Z10">
            <v>5.58</v>
          </cell>
          <cell r="AA10">
            <v>9.75</v>
          </cell>
          <cell r="AB10">
            <v>5</v>
          </cell>
          <cell r="AC10">
            <v>2.88</v>
          </cell>
          <cell r="AR10">
            <v>0.56066705002875217</v>
          </cell>
          <cell r="AZ10">
            <v>20</v>
          </cell>
        </row>
        <row r="14">
          <cell r="D14">
            <v>64</v>
          </cell>
          <cell r="F14">
            <v>62</v>
          </cell>
          <cell r="M14">
            <v>214</v>
          </cell>
          <cell r="N14">
            <v>91</v>
          </cell>
          <cell r="U14">
            <v>47.09</v>
          </cell>
          <cell r="V14">
            <v>1.855</v>
          </cell>
          <cell r="W14">
            <v>18.05</v>
          </cell>
          <cell r="Z14">
            <v>5.69</v>
          </cell>
          <cell r="AA14">
            <v>8.23</v>
          </cell>
          <cell r="AB14">
            <v>5.34</v>
          </cell>
          <cell r="AC14">
            <v>3.54</v>
          </cell>
          <cell r="AR14">
            <v>0.45595567867036013</v>
          </cell>
        </row>
        <row r="17">
          <cell r="D17">
            <v>457</v>
          </cell>
          <cell r="F17">
            <v>339</v>
          </cell>
          <cell r="M17">
            <v>112</v>
          </cell>
          <cell r="N17">
            <v>43</v>
          </cell>
          <cell r="U17">
            <v>41.96</v>
          </cell>
          <cell r="V17">
            <v>2.7280000000000002</v>
          </cell>
          <cell r="W17">
            <v>10.039999999999999</v>
          </cell>
          <cell r="Z17">
            <v>18.54</v>
          </cell>
          <cell r="AA17">
            <v>12.71</v>
          </cell>
          <cell r="AB17">
            <v>1.55</v>
          </cell>
          <cell r="AC17">
            <v>0.76</v>
          </cell>
          <cell r="AR17">
            <v>1.2659362549800799</v>
          </cell>
        </row>
        <row r="18">
          <cell r="D18">
            <v>1067</v>
          </cell>
          <cell r="F18">
            <v>113</v>
          </cell>
          <cell r="M18">
            <v>96</v>
          </cell>
          <cell r="N18">
            <v>29</v>
          </cell>
          <cell r="U18">
            <v>42.19</v>
          </cell>
          <cell r="V18">
            <v>3.7930000000000001</v>
          </cell>
          <cell r="W18">
            <v>12.47</v>
          </cell>
          <cell r="Z18">
            <v>12.73</v>
          </cell>
          <cell r="AA18">
            <v>15.91</v>
          </cell>
          <cell r="AB18">
            <v>1.59</v>
          </cell>
          <cell r="AC18">
            <v>1.1100000000000001</v>
          </cell>
          <cell r="AR18">
            <v>1.2758620689655171</v>
          </cell>
        </row>
        <row r="19">
          <cell r="D19">
            <v>4</v>
          </cell>
          <cell r="F19">
            <v>18</v>
          </cell>
          <cell r="M19">
            <v>139</v>
          </cell>
          <cell r="N19">
            <v>71</v>
          </cell>
          <cell r="U19">
            <v>37.130000000000003</v>
          </cell>
          <cell r="V19">
            <v>4.2569999999999997</v>
          </cell>
          <cell r="W19">
            <v>14.55</v>
          </cell>
          <cell r="Z19">
            <v>9.66</v>
          </cell>
          <cell r="AA19">
            <v>14.28</v>
          </cell>
          <cell r="AB19">
            <v>2.34</v>
          </cell>
          <cell r="AC19">
            <v>1.89</v>
          </cell>
          <cell r="AR19">
            <v>0.98144329896907212</v>
          </cell>
        </row>
      </sheetData>
      <sheetData sheetId="1"/>
      <sheetData sheetId="2"/>
      <sheetData sheetId="3"/>
      <sheetData sheetId="4">
        <row r="4">
          <cell r="B4">
            <v>47.61</v>
          </cell>
          <cell r="C4">
            <v>45.72</v>
          </cell>
          <cell r="D4">
            <v>47.8</v>
          </cell>
          <cell r="E4">
            <v>46.2</v>
          </cell>
          <cell r="F4">
            <v>45.2</v>
          </cell>
          <cell r="H4">
            <v>48.39</v>
          </cell>
          <cell r="I4">
            <v>48.46</v>
          </cell>
          <cell r="J4">
            <v>45.74</v>
          </cell>
          <cell r="K4">
            <v>45.3</v>
          </cell>
          <cell r="L4">
            <v>42.63</v>
          </cell>
          <cell r="M4">
            <v>49.08</v>
          </cell>
          <cell r="N4">
            <v>47.53</v>
          </cell>
          <cell r="O4">
            <v>45.03</v>
          </cell>
          <cell r="P4">
            <v>44.94</v>
          </cell>
          <cell r="Q4">
            <v>43.92</v>
          </cell>
          <cell r="R4">
            <v>43.38</v>
          </cell>
          <cell r="S4">
            <v>44.78</v>
          </cell>
          <cell r="T4">
            <v>43.81</v>
          </cell>
          <cell r="U4">
            <v>44.22</v>
          </cell>
          <cell r="V4">
            <v>45.01</v>
          </cell>
          <cell r="W4">
            <v>44.45</v>
          </cell>
          <cell r="X4">
            <v>45.17</v>
          </cell>
          <cell r="Y4">
            <v>47.53</v>
          </cell>
          <cell r="Z4">
            <v>46.1</v>
          </cell>
          <cell r="AA4">
            <v>47.24</v>
          </cell>
          <cell r="AB4">
            <v>47.04</v>
          </cell>
          <cell r="AC4">
            <v>47.21</v>
          </cell>
          <cell r="AD4">
            <v>44.31</v>
          </cell>
          <cell r="AE4">
            <v>42.62</v>
          </cell>
          <cell r="AF4">
            <v>37.1</v>
          </cell>
          <cell r="AG4">
            <v>45.84</v>
          </cell>
          <cell r="AH4">
            <v>44.6</v>
          </cell>
          <cell r="AI4">
            <v>47.37</v>
          </cell>
          <cell r="AJ4">
            <v>46.3</v>
          </cell>
          <cell r="AK4">
            <v>46.5</v>
          </cell>
          <cell r="AL4">
            <v>44.94</v>
          </cell>
          <cell r="AM4">
            <v>46.29</v>
          </cell>
          <cell r="AN4">
            <v>46.09</v>
          </cell>
          <cell r="AP4">
            <v>48.06</v>
          </cell>
          <cell r="AQ4">
            <v>47.61</v>
          </cell>
          <cell r="AR4">
            <v>47.67</v>
          </cell>
          <cell r="AS4">
            <v>47.58</v>
          </cell>
          <cell r="AT4">
            <v>47.57</v>
          </cell>
          <cell r="AU4">
            <v>47.77</v>
          </cell>
          <cell r="AV4">
            <v>46.83</v>
          </cell>
          <cell r="AW4">
            <v>46.39</v>
          </cell>
          <cell r="AX4">
            <v>46.16</v>
          </cell>
          <cell r="AY4">
            <v>46.3</v>
          </cell>
          <cell r="AZ4">
            <v>46.87</v>
          </cell>
        </row>
        <row r="5">
          <cell r="B5">
            <v>1.89</v>
          </cell>
          <cell r="C5">
            <v>2.2200000000000002</v>
          </cell>
          <cell r="D5">
            <v>1.78</v>
          </cell>
          <cell r="E5">
            <v>2.2000000000000002</v>
          </cell>
          <cell r="F5">
            <v>2.04</v>
          </cell>
          <cell r="H5">
            <v>1.84</v>
          </cell>
          <cell r="I5">
            <v>1.9</v>
          </cell>
          <cell r="J5">
            <v>2.4300000000000002</v>
          </cell>
          <cell r="K5">
            <v>2.61</v>
          </cell>
          <cell r="L5">
            <v>3.71</v>
          </cell>
          <cell r="M5">
            <v>1.89</v>
          </cell>
          <cell r="N5">
            <v>1.77</v>
          </cell>
          <cell r="O5">
            <v>2.17</v>
          </cell>
          <cell r="P5">
            <v>2.23</v>
          </cell>
          <cell r="Q5">
            <v>2.38</v>
          </cell>
          <cell r="R5">
            <v>2.38</v>
          </cell>
          <cell r="S5">
            <v>1.95</v>
          </cell>
          <cell r="T5">
            <v>2.14</v>
          </cell>
          <cell r="U5">
            <v>2.1</v>
          </cell>
          <cell r="V5">
            <v>1.86</v>
          </cell>
          <cell r="W5">
            <v>1.88</v>
          </cell>
          <cell r="X5">
            <v>2.0299999999999998</v>
          </cell>
          <cell r="Y5">
            <v>1.8</v>
          </cell>
          <cell r="Z5">
            <v>2.0099999999999998</v>
          </cell>
          <cell r="AA5">
            <v>1.9</v>
          </cell>
          <cell r="AB5">
            <v>1.92</v>
          </cell>
          <cell r="AC5">
            <v>1.88</v>
          </cell>
          <cell r="AD5">
            <v>2.3199999999999998</v>
          </cell>
          <cell r="AE5">
            <v>2.93</v>
          </cell>
          <cell r="AF5">
            <v>3.55</v>
          </cell>
          <cell r="AG5">
            <v>2.11</v>
          </cell>
          <cell r="AH5">
            <v>2.16</v>
          </cell>
          <cell r="AI5">
            <v>1.76</v>
          </cell>
          <cell r="AJ5">
            <v>2.1800000000000002</v>
          </cell>
          <cell r="AK5">
            <v>1.93</v>
          </cell>
          <cell r="AL5">
            <v>2.2200000000000002</v>
          </cell>
          <cell r="AM5">
            <v>1.91</v>
          </cell>
          <cell r="AN5">
            <v>2.2599999999999998</v>
          </cell>
          <cell r="AP5">
            <v>1.86</v>
          </cell>
          <cell r="AQ5">
            <v>1.92</v>
          </cell>
          <cell r="AR5">
            <v>1.77</v>
          </cell>
          <cell r="AS5">
            <v>1.82</v>
          </cell>
          <cell r="AT5">
            <v>1.76</v>
          </cell>
          <cell r="AU5">
            <v>1.79</v>
          </cell>
          <cell r="AV5">
            <v>1.85</v>
          </cell>
          <cell r="AW5">
            <v>1.97</v>
          </cell>
          <cell r="AX5">
            <v>2.2000000000000002</v>
          </cell>
          <cell r="AY5">
            <v>1.94</v>
          </cell>
          <cell r="AZ5">
            <v>2.48</v>
          </cell>
        </row>
        <row r="6">
          <cell r="B6">
            <v>18.16</v>
          </cell>
          <cell r="C6">
            <v>18.329999999999998</v>
          </cell>
          <cell r="D6">
            <v>18.079999999999998</v>
          </cell>
          <cell r="E6">
            <v>18.32</v>
          </cell>
          <cell r="F6">
            <v>16.96</v>
          </cell>
          <cell r="H6">
            <v>18.22</v>
          </cell>
          <cell r="I6">
            <v>18.489999999999998</v>
          </cell>
          <cell r="J6">
            <v>16.75</v>
          </cell>
          <cell r="K6">
            <v>17.8</v>
          </cell>
          <cell r="L6">
            <v>15.98</v>
          </cell>
          <cell r="M6">
            <v>18.47</v>
          </cell>
          <cell r="N6">
            <v>18.170000000000002</v>
          </cell>
          <cell r="O6">
            <v>17.03</v>
          </cell>
          <cell r="P6">
            <v>16.8</v>
          </cell>
          <cell r="Q6">
            <v>15.93</v>
          </cell>
          <cell r="R6">
            <v>16.13</v>
          </cell>
          <cell r="S6">
            <v>15.38</v>
          </cell>
          <cell r="T6">
            <v>17.399999999999999</v>
          </cell>
          <cell r="U6">
            <v>17.850000000000001</v>
          </cell>
          <cell r="V6">
            <v>15.09</v>
          </cell>
          <cell r="W6">
            <v>14.97</v>
          </cell>
          <cell r="X6">
            <v>16.79</v>
          </cell>
          <cell r="Y6">
            <v>17.809999999999999</v>
          </cell>
          <cell r="Z6">
            <v>16.47</v>
          </cell>
          <cell r="AA6">
            <v>17.55</v>
          </cell>
          <cell r="AB6">
            <v>17.52</v>
          </cell>
          <cell r="AC6">
            <v>17.93</v>
          </cell>
          <cell r="AD6">
            <v>16.2</v>
          </cell>
          <cell r="AE6">
            <v>15.31</v>
          </cell>
          <cell r="AF6">
            <v>13.61</v>
          </cell>
          <cell r="AG6">
            <v>15.6</v>
          </cell>
          <cell r="AH6">
            <v>16.690000000000001</v>
          </cell>
          <cell r="AI6">
            <v>18.260000000000002</v>
          </cell>
          <cell r="AJ6">
            <v>16.62</v>
          </cell>
          <cell r="AK6">
            <v>17.739999999999998</v>
          </cell>
          <cell r="AL6">
            <v>16.78</v>
          </cell>
          <cell r="AM6">
            <v>18.91</v>
          </cell>
          <cell r="AN6">
            <v>16.559999999999999</v>
          </cell>
          <cell r="AP6">
            <v>18.16</v>
          </cell>
          <cell r="AQ6">
            <v>17.96</v>
          </cell>
          <cell r="AR6">
            <v>18.32</v>
          </cell>
          <cell r="AS6">
            <v>18.54</v>
          </cell>
          <cell r="AT6">
            <v>18.11</v>
          </cell>
          <cell r="AU6">
            <v>17.899999999999999</v>
          </cell>
          <cell r="AV6">
            <v>17.989999999999998</v>
          </cell>
          <cell r="AW6">
            <v>17.82</v>
          </cell>
          <cell r="AX6">
            <v>18.23</v>
          </cell>
          <cell r="AY6">
            <v>17.75</v>
          </cell>
          <cell r="AZ6">
            <v>16.84</v>
          </cell>
        </row>
        <row r="9">
          <cell r="B9">
            <v>4.59</v>
          </cell>
          <cell r="C9">
            <v>4.57</v>
          </cell>
          <cell r="D9">
            <v>5.82</v>
          </cell>
          <cell r="E9">
            <v>4.5999999999999996</v>
          </cell>
          <cell r="F9">
            <v>6.68</v>
          </cell>
          <cell r="H9">
            <v>5.9</v>
          </cell>
          <cell r="I9">
            <v>5.59</v>
          </cell>
          <cell r="J9">
            <v>5.93</v>
          </cell>
          <cell r="K9">
            <v>5.17</v>
          </cell>
          <cell r="L9">
            <v>8.9700000000000006</v>
          </cell>
          <cell r="M9">
            <v>4.6900000000000004</v>
          </cell>
          <cell r="N9">
            <v>5.58</v>
          </cell>
          <cell r="O9">
            <v>6.01</v>
          </cell>
          <cell r="P9">
            <v>6.05</v>
          </cell>
          <cell r="Q9">
            <v>8.0500000000000007</v>
          </cell>
          <cell r="R9">
            <v>7.66</v>
          </cell>
          <cell r="S9">
            <v>7.54</v>
          </cell>
          <cell r="T9">
            <v>5.21</v>
          </cell>
          <cell r="U9">
            <v>4.8</v>
          </cell>
          <cell r="V9">
            <v>7.66</v>
          </cell>
          <cell r="W9">
            <v>7.82</v>
          </cell>
          <cell r="X9">
            <v>6.91</v>
          </cell>
          <cell r="Y9">
            <v>6.04</v>
          </cell>
          <cell r="Z9">
            <v>7.67</v>
          </cell>
          <cell r="AA9">
            <v>5.64</v>
          </cell>
          <cell r="AB9">
            <v>5.64</v>
          </cell>
          <cell r="AC9">
            <v>5.4</v>
          </cell>
          <cell r="AD9">
            <v>7.31</v>
          </cell>
          <cell r="AE9">
            <v>9.52</v>
          </cell>
          <cell r="AF9">
            <v>10.91</v>
          </cell>
          <cell r="AG9">
            <v>7.62</v>
          </cell>
          <cell r="AH9">
            <v>5.68</v>
          </cell>
          <cell r="AI9">
            <v>5.66</v>
          </cell>
          <cell r="AJ9">
            <v>6.59</v>
          </cell>
          <cell r="AK9">
            <v>6.02</v>
          </cell>
          <cell r="AL9">
            <v>7.03</v>
          </cell>
          <cell r="AM9">
            <v>3.74</v>
          </cell>
          <cell r="AN9">
            <v>6.99</v>
          </cell>
          <cell r="AP9">
            <v>5.94</v>
          </cell>
          <cell r="AQ9">
            <v>6</v>
          </cell>
          <cell r="AR9">
            <v>5.68</v>
          </cell>
          <cell r="AS9">
            <v>5.36</v>
          </cell>
          <cell r="AT9">
            <v>5.84</v>
          </cell>
          <cell r="AU9">
            <v>6.12</v>
          </cell>
          <cell r="AV9">
            <v>5.94</v>
          </cell>
          <cell r="AW9">
            <v>6.15</v>
          </cell>
          <cell r="AX9">
            <v>4.57</v>
          </cell>
          <cell r="AY9">
            <v>5.99</v>
          </cell>
          <cell r="AZ9">
            <v>6.53</v>
          </cell>
          <cell r="BB9">
            <v>7.76</v>
          </cell>
          <cell r="BC9">
            <v>7.69</v>
          </cell>
          <cell r="BD9">
            <v>4.72</v>
          </cell>
          <cell r="BE9">
            <v>7.1</v>
          </cell>
          <cell r="BF9">
            <v>7.21</v>
          </cell>
          <cell r="BG9">
            <v>5.58</v>
          </cell>
          <cell r="BH9">
            <v>5.69</v>
          </cell>
        </row>
        <row r="10">
          <cell r="B10">
            <v>7.97</v>
          </cell>
          <cell r="C10">
            <v>8.89</v>
          </cell>
          <cell r="D10">
            <v>7.84</v>
          </cell>
          <cell r="E10">
            <v>8.9</v>
          </cell>
          <cell r="F10">
            <v>9.51</v>
          </cell>
          <cell r="H10">
            <v>7.85</v>
          </cell>
          <cell r="I10">
            <v>7.87</v>
          </cell>
          <cell r="J10">
            <v>10.72</v>
          </cell>
          <cell r="K10">
            <v>9.31</v>
          </cell>
          <cell r="L10">
            <v>12.21</v>
          </cell>
          <cell r="M10">
            <v>8.01</v>
          </cell>
          <cell r="N10">
            <v>7.97</v>
          </cell>
          <cell r="O10">
            <v>9.81</v>
          </cell>
          <cell r="P10">
            <v>10.53</v>
          </cell>
          <cell r="Q10">
            <v>10.16</v>
          </cell>
          <cell r="R10">
            <v>10.26</v>
          </cell>
          <cell r="S10">
            <v>11.7</v>
          </cell>
          <cell r="T10">
            <v>10.3</v>
          </cell>
          <cell r="U10">
            <v>9.82</v>
          </cell>
          <cell r="V10">
            <v>12.28</v>
          </cell>
          <cell r="W10">
            <v>12.1</v>
          </cell>
          <cell r="X10">
            <v>9.2899999999999991</v>
          </cell>
          <cell r="Y10">
            <v>8.1999999999999993</v>
          </cell>
          <cell r="Z10">
            <v>9.3800000000000008</v>
          </cell>
          <cell r="AA10">
            <v>8.5500000000000007</v>
          </cell>
          <cell r="AB10">
            <v>8.5399999999999991</v>
          </cell>
          <cell r="AC10">
            <v>8.64</v>
          </cell>
          <cell r="AD10">
            <v>9.7200000000000006</v>
          </cell>
          <cell r="AE10">
            <v>10.78</v>
          </cell>
          <cell r="AF10">
            <v>14.61</v>
          </cell>
          <cell r="AG10">
            <v>9.34</v>
          </cell>
          <cell r="AH10">
            <v>10.69</v>
          </cell>
          <cell r="AI10">
            <v>7.81</v>
          </cell>
          <cell r="AJ10">
            <v>9</v>
          </cell>
          <cell r="AK10">
            <v>8.5399999999999991</v>
          </cell>
          <cell r="AL10">
            <v>9.4</v>
          </cell>
          <cell r="AM10">
            <v>8.2899999999999991</v>
          </cell>
          <cell r="AN10">
            <v>9.35</v>
          </cell>
          <cell r="AP10">
            <v>7.89</v>
          </cell>
          <cell r="AQ10">
            <v>8.24</v>
          </cell>
          <cell r="AR10">
            <v>7.72</v>
          </cell>
          <cell r="AS10">
            <v>7.87</v>
          </cell>
          <cell r="AT10">
            <v>7.97</v>
          </cell>
          <cell r="AU10">
            <v>7.94</v>
          </cell>
          <cell r="AV10">
            <v>8.1999999999999993</v>
          </cell>
          <cell r="AW10">
            <v>8.68</v>
          </cell>
          <cell r="AX10">
            <v>8.94</v>
          </cell>
          <cell r="AY10">
            <v>8.6199999999999992</v>
          </cell>
          <cell r="AZ10">
            <v>9.11</v>
          </cell>
          <cell r="BB10">
            <v>9.64</v>
          </cell>
          <cell r="BC10">
            <v>9.58</v>
          </cell>
          <cell r="BD10">
            <v>9.33</v>
          </cell>
          <cell r="BE10">
            <v>9.3800000000000008</v>
          </cell>
          <cell r="BF10">
            <v>9.1999999999999993</v>
          </cell>
          <cell r="BG10">
            <v>9.75</v>
          </cell>
          <cell r="BH10">
            <v>8.23</v>
          </cell>
        </row>
        <row r="11">
          <cell r="B11">
            <v>6.08</v>
          </cell>
          <cell r="C11">
            <v>5.29</v>
          </cell>
          <cell r="D11">
            <v>5.61</v>
          </cell>
          <cell r="E11">
            <v>5.01</v>
          </cell>
          <cell r="F11">
            <v>5.98</v>
          </cell>
          <cell r="H11">
            <v>5.66</v>
          </cell>
          <cell r="I11">
            <v>5.74</v>
          </cell>
          <cell r="J11">
            <v>4.49</v>
          </cell>
          <cell r="K11">
            <v>5.31</v>
          </cell>
          <cell r="L11">
            <v>3.31</v>
          </cell>
          <cell r="M11">
            <v>5.67</v>
          </cell>
          <cell r="N11">
            <v>5.71</v>
          </cell>
          <cell r="O11">
            <v>4.76</v>
          </cell>
          <cell r="P11">
            <v>4.8099999999999996</v>
          </cell>
          <cell r="Q11">
            <v>4.72</v>
          </cell>
          <cell r="R11">
            <v>4.2300000000000004</v>
          </cell>
          <cell r="S11">
            <v>4.25</v>
          </cell>
          <cell r="T11">
            <v>5.69</v>
          </cell>
          <cell r="U11">
            <v>5.53</v>
          </cell>
          <cell r="V11">
            <v>4.28</v>
          </cell>
          <cell r="W11">
            <v>4.42</v>
          </cell>
          <cell r="X11">
            <v>5.34</v>
          </cell>
          <cell r="Y11">
            <v>5.39</v>
          </cell>
          <cell r="Z11">
            <v>4.8600000000000003</v>
          </cell>
          <cell r="AA11">
            <v>5.15</v>
          </cell>
          <cell r="AB11">
            <v>5.22</v>
          </cell>
          <cell r="AC11">
            <v>5.09</v>
          </cell>
          <cell r="AD11">
            <v>4.37</v>
          </cell>
          <cell r="AE11">
            <v>3.68</v>
          </cell>
          <cell r="AF11">
            <v>2.59</v>
          </cell>
          <cell r="AG11">
            <v>4.22</v>
          </cell>
          <cell r="AH11">
            <v>4.8600000000000003</v>
          </cell>
          <cell r="AI11">
            <v>5.81</v>
          </cell>
          <cell r="AJ11">
            <v>4.82</v>
          </cell>
          <cell r="AK11">
            <v>5.61</v>
          </cell>
          <cell r="AL11">
            <v>5.28</v>
          </cell>
          <cell r="AM11">
            <v>5.99</v>
          </cell>
          <cell r="AN11">
            <v>4.76</v>
          </cell>
          <cell r="AP11">
            <v>5.64</v>
          </cell>
          <cell r="AQ11">
            <v>5.62</v>
          </cell>
          <cell r="AR11">
            <v>5.62</v>
          </cell>
          <cell r="AS11">
            <v>5.79</v>
          </cell>
          <cell r="AT11">
            <v>5.68</v>
          </cell>
          <cell r="AU11">
            <v>5.48</v>
          </cell>
          <cell r="AV11">
            <v>5.65</v>
          </cell>
          <cell r="AW11">
            <v>5.49</v>
          </cell>
          <cell r="AX11">
            <v>4.75</v>
          </cell>
          <cell r="AY11">
            <v>5.54</v>
          </cell>
          <cell r="AZ11">
            <v>4.75</v>
          </cell>
        </row>
        <row r="12">
          <cell r="B12">
            <v>3.18</v>
          </cell>
          <cell r="C12">
            <v>3.13</v>
          </cell>
          <cell r="D12">
            <v>3.62</v>
          </cell>
          <cell r="E12">
            <v>3.11</v>
          </cell>
          <cell r="F12">
            <v>1.69</v>
          </cell>
          <cell r="H12">
            <v>3.61</v>
          </cell>
          <cell r="I12">
            <v>3.63</v>
          </cell>
          <cell r="J12">
            <v>2.54</v>
          </cell>
          <cell r="K12">
            <v>2.5099999999999998</v>
          </cell>
          <cell r="L12">
            <v>2.19</v>
          </cell>
          <cell r="M12">
            <v>3.58</v>
          </cell>
          <cell r="N12">
            <v>3.58</v>
          </cell>
          <cell r="O12">
            <v>2.8</v>
          </cell>
          <cell r="P12">
            <v>2.34</v>
          </cell>
          <cell r="Q12">
            <v>2.78</v>
          </cell>
          <cell r="R12">
            <v>2.71</v>
          </cell>
          <cell r="S12">
            <v>2.2999999999999998</v>
          </cell>
          <cell r="T12">
            <v>2.4</v>
          </cell>
          <cell r="U12">
            <v>2.84</v>
          </cell>
          <cell r="V12">
            <v>2.27</v>
          </cell>
          <cell r="W12">
            <v>2.2400000000000002</v>
          </cell>
          <cell r="X12">
            <v>2.93</v>
          </cell>
          <cell r="Y12">
            <v>3.5</v>
          </cell>
          <cell r="Z12">
            <v>2.42</v>
          </cell>
          <cell r="AA12">
            <v>3.33</v>
          </cell>
          <cell r="AB12">
            <v>3.23</v>
          </cell>
          <cell r="AC12">
            <v>1.73</v>
          </cell>
          <cell r="AD12">
            <v>2.8</v>
          </cell>
          <cell r="AE12">
            <v>2.59</v>
          </cell>
          <cell r="AF12">
            <v>1.91</v>
          </cell>
          <cell r="AG12">
            <v>2.87</v>
          </cell>
          <cell r="AH12">
            <v>2.3199999999999998</v>
          </cell>
          <cell r="AI12">
            <v>3.65</v>
          </cell>
          <cell r="AJ12">
            <v>2.87</v>
          </cell>
          <cell r="AK12">
            <v>3.45</v>
          </cell>
          <cell r="AL12">
            <v>3.01</v>
          </cell>
          <cell r="AM12">
            <v>3.04</v>
          </cell>
          <cell r="AN12">
            <v>2.82</v>
          </cell>
          <cell r="AP12">
            <v>3.63</v>
          </cell>
          <cell r="AQ12">
            <v>3.59</v>
          </cell>
          <cell r="AR12">
            <v>3.65</v>
          </cell>
          <cell r="AS12">
            <v>3.58</v>
          </cell>
          <cell r="AT12">
            <v>3.67</v>
          </cell>
          <cell r="AU12">
            <v>3.5</v>
          </cell>
          <cell r="AV12">
            <v>3.55</v>
          </cell>
          <cell r="AW12">
            <v>3.45</v>
          </cell>
          <cell r="AX12">
            <v>2.99</v>
          </cell>
          <cell r="AY12">
            <v>3.4</v>
          </cell>
          <cell r="AZ12">
            <v>3.08</v>
          </cell>
        </row>
        <row r="24">
          <cell r="B24">
            <v>31.9</v>
          </cell>
          <cell r="C24">
            <v>13.1</v>
          </cell>
          <cell r="D24">
            <v>63.4</v>
          </cell>
          <cell r="E24">
            <v>19</v>
          </cell>
          <cell r="F24">
            <v>60.7</v>
          </cell>
          <cell r="H24">
            <v>77.400000000000006</v>
          </cell>
          <cell r="I24">
            <v>55.2</v>
          </cell>
          <cell r="J24">
            <v>46.8</v>
          </cell>
          <cell r="K24">
            <v>23.3</v>
          </cell>
          <cell r="L24">
            <v>64.400000000000006</v>
          </cell>
          <cell r="M24">
            <v>43.4</v>
          </cell>
          <cell r="N24">
            <v>62.2</v>
          </cell>
          <cell r="O24">
            <v>37.299999999999997</v>
          </cell>
          <cell r="P24">
            <v>40</v>
          </cell>
          <cell r="Q24">
            <v>86.6</v>
          </cell>
          <cell r="R24">
            <v>92.3</v>
          </cell>
          <cell r="S24">
            <v>87.3</v>
          </cell>
          <cell r="T24">
            <v>19.899999999999999</v>
          </cell>
          <cell r="U24">
            <v>13.3</v>
          </cell>
          <cell r="V24">
            <v>92.6</v>
          </cell>
          <cell r="W24">
            <v>96.7</v>
          </cell>
          <cell r="X24">
            <v>74.599999999999994</v>
          </cell>
          <cell r="Y24">
            <v>65</v>
          </cell>
          <cell r="Z24">
            <v>86.4</v>
          </cell>
          <cell r="AA24">
            <v>50.8</v>
          </cell>
          <cell r="AB24">
            <v>43.1</v>
          </cell>
          <cell r="AC24">
            <v>47.3</v>
          </cell>
          <cell r="AD24">
            <v>76.5</v>
          </cell>
          <cell r="AE24">
            <v>106.2</v>
          </cell>
          <cell r="AF24">
            <v>82.1</v>
          </cell>
          <cell r="AG24">
            <v>83.1</v>
          </cell>
          <cell r="AH24">
            <v>33.700000000000003</v>
          </cell>
          <cell r="AI24">
            <v>60.6</v>
          </cell>
          <cell r="AJ24">
            <v>66.2</v>
          </cell>
          <cell r="AK24">
            <v>55.6</v>
          </cell>
          <cell r="AL24">
            <v>75.2</v>
          </cell>
          <cell r="AM24">
            <v>6.9</v>
          </cell>
          <cell r="AN24">
            <v>79.400000000000006</v>
          </cell>
          <cell r="AP24">
            <v>70.7</v>
          </cell>
          <cell r="AQ24">
            <v>69.400000000000006</v>
          </cell>
          <cell r="AR24">
            <v>60.4</v>
          </cell>
          <cell r="AS24">
            <v>47.8</v>
          </cell>
          <cell r="AT24">
            <v>64.3</v>
          </cell>
          <cell r="AU24">
            <v>70</v>
          </cell>
          <cell r="AV24">
            <v>59.4</v>
          </cell>
          <cell r="AW24">
            <v>57.3</v>
          </cell>
          <cell r="AX24">
            <v>64.099999999999994</v>
          </cell>
          <cell r="AY24">
            <v>61</v>
          </cell>
          <cell r="AZ24">
            <v>50.8</v>
          </cell>
        </row>
        <row r="26">
          <cell r="B26">
            <v>39.4</v>
          </cell>
          <cell r="C26">
            <v>4.5</v>
          </cell>
          <cell r="D26">
            <v>54.2</v>
          </cell>
          <cell r="E26">
            <v>21.4</v>
          </cell>
          <cell r="F26">
            <v>72.400000000000006</v>
          </cell>
          <cell r="H26">
            <v>144.4</v>
          </cell>
          <cell r="I26">
            <v>63</v>
          </cell>
          <cell r="J26">
            <v>157.69999999999999</v>
          </cell>
          <cell r="K26">
            <v>4.4000000000000004</v>
          </cell>
          <cell r="L26">
            <v>131</v>
          </cell>
          <cell r="M26">
            <v>74.5</v>
          </cell>
          <cell r="N26">
            <v>54.1</v>
          </cell>
          <cell r="O26">
            <v>42.3</v>
          </cell>
          <cell r="P26">
            <v>51.4</v>
          </cell>
          <cell r="Q26">
            <v>112.4</v>
          </cell>
          <cell r="R26">
            <v>114</v>
          </cell>
          <cell r="S26">
            <v>173.4</v>
          </cell>
          <cell r="T26">
            <v>14.8</v>
          </cell>
          <cell r="U26">
            <v>3.2</v>
          </cell>
          <cell r="V26">
            <v>204.5</v>
          </cell>
          <cell r="W26">
            <v>196.1</v>
          </cell>
          <cell r="X26">
            <v>128</v>
          </cell>
          <cell r="Y26">
            <v>57.2</v>
          </cell>
          <cell r="Z26">
            <v>128.69999999999999</v>
          </cell>
          <cell r="AA26">
            <v>93.8</v>
          </cell>
          <cell r="AB26">
            <v>76.2</v>
          </cell>
          <cell r="AC26">
            <v>81.8</v>
          </cell>
          <cell r="AD26">
            <v>97.5</v>
          </cell>
          <cell r="AE26">
            <v>75.5</v>
          </cell>
          <cell r="AF26">
            <v>154.4</v>
          </cell>
          <cell r="AG26">
            <v>115.2</v>
          </cell>
          <cell r="AH26">
            <v>45.5</v>
          </cell>
          <cell r="AI26">
            <v>69</v>
          </cell>
          <cell r="AJ26">
            <v>92.1</v>
          </cell>
          <cell r="AK26">
            <v>57.4</v>
          </cell>
          <cell r="AL26">
            <v>82.6</v>
          </cell>
          <cell r="AM26">
            <v>1.8</v>
          </cell>
          <cell r="AN26">
            <v>109.2</v>
          </cell>
          <cell r="AP26">
            <v>140.19999999999999</v>
          </cell>
          <cell r="AQ26">
            <v>77.900000000000006</v>
          </cell>
          <cell r="AR26">
            <v>54.8</v>
          </cell>
          <cell r="AS26">
            <v>53.7</v>
          </cell>
          <cell r="AT26">
            <v>51.9</v>
          </cell>
          <cell r="AU26">
            <v>71.3</v>
          </cell>
          <cell r="AV26">
            <v>68.7</v>
          </cell>
          <cell r="AW26">
            <v>57.7</v>
          </cell>
          <cell r="AX26">
            <v>74.5</v>
          </cell>
          <cell r="AY26">
            <v>68.400000000000006</v>
          </cell>
          <cell r="AZ26">
            <v>37.5</v>
          </cell>
        </row>
        <row r="28">
          <cell r="B28">
            <v>299</v>
          </cell>
          <cell r="C28">
            <v>281.3</v>
          </cell>
          <cell r="D28">
            <v>251.5</v>
          </cell>
          <cell r="E28">
            <v>250.3</v>
          </cell>
          <cell r="F28">
            <v>279.89999999999998</v>
          </cell>
          <cell r="H28">
            <v>256.2</v>
          </cell>
          <cell r="I28">
            <v>251.9</v>
          </cell>
          <cell r="J28">
            <v>264.89999999999998</v>
          </cell>
          <cell r="K28">
            <v>281.39999999999998</v>
          </cell>
          <cell r="L28">
            <v>260.60000000000002</v>
          </cell>
          <cell r="M28">
            <v>282.89999999999998</v>
          </cell>
          <cell r="N28">
            <v>255.6</v>
          </cell>
          <cell r="O28">
            <v>263</v>
          </cell>
          <cell r="P28">
            <v>261.89999999999998</v>
          </cell>
          <cell r="Q28">
            <v>266.89999999999998</v>
          </cell>
          <cell r="R28">
            <v>273.2</v>
          </cell>
          <cell r="S28">
            <v>259.39999999999998</v>
          </cell>
          <cell r="T28">
            <v>295.5</v>
          </cell>
          <cell r="U28">
            <v>301</v>
          </cell>
          <cell r="V28">
            <v>259.3</v>
          </cell>
          <cell r="W28">
            <v>256.60000000000002</v>
          </cell>
          <cell r="X28">
            <v>246</v>
          </cell>
          <cell r="Y28">
            <v>256</v>
          </cell>
          <cell r="Z28">
            <v>232.8</v>
          </cell>
          <cell r="AA28">
            <v>255.5</v>
          </cell>
          <cell r="AB28">
            <v>254.5</v>
          </cell>
          <cell r="AC28">
            <v>271.2</v>
          </cell>
          <cell r="AD28">
            <v>275.5</v>
          </cell>
          <cell r="AE28">
            <v>265.39999999999998</v>
          </cell>
          <cell r="AF28">
            <v>250.5</v>
          </cell>
          <cell r="AG28">
            <v>262.10000000000002</v>
          </cell>
          <cell r="AH28">
            <v>285</v>
          </cell>
          <cell r="AI28">
            <v>255.1</v>
          </cell>
          <cell r="AJ28">
            <v>275.60000000000002</v>
          </cell>
          <cell r="AK28">
            <v>253</v>
          </cell>
          <cell r="AL28">
            <v>279.10000000000002</v>
          </cell>
          <cell r="AM28">
            <v>285.8</v>
          </cell>
          <cell r="AN28">
            <v>262</v>
          </cell>
          <cell r="AP28">
            <v>252.5</v>
          </cell>
          <cell r="AQ28">
            <v>257.7</v>
          </cell>
          <cell r="AR28">
            <v>252.9</v>
          </cell>
          <cell r="AS28">
            <v>246.4</v>
          </cell>
          <cell r="AT28">
            <v>250</v>
          </cell>
          <cell r="AU28">
            <v>250.5</v>
          </cell>
          <cell r="AV28">
            <v>249</v>
          </cell>
          <cell r="AW28">
            <v>248.4</v>
          </cell>
          <cell r="AX28">
            <v>250.9</v>
          </cell>
          <cell r="AY28">
            <v>254.7</v>
          </cell>
          <cell r="AZ28">
            <v>249.4</v>
          </cell>
        </row>
        <row r="30">
          <cell r="B30">
            <v>104.4</v>
          </cell>
          <cell r="C30">
            <v>97.6</v>
          </cell>
          <cell r="D30">
            <v>99.6</v>
          </cell>
          <cell r="E30">
            <v>86.8</v>
          </cell>
          <cell r="F30">
            <v>110</v>
          </cell>
          <cell r="H30">
            <v>99.7</v>
          </cell>
          <cell r="I30">
            <v>98.8</v>
          </cell>
          <cell r="J30">
            <v>86.3</v>
          </cell>
          <cell r="K30">
            <v>88.7</v>
          </cell>
          <cell r="L30">
            <v>71.3</v>
          </cell>
          <cell r="M30">
            <v>107.1</v>
          </cell>
          <cell r="N30">
            <v>102.4</v>
          </cell>
          <cell r="O30">
            <v>96.9</v>
          </cell>
          <cell r="P30">
            <v>92.6</v>
          </cell>
          <cell r="Q30">
            <v>99.1</v>
          </cell>
          <cell r="R30">
            <v>100.5</v>
          </cell>
          <cell r="S30">
            <v>102.8</v>
          </cell>
          <cell r="T30">
            <v>135.69999999999999</v>
          </cell>
          <cell r="U30">
            <v>139.1</v>
          </cell>
          <cell r="V30">
            <v>96.9</v>
          </cell>
          <cell r="W30">
            <v>101.1</v>
          </cell>
          <cell r="X30">
            <v>98.2</v>
          </cell>
          <cell r="Y30">
            <v>97.1</v>
          </cell>
          <cell r="Z30">
            <v>76.900000000000006</v>
          </cell>
          <cell r="AA30">
            <v>94.9</v>
          </cell>
          <cell r="AB30">
            <v>94.9</v>
          </cell>
          <cell r="AC30">
            <v>100.1</v>
          </cell>
          <cell r="AD30">
            <v>103.4</v>
          </cell>
          <cell r="AE30">
            <v>85.6</v>
          </cell>
          <cell r="AF30">
            <v>67.3</v>
          </cell>
          <cell r="AG30">
            <v>95.7</v>
          </cell>
          <cell r="AH30">
            <v>116.3</v>
          </cell>
          <cell r="AI30">
            <v>102.2</v>
          </cell>
          <cell r="AJ30">
            <v>91.2</v>
          </cell>
          <cell r="AK30">
            <v>99.8</v>
          </cell>
          <cell r="AL30">
            <v>105.9</v>
          </cell>
          <cell r="AM30">
            <v>111.4</v>
          </cell>
          <cell r="AN30">
            <v>84.8</v>
          </cell>
          <cell r="AP30">
            <v>96.3</v>
          </cell>
          <cell r="AQ30">
            <v>99.8</v>
          </cell>
          <cell r="AR30">
            <v>101.6</v>
          </cell>
          <cell r="AS30">
            <v>95.4</v>
          </cell>
          <cell r="AT30">
            <v>99</v>
          </cell>
          <cell r="AU30">
            <v>98.2</v>
          </cell>
          <cell r="AV30">
            <v>99.1</v>
          </cell>
          <cell r="AW30">
            <v>97.7</v>
          </cell>
          <cell r="AX30">
            <v>99.8</v>
          </cell>
          <cell r="AY30">
            <v>96.8</v>
          </cell>
          <cell r="AZ30">
            <v>79.7</v>
          </cell>
        </row>
        <row r="52">
          <cell r="B52">
            <v>0.43887665198237885</v>
          </cell>
          <cell r="C52">
            <v>0.48499727223131484</v>
          </cell>
          <cell r="D52">
            <v>0.4336283185840708</v>
          </cell>
          <cell r="E52">
            <v>0.48580786026200873</v>
          </cell>
          <cell r="F52">
            <v>0.56073113207547165</v>
          </cell>
          <cell r="H52">
            <v>0.43084522502744238</v>
          </cell>
          <cell r="I52">
            <v>0.42563547863710116</v>
          </cell>
          <cell r="J52">
            <v>0.64</v>
          </cell>
          <cell r="K52">
            <v>0.52303370786516856</v>
          </cell>
          <cell r="L52">
            <v>0.76408010012515648</v>
          </cell>
          <cell r="M52">
            <v>0.43367623172712511</v>
          </cell>
          <cell r="N52">
            <v>0.43863511282333512</v>
          </cell>
          <cell r="O52">
            <v>0.57604227833235466</v>
          </cell>
          <cell r="P52">
            <v>0.62678571428571417</v>
          </cell>
          <cell r="Q52">
            <v>0.63779033270558694</v>
          </cell>
          <cell r="R52">
            <v>0.63608183508989469</v>
          </cell>
          <cell r="S52">
            <v>0.76072821846553962</v>
          </cell>
          <cell r="T52">
            <v>0.59195402298850586</v>
          </cell>
          <cell r="U52">
            <v>0.5501400560224089</v>
          </cell>
          <cell r="V52">
            <v>0.81378396288933064</v>
          </cell>
          <cell r="W52">
            <v>0.80828323313293249</v>
          </cell>
          <cell r="X52">
            <v>0.55330553901131618</v>
          </cell>
          <cell r="Y52">
            <v>0.46041549691184724</v>
          </cell>
          <cell r="Z52">
            <v>0.56952034001214336</v>
          </cell>
          <cell r="AA52">
            <v>0.48717948717948723</v>
          </cell>
          <cell r="AB52">
            <v>0.48744292237442921</v>
          </cell>
          <cell r="AC52">
            <v>0.48187395426659235</v>
          </cell>
          <cell r="AD52">
            <v>0.60000000000000009</v>
          </cell>
          <cell r="AE52">
            <v>0.70411495754408882</v>
          </cell>
          <cell r="AF52">
            <v>1.0734753857457753</v>
          </cell>
          <cell r="AG52">
            <v>0.5987179487179487</v>
          </cell>
          <cell r="AH52">
            <v>0.64050329538645889</v>
          </cell>
          <cell r="AI52">
            <v>0.42771084337349391</v>
          </cell>
          <cell r="AJ52">
            <v>0.54151624548736454</v>
          </cell>
          <cell r="AK52">
            <v>0.4813979706877114</v>
          </cell>
          <cell r="AL52">
            <v>0.56019070321811681</v>
          </cell>
          <cell r="AM52">
            <v>0.43839238498149125</v>
          </cell>
          <cell r="AN52">
            <v>0.56461352657004837</v>
          </cell>
          <cell r="AP52">
            <v>0.43447136563876648</v>
          </cell>
          <cell r="AQ52">
            <v>0.45879732739420936</v>
          </cell>
          <cell r="AR52">
            <v>0.42139737991266374</v>
          </cell>
          <cell r="AS52">
            <v>0.42448759439050704</v>
          </cell>
          <cell r="AT52">
            <v>0.44008834897846494</v>
          </cell>
          <cell r="AU52">
            <v>0.44357541899441344</v>
          </cell>
          <cell r="AV52">
            <v>0.45580878265703167</v>
          </cell>
          <cell r="AW52">
            <v>0.48709315375982043</v>
          </cell>
          <cell r="AX52">
            <v>0.49040043883708168</v>
          </cell>
          <cell r="AY52">
            <v>0.48563380281690138</v>
          </cell>
          <cell r="AZ52">
            <v>0.54097387173396672</v>
          </cell>
        </row>
      </sheetData>
      <sheetData sheetId="5"/>
      <sheetData sheetId="6"/>
    </sheetDataSet>
  </externalBook>
</externalLink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Larissa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D6538C-3A13-495A-8561-34109C3B58F7}">
  <dimension ref="A1:AR130"/>
  <sheetViews>
    <sheetView tabSelected="1" zoomScale="90" zoomScaleNormal="90" workbookViewId="0">
      <selection activeCell="F33" sqref="F33"/>
    </sheetView>
  </sheetViews>
  <sheetFormatPr baseColWidth="10" defaultRowHeight="14.25" x14ac:dyDescent="0.45"/>
  <cols>
    <col min="1" max="1" width="10.6640625" style="8"/>
  </cols>
  <sheetData>
    <row r="1" spans="1:44" s="3" customFormat="1" x14ac:dyDescent="0.45">
      <c r="A1" s="3" t="s">
        <v>45</v>
      </c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  <c r="T1" s="3" t="s">
        <v>18</v>
      </c>
      <c r="U1" s="3" t="s">
        <v>19</v>
      </c>
      <c r="V1" s="3" t="s">
        <v>20</v>
      </c>
      <c r="W1" s="3" t="s">
        <v>21</v>
      </c>
      <c r="X1" s="3" t="s">
        <v>22</v>
      </c>
      <c r="Y1" s="3" t="s">
        <v>23</v>
      </c>
      <c r="Z1" s="3" t="s">
        <v>24</v>
      </c>
      <c r="AA1" s="3" t="s">
        <v>25</v>
      </c>
      <c r="AB1" s="3" t="s">
        <v>26</v>
      </c>
      <c r="AC1" s="3" t="s">
        <v>27</v>
      </c>
      <c r="AD1" s="3" t="s">
        <v>28</v>
      </c>
      <c r="AE1" s="3" t="s">
        <v>29</v>
      </c>
      <c r="AF1" s="3" t="s">
        <v>30</v>
      </c>
      <c r="AG1" s="3" t="s">
        <v>31</v>
      </c>
      <c r="AH1" s="3" t="s">
        <v>32</v>
      </c>
      <c r="AI1" s="3" t="s">
        <v>33</v>
      </c>
      <c r="AJ1" s="3" t="s">
        <v>34</v>
      </c>
      <c r="AK1" s="3" t="s">
        <v>35</v>
      </c>
      <c r="AL1" s="3" t="s">
        <v>36</v>
      </c>
      <c r="AM1" s="3" t="s">
        <v>37</v>
      </c>
      <c r="AN1" s="3" t="s">
        <v>38</v>
      </c>
      <c r="AO1" s="3" t="s">
        <v>39</v>
      </c>
      <c r="AP1" s="3" t="s">
        <v>40</v>
      </c>
      <c r="AQ1" s="3" t="s">
        <v>41</v>
      </c>
      <c r="AR1" s="3" t="s">
        <v>42</v>
      </c>
    </row>
    <row r="3" spans="1:44" s="9" customFormat="1" ht="15.4" x14ac:dyDescent="0.45">
      <c r="A3" s="2" t="s">
        <v>46</v>
      </c>
    </row>
    <row r="4" spans="1:44" s="1" customFormat="1" x14ac:dyDescent="0.45">
      <c r="A4" s="6">
        <v>12</v>
      </c>
      <c r="B4" s="5">
        <v>9.16</v>
      </c>
      <c r="C4" s="5">
        <v>192091.38</v>
      </c>
      <c r="D4" s="5">
        <v>93097.12</v>
      </c>
      <c r="E4" s="5">
        <v>39.72</v>
      </c>
      <c r="F4" s="5">
        <v>21031.67</v>
      </c>
      <c r="G4" s="5">
        <v>308.47000000000003</v>
      </c>
      <c r="H4" s="5">
        <v>220.87</v>
      </c>
      <c r="I4" s="5">
        <v>39.03</v>
      </c>
      <c r="J4" s="5">
        <f>0*26.58</f>
        <v>0</v>
      </c>
      <c r="K4" s="5">
        <v>1.08</v>
      </c>
      <c r="L4" s="5">
        <v>24.51</v>
      </c>
      <c r="M4" s="5">
        <f>0*5.31</f>
        <v>0</v>
      </c>
      <c r="N4" s="5">
        <v>15.42</v>
      </c>
      <c r="O4" s="5">
        <v>577.45000000000005</v>
      </c>
      <c r="P4" s="5">
        <v>22.09</v>
      </c>
      <c r="Q4" s="5">
        <v>139.5</v>
      </c>
      <c r="R4" s="5">
        <v>49.13</v>
      </c>
      <c r="S4" s="5">
        <v>7.47</v>
      </c>
      <c r="T4" s="5">
        <f>0*0.33</f>
        <v>0</v>
      </c>
      <c r="U4" s="5">
        <f>0*0.049</f>
        <v>0</v>
      </c>
      <c r="V4" s="5">
        <v>0.14199999999999999</v>
      </c>
      <c r="W4" s="5">
        <v>436.74</v>
      </c>
      <c r="X4" s="5">
        <v>16.02</v>
      </c>
      <c r="Y4" s="5">
        <v>41.08</v>
      </c>
      <c r="Z4" s="5">
        <v>5.84</v>
      </c>
      <c r="AA4" s="5">
        <v>28.2</v>
      </c>
      <c r="AB4" s="5">
        <v>6.83</v>
      </c>
      <c r="AC4" s="5">
        <v>2.0499999999999998</v>
      </c>
      <c r="AD4" s="5">
        <v>6.3</v>
      </c>
      <c r="AE4" s="5">
        <v>0.879</v>
      </c>
      <c r="AF4" s="5">
        <v>5.0599999999999996</v>
      </c>
      <c r="AG4" s="5">
        <v>0.89900000000000002</v>
      </c>
      <c r="AH4" s="5">
        <v>2.13</v>
      </c>
      <c r="AI4" s="5">
        <v>0.27400000000000002</v>
      </c>
      <c r="AJ4" s="5">
        <v>1.93</v>
      </c>
      <c r="AK4" s="5">
        <v>0.27400000000000002</v>
      </c>
      <c r="AL4" s="5">
        <v>4.29</v>
      </c>
      <c r="AM4" s="5">
        <v>2.83</v>
      </c>
      <c r="AN4" s="5">
        <v>307.04000000000002</v>
      </c>
      <c r="AO4" s="5">
        <v>309.49</v>
      </c>
      <c r="AP4" s="5">
        <f>0*0.062</f>
        <v>0</v>
      </c>
      <c r="AQ4" s="5">
        <v>0.85399999999999998</v>
      </c>
      <c r="AR4" s="5">
        <v>0.24099999999999999</v>
      </c>
    </row>
    <row r="5" spans="1:44" s="1" customFormat="1" x14ac:dyDescent="0.45">
      <c r="A5" s="6">
        <v>13</v>
      </c>
      <c r="B5" s="5">
        <v>7.72</v>
      </c>
      <c r="C5" s="5">
        <v>192091.39</v>
      </c>
      <c r="D5" s="5">
        <v>93622.21</v>
      </c>
      <c r="E5" s="5">
        <v>40.61</v>
      </c>
      <c r="F5" s="5">
        <v>20679.45</v>
      </c>
      <c r="G5" s="5">
        <v>300.91000000000003</v>
      </c>
      <c r="H5" s="5">
        <v>216.23</v>
      </c>
      <c r="I5" s="5">
        <v>37.57</v>
      </c>
      <c r="J5" s="5">
        <f>0*25.85</f>
        <v>0</v>
      </c>
      <c r="K5" s="5">
        <v>1.22</v>
      </c>
      <c r="L5" s="5">
        <v>23.61</v>
      </c>
      <c r="M5" s="5">
        <f>0*5.45</f>
        <v>0</v>
      </c>
      <c r="N5" s="5">
        <v>14.48</v>
      </c>
      <c r="O5" s="5">
        <v>567.99</v>
      </c>
      <c r="P5" s="5">
        <v>23.1</v>
      </c>
      <c r="Q5" s="5">
        <v>144.65</v>
      </c>
      <c r="R5" s="5">
        <v>47.42</v>
      </c>
      <c r="S5" s="5">
        <v>6.82</v>
      </c>
      <c r="T5" s="5">
        <f>0*0.29</f>
        <v>0</v>
      </c>
      <c r="U5" s="5">
        <f>0*0.067</f>
        <v>0</v>
      </c>
      <c r="V5" s="5">
        <v>0.16500000000000001</v>
      </c>
      <c r="W5" s="5">
        <v>423.93</v>
      </c>
      <c r="X5" s="5">
        <v>15.67</v>
      </c>
      <c r="Y5" s="5">
        <v>40.450000000000003</v>
      </c>
      <c r="Z5" s="5">
        <v>5.77</v>
      </c>
      <c r="AA5" s="5">
        <v>27.75</v>
      </c>
      <c r="AB5" s="5">
        <v>6.36</v>
      </c>
      <c r="AC5" s="5">
        <v>2.36</v>
      </c>
      <c r="AD5" s="5">
        <v>6.11</v>
      </c>
      <c r="AE5" s="5">
        <v>0.89600000000000002</v>
      </c>
      <c r="AF5" s="5">
        <v>4.47</v>
      </c>
      <c r="AG5" s="5">
        <v>0.94099999999999995</v>
      </c>
      <c r="AH5" s="5">
        <v>2.34</v>
      </c>
      <c r="AI5" s="5">
        <v>0.28399999999999997</v>
      </c>
      <c r="AJ5" s="5">
        <v>1.76</v>
      </c>
      <c r="AK5" s="5">
        <v>0.23300000000000001</v>
      </c>
      <c r="AL5" s="5">
        <v>4.21</v>
      </c>
      <c r="AM5" s="5">
        <v>2.73</v>
      </c>
      <c r="AN5" s="5">
        <v>296.32</v>
      </c>
      <c r="AO5" s="5">
        <v>292.79000000000002</v>
      </c>
      <c r="AP5" s="5">
        <f>0*0.069</f>
        <v>0</v>
      </c>
      <c r="AQ5" s="5">
        <v>0.81299999999999994</v>
      </c>
      <c r="AR5" s="5">
        <v>0.27</v>
      </c>
    </row>
    <row r="6" spans="1:44" s="1" customFormat="1" x14ac:dyDescent="0.45">
      <c r="A6" s="6">
        <v>14</v>
      </c>
      <c r="B6" s="5">
        <v>9.15</v>
      </c>
      <c r="C6" s="5">
        <v>192091.39</v>
      </c>
      <c r="D6" s="5">
        <v>96421.19</v>
      </c>
      <c r="E6" s="5">
        <v>40.51</v>
      </c>
      <c r="F6" s="5">
        <v>21069.55</v>
      </c>
      <c r="G6" s="5">
        <v>306.35000000000002</v>
      </c>
      <c r="H6" s="5">
        <v>227.72</v>
      </c>
      <c r="I6" s="5">
        <v>38.700000000000003</v>
      </c>
      <c r="J6" s="5">
        <v>45.65</v>
      </c>
      <c r="K6" s="5">
        <v>0.95</v>
      </c>
      <c r="L6" s="5">
        <v>24.45</v>
      </c>
      <c r="M6" s="5">
        <f>0*5.39</f>
        <v>0</v>
      </c>
      <c r="N6" s="5">
        <v>14.54</v>
      </c>
      <c r="O6" s="5">
        <v>576.49</v>
      </c>
      <c r="P6" s="5">
        <v>23.13</v>
      </c>
      <c r="Q6" s="5">
        <v>147.63</v>
      </c>
      <c r="R6" s="5">
        <v>47.96</v>
      </c>
      <c r="S6" s="5">
        <v>7.2</v>
      </c>
      <c r="T6" s="5">
        <f>0*0.31</f>
        <v>0</v>
      </c>
      <c r="U6" s="5">
        <f>0*0.049</f>
        <v>0</v>
      </c>
      <c r="V6" s="5">
        <v>0.123</v>
      </c>
      <c r="W6" s="5">
        <v>430.62</v>
      </c>
      <c r="X6" s="5">
        <v>15.58</v>
      </c>
      <c r="Y6" s="5">
        <v>41.53</v>
      </c>
      <c r="Z6" s="5">
        <v>5.95</v>
      </c>
      <c r="AA6" s="5">
        <v>26.5</v>
      </c>
      <c r="AB6" s="5">
        <v>6.4</v>
      </c>
      <c r="AC6" s="5">
        <v>2.21</v>
      </c>
      <c r="AD6" s="5">
        <v>6.35</v>
      </c>
      <c r="AE6" s="5">
        <v>0.88800000000000001</v>
      </c>
      <c r="AF6" s="5">
        <v>4.97</v>
      </c>
      <c r="AG6" s="5">
        <v>0.97899999999999998</v>
      </c>
      <c r="AH6" s="5">
        <v>2.35</v>
      </c>
      <c r="AI6" s="5">
        <v>0.33400000000000002</v>
      </c>
      <c r="AJ6" s="5">
        <v>2.0499999999999998</v>
      </c>
      <c r="AK6" s="5">
        <v>0.26300000000000001</v>
      </c>
      <c r="AL6" s="5">
        <v>4.3499999999999996</v>
      </c>
      <c r="AM6" s="5">
        <v>2.81</v>
      </c>
      <c r="AN6" s="5">
        <v>299.48</v>
      </c>
      <c r="AO6" s="5">
        <v>301.10000000000002</v>
      </c>
      <c r="AP6" s="5">
        <f>0*0.07</f>
        <v>0</v>
      </c>
      <c r="AQ6" s="5">
        <v>0.76100000000000001</v>
      </c>
      <c r="AR6" s="5">
        <v>0.25600000000000001</v>
      </c>
    </row>
    <row r="7" spans="1:44" s="1" customFormat="1" x14ac:dyDescent="0.45">
      <c r="A7" s="6">
        <v>15</v>
      </c>
      <c r="B7" s="5">
        <v>7.23</v>
      </c>
      <c r="C7" s="5">
        <v>192091.38</v>
      </c>
      <c r="D7" s="5">
        <v>93870.52</v>
      </c>
      <c r="E7" s="5">
        <v>40.369999999999997</v>
      </c>
      <c r="F7" s="5">
        <v>20061.189999999999</v>
      </c>
      <c r="G7" s="5">
        <v>293.06</v>
      </c>
      <c r="H7" s="5">
        <v>220.41</v>
      </c>
      <c r="I7" s="5">
        <v>38.659999999999997</v>
      </c>
      <c r="J7" s="5">
        <f>0*26.74</f>
        <v>0</v>
      </c>
      <c r="K7" s="5">
        <v>0.88</v>
      </c>
      <c r="L7" s="5">
        <v>24.21</v>
      </c>
      <c r="M7" s="5">
        <f>0*5.18</f>
        <v>0</v>
      </c>
      <c r="N7" s="5">
        <v>14.71</v>
      </c>
      <c r="O7" s="5">
        <v>561.64</v>
      </c>
      <c r="P7" s="5">
        <v>22.74</v>
      </c>
      <c r="Q7" s="5">
        <v>140.76</v>
      </c>
      <c r="R7" s="5">
        <v>47.18</v>
      </c>
      <c r="S7" s="5">
        <v>7.92</v>
      </c>
      <c r="T7" s="5">
        <f>0*0.35</f>
        <v>0</v>
      </c>
      <c r="U7" s="5">
        <f>0*0.068</f>
        <v>0</v>
      </c>
      <c r="V7" s="5">
        <v>0.14399999999999999</v>
      </c>
      <c r="W7" s="5">
        <v>421.22</v>
      </c>
      <c r="X7" s="5">
        <v>15.66</v>
      </c>
      <c r="Y7" s="5">
        <v>40.17</v>
      </c>
      <c r="Z7" s="5">
        <v>5.89</v>
      </c>
      <c r="AA7" s="5">
        <v>26.9</v>
      </c>
      <c r="AB7" s="5">
        <v>6.8</v>
      </c>
      <c r="AC7" s="5">
        <v>2.2000000000000002</v>
      </c>
      <c r="AD7" s="5">
        <v>5.77</v>
      </c>
      <c r="AE7" s="5">
        <v>0.85</v>
      </c>
      <c r="AF7" s="5">
        <v>4.8600000000000003</v>
      </c>
      <c r="AG7" s="5">
        <v>0.90300000000000002</v>
      </c>
      <c r="AH7" s="5">
        <v>2.1</v>
      </c>
      <c r="AI7" s="5">
        <v>0.29899999999999999</v>
      </c>
      <c r="AJ7" s="5">
        <v>1.84</v>
      </c>
      <c r="AK7" s="5">
        <v>0.26200000000000001</v>
      </c>
      <c r="AL7" s="5">
        <v>4.1900000000000004</v>
      </c>
      <c r="AM7" s="5">
        <v>2.77</v>
      </c>
      <c r="AN7" s="5">
        <v>292.17</v>
      </c>
      <c r="AO7" s="5">
        <v>289.08999999999997</v>
      </c>
      <c r="AP7" s="5">
        <f>0*0.063</f>
        <v>0</v>
      </c>
      <c r="AQ7" s="5">
        <v>0.78700000000000003</v>
      </c>
      <c r="AR7" s="5">
        <v>0.22700000000000001</v>
      </c>
    </row>
    <row r="8" spans="1:44" s="1" customFormat="1" x14ac:dyDescent="0.45">
      <c r="A8" s="6">
        <v>16</v>
      </c>
      <c r="B8" s="5">
        <v>8.2899999999999991</v>
      </c>
      <c r="C8" s="5">
        <v>192091.38</v>
      </c>
      <c r="D8" s="5">
        <v>97072.08</v>
      </c>
      <c r="E8" s="5">
        <v>41.21</v>
      </c>
      <c r="F8" s="5">
        <v>20755.77</v>
      </c>
      <c r="G8" s="5">
        <v>309.26</v>
      </c>
      <c r="H8" s="5">
        <v>250.52</v>
      </c>
      <c r="I8" s="5">
        <v>38.51</v>
      </c>
      <c r="J8" s="5">
        <v>32.340000000000003</v>
      </c>
      <c r="K8" s="5">
        <f>0*0.86</f>
        <v>0</v>
      </c>
      <c r="L8" s="5">
        <v>23.63</v>
      </c>
      <c r="M8" s="5">
        <f>0*5.29</f>
        <v>0</v>
      </c>
      <c r="N8" s="5">
        <v>15.2</v>
      </c>
      <c r="O8" s="5">
        <v>582.85</v>
      </c>
      <c r="P8" s="5">
        <v>22.66</v>
      </c>
      <c r="Q8" s="5">
        <v>147.74</v>
      </c>
      <c r="R8" s="5">
        <v>48.22</v>
      </c>
      <c r="S8" s="5">
        <v>7.89</v>
      </c>
      <c r="T8" s="5">
        <f>0*0.34</f>
        <v>0</v>
      </c>
      <c r="U8" s="5">
        <f>0*0.128</f>
        <v>0</v>
      </c>
      <c r="V8" s="5">
        <v>0.11899999999999999</v>
      </c>
      <c r="W8" s="5">
        <v>428.01</v>
      </c>
      <c r="X8" s="5">
        <v>16.05</v>
      </c>
      <c r="Y8" s="5">
        <v>41.77</v>
      </c>
      <c r="Z8" s="5">
        <v>5.68</v>
      </c>
      <c r="AA8" s="5">
        <v>28.33</v>
      </c>
      <c r="AB8" s="5">
        <v>7.52</v>
      </c>
      <c r="AC8" s="5">
        <v>2.16</v>
      </c>
      <c r="AD8" s="5">
        <v>6.53</v>
      </c>
      <c r="AE8" s="5">
        <v>0.83799999999999997</v>
      </c>
      <c r="AF8" s="5">
        <v>4.8600000000000003</v>
      </c>
      <c r="AG8" s="5">
        <v>0.96299999999999997</v>
      </c>
      <c r="AH8" s="5">
        <v>2.33</v>
      </c>
      <c r="AI8" s="5">
        <v>0.29599999999999999</v>
      </c>
      <c r="AJ8" s="5">
        <v>1.76</v>
      </c>
      <c r="AK8" s="5">
        <v>0.26600000000000001</v>
      </c>
      <c r="AL8" s="5">
        <v>4.34</v>
      </c>
      <c r="AM8" s="5">
        <v>2.8</v>
      </c>
      <c r="AN8" s="5">
        <v>299.68</v>
      </c>
      <c r="AO8" s="5">
        <v>296.07</v>
      </c>
      <c r="AP8" s="5">
        <f>0*0.062</f>
        <v>0</v>
      </c>
      <c r="AQ8" s="5">
        <v>0.752</v>
      </c>
      <c r="AR8" s="5">
        <v>0.24</v>
      </c>
    </row>
    <row r="9" spans="1:44" s="1" customFormat="1" x14ac:dyDescent="0.45">
      <c r="A9" s="6">
        <v>17</v>
      </c>
      <c r="B9" s="5">
        <v>8.3800000000000008</v>
      </c>
      <c r="C9" s="5">
        <v>192091.39</v>
      </c>
      <c r="D9" s="5">
        <v>95133.33</v>
      </c>
      <c r="E9" s="5">
        <v>39.659999999999997</v>
      </c>
      <c r="F9" s="5">
        <v>20600.91</v>
      </c>
      <c r="G9" s="5">
        <v>292.72000000000003</v>
      </c>
      <c r="H9" s="5">
        <v>230.4</v>
      </c>
      <c r="I9" s="5">
        <v>37.21</v>
      </c>
      <c r="J9" s="5">
        <v>32.31</v>
      </c>
      <c r="K9" s="5">
        <f>0*0.88</f>
        <v>0</v>
      </c>
      <c r="L9" s="5">
        <v>23.06</v>
      </c>
      <c r="M9" s="5">
        <f>0*5.59</f>
        <v>0</v>
      </c>
      <c r="N9" s="5">
        <v>14.09</v>
      </c>
      <c r="O9" s="5">
        <v>571.88</v>
      </c>
      <c r="P9" s="5">
        <v>23.51</v>
      </c>
      <c r="Q9" s="5">
        <v>143.74</v>
      </c>
      <c r="R9" s="5">
        <v>46.09</v>
      </c>
      <c r="S9" s="5">
        <v>7.96</v>
      </c>
      <c r="T9" s="5">
        <f>0*0.28</f>
        <v>0</v>
      </c>
      <c r="U9" s="5">
        <f>0*0.13</f>
        <v>0</v>
      </c>
      <c r="V9" s="5">
        <v>0.123</v>
      </c>
      <c r="W9" s="5">
        <v>417.01</v>
      </c>
      <c r="X9" s="5">
        <v>15.72</v>
      </c>
      <c r="Y9" s="5">
        <v>39.76</v>
      </c>
      <c r="Z9" s="5">
        <v>5.64</v>
      </c>
      <c r="AA9" s="5">
        <v>27.1</v>
      </c>
      <c r="AB9" s="5">
        <v>6.76</v>
      </c>
      <c r="AC9" s="5">
        <v>2.0299999999999998</v>
      </c>
      <c r="AD9" s="5">
        <v>5.84</v>
      </c>
      <c r="AE9" s="5">
        <v>0.83899999999999997</v>
      </c>
      <c r="AF9" s="5">
        <v>4.7300000000000004</v>
      </c>
      <c r="AG9" s="5">
        <v>0.92900000000000005</v>
      </c>
      <c r="AH9" s="5">
        <v>2.4900000000000002</v>
      </c>
      <c r="AI9" s="5">
        <v>0.27</v>
      </c>
      <c r="AJ9" s="5">
        <v>2</v>
      </c>
      <c r="AK9" s="5">
        <v>0.245</v>
      </c>
      <c r="AL9" s="5">
        <v>4.13</v>
      </c>
      <c r="AM9" s="5">
        <v>2.73</v>
      </c>
      <c r="AN9" s="5">
        <v>286.62</v>
      </c>
      <c r="AO9" s="5">
        <v>289.77</v>
      </c>
      <c r="AP9" s="5">
        <f>0*0.077</f>
        <v>0</v>
      </c>
      <c r="AQ9" s="5">
        <v>0.80100000000000005</v>
      </c>
      <c r="AR9" s="5">
        <v>0.21099999999999999</v>
      </c>
    </row>
    <row r="10" spans="1:44" s="1" customFormat="1" x14ac:dyDescent="0.45">
      <c r="A10" s="6">
        <v>18</v>
      </c>
      <c r="B10" s="5">
        <v>7.76</v>
      </c>
      <c r="C10" s="5">
        <v>192091.38</v>
      </c>
      <c r="D10" s="5">
        <v>87459.41</v>
      </c>
      <c r="E10" s="5">
        <v>38.32</v>
      </c>
      <c r="F10" s="5">
        <v>18889.2</v>
      </c>
      <c r="G10" s="5">
        <v>270.3</v>
      </c>
      <c r="H10" s="5">
        <v>220.72</v>
      </c>
      <c r="I10" s="5">
        <v>35.14</v>
      </c>
      <c r="J10" s="5">
        <v>35.83</v>
      </c>
      <c r="K10" s="5">
        <f>0*0.78</f>
        <v>0</v>
      </c>
      <c r="L10" s="5">
        <v>22.08</v>
      </c>
      <c r="M10" s="5">
        <f>0*4.74</f>
        <v>0</v>
      </c>
      <c r="N10" s="5">
        <v>14</v>
      </c>
      <c r="O10" s="5">
        <v>519.86</v>
      </c>
      <c r="P10" s="5">
        <v>21.38</v>
      </c>
      <c r="Q10" s="5">
        <v>135.26</v>
      </c>
      <c r="R10" s="5">
        <v>42.1</v>
      </c>
      <c r="S10" s="5">
        <v>7.84</v>
      </c>
      <c r="T10" s="5">
        <f>0*0.28</f>
        <v>0</v>
      </c>
      <c r="U10" s="5">
        <f>0*0.04</f>
        <v>0</v>
      </c>
      <c r="V10" s="5">
        <v>0.13900000000000001</v>
      </c>
      <c r="W10" s="5">
        <v>383.52</v>
      </c>
      <c r="X10" s="5">
        <v>14.25</v>
      </c>
      <c r="Y10" s="5">
        <v>36.67</v>
      </c>
      <c r="Z10" s="5">
        <v>5.15</v>
      </c>
      <c r="AA10" s="5">
        <v>25.25</v>
      </c>
      <c r="AB10" s="5">
        <v>6.36</v>
      </c>
      <c r="AC10" s="5">
        <v>2.04</v>
      </c>
      <c r="AD10" s="5">
        <v>5.62</v>
      </c>
      <c r="AE10" s="5">
        <v>0.75</v>
      </c>
      <c r="AF10" s="5">
        <v>4.59</v>
      </c>
      <c r="AG10" s="5">
        <v>0.86</v>
      </c>
      <c r="AH10" s="5">
        <v>1.92</v>
      </c>
      <c r="AI10" s="5">
        <v>0.249</v>
      </c>
      <c r="AJ10" s="5">
        <v>1.71</v>
      </c>
      <c r="AK10" s="5">
        <v>0.20799999999999999</v>
      </c>
      <c r="AL10" s="5">
        <v>3.96</v>
      </c>
      <c r="AM10" s="5">
        <v>2.5299999999999998</v>
      </c>
      <c r="AN10" s="5">
        <v>267.95</v>
      </c>
      <c r="AO10" s="5">
        <v>262.86</v>
      </c>
      <c r="AP10" s="5">
        <f>0*0.066</f>
        <v>0</v>
      </c>
      <c r="AQ10" s="5">
        <v>0.74199999999999999</v>
      </c>
      <c r="AR10" s="5">
        <v>0.21</v>
      </c>
    </row>
    <row r="11" spans="1:44" s="1" customFormat="1" x14ac:dyDescent="0.45">
      <c r="A11" s="6">
        <v>19</v>
      </c>
      <c r="B11" s="5">
        <v>6.42</v>
      </c>
      <c r="C11" s="5">
        <v>192091.38</v>
      </c>
      <c r="D11" s="5">
        <v>95247.06</v>
      </c>
      <c r="E11" s="5">
        <v>41.24</v>
      </c>
      <c r="F11" s="5">
        <v>19952.75</v>
      </c>
      <c r="G11" s="5">
        <v>297.55</v>
      </c>
      <c r="H11" s="5">
        <v>238.56</v>
      </c>
      <c r="I11" s="5">
        <v>37.18</v>
      </c>
      <c r="J11" s="5">
        <f>0*27.98</f>
        <v>0</v>
      </c>
      <c r="K11" s="5">
        <v>0.92</v>
      </c>
      <c r="L11" s="5">
        <v>23.55</v>
      </c>
      <c r="M11" s="5">
        <v>6.1</v>
      </c>
      <c r="N11" s="5">
        <v>14.78</v>
      </c>
      <c r="O11" s="5">
        <v>563.95000000000005</v>
      </c>
      <c r="P11" s="5">
        <v>21.91</v>
      </c>
      <c r="Q11" s="5">
        <v>144.66999999999999</v>
      </c>
      <c r="R11" s="5">
        <v>45.36</v>
      </c>
      <c r="S11" s="5">
        <v>8.23</v>
      </c>
      <c r="T11" s="5">
        <f>0*0.29</f>
        <v>0</v>
      </c>
      <c r="U11" s="5">
        <f>0*0.098</f>
        <v>0</v>
      </c>
      <c r="V11" s="5">
        <f>0*0.106</f>
        <v>0</v>
      </c>
      <c r="W11" s="5">
        <v>414.31</v>
      </c>
      <c r="X11" s="5">
        <v>15.21</v>
      </c>
      <c r="Y11" s="5">
        <v>39.25</v>
      </c>
      <c r="Z11" s="5">
        <v>5.62</v>
      </c>
      <c r="AA11" s="5">
        <v>26.2</v>
      </c>
      <c r="AB11" s="5">
        <v>6.31</v>
      </c>
      <c r="AC11" s="5">
        <v>2.42</v>
      </c>
      <c r="AD11" s="5">
        <v>5.84</v>
      </c>
      <c r="AE11" s="5">
        <v>0.82899999999999996</v>
      </c>
      <c r="AF11" s="5">
        <v>4.97</v>
      </c>
      <c r="AG11" s="5">
        <v>1.0109999999999999</v>
      </c>
      <c r="AH11" s="5">
        <v>2.35</v>
      </c>
      <c r="AI11" s="5">
        <v>0.28100000000000003</v>
      </c>
      <c r="AJ11" s="5">
        <v>1.55</v>
      </c>
      <c r="AK11" s="5">
        <v>0.26100000000000001</v>
      </c>
      <c r="AL11" s="5">
        <v>4.72</v>
      </c>
      <c r="AM11" s="5">
        <v>2.67</v>
      </c>
      <c r="AN11" s="5">
        <v>289.25</v>
      </c>
      <c r="AO11" s="5">
        <v>286.68</v>
      </c>
      <c r="AP11" s="5">
        <v>7.2999999999999995E-2</v>
      </c>
      <c r="AQ11" s="5">
        <v>0.78400000000000003</v>
      </c>
      <c r="AR11" s="5">
        <v>0.219</v>
      </c>
    </row>
    <row r="12" spans="1:44" s="1" customFormat="1" x14ac:dyDescent="0.45">
      <c r="A12" s="6" t="s">
        <v>43</v>
      </c>
      <c r="B12" s="5">
        <f>AVERAGE(B4:B11)</f>
        <v>8.0137499999999999</v>
      </c>
      <c r="C12" s="5">
        <f>AVERAGE(C4:C11)</f>
        <v>192091.38374999998</v>
      </c>
      <c r="D12" s="5">
        <f>AVERAGE(D4:D11)</f>
        <v>93990.36500000002</v>
      </c>
      <c r="E12" s="5">
        <f>AVERAGE(E4:E11)</f>
        <v>40.205000000000005</v>
      </c>
      <c r="F12" s="5">
        <f>AVERAGE(F4:F11)</f>
        <v>20380.061250000002</v>
      </c>
      <c r="G12" s="5">
        <f>AVERAGE(G4:G11)</f>
        <v>297.32750000000004</v>
      </c>
      <c r="H12" s="5">
        <f>AVERAGE(H4:H11)</f>
        <v>228.17875000000001</v>
      </c>
      <c r="I12" s="5">
        <f>AVERAGE(I4:I11)</f>
        <v>37.75</v>
      </c>
      <c r="J12" s="5">
        <f>AVERAGE(J4:J11)</f>
        <v>18.266249999999999</v>
      </c>
      <c r="K12" s="5">
        <f>AVERAGE(K4:K11)</f>
        <v>0.63124999999999998</v>
      </c>
      <c r="L12" s="5">
        <f>AVERAGE(L4:L11)</f>
        <v>23.637500000000003</v>
      </c>
      <c r="M12" s="5">
        <f>AVERAGE(M4:M11)</f>
        <v>0.76249999999999996</v>
      </c>
      <c r="N12" s="5">
        <f>AVERAGE(N4:N11)</f>
        <v>14.6525</v>
      </c>
      <c r="O12" s="5">
        <f>AVERAGE(O4:O11)</f>
        <v>565.26375000000007</v>
      </c>
      <c r="P12" s="5">
        <f>AVERAGE(P4:P11)</f>
        <v>22.564999999999998</v>
      </c>
      <c r="Q12" s="5">
        <f>AVERAGE(Q4:Q11)</f>
        <v>142.99375000000001</v>
      </c>
      <c r="R12" s="5">
        <f>AVERAGE(R4:R11)</f>
        <v>46.682500000000005</v>
      </c>
      <c r="S12" s="5">
        <f>AVERAGE(S4:S11)</f>
        <v>7.6662499999999998</v>
      </c>
      <c r="T12" s="5">
        <f>AVERAGE(T4:T11)</f>
        <v>0</v>
      </c>
      <c r="U12" s="5">
        <f>AVERAGE(U4:U11)</f>
        <v>0</v>
      </c>
      <c r="V12" s="5">
        <f>AVERAGE(V4:V11)</f>
        <v>0.119375</v>
      </c>
      <c r="W12" s="5">
        <f>AVERAGE(W4:W11)</f>
        <v>419.41999999999996</v>
      </c>
      <c r="X12" s="5">
        <f>AVERAGE(X4:X11)</f>
        <v>15.52</v>
      </c>
      <c r="Y12" s="5">
        <f>AVERAGE(Y4:Y11)</f>
        <v>40.085000000000001</v>
      </c>
      <c r="Z12" s="5">
        <f>AVERAGE(Z4:Z11)</f>
        <v>5.692499999999999</v>
      </c>
      <c r="AA12" s="5">
        <f>AVERAGE(AA4:AA11)</f>
        <v>27.028749999999999</v>
      </c>
      <c r="AB12" s="5">
        <f>AVERAGE(AB4:AB11)</f>
        <v>6.6675000000000004</v>
      </c>
      <c r="AC12" s="5">
        <f>AVERAGE(AC4:AC11)</f>
        <v>2.1837499999999999</v>
      </c>
      <c r="AD12" s="5">
        <f>AVERAGE(AD4:AD11)</f>
        <v>6.0449999999999999</v>
      </c>
      <c r="AE12" s="5">
        <f>AVERAGE(AE4:AE11)</f>
        <v>0.8461249999999999</v>
      </c>
      <c r="AF12" s="5">
        <f>AVERAGE(AF4:AF11)</f>
        <v>4.8137499999999998</v>
      </c>
      <c r="AG12" s="5">
        <f>AVERAGE(AG4:AG11)</f>
        <v>0.93562500000000004</v>
      </c>
      <c r="AH12" s="5">
        <f>AVERAGE(AH4:AH11)</f>
        <v>2.2512500000000002</v>
      </c>
      <c r="AI12" s="5">
        <f>AVERAGE(AI4:AI11)</f>
        <v>0.28587500000000005</v>
      </c>
      <c r="AJ12" s="5">
        <f>AVERAGE(AJ4:AJ11)</f>
        <v>1.8250000000000002</v>
      </c>
      <c r="AK12" s="5">
        <f>AVERAGE(AK4:AK11)</f>
        <v>0.2515</v>
      </c>
      <c r="AL12" s="5">
        <f>AVERAGE(AL4:AL11)</f>
        <v>4.2737499999999997</v>
      </c>
      <c r="AM12" s="5">
        <f>AVERAGE(AM4:AM11)</f>
        <v>2.7337500000000006</v>
      </c>
      <c r="AN12" s="5">
        <f>AVERAGE(AN4:AN11)</f>
        <v>292.31374999999997</v>
      </c>
      <c r="AO12" s="5">
        <f>AVERAGE(AO4:AO11)</f>
        <v>290.98124999999999</v>
      </c>
      <c r="AP12" s="5">
        <f>AVERAGE(AP4:AP11)</f>
        <v>9.1249999999999994E-3</v>
      </c>
      <c r="AQ12" s="5">
        <f>AVERAGE(AQ4:AQ11)</f>
        <v>0.78674999999999995</v>
      </c>
      <c r="AR12" s="5">
        <f>AVERAGE(AR4:AR11)</f>
        <v>0.23425000000000001</v>
      </c>
    </row>
    <row r="13" spans="1:44" s="1" customFormat="1" x14ac:dyDescent="0.45">
      <c r="A13" s="7" t="s">
        <v>44</v>
      </c>
      <c r="B13" s="5">
        <f>AVEDEV(B4:B11)</f>
        <v>0.73125000000000007</v>
      </c>
      <c r="C13" s="5">
        <f>AVEDEV(C4:C11)</f>
        <v>4.687499997089617E-3</v>
      </c>
      <c r="D13" s="5">
        <f>AVEDEV(D4:D11)</f>
        <v>1978.0499999999993</v>
      </c>
      <c r="E13" s="5">
        <f>AVEDEV(E4:E11)</f>
        <v>0.7287499999999989</v>
      </c>
      <c r="F13" s="5">
        <f>AVEDEV(F4:F11)</f>
        <v>559.26093749999927</v>
      </c>
      <c r="G13" s="5">
        <f>AVEDEV(G4:G11)</f>
        <v>8.9756249999999937</v>
      </c>
      <c r="H13" s="5">
        <f>AVEDEV(H4:H11)</f>
        <v>8.7359375000000057</v>
      </c>
      <c r="I13" s="5">
        <f>AVEDEV(I4:I11)</f>
        <v>0.97499999999999964</v>
      </c>
      <c r="J13" s="5">
        <f>AVEDEV(J4:J11)</f>
        <v>18.266249999999999</v>
      </c>
      <c r="K13" s="5">
        <f>AVEDEV(K4:K11)</f>
        <v>0.47343750000000007</v>
      </c>
      <c r="L13" s="5">
        <f>AVEDEV(L4:L11)</f>
        <v>0.5643750000000014</v>
      </c>
      <c r="M13" s="5">
        <f>AVEDEV(M4:M11)</f>
        <v>1.3343750000000001</v>
      </c>
      <c r="N13" s="5">
        <f>AVEDEV(N4:N11)</f>
        <v>0.375</v>
      </c>
      <c r="O13" s="5">
        <f>AVEDEV(O4:O11)</f>
        <v>12.585312499999986</v>
      </c>
      <c r="P13" s="5">
        <f>AVEDEV(P4:P11)</f>
        <v>0.57875000000000076</v>
      </c>
      <c r="Q13" s="5">
        <f>AVEDEV(Q4:Q11)</f>
        <v>3.3653125000000017</v>
      </c>
      <c r="R13" s="5">
        <f>AVEDEV(R4:R11)</f>
        <v>1.6243749999999988</v>
      </c>
      <c r="S13" s="5">
        <f>AVEDEV(S4:S11)</f>
        <v>0.37718750000000001</v>
      </c>
      <c r="T13" s="5">
        <f>AVEDEV(T4:T11)</f>
        <v>0</v>
      </c>
      <c r="U13" s="5">
        <f>AVEDEV(U4:U11)</f>
        <v>0</v>
      </c>
      <c r="V13" s="5">
        <f>AVEDEV(V4:V11)</f>
        <v>2.9937500000000002E-2</v>
      </c>
      <c r="W13" s="5">
        <f>AVEDEV(W4:W11)</f>
        <v>10.855000000000018</v>
      </c>
      <c r="X13" s="5">
        <f>AVEDEV(X4:X11)</f>
        <v>0.39500000000000024</v>
      </c>
      <c r="Y13" s="5">
        <f>AVEDEV(Y4:Y11)</f>
        <v>1.1437500000000007</v>
      </c>
      <c r="Z13" s="5">
        <f>AVEDEV(Z4:Z11)</f>
        <v>0.16999999999999993</v>
      </c>
      <c r="AA13" s="5">
        <f>AVEDEV(AA4:AA11)</f>
        <v>0.81625000000000014</v>
      </c>
      <c r="AB13" s="5">
        <f>AVEDEV(AB4:AB11)</f>
        <v>0.30999999999999983</v>
      </c>
      <c r="AC13" s="5">
        <f>AVEDEV(AC4:AC11)</f>
        <v>0.11375000000000002</v>
      </c>
      <c r="AD13" s="5">
        <f>AVEDEV(AD4:AD11)</f>
        <v>0.27750000000000008</v>
      </c>
      <c r="AE13" s="5">
        <f>AVEDEV(AE4:AE11)</f>
        <v>3.2125000000000015E-2</v>
      </c>
      <c r="AF13" s="5">
        <f>AVEDEV(AF4:AF11)</f>
        <v>0.16281250000000003</v>
      </c>
      <c r="AG13" s="5">
        <f>AVEDEV(AG4:AG11)</f>
        <v>3.7874999999999964E-2</v>
      </c>
      <c r="AH13" s="5">
        <f>AVEDEV(AH4:AH11)</f>
        <v>0.1509375</v>
      </c>
      <c r="AI13" s="5">
        <f>AVEDEV(AI4:AI11)</f>
        <v>1.7843750000000005E-2</v>
      </c>
      <c r="AJ13" s="5">
        <f>AVEDEV(AJ4:AJ11)</f>
        <v>0.12999999999999998</v>
      </c>
      <c r="AK13" s="5">
        <f>AVEDEV(AK4:AK11)</f>
        <v>1.7125000000000008E-2</v>
      </c>
      <c r="AL13" s="5">
        <f>AVEDEV(AL4:AL11)</f>
        <v>0.15124999999999988</v>
      </c>
      <c r="AM13" s="5">
        <f>AVEDEV(AM4:AM11)</f>
        <v>6.8750000000000033E-2</v>
      </c>
      <c r="AN13" s="5">
        <f>AVEDEV(AN4:AN11)</f>
        <v>8.3162500000000037</v>
      </c>
      <c r="AO13" s="5">
        <f>AVEDEV(AO4:AO11)</f>
        <v>8.8812500000000085</v>
      </c>
      <c r="AP13" s="5">
        <f>AVEDEV(AP4:AP11)</f>
        <v>1.596875E-2</v>
      </c>
      <c r="AQ13" s="5">
        <f>AVEDEV(AQ4:AQ11)</f>
        <v>2.6999999999999996E-2</v>
      </c>
      <c r="AR13" s="5">
        <f>AVEDEV(AR4:AR11)</f>
        <v>1.7500000000000002E-2</v>
      </c>
    </row>
    <row r="14" spans="1:44" s="1" customFormat="1" x14ac:dyDescent="0.45">
      <c r="A14" s="6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</row>
    <row r="15" spans="1:44" s="9" customFormat="1" ht="15.4" x14ac:dyDescent="0.45">
      <c r="A15" s="2" t="s">
        <v>47</v>
      </c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  <c r="AM15" s="10"/>
      <c r="AN15" s="10"/>
      <c r="AO15" s="10"/>
      <c r="AP15" s="10"/>
      <c r="AQ15" s="10"/>
      <c r="AR15" s="10"/>
    </row>
    <row r="16" spans="1:44" s="1" customFormat="1" x14ac:dyDescent="0.45">
      <c r="A16" s="6">
        <v>6</v>
      </c>
      <c r="B16" s="5">
        <f>0*6.79</f>
        <v>0</v>
      </c>
      <c r="C16" s="5">
        <v>197643.19</v>
      </c>
      <c r="D16" s="5">
        <v>85792.16</v>
      </c>
      <c r="E16" s="5">
        <v>30.69</v>
      </c>
      <c r="F16" s="5">
        <v>19992.03</v>
      </c>
      <c r="G16" s="5">
        <v>316.48</v>
      </c>
      <c r="H16" s="5">
        <v>88.9</v>
      </c>
      <c r="I16" s="5">
        <v>32.75</v>
      </c>
      <c r="J16" s="5">
        <f>0*95.29</f>
        <v>0</v>
      </c>
      <c r="K16" s="5">
        <f>0*4.9</f>
        <v>0</v>
      </c>
      <c r="L16" s="5">
        <v>23.74</v>
      </c>
      <c r="M16" s="5">
        <f>0*31.43</f>
        <v>0</v>
      </c>
      <c r="N16" s="5">
        <v>13.1</v>
      </c>
      <c r="O16" s="5">
        <v>598.80999999999995</v>
      </c>
      <c r="P16" s="5">
        <v>24.28</v>
      </c>
      <c r="Q16" s="5">
        <v>128.38</v>
      </c>
      <c r="R16" s="5">
        <v>54.43</v>
      </c>
      <c r="S16" s="5">
        <v>3.92</v>
      </c>
      <c r="T16" s="5">
        <f>0*1.08</f>
        <v>0</v>
      </c>
      <c r="U16" s="5">
        <f>0*0.59</f>
        <v>0</v>
      </c>
      <c r="V16" s="5">
        <f>0*0.44</f>
        <v>0</v>
      </c>
      <c r="W16" s="5">
        <v>454.51</v>
      </c>
      <c r="X16" s="5">
        <v>20.13</v>
      </c>
      <c r="Y16" s="5">
        <v>45.01</v>
      </c>
      <c r="Z16" s="5">
        <v>6.24</v>
      </c>
      <c r="AA16" s="5">
        <v>32.11</v>
      </c>
      <c r="AB16" s="5">
        <v>6.11</v>
      </c>
      <c r="AC16" s="5">
        <v>2.17</v>
      </c>
      <c r="AD16" s="5">
        <v>6.03</v>
      </c>
      <c r="AE16" s="5">
        <v>0.92500000000000004</v>
      </c>
      <c r="AF16" s="5">
        <v>5.28</v>
      </c>
      <c r="AG16" s="5">
        <v>1.01</v>
      </c>
      <c r="AH16" s="5">
        <v>2.15</v>
      </c>
      <c r="AI16" s="5">
        <v>0.32400000000000001</v>
      </c>
      <c r="AJ16" s="5">
        <v>2.0499999999999998</v>
      </c>
      <c r="AK16" s="5">
        <v>0.432</v>
      </c>
      <c r="AL16" s="5">
        <v>4.45</v>
      </c>
      <c r="AM16" s="5">
        <v>3.42</v>
      </c>
      <c r="AN16" s="5">
        <v>400.4</v>
      </c>
      <c r="AO16" s="5">
        <v>398.72</v>
      </c>
      <c r="AP16" s="5">
        <f>0*0.3</f>
        <v>0</v>
      </c>
      <c r="AQ16" s="5">
        <v>1.04</v>
      </c>
      <c r="AR16" s="5">
        <v>0.38100000000000001</v>
      </c>
    </row>
    <row r="17" spans="1:44" s="1" customFormat="1" x14ac:dyDescent="0.45">
      <c r="A17" s="6">
        <v>7</v>
      </c>
      <c r="B17" s="5">
        <v>8.51</v>
      </c>
      <c r="C17" s="5">
        <v>197643.2</v>
      </c>
      <c r="D17" s="5">
        <v>89953.54</v>
      </c>
      <c r="E17" s="5">
        <v>33.92</v>
      </c>
      <c r="F17" s="5">
        <v>21437.66</v>
      </c>
      <c r="G17" s="5">
        <v>334.91</v>
      </c>
      <c r="H17" s="5">
        <v>120.25</v>
      </c>
      <c r="I17" s="5">
        <v>23.68</v>
      </c>
      <c r="J17" s="5">
        <f>0*98.86</f>
        <v>0</v>
      </c>
      <c r="K17" s="5">
        <f>0*5.23</f>
        <v>0</v>
      </c>
      <c r="L17" s="5">
        <v>28.34</v>
      </c>
      <c r="M17" s="5">
        <f>0*33.08</f>
        <v>0</v>
      </c>
      <c r="N17" s="5">
        <v>15.11</v>
      </c>
      <c r="O17" s="5">
        <v>653.64</v>
      </c>
      <c r="P17" s="5">
        <v>27.86</v>
      </c>
      <c r="Q17" s="5">
        <v>142.65</v>
      </c>
      <c r="R17" s="5">
        <v>59.28</v>
      </c>
      <c r="S17" s="5">
        <v>4.03</v>
      </c>
      <c r="T17" s="5">
        <f>0*1.15</f>
        <v>0</v>
      </c>
      <c r="U17" s="5">
        <f>0*0.7</f>
        <v>0</v>
      </c>
      <c r="V17" s="5">
        <f>0*0.41</f>
        <v>0</v>
      </c>
      <c r="W17" s="5">
        <v>473.65</v>
      </c>
      <c r="X17" s="5">
        <v>20.95</v>
      </c>
      <c r="Y17" s="5">
        <v>47.88</v>
      </c>
      <c r="Z17" s="5">
        <v>6.5</v>
      </c>
      <c r="AA17" s="5">
        <v>32.54</v>
      </c>
      <c r="AB17" s="5">
        <v>8.5399999999999991</v>
      </c>
      <c r="AC17" s="5">
        <v>3.11</v>
      </c>
      <c r="AD17" s="5">
        <v>6.25</v>
      </c>
      <c r="AE17" s="5">
        <v>1.07</v>
      </c>
      <c r="AF17" s="5">
        <v>5.65</v>
      </c>
      <c r="AG17" s="5">
        <v>1</v>
      </c>
      <c r="AH17" s="5">
        <v>2.87</v>
      </c>
      <c r="AI17" s="5">
        <v>0.41599999999999998</v>
      </c>
      <c r="AJ17" s="5">
        <v>2.42</v>
      </c>
      <c r="AK17" s="5">
        <v>0.44</v>
      </c>
      <c r="AL17" s="5">
        <v>4.62</v>
      </c>
      <c r="AM17" s="5">
        <v>3.48</v>
      </c>
      <c r="AN17" s="5">
        <v>458.57</v>
      </c>
      <c r="AO17" s="5">
        <v>437.73</v>
      </c>
      <c r="AP17" s="5">
        <f>0*0.35</f>
        <v>0</v>
      </c>
      <c r="AQ17" s="5">
        <v>1.05</v>
      </c>
      <c r="AR17" s="5">
        <v>0.3</v>
      </c>
    </row>
    <row r="18" spans="1:44" s="1" customFormat="1" x14ac:dyDescent="0.45">
      <c r="A18" s="6">
        <v>8</v>
      </c>
      <c r="B18" s="5">
        <f>0*6.78</f>
        <v>0</v>
      </c>
      <c r="C18" s="5">
        <v>197643.2</v>
      </c>
      <c r="D18" s="5">
        <v>88409.24</v>
      </c>
      <c r="E18" s="5">
        <v>31.22</v>
      </c>
      <c r="F18" s="5">
        <v>21652.29</v>
      </c>
      <c r="G18" s="5">
        <v>321.08999999999997</v>
      </c>
      <c r="H18" s="5">
        <v>124.04</v>
      </c>
      <c r="I18" s="5">
        <v>21.79</v>
      </c>
      <c r="J18" s="5">
        <f>0*91.84</f>
        <v>0</v>
      </c>
      <c r="K18" s="5">
        <f>0*5.17</f>
        <v>0</v>
      </c>
      <c r="L18" s="5">
        <v>25.81</v>
      </c>
      <c r="M18" s="5">
        <f>0*31.41</f>
        <v>0</v>
      </c>
      <c r="N18" s="5">
        <v>15.33</v>
      </c>
      <c r="O18" s="5">
        <v>629.04999999999995</v>
      </c>
      <c r="P18" s="5">
        <v>26.11</v>
      </c>
      <c r="Q18" s="5">
        <v>138.47</v>
      </c>
      <c r="R18" s="5">
        <v>56.55</v>
      </c>
      <c r="S18" s="5">
        <v>4.3</v>
      </c>
      <c r="T18" s="5">
        <f>0*1.11</f>
        <v>0</v>
      </c>
      <c r="U18" s="5">
        <f>0*0.54</f>
        <v>0</v>
      </c>
      <c r="V18" s="5">
        <f>0*0.41</f>
        <v>0</v>
      </c>
      <c r="W18" s="5">
        <v>455.78</v>
      </c>
      <c r="X18" s="5">
        <v>21.17</v>
      </c>
      <c r="Y18" s="5">
        <v>46.11</v>
      </c>
      <c r="Z18" s="5">
        <v>7.06</v>
      </c>
      <c r="AA18" s="5">
        <v>28.98</v>
      </c>
      <c r="AB18" s="5">
        <v>7.23</v>
      </c>
      <c r="AC18" s="5">
        <v>2.4500000000000002</v>
      </c>
      <c r="AD18" s="5">
        <v>6.1</v>
      </c>
      <c r="AE18" s="5">
        <v>0.99</v>
      </c>
      <c r="AF18" s="5">
        <v>6.06</v>
      </c>
      <c r="AG18" s="5">
        <v>1.1000000000000001</v>
      </c>
      <c r="AH18" s="5">
        <v>2.59</v>
      </c>
      <c r="AI18" s="5">
        <v>0.371</v>
      </c>
      <c r="AJ18" s="5">
        <v>1.9</v>
      </c>
      <c r="AK18" s="5">
        <v>0.377</v>
      </c>
      <c r="AL18" s="5">
        <v>4.9400000000000004</v>
      </c>
      <c r="AM18" s="5">
        <v>3.52</v>
      </c>
      <c r="AN18" s="5">
        <v>429.35</v>
      </c>
      <c r="AO18" s="5">
        <v>418.63</v>
      </c>
      <c r="AP18" s="5">
        <v>0.3</v>
      </c>
      <c r="AQ18" s="5">
        <v>1.1000000000000001</v>
      </c>
      <c r="AR18" s="5">
        <v>0.29399999999999998</v>
      </c>
    </row>
    <row r="19" spans="1:44" s="1" customFormat="1" x14ac:dyDescent="0.45">
      <c r="A19" s="6">
        <v>9</v>
      </c>
      <c r="B19" s="5">
        <v>6.5</v>
      </c>
      <c r="C19" s="5">
        <v>197643.19</v>
      </c>
      <c r="D19" s="5">
        <v>92440.18</v>
      </c>
      <c r="E19" s="5">
        <v>32.76</v>
      </c>
      <c r="F19" s="5">
        <v>22620.240000000002</v>
      </c>
      <c r="G19" s="5">
        <v>315.02999999999997</v>
      </c>
      <c r="H19" s="5">
        <v>53.56</v>
      </c>
      <c r="I19" s="5">
        <v>27.97</v>
      </c>
      <c r="J19" s="5">
        <f>0*80.65</f>
        <v>0</v>
      </c>
      <c r="K19" s="5">
        <f>0*5.28</f>
        <v>0</v>
      </c>
      <c r="L19" s="5">
        <v>26.84</v>
      </c>
      <c r="M19" s="5">
        <f>0*26.44</f>
        <v>0</v>
      </c>
      <c r="N19" s="5">
        <v>14.88</v>
      </c>
      <c r="O19" s="5">
        <v>624.92999999999995</v>
      </c>
      <c r="P19" s="5">
        <v>27.09</v>
      </c>
      <c r="Q19" s="5">
        <v>137.65</v>
      </c>
      <c r="R19" s="5">
        <v>61.62</v>
      </c>
      <c r="S19" s="5">
        <v>3.81</v>
      </c>
      <c r="T19" s="5">
        <f>0*1.22</f>
        <v>0</v>
      </c>
      <c r="U19" s="5">
        <f>0*0.5</f>
        <v>0</v>
      </c>
      <c r="V19" s="5">
        <f>0*0.4</f>
        <v>0</v>
      </c>
      <c r="W19" s="5">
        <v>489.28</v>
      </c>
      <c r="X19" s="5">
        <v>21.8</v>
      </c>
      <c r="Y19" s="5">
        <v>49.95</v>
      </c>
      <c r="Z19" s="5">
        <v>6.7</v>
      </c>
      <c r="AA19" s="5">
        <v>30.11</v>
      </c>
      <c r="AB19" s="5">
        <v>6.37</v>
      </c>
      <c r="AC19" s="5">
        <v>2.66</v>
      </c>
      <c r="AD19" s="5">
        <v>6.71</v>
      </c>
      <c r="AE19" s="5">
        <v>1.1100000000000001</v>
      </c>
      <c r="AF19" s="5">
        <v>5.29</v>
      </c>
      <c r="AG19" s="5">
        <v>1.26</v>
      </c>
      <c r="AH19" s="5">
        <v>1.89</v>
      </c>
      <c r="AI19" s="5">
        <v>0.36399999999999999</v>
      </c>
      <c r="AJ19" s="5">
        <v>2.48</v>
      </c>
      <c r="AK19" s="5">
        <v>0.45300000000000001</v>
      </c>
      <c r="AL19" s="5">
        <v>4.05</v>
      </c>
      <c r="AM19" s="5">
        <v>3.21</v>
      </c>
      <c r="AN19" s="5">
        <v>443.66</v>
      </c>
      <c r="AO19" s="5">
        <v>438.48</v>
      </c>
      <c r="AP19" s="5">
        <f>0*0.3</f>
        <v>0</v>
      </c>
      <c r="AQ19" s="5">
        <v>1.26</v>
      </c>
      <c r="AR19" s="5">
        <v>0.39700000000000002</v>
      </c>
    </row>
    <row r="20" spans="1:44" s="1" customFormat="1" x14ac:dyDescent="0.45">
      <c r="A20" s="6">
        <v>10</v>
      </c>
      <c r="B20" s="5">
        <f>0*7.03</f>
        <v>0</v>
      </c>
      <c r="C20" s="5">
        <v>197643.19</v>
      </c>
      <c r="D20" s="5">
        <v>90323.11</v>
      </c>
      <c r="E20" s="5">
        <v>39.549999999999997</v>
      </c>
      <c r="F20" s="5">
        <v>19599.650000000001</v>
      </c>
      <c r="G20" s="5">
        <v>330.49</v>
      </c>
      <c r="H20" s="5">
        <v>241.42</v>
      </c>
      <c r="I20" s="5">
        <v>26.74</v>
      </c>
      <c r="J20" s="5">
        <f>0*95.17</f>
        <v>0</v>
      </c>
      <c r="K20" s="5">
        <f>0*5.56</f>
        <v>0</v>
      </c>
      <c r="L20" s="5">
        <v>21.56</v>
      </c>
      <c r="M20" s="5">
        <f>0*28.73</f>
        <v>0</v>
      </c>
      <c r="N20" s="5">
        <v>12.96</v>
      </c>
      <c r="O20" s="5">
        <v>502.72</v>
      </c>
      <c r="P20" s="5">
        <v>24.56</v>
      </c>
      <c r="Q20" s="5">
        <v>119.96</v>
      </c>
      <c r="R20" s="5">
        <v>49.49</v>
      </c>
      <c r="S20" s="5">
        <v>3.07</v>
      </c>
      <c r="T20" s="5">
        <f>0*1.4</f>
        <v>0</v>
      </c>
      <c r="U20" s="5">
        <f>0*0.45</f>
        <v>0</v>
      </c>
      <c r="V20" s="5">
        <f>0*0.35</f>
        <v>0</v>
      </c>
      <c r="W20" s="5">
        <v>388.94</v>
      </c>
      <c r="X20" s="5">
        <v>17.46</v>
      </c>
      <c r="Y20" s="5">
        <v>41.22</v>
      </c>
      <c r="Z20" s="5">
        <v>6.15</v>
      </c>
      <c r="AA20" s="5">
        <v>28.82</v>
      </c>
      <c r="AB20" s="5">
        <v>6.75</v>
      </c>
      <c r="AC20" s="5">
        <v>2.46</v>
      </c>
      <c r="AD20" s="5">
        <v>6.53</v>
      </c>
      <c r="AE20" s="5">
        <v>0.88</v>
      </c>
      <c r="AF20" s="5">
        <v>5.78</v>
      </c>
      <c r="AG20" s="5">
        <v>1</v>
      </c>
      <c r="AH20" s="5">
        <v>2.72</v>
      </c>
      <c r="AI20" s="5">
        <v>0.28699999999999998</v>
      </c>
      <c r="AJ20" s="5">
        <v>2.35</v>
      </c>
      <c r="AK20" s="5">
        <v>0.40300000000000002</v>
      </c>
      <c r="AL20" s="5">
        <v>3.74</v>
      </c>
      <c r="AM20" s="5">
        <v>2.7</v>
      </c>
      <c r="AN20" s="5">
        <v>349.55</v>
      </c>
      <c r="AO20" s="5">
        <v>359.08</v>
      </c>
      <c r="AP20" s="5">
        <f>0*0.32</f>
        <v>0</v>
      </c>
      <c r="AQ20" s="5">
        <v>0.91</v>
      </c>
      <c r="AR20" s="5">
        <v>0.252</v>
      </c>
    </row>
    <row r="21" spans="1:44" s="1" customFormat="1" x14ac:dyDescent="0.45">
      <c r="A21" s="6" t="s">
        <v>43</v>
      </c>
      <c r="B21" s="5">
        <f>AVERAGE(B16:B20)</f>
        <v>3.0019999999999998</v>
      </c>
      <c r="C21" s="5">
        <f>AVERAGE(C16:C20)</f>
        <v>197643.19399999999</v>
      </c>
      <c r="D21" s="5">
        <f>AVERAGE(D16:D20)</f>
        <v>89383.645999999993</v>
      </c>
      <c r="E21" s="5">
        <f>AVERAGE(E16:E20)</f>
        <v>33.628</v>
      </c>
      <c r="F21" s="5">
        <f>AVERAGE(F16:F20)</f>
        <v>21060.374</v>
      </c>
      <c r="G21" s="5">
        <f>AVERAGE(G16:G20)</f>
        <v>323.60000000000002</v>
      </c>
      <c r="H21" s="5">
        <f>AVERAGE(H16:H20)</f>
        <v>125.63399999999999</v>
      </c>
      <c r="I21" s="5">
        <f>AVERAGE(I16:I20)</f>
        <v>26.586000000000002</v>
      </c>
      <c r="J21" s="5">
        <f>AVERAGE(J16:J20)</f>
        <v>0</v>
      </c>
      <c r="K21" s="5">
        <f>AVERAGE(K16:K20)</f>
        <v>0</v>
      </c>
      <c r="L21" s="5">
        <f>AVERAGE(L16:L20)</f>
        <v>25.258000000000003</v>
      </c>
      <c r="M21" s="5">
        <f>AVERAGE(M16:M20)</f>
        <v>0</v>
      </c>
      <c r="N21" s="5">
        <f>AVERAGE(N16:N20)</f>
        <v>14.276</v>
      </c>
      <c r="O21" s="5">
        <f>AVERAGE(O16:O20)</f>
        <v>601.82999999999993</v>
      </c>
      <c r="P21" s="5">
        <f>AVERAGE(P16:P20)</f>
        <v>25.98</v>
      </c>
      <c r="Q21" s="5">
        <f>AVERAGE(Q16:Q20)</f>
        <v>133.422</v>
      </c>
      <c r="R21" s="5">
        <f>AVERAGE(R16:R20)</f>
        <v>56.274000000000001</v>
      </c>
      <c r="S21" s="5">
        <f>AVERAGE(S16:S20)</f>
        <v>3.8259999999999996</v>
      </c>
      <c r="T21" s="5">
        <f>AVERAGE(T16:T20)</f>
        <v>0</v>
      </c>
      <c r="U21" s="5">
        <f>AVERAGE(U16:U20)</f>
        <v>0</v>
      </c>
      <c r="V21" s="5">
        <f>AVERAGE(V16:V20)</f>
        <v>0</v>
      </c>
      <c r="W21" s="5">
        <f>AVERAGE(W16:W20)</f>
        <v>452.43199999999996</v>
      </c>
      <c r="X21" s="5">
        <f>AVERAGE(X16:X20)</f>
        <v>20.302</v>
      </c>
      <c r="Y21" s="5">
        <f>AVERAGE(Y16:Y20)</f>
        <v>46.033999999999999</v>
      </c>
      <c r="Z21" s="5">
        <f>AVERAGE(Z16:Z20)</f>
        <v>6.5299999999999994</v>
      </c>
      <c r="AA21" s="5">
        <f>AVERAGE(AA16:AA20)</f>
        <v>30.512</v>
      </c>
      <c r="AB21" s="5">
        <f>AVERAGE(AB16:AB20)</f>
        <v>7</v>
      </c>
      <c r="AC21" s="5">
        <f>AVERAGE(AC16:AC20)</f>
        <v>2.5700000000000003</v>
      </c>
      <c r="AD21" s="5">
        <f>AVERAGE(AD16:AD20)</f>
        <v>6.3240000000000007</v>
      </c>
      <c r="AE21" s="5">
        <f>AVERAGE(AE16:AE20)</f>
        <v>0.99500000000000011</v>
      </c>
      <c r="AF21" s="5">
        <f>AVERAGE(AF16:AF20)</f>
        <v>5.6120000000000001</v>
      </c>
      <c r="AG21" s="5">
        <f>AVERAGE(AG16:AG20)</f>
        <v>1.0740000000000001</v>
      </c>
      <c r="AH21" s="5">
        <f>AVERAGE(AH16:AH20)</f>
        <v>2.444</v>
      </c>
      <c r="AI21" s="5">
        <f>AVERAGE(AI16:AI20)</f>
        <v>0.35239999999999999</v>
      </c>
      <c r="AJ21" s="5">
        <f>AVERAGE(AJ16:AJ20)</f>
        <v>2.2399999999999998</v>
      </c>
      <c r="AK21" s="5">
        <f>AVERAGE(AK16:AK20)</f>
        <v>0.4210000000000001</v>
      </c>
      <c r="AL21" s="5">
        <f>AVERAGE(AL16:AL20)</f>
        <v>4.3600000000000012</v>
      </c>
      <c r="AM21" s="5">
        <f>AVERAGE(AM16:AM20)</f>
        <v>3.2659999999999996</v>
      </c>
      <c r="AN21" s="5">
        <f>AVERAGE(AN16:AN20)</f>
        <v>416.30600000000004</v>
      </c>
      <c r="AO21" s="5">
        <f>AVERAGE(AO16:AO20)</f>
        <v>410.52799999999996</v>
      </c>
      <c r="AP21" s="5">
        <f>AVERAGE(AP16:AP20)</f>
        <v>0.06</v>
      </c>
      <c r="AQ21" s="5">
        <f>AVERAGE(AQ16:AQ20)</f>
        <v>1.0720000000000001</v>
      </c>
      <c r="AR21" s="5">
        <f>AVERAGE(AR16:AR20)</f>
        <v>0.32480000000000003</v>
      </c>
    </row>
    <row r="22" spans="1:44" s="1" customFormat="1" x14ac:dyDescent="0.45">
      <c r="A22" s="7" t="s">
        <v>44</v>
      </c>
      <c r="B22" s="5">
        <f>AVEDEV(B16:B20)</f>
        <v>3.6024000000000003</v>
      </c>
      <c r="C22" s="5">
        <f>AVEDEV(C16:C20)</f>
        <v>4.8000000009778884E-3</v>
      </c>
      <c r="D22" s="5">
        <f>AVEDEV(D16:D20)</f>
        <v>1826.3567999999971</v>
      </c>
      <c r="E22" s="5">
        <f>AVEDEV(E16:E20)</f>
        <v>2.4856000000000003</v>
      </c>
      <c r="F22" s="5">
        <f>AVEDEV(F16:F20)</f>
        <v>1011.6272000000005</v>
      </c>
      <c r="G22" s="5">
        <f>AVEDEV(G16:G20)</f>
        <v>7.280000000000018</v>
      </c>
      <c r="H22" s="5">
        <f>AVEDEV(H16:H20)</f>
        <v>46.314399999999992</v>
      </c>
      <c r="I22" s="5">
        <f>AVEDEV(I16:I20)</f>
        <v>3.0807999999999991</v>
      </c>
      <c r="J22" s="5">
        <f>AVEDEV(J16:J20)</f>
        <v>0</v>
      </c>
      <c r="K22" s="5">
        <f>AVEDEV(K16:K20)</f>
        <v>0</v>
      </c>
      <c r="L22" s="5">
        <f>AVEDEV(L16:L20)</f>
        <v>2.0863999999999998</v>
      </c>
      <c r="M22" s="5">
        <f>AVEDEV(M16:M20)</f>
        <v>0</v>
      </c>
      <c r="N22" s="5">
        <f>AVEDEV(N16:N20)</f>
        <v>0.99680000000000002</v>
      </c>
      <c r="O22" s="5">
        <f>AVEDEV(O16:O20)</f>
        <v>40.851999999999997</v>
      </c>
      <c r="P22" s="5">
        <f>AVEDEV(P16:P20)</f>
        <v>1.2479999999999998</v>
      </c>
      <c r="Q22" s="5">
        <f>AVEDEV(Q16:Q20)</f>
        <v>7.4016000000000046</v>
      </c>
      <c r="R22" s="5">
        <f>AVEDEV(R16:R20)</f>
        <v>3.4511999999999987</v>
      </c>
      <c r="S22" s="5">
        <f>AVEDEV(S16:S20)</f>
        <v>0.30880000000000007</v>
      </c>
      <c r="T22" s="5">
        <f>AVEDEV(T16:T20)</f>
        <v>0</v>
      </c>
      <c r="U22" s="5">
        <f>AVEDEV(U16:U20)</f>
        <v>0</v>
      </c>
      <c r="V22" s="5">
        <f>AVEDEV(V16:V20)</f>
        <v>0</v>
      </c>
      <c r="W22" s="5">
        <f>AVEDEV(W16:W20)</f>
        <v>25.396800000000006</v>
      </c>
      <c r="X22" s="5">
        <f>AVEDEV(X16:X20)</f>
        <v>1.2056000000000004</v>
      </c>
      <c r="Y22" s="5">
        <f>AVEDEV(Y16:Y20)</f>
        <v>2.3352000000000017</v>
      </c>
      <c r="Z22" s="5">
        <f>AVEDEV(Z16:Z20)</f>
        <v>0.27999999999999969</v>
      </c>
      <c r="AA22" s="5">
        <f>AVEDEV(AA16:AA20)</f>
        <v>1.4503999999999997</v>
      </c>
      <c r="AB22" s="5">
        <f>AVEDEV(AB16:AB20)</f>
        <v>0.70799999999999985</v>
      </c>
      <c r="AC22" s="5">
        <f>AVEDEV(AC16:AC20)</f>
        <v>0.25200000000000006</v>
      </c>
      <c r="AD22" s="5">
        <f>AVEDEV(AD16:AD20)</f>
        <v>0.2368000000000002</v>
      </c>
      <c r="AE22" s="5">
        <f>AVEDEV(AE16:AE20)</f>
        <v>7.600000000000004E-2</v>
      </c>
      <c r="AF22" s="5">
        <f>AVEDEV(AF16:AF20)</f>
        <v>0.26159999999999994</v>
      </c>
      <c r="AG22" s="5">
        <f>AVEDEV(AG16:AG20)</f>
        <v>8.4800000000000028E-2</v>
      </c>
      <c r="AH22" s="5">
        <f>AVEDEV(AH16:AH20)</f>
        <v>0.33920000000000006</v>
      </c>
      <c r="AI22" s="5">
        <f>AVEDEV(AI16:AI20)</f>
        <v>3.7519999999999998E-2</v>
      </c>
      <c r="AJ22" s="5">
        <f>AVEDEV(AJ16:AJ20)</f>
        <v>0.21200000000000011</v>
      </c>
      <c r="AK22" s="5">
        <f>AVEDEV(AK16:AK20)</f>
        <v>2.4799999999999978E-2</v>
      </c>
      <c r="AL22" s="5">
        <f>AVEDEV(AL16:AL20)</f>
        <v>0.37199999999999989</v>
      </c>
      <c r="AM22" s="5">
        <f>AVEDEV(AM16:AM20)</f>
        <v>0.24880000000000005</v>
      </c>
      <c r="AN22" s="5">
        <f>AVEDEV(AN16:AN20)</f>
        <v>33.064800000000005</v>
      </c>
      <c r="AO22" s="5">
        <f>AVEDEV(AO16:AO20)</f>
        <v>25.302400000000013</v>
      </c>
      <c r="AP22" s="5">
        <f>AVEDEV(AP16:AP20)</f>
        <v>9.6000000000000002E-2</v>
      </c>
      <c r="AQ22" s="5">
        <f>AVEDEV(AQ16:AQ20)</f>
        <v>8.6400000000000005E-2</v>
      </c>
      <c r="AR22" s="5">
        <f>AVEDEV(AR16:AR20)</f>
        <v>5.1360000000000017E-2</v>
      </c>
    </row>
    <row r="23" spans="1:44" s="1" customFormat="1" x14ac:dyDescent="0.45">
      <c r="A23" s="6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</row>
    <row r="24" spans="1:44" s="9" customFormat="1" ht="15.4" x14ac:dyDescent="0.45">
      <c r="A24" s="2" t="s">
        <v>48</v>
      </c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</row>
    <row r="25" spans="1:44" s="1" customFormat="1" x14ac:dyDescent="0.45">
      <c r="A25" s="6">
        <v>1</v>
      </c>
      <c r="B25" s="5">
        <v>115.69</v>
      </c>
      <c r="C25" s="5">
        <v>209357.64</v>
      </c>
      <c r="D25" s="5">
        <v>74026.41</v>
      </c>
      <c r="E25" s="5">
        <v>15.55</v>
      </c>
      <c r="F25" s="5">
        <v>13966.3</v>
      </c>
      <c r="G25" s="5">
        <v>111.16</v>
      </c>
      <c r="H25" s="5">
        <v>169.93</v>
      </c>
      <c r="I25" s="5">
        <v>2.37</v>
      </c>
      <c r="J25" s="5">
        <f>0*22.63</f>
        <v>0</v>
      </c>
      <c r="K25" s="5">
        <f>0*0.74</f>
        <v>0</v>
      </c>
      <c r="L25" s="5">
        <v>11.21</v>
      </c>
      <c r="M25" s="5">
        <f>0*5.11</f>
        <v>0</v>
      </c>
      <c r="N25" s="5">
        <v>14.15</v>
      </c>
      <c r="O25" s="5">
        <v>517.74</v>
      </c>
      <c r="P25" s="5">
        <v>22.02</v>
      </c>
      <c r="Q25" s="5">
        <v>130.13</v>
      </c>
      <c r="R25" s="5">
        <v>40.01</v>
      </c>
      <c r="S25" s="5">
        <v>11.46</v>
      </c>
      <c r="T25" s="5">
        <f>0*0.27</f>
        <v>0</v>
      </c>
      <c r="U25" s="5">
        <f>0*0.115</f>
        <v>0</v>
      </c>
      <c r="V25" s="5">
        <v>1.004</v>
      </c>
      <c r="W25" s="5">
        <v>389.64</v>
      </c>
      <c r="X25" s="5">
        <v>18.97</v>
      </c>
      <c r="Y25" s="5">
        <v>35.39</v>
      </c>
      <c r="Z25" s="5">
        <v>5.31</v>
      </c>
      <c r="AA25" s="5">
        <v>23.19</v>
      </c>
      <c r="AB25" s="5">
        <v>4.47</v>
      </c>
      <c r="AC25" s="5">
        <v>1.53</v>
      </c>
      <c r="AD25" s="5">
        <v>4.8499999999999996</v>
      </c>
      <c r="AE25" s="5">
        <v>0.66300000000000003</v>
      </c>
      <c r="AF25" s="5">
        <v>4.21</v>
      </c>
      <c r="AG25" s="5">
        <v>0.79200000000000004</v>
      </c>
      <c r="AH25" s="5">
        <v>2.14</v>
      </c>
      <c r="AI25" s="5">
        <v>0.24</v>
      </c>
      <c r="AJ25" s="5">
        <v>1.61</v>
      </c>
      <c r="AK25" s="5">
        <v>0.20399999999999999</v>
      </c>
      <c r="AL25" s="5">
        <v>7.8</v>
      </c>
      <c r="AM25" s="5">
        <v>2.54</v>
      </c>
      <c r="AN25" s="5">
        <v>262.33</v>
      </c>
      <c r="AO25" s="5">
        <v>259.99</v>
      </c>
      <c r="AP25" s="5">
        <f>0*0.076</f>
        <v>0</v>
      </c>
      <c r="AQ25" s="5">
        <v>1.3839999999999999</v>
      </c>
      <c r="AR25" s="5">
        <v>0.83699999999999997</v>
      </c>
    </row>
    <row r="26" spans="1:44" s="1" customFormat="1" x14ac:dyDescent="0.45">
      <c r="A26" s="6">
        <v>2</v>
      </c>
      <c r="B26" s="5">
        <v>105.67</v>
      </c>
      <c r="C26" s="5">
        <v>209357.66</v>
      </c>
      <c r="D26" s="5">
        <v>67243.899999999994</v>
      </c>
      <c r="E26" s="5">
        <v>14.68</v>
      </c>
      <c r="F26" s="5">
        <v>12501.11</v>
      </c>
      <c r="G26" s="5">
        <v>105.47</v>
      </c>
      <c r="H26" s="5">
        <v>247.09</v>
      </c>
      <c r="I26" s="5">
        <v>4.88</v>
      </c>
      <c r="J26" s="5">
        <f>0*21.15</f>
        <v>0</v>
      </c>
      <c r="K26" s="5">
        <f>0*0.73</f>
        <v>0</v>
      </c>
      <c r="L26" s="5">
        <v>8.91</v>
      </c>
      <c r="M26" s="5">
        <f>0*4.44</f>
        <v>0</v>
      </c>
      <c r="N26" s="5">
        <v>11.75</v>
      </c>
      <c r="O26" s="5">
        <v>444.9</v>
      </c>
      <c r="P26" s="5">
        <v>19.2</v>
      </c>
      <c r="Q26" s="5">
        <v>109.77</v>
      </c>
      <c r="R26" s="5">
        <v>33.79</v>
      </c>
      <c r="S26" s="5">
        <v>9.5500000000000007</v>
      </c>
      <c r="T26" s="5">
        <f>0*0.233</f>
        <v>0</v>
      </c>
      <c r="U26" s="5">
        <v>8.5999999999999993E-2</v>
      </c>
      <c r="V26" s="5">
        <v>0.81100000000000005</v>
      </c>
      <c r="W26" s="5">
        <v>310.48</v>
      </c>
      <c r="X26" s="5">
        <v>16.22</v>
      </c>
      <c r="Y26" s="5">
        <v>32.229999999999997</v>
      </c>
      <c r="Z26" s="5">
        <v>4.58</v>
      </c>
      <c r="AA26" s="5">
        <v>19.79</v>
      </c>
      <c r="AB26" s="5">
        <v>5.05</v>
      </c>
      <c r="AC26" s="5">
        <v>1.38</v>
      </c>
      <c r="AD26" s="5">
        <v>4.1900000000000004</v>
      </c>
      <c r="AE26" s="5">
        <v>0.53100000000000003</v>
      </c>
      <c r="AF26" s="5">
        <v>3.28</v>
      </c>
      <c r="AG26" s="5">
        <v>0.71</v>
      </c>
      <c r="AH26" s="5">
        <v>1.97</v>
      </c>
      <c r="AI26" s="5">
        <v>0.17799999999999999</v>
      </c>
      <c r="AJ26" s="5">
        <v>1.43</v>
      </c>
      <c r="AK26" s="5">
        <v>0.17499999999999999</v>
      </c>
      <c r="AL26" s="5">
        <v>6.67</v>
      </c>
      <c r="AM26" s="5">
        <v>2.04</v>
      </c>
      <c r="AN26" s="5">
        <v>217.93</v>
      </c>
      <c r="AO26" s="5">
        <v>212.76</v>
      </c>
      <c r="AP26" s="5">
        <f>0*0.051</f>
        <v>0</v>
      </c>
      <c r="AQ26" s="5">
        <v>1.224</v>
      </c>
      <c r="AR26" s="5">
        <v>0.67400000000000004</v>
      </c>
    </row>
    <row r="27" spans="1:44" s="1" customFormat="1" x14ac:dyDescent="0.45">
      <c r="A27" s="6">
        <v>3</v>
      </c>
      <c r="B27" s="5">
        <v>113.93</v>
      </c>
      <c r="C27" s="5">
        <v>210647.78</v>
      </c>
      <c r="D27" s="5">
        <v>76661.509999999995</v>
      </c>
      <c r="E27" s="5">
        <v>15.91</v>
      </c>
      <c r="F27" s="5">
        <v>13379.78</v>
      </c>
      <c r="G27" s="5">
        <v>116.65</v>
      </c>
      <c r="H27" s="5">
        <v>334.78</v>
      </c>
      <c r="I27" s="5">
        <v>3.08</v>
      </c>
      <c r="J27" s="5">
        <f>0*24.03</f>
        <v>0</v>
      </c>
      <c r="K27" s="5">
        <f>0*0.86</f>
        <v>0</v>
      </c>
      <c r="L27" s="5">
        <v>9.5299999999999994</v>
      </c>
      <c r="M27" s="5">
        <f>0*5.08</f>
        <v>0</v>
      </c>
      <c r="N27" s="5">
        <v>13.72</v>
      </c>
      <c r="O27" s="5">
        <v>497.33</v>
      </c>
      <c r="P27" s="5">
        <v>21.97</v>
      </c>
      <c r="Q27" s="5">
        <v>122.6</v>
      </c>
      <c r="R27" s="5">
        <v>38.46</v>
      </c>
      <c r="S27" s="5">
        <v>10.34</v>
      </c>
      <c r="T27" s="5">
        <v>0.32400000000000001</v>
      </c>
      <c r="U27" s="5">
        <f>0*0.107</f>
        <v>0</v>
      </c>
      <c r="V27" s="5">
        <v>1.024</v>
      </c>
      <c r="W27" s="5">
        <v>367.02</v>
      </c>
      <c r="X27" s="5">
        <v>18.47</v>
      </c>
      <c r="Y27" s="5">
        <v>34.69</v>
      </c>
      <c r="Z27" s="5">
        <v>5</v>
      </c>
      <c r="AA27" s="5">
        <v>22.9</v>
      </c>
      <c r="AB27" s="5">
        <v>4.96</v>
      </c>
      <c r="AC27" s="5">
        <v>1.42</v>
      </c>
      <c r="AD27" s="5">
        <v>4.6900000000000004</v>
      </c>
      <c r="AE27" s="5">
        <v>0.621</v>
      </c>
      <c r="AF27" s="5">
        <v>4.04</v>
      </c>
      <c r="AG27" s="5">
        <v>0.77</v>
      </c>
      <c r="AH27" s="5">
        <v>2</v>
      </c>
      <c r="AI27" s="5">
        <v>0.249</v>
      </c>
      <c r="AJ27" s="5">
        <v>1.56</v>
      </c>
      <c r="AK27" s="5">
        <v>0.20899999999999999</v>
      </c>
      <c r="AL27" s="5">
        <v>7.76</v>
      </c>
      <c r="AM27" s="5">
        <v>2.4500000000000002</v>
      </c>
      <c r="AN27" s="5">
        <v>239.95</v>
      </c>
      <c r="AO27" s="5">
        <v>245.81</v>
      </c>
      <c r="AP27" s="5">
        <v>7.1999999999999995E-2</v>
      </c>
      <c r="AQ27" s="5">
        <v>1.4350000000000001</v>
      </c>
      <c r="AR27" s="5">
        <v>0.75</v>
      </c>
    </row>
    <row r="28" spans="1:44" s="1" customFormat="1" x14ac:dyDescent="0.45">
      <c r="A28" s="6">
        <v>4</v>
      </c>
      <c r="B28" s="5">
        <v>97.69</v>
      </c>
      <c r="C28" s="5">
        <v>210647.78</v>
      </c>
      <c r="D28" s="5">
        <v>76790.52</v>
      </c>
      <c r="E28" s="5">
        <v>18.670000000000002</v>
      </c>
      <c r="F28" s="5">
        <v>11938</v>
      </c>
      <c r="G28" s="5">
        <v>133.29</v>
      </c>
      <c r="H28" s="5">
        <v>839.96</v>
      </c>
      <c r="I28" s="5">
        <v>5.04</v>
      </c>
      <c r="J28" s="5">
        <f>0*20.89</f>
        <v>0</v>
      </c>
      <c r="K28" s="5">
        <v>0.74</v>
      </c>
      <c r="L28" s="5">
        <v>8.69</v>
      </c>
      <c r="M28" s="5">
        <f>0*4.61</f>
        <v>0</v>
      </c>
      <c r="N28" s="5">
        <v>10.86</v>
      </c>
      <c r="O28" s="5">
        <v>404.55</v>
      </c>
      <c r="P28" s="5">
        <v>18.27</v>
      </c>
      <c r="Q28" s="5">
        <v>96.42</v>
      </c>
      <c r="R28" s="5">
        <v>32.409999999999997</v>
      </c>
      <c r="S28" s="5">
        <v>7.85</v>
      </c>
      <c r="T28" s="5">
        <v>0.185</v>
      </c>
      <c r="U28" s="5">
        <f>0*0.102</f>
        <v>0</v>
      </c>
      <c r="V28" s="5">
        <v>0.77400000000000002</v>
      </c>
      <c r="W28" s="5">
        <v>306.37</v>
      </c>
      <c r="X28" s="5">
        <v>14.29</v>
      </c>
      <c r="Y28" s="5">
        <v>28.5</v>
      </c>
      <c r="Z28" s="5">
        <v>4.29</v>
      </c>
      <c r="AA28" s="5">
        <v>17.2</v>
      </c>
      <c r="AB28" s="5">
        <v>4.45</v>
      </c>
      <c r="AC28" s="5">
        <v>1.32</v>
      </c>
      <c r="AD28" s="5">
        <v>4.18</v>
      </c>
      <c r="AE28" s="5">
        <v>0.60399999999999998</v>
      </c>
      <c r="AF28" s="5">
        <v>3.3</v>
      </c>
      <c r="AG28" s="5">
        <v>0.61899999999999999</v>
      </c>
      <c r="AH28" s="5">
        <v>1.59</v>
      </c>
      <c r="AI28" s="5">
        <v>0.19600000000000001</v>
      </c>
      <c r="AJ28" s="5">
        <v>1.37</v>
      </c>
      <c r="AK28" s="5">
        <v>0.191</v>
      </c>
      <c r="AL28" s="5">
        <v>5.94</v>
      </c>
      <c r="AM28" s="5">
        <v>1.88</v>
      </c>
      <c r="AN28" s="5">
        <v>192.8</v>
      </c>
      <c r="AO28" s="5">
        <v>190.95</v>
      </c>
      <c r="AP28" s="5">
        <f>0*0.065</f>
        <v>0</v>
      </c>
      <c r="AQ28" s="5">
        <v>1.0569999999999999</v>
      </c>
      <c r="AR28" s="5">
        <v>0.63700000000000001</v>
      </c>
    </row>
    <row r="29" spans="1:44" s="1" customFormat="1" x14ac:dyDescent="0.45">
      <c r="A29" s="6">
        <v>5</v>
      </c>
      <c r="B29" s="5">
        <v>111.64</v>
      </c>
      <c r="C29" s="5">
        <v>198743.97</v>
      </c>
      <c r="D29" s="5">
        <v>84081.23</v>
      </c>
      <c r="E29" s="5">
        <v>35.07</v>
      </c>
      <c r="F29" s="5">
        <v>14431.02</v>
      </c>
      <c r="G29" s="5">
        <v>218.75</v>
      </c>
      <c r="H29" s="5">
        <v>360.59</v>
      </c>
      <c r="I29" s="5">
        <v>20.65</v>
      </c>
      <c r="J29" s="5">
        <f>0*24.32</f>
        <v>0</v>
      </c>
      <c r="K29" s="5">
        <f>0*0.74</f>
        <v>0</v>
      </c>
      <c r="L29" s="5">
        <v>14.64</v>
      </c>
      <c r="M29" s="5">
        <f>0*4.96</f>
        <v>0</v>
      </c>
      <c r="N29" s="5">
        <v>9.49</v>
      </c>
      <c r="O29" s="5">
        <v>382.68</v>
      </c>
      <c r="P29" s="5">
        <v>16.89</v>
      </c>
      <c r="Q29" s="5">
        <v>113.45</v>
      </c>
      <c r="R29" s="5">
        <v>30.8</v>
      </c>
      <c r="S29" s="5">
        <v>10.23</v>
      </c>
      <c r="T29" s="5">
        <f>0*0.3</f>
        <v>0</v>
      </c>
      <c r="U29" s="5">
        <v>4.7E-2</v>
      </c>
      <c r="V29" s="5">
        <v>0.19500000000000001</v>
      </c>
      <c r="W29" s="5">
        <v>290.64999999999998</v>
      </c>
      <c r="X29" s="5">
        <v>12.11</v>
      </c>
      <c r="Y29" s="5">
        <v>27.85</v>
      </c>
      <c r="Z29" s="5">
        <v>3.91</v>
      </c>
      <c r="AA29" s="5">
        <v>18.96</v>
      </c>
      <c r="AB29" s="5">
        <v>5.01</v>
      </c>
      <c r="AC29" s="5">
        <v>1.61</v>
      </c>
      <c r="AD29" s="5">
        <v>4.21</v>
      </c>
      <c r="AE29" s="5">
        <v>0.66100000000000003</v>
      </c>
      <c r="AF29" s="5">
        <v>3.57</v>
      </c>
      <c r="AG29" s="5">
        <v>0.65700000000000003</v>
      </c>
      <c r="AH29" s="5">
        <v>1.54</v>
      </c>
      <c r="AI29" s="5">
        <v>0.20200000000000001</v>
      </c>
      <c r="AJ29" s="5">
        <v>1.2</v>
      </c>
      <c r="AK29" s="5">
        <v>0.192</v>
      </c>
      <c r="AL29" s="5">
        <v>4.07</v>
      </c>
      <c r="AM29" s="5">
        <v>1.825</v>
      </c>
      <c r="AN29" s="5">
        <v>191.01</v>
      </c>
      <c r="AO29" s="5">
        <v>188.47</v>
      </c>
      <c r="AP29" s="5">
        <f>0*0.081</f>
        <v>0</v>
      </c>
      <c r="AQ29" s="5">
        <v>0.66600000000000004</v>
      </c>
      <c r="AR29" s="5">
        <v>0.32500000000000001</v>
      </c>
    </row>
    <row r="30" spans="1:44" s="1" customFormat="1" x14ac:dyDescent="0.45">
      <c r="A30" s="6">
        <v>6</v>
      </c>
      <c r="B30" s="5">
        <v>115.85</v>
      </c>
      <c r="C30" s="5">
        <v>198743.97</v>
      </c>
      <c r="D30" s="5">
        <v>86802.74</v>
      </c>
      <c r="E30" s="5">
        <v>37.75</v>
      </c>
      <c r="F30" s="5">
        <v>15058.3</v>
      </c>
      <c r="G30" s="5">
        <v>235.31</v>
      </c>
      <c r="H30" s="5">
        <v>384.47</v>
      </c>
      <c r="I30" s="5">
        <v>20.64</v>
      </c>
      <c r="J30" s="5">
        <f>0*24.75</f>
        <v>0</v>
      </c>
      <c r="K30" s="5">
        <f>0*0.81</f>
        <v>0</v>
      </c>
      <c r="L30" s="5">
        <v>16.329999999999998</v>
      </c>
      <c r="M30" s="5">
        <f>0*5.53</f>
        <v>0</v>
      </c>
      <c r="N30" s="5">
        <v>9.35</v>
      </c>
      <c r="O30" s="5">
        <v>404.29</v>
      </c>
      <c r="P30" s="5">
        <v>17.37</v>
      </c>
      <c r="Q30" s="5">
        <v>117.32</v>
      </c>
      <c r="R30" s="5">
        <v>31.99</v>
      </c>
      <c r="S30" s="5">
        <v>9.27</v>
      </c>
      <c r="T30" s="5">
        <f>0*0.221</f>
        <v>0</v>
      </c>
      <c r="U30" s="5">
        <f>0*0.084</f>
        <v>0</v>
      </c>
      <c r="V30" s="5">
        <v>0.216</v>
      </c>
      <c r="W30" s="5">
        <v>303</v>
      </c>
      <c r="X30" s="5">
        <v>12.59</v>
      </c>
      <c r="Y30" s="5">
        <v>29.62</v>
      </c>
      <c r="Z30" s="5">
        <v>4.2</v>
      </c>
      <c r="AA30" s="5">
        <v>19.53</v>
      </c>
      <c r="AB30" s="5">
        <v>5.36</v>
      </c>
      <c r="AC30" s="5">
        <v>1.6</v>
      </c>
      <c r="AD30" s="5">
        <v>4.07</v>
      </c>
      <c r="AE30" s="5">
        <v>0.64600000000000002</v>
      </c>
      <c r="AF30" s="5">
        <v>3.79</v>
      </c>
      <c r="AG30" s="5">
        <v>0.66800000000000004</v>
      </c>
      <c r="AH30" s="5">
        <v>1.79</v>
      </c>
      <c r="AI30" s="5">
        <v>0.25</v>
      </c>
      <c r="AJ30" s="5">
        <v>1.57</v>
      </c>
      <c r="AK30" s="5">
        <v>0.19</v>
      </c>
      <c r="AL30" s="5">
        <v>4.04</v>
      </c>
      <c r="AM30" s="5">
        <v>2.08</v>
      </c>
      <c r="AN30" s="5">
        <v>204.53</v>
      </c>
      <c r="AO30" s="5">
        <v>202.21</v>
      </c>
      <c r="AP30" s="5">
        <v>0.13</v>
      </c>
      <c r="AQ30" s="5">
        <v>0.67300000000000004</v>
      </c>
      <c r="AR30" s="5">
        <v>0.28699999999999998</v>
      </c>
    </row>
    <row r="31" spans="1:44" s="1" customFormat="1" x14ac:dyDescent="0.45">
      <c r="A31" s="6">
        <v>7</v>
      </c>
      <c r="B31" s="5">
        <v>115.95</v>
      </c>
      <c r="C31" s="5">
        <v>198743.97</v>
      </c>
      <c r="D31" s="5">
        <v>85436.44</v>
      </c>
      <c r="E31" s="5">
        <v>35.369999999999997</v>
      </c>
      <c r="F31" s="5">
        <v>14538.89</v>
      </c>
      <c r="G31" s="5">
        <v>225.69</v>
      </c>
      <c r="H31" s="5">
        <v>371.84</v>
      </c>
      <c r="I31" s="5">
        <v>20.71</v>
      </c>
      <c r="J31" s="5">
        <f>0*24.54</f>
        <v>0</v>
      </c>
      <c r="K31" s="5">
        <f>0*0.86</f>
        <v>0</v>
      </c>
      <c r="L31" s="5">
        <v>15.03</v>
      </c>
      <c r="M31" s="5">
        <f>0*5.35</f>
        <v>0</v>
      </c>
      <c r="N31" s="5">
        <v>9.2100000000000009</v>
      </c>
      <c r="O31" s="5">
        <v>395.12</v>
      </c>
      <c r="P31" s="5">
        <v>17.41</v>
      </c>
      <c r="Q31" s="5">
        <v>115.33</v>
      </c>
      <c r="R31" s="5">
        <v>31.16</v>
      </c>
      <c r="S31" s="5">
        <v>10.06</v>
      </c>
      <c r="T31" s="5">
        <f>0*0.248</f>
        <v>0</v>
      </c>
      <c r="U31" s="5">
        <f>0*0.047</f>
        <v>0</v>
      </c>
      <c r="V31" s="5">
        <v>0.158</v>
      </c>
      <c r="W31" s="5">
        <v>298.7</v>
      </c>
      <c r="X31" s="5">
        <v>12.31</v>
      </c>
      <c r="Y31" s="5">
        <v>28.84</v>
      </c>
      <c r="Z31" s="5">
        <v>4.08</v>
      </c>
      <c r="AA31" s="5">
        <v>19.28</v>
      </c>
      <c r="AB31" s="5">
        <v>4.55</v>
      </c>
      <c r="AC31" s="5">
        <v>1.52</v>
      </c>
      <c r="AD31" s="5">
        <v>4.57</v>
      </c>
      <c r="AE31" s="5">
        <v>0.622</v>
      </c>
      <c r="AF31" s="5">
        <v>3.54</v>
      </c>
      <c r="AG31" s="5">
        <v>0.69399999999999995</v>
      </c>
      <c r="AH31" s="5">
        <v>1.65</v>
      </c>
      <c r="AI31" s="5">
        <v>0.20200000000000001</v>
      </c>
      <c r="AJ31" s="5">
        <v>1.32</v>
      </c>
      <c r="AK31" s="5">
        <v>0.21299999999999999</v>
      </c>
      <c r="AL31" s="5">
        <v>3.61</v>
      </c>
      <c r="AM31" s="5">
        <v>1.8779999999999999</v>
      </c>
      <c r="AN31" s="5">
        <v>198.41</v>
      </c>
      <c r="AO31" s="5">
        <v>189.31</v>
      </c>
      <c r="AP31" s="5">
        <f>0*0.06</f>
        <v>0</v>
      </c>
      <c r="AQ31" s="5">
        <v>0.628</v>
      </c>
      <c r="AR31" s="5">
        <v>0.307</v>
      </c>
    </row>
    <row r="32" spans="1:44" s="1" customFormat="1" x14ac:dyDescent="0.45">
      <c r="A32" s="6">
        <v>8</v>
      </c>
      <c r="B32" s="5">
        <v>117.93</v>
      </c>
      <c r="C32" s="5">
        <v>198664.98</v>
      </c>
      <c r="D32" s="5">
        <v>88151.38</v>
      </c>
      <c r="E32" s="5">
        <v>36.24</v>
      </c>
      <c r="F32" s="5">
        <v>14765.68</v>
      </c>
      <c r="G32" s="5">
        <v>228.05</v>
      </c>
      <c r="H32" s="5">
        <v>390.2</v>
      </c>
      <c r="I32" s="5">
        <v>20.62</v>
      </c>
      <c r="J32" s="5">
        <f>0*23.54</f>
        <v>0</v>
      </c>
      <c r="K32" s="5">
        <f>0*0.87</f>
        <v>0</v>
      </c>
      <c r="L32" s="5">
        <v>14.71</v>
      </c>
      <c r="M32" s="5">
        <f>0*4.88</f>
        <v>0</v>
      </c>
      <c r="N32" s="5">
        <v>9.2799999999999994</v>
      </c>
      <c r="O32" s="5">
        <v>396.99</v>
      </c>
      <c r="P32" s="5">
        <v>16.93</v>
      </c>
      <c r="Q32" s="5">
        <v>114.95</v>
      </c>
      <c r="R32" s="5">
        <v>30.62</v>
      </c>
      <c r="S32" s="5">
        <v>10.55</v>
      </c>
      <c r="T32" s="5">
        <f>0*0.278</f>
        <v>0</v>
      </c>
      <c r="U32" s="5">
        <v>5.8000000000000003E-2</v>
      </c>
      <c r="V32" s="5">
        <v>0.22500000000000001</v>
      </c>
      <c r="W32" s="5">
        <v>316.7</v>
      </c>
      <c r="X32" s="5">
        <v>12.54</v>
      </c>
      <c r="Y32" s="5">
        <v>28.59</v>
      </c>
      <c r="Z32" s="5">
        <v>4.1500000000000004</v>
      </c>
      <c r="AA32" s="5">
        <v>19.36</v>
      </c>
      <c r="AB32" s="5">
        <v>5.07</v>
      </c>
      <c r="AC32" s="5">
        <v>1.62</v>
      </c>
      <c r="AD32" s="5">
        <v>4.41</v>
      </c>
      <c r="AE32" s="5">
        <v>0.65600000000000003</v>
      </c>
      <c r="AF32" s="5">
        <v>3.66</v>
      </c>
      <c r="AG32" s="5">
        <v>0.64</v>
      </c>
      <c r="AH32" s="5">
        <v>1.57</v>
      </c>
      <c r="AI32" s="5">
        <v>0.20699999999999999</v>
      </c>
      <c r="AJ32" s="5">
        <v>1.21</v>
      </c>
      <c r="AK32" s="5">
        <v>0.183</v>
      </c>
      <c r="AL32" s="5">
        <v>4.28</v>
      </c>
      <c r="AM32" s="5">
        <v>1.746</v>
      </c>
      <c r="AN32" s="5">
        <v>184.62</v>
      </c>
      <c r="AO32" s="5">
        <v>188.37</v>
      </c>
      <c r="AP32" s="5">
        <f>0*0.068</f>
        <v>0</v>
      </c>
      <c r="AQ32" s="5">
        <v>0.59199999999999997</v>
      </c>
      <c r="AR32" s="5">
        <v>0.26700000000000002</v>
      </c>
    </row>
    <row r="33" spans="1:44" s="1" customFormat="1" x14ac:dyDescent="0.45">
      <c r="A33" s="6">
        <v>9</v>
      </c>
      <c r="B33" s="5">
        <v>115.33</v>
      </c>
      <c r="C33" s="5">
        <v>198664.98</v>
      </c>
      <c r="D33" s="5">
        <v>87740.86</v>
      </c>
      <c r="E33" s="5">
        <v>36.49</v>
      </c>
      <c r="F33" s="5">
        <v>14665.24</v>
      </c>
      <c r="G33" s="5">
        <v>221.55</v>
      </c>
      <c r="H33" s="5">
        <v>397.01</v>
      </c>
      <c r="I33" s="5">
        <v>20.399999999999999</v>
      </c>
      <c r="J33" s="5">
        <v>30.05</v>
      </c>
      <c r="K33" s="5">
        <f>0*0.92</f>
        <v>0</v>
      </c>
      <c r="L33" s="5">
        <v>13.91</v>
      </c>
      <c r="M33" s="5">
        <f>0*4.98</f>
        <v>0</v>
      </c>
      <c r="N33" s="5">
        <v>9.36</v>
      </c>
      <c r="O33" s="5">
        <v>412.03</v>
      </c>
      <c r="P33" s="5">
        <v>17.7</v>
      </c>
      <c r="Q33" s="5">
        <v>119.54</v>
      </c>
      <c r="R33" s="5">
        <v>30.8</v>
      </c>
      <c r="S33" s="5">
        <v>10.5</v>
      </c>
      <c r="T33" s="5">
        <f>0*0.3</f>
        <v>0</v>
      </c>
      <c r="U33" s="5">
        <f>0*0.081</f>
        <v>0</v>
      </c>
      <c r="V33" s="5">
        <v>0.154</v>
      </c>
      <c r="W33" s="5">
        <v>301.02</v>
      </c>
      <c r="X33" s="5">
        <v>12.61</v>
      </c>
      <c r="Y33" s="5">
        <v>29.78</v>
      </c>
      <c r="Z33" s="5">
        <v>4.18</v>
      </c>
      <c r="AA33" s="5">
        <v>19.3</v>
      </c>
      <c r="AB33" s="5">
        <v>5.31</v>
      </c>
      <c r="AC33" s="5">
        <v>1.58</v>
      </c>
      <c r="AD33" s="5">
        <v>4.76</v>
      </c>
      <c r="AE33" s="5">
        <v>0.72399999999999998</v>
      </c>
      <c r="AF33" s="5">
        <v>3.9</v>
      </c>
      <c r="AG33" s="5">
        <v>0.73499999999999999</v>
      </c>
      <c r="AH33" s="5">
        <v>1.71</v>
      </c>
      <c r="AI33" s="5">
        <v>0.19600000000000001</v>
      </c>
      <c r="AJ33" s="5">
        <v>1.36</v>
      </c>
      <c r="AK33" s="5">
        <v>0.182</v>
      </c>
      <c r="AL33" s="5">
        <v>3.9</v>
      </c>
      <c r="AM33" s="5">
        <v>1.768</v>
      </c>
      <c r="AN33" s="5">
        <v>188.32</v>
      </c>
      <c r="AO33" s="5">
        <v>190.47</v>
      </c>
      <c r="AP33" s="5">
        <f>0*0.063</f>
        <v>0</v>
      </c>
      <c r="AQ33" s="5">
        <v>0.70699999999999996</v>
      </c>
      <c r="AR33" s="5">
        <v>0.33900000000000002</v>
      </c>
    </row>
    <row r="34" spans="1:44" s="1" customFormat="1" x14ac:dyDescent="0.45">
      <c r="A34" s="6">
        <v>10</v>
      </c>
      <c r="B34" s="5">
        <v>115.83</v>
      </c>
      <c r="C34" s="5">
        <v>198664.98</v>
      </c>
      <c r="D34" s="5">
        <v>87020.62</v>
      </c>
      <c r="E34" s="5">
        <v>36.21</v>
      </c>
      <c r="F34" s="5">
        <v>14716.91</v>
      </c>
      <c r="G34" s="5">
        <v>216.23</v>
      </c>
      <c r="H34" s="5">
        <v>383.57</v>
      </c>
      <c r="I34" s="5">
        <v>19.96</v>
      </c>
      <c r="J34" s="5">
        <f>0*23.01</f>
        <v>0</v>
      </c>
      <c r="K34" s="5">
        <v>1.27</v>
      </c>
      <c r="L34" s="5">
        <v>14.07</v>
      </c>
      <c r="M34" s="5">
        <f>0*5.38</f>
        <v>0</v>
      </c>
      <c r="N34" s="5">
        <v>9.58</v>
      </c>
      <c r="O34" s="5">
        <v>405.81</v>
      </c>
      <c r="P34" s="5">
        <v>17.43</v>
      </c>
      <c r="Q34" s="5">
        <v>119.48</v>
      </c>
      <c r="R34" s="5">
        <v>30.96</v>
      </c>
      <c r="S34" s="5">
        <v>9.67</v>
      </c>
      <c r="T34" s="5">
        <f>0*0.3</f>
        <v>0</v>
      </c>
      <c r="U34" s="5">
        <f>0*0.065</f>
        <v>0</v>
      </c>
      <c r="V34" s="5">
        <v>0.20100000000000001</v>
      </c>
      <c r="W34" s="5">
        <v>310.12</v>
      </c>
      <c r="X34" s="5">
        <v>12.59</v>
      </c>
      <c r="Y34" s="5">
        <v>29.15</v>
      </c>
      <c r="Z34" s="5">
        <v>4.45</v>
      </c>
      <c r="AA34" s="5">
        <v>19.670000000000002</v>
      </c>
      <c r="AB34" s="5">
        <v>5.31</v>
      </c>
      <c r="AC34" s="5">
        <v>1.73</v>
      </c>
      <c r="AD34" s="5">
        <v>4.53</v>
      </c>
      <c r="AE34" s="5">
        <v>0.64300000000000002</v>
      </c>
      <c r="AF34" s="5">
        <v>3.52</v>
      </c>
      <c r="AG34" s="5">
        <v>0.66600000000000004</v>
      </c>
      <c r="AH34" s="5">
        <v>1.81</v>
      </c>
      <c r="AI34" s="5">
        <v>0.22900000000000001</v>
      </c>
      <c r="AJ34" s="5">
        <v>1.2</v>
      </c>
      <c r="AK34" s="5">
        <v>0.187</v>
      </c>
      <c r="AL34" s="5">
        <v>4.5</v>
      </c>
      <c r="AM34" s="5">
        <v>1.831</v>
      </c>
      <c r="AN34" s="5">
        <v>190</v>
      </c>
      <c r="AO34" s="5">
        <v>190.4</v>
      </c>
      <c r="AP34" s="5">
        <f>0*0.064</f>
        <v>0</v>
      </c>
      <c r="AQ34" s="5">
        <v>0.61399999999999999</v>
      </c>
      <c r="AR34" s="5">
        <v>0.28399999999999997</v>
      </c>
    </row>
    <row r="35" spans="1:44" s="1" customFormat="1" x14ac:dyDescent="0.45">
      <c r="A35" s="6" t="s">
        <v>43</v>
      </c>
      <c r="B35" s="5">
        <f>AVERAGE(B25:B34)</f>
        <v>112.55100000000002</v>
      </c>
      <c r="C35" s="5">
        <f>AVERAGE(C25:C34)</f>
        <v>203223.77100000001</v>
      </c>
      <c r="D35" s="5">
        <f>AVERAGE(D25:D34)</f>
        <v>81395.561000000002</v>
      </c>
      <c r="E35" s="5">
        <f>AVERAGE(E25:E34)</f>
        <v>28.193999999999999</v>
      </c>
      <c r="F35" s="5">
        <f>AVERAGE(F25:F34)</f>
        <v>13996.123000000001</v>
      </c>
      <c r="G35" s="5">
        <f>AVERAGE(G25:G34)</f>
        <v>181.21499999999997</v>
      </c>
      <c r="H35" s="5">
        <f>AVERAGE(H25:H34)</f>
        <v>387.94400000000002</v>
      </c>
      <c r="I35" s="5">
        <f>AVERAGE(I25:I34)</f>
        <v>13.835000000000003</v>
      </c>
      <c r="J35" s="5">
        <f>AVERAGE(J25:J34)</f>
        <v>3.0049999999999999</v>
      </c>
      <c r="K35" s="5">
        <f>AVERAGE(K25:K34)</f>
        <v>0.20099999999999998</v>
      </c>
      <c r="L35" s="5">
        <f>AVERAGE(L25:L34)</f>
        <v>12.702999999999999</v>
      </c>
      <c r="M35" s="5">
        <f>AVERAGE(M25:M34)</f>
        <v>0</v>
      </c>
      <c r="N35" s="5">
        <f>AVERAGE(N25:N34)</f>
        <v>10.675000000000001</v>
      </c>
      <c r="O35" s="5">
        <f>AVERAGE(O25:O34)</f>
        <v>426.14399999999995</v>
      </c>
      <c r="P35" s="5">
        <f>AVERAGE(P25:P34)</f>
        <v>18.518999999999998</v>
      </c>
      <c r="Q35" s="5">
        <f>AVERAGE(Q25:Q34)</f>
        <v>115.89900000000003</v>
      </c>
      <c r="R35" s="5">
        <f>AVERAGE(R25:R34)</f>
        <v>33.1</v>
      </c>
      <c r="S35" s="5">
        <f>AVERAGE(S25:S34)</f>
        <v>9.9480000000000004</v>
      </c>
      <c r="T35" s="5">
        <f>AVERAGE(T25:T34)</f>
        <v>5.0900000000000001E-2</v>
      </c>
      <c r="U35" s="5">
        <f>AVERAGE(U25:U34)</f>
        <v>1.9099999999999999E-2</v>
      </c>
      <c r="V35" s="5">
        <f>AVERAGE(V25:V34)</f>
        <v>0.47619999999999996</v>
      </c>
      <c r="W35" s="5">
        <f>AVERAGE(W25:W34)</f>
        <v>319.36999999999995</v>
      </c>
      <c r="X35" s="5">
        <f>AVERAGE(X25:X34)</f>
        <v>14.270000000000001</v>
      </c>
      <c r="Y35" s="5">
        <f>AVERAGE(Y25:Y34)</f>
        <v>30.463999999999999</v>
      </c>
      <c r="Z35" s="5">
        <f>AVERAGE(Z25:Z34)</f>
        <v>4.415</v>
      </c>
      <c r="AA35" s="5">
        <f>AVERAGE(AA25:AA34)</f>
        <v>19.917999999999999</v>
      </c>
      <c r="AB35" s="5">
        <f>AVERAGE(AB25:AB34)</f>
        <v>4.9539999999999997</v>
      </c>
      <c r="AC35" s="5">
        <f>AVERAGE(AC25:AC34)</f>
        <v>1.5310000000000001</v>
      </c>
      <c r="AD35" s="5">
        <f>AVERAGE(AD25:AD34)</f>
        <v>4.4459999999999997</v>
      </c>
      <c r="AE35" s="5">
        <f>AVERAGE(AE25:AE34)</f>
        <v>0.6371</v>
      </c>
      <c r="AF35" s="5">
        <f>AVERAGE(AF25:AF34)</f>
        <v>3.681</v>
      </c>
      <c r="AG35" s="5">
        <f>AVERAGE(AG25:AG34)</f>
        <v>0.69510000000000005</v>
      </c>
      <c r="AH35" s="5">
        <f>AVERAGE(AH25:AH34)</f>
        <v>1.7769999999999999</v>
      </c>
      <c r="AI35" s="5">
        <f>AVERAGE(AI25:AI34)</f>
        <v>0.21490000000000001</v>
      </c>
      <c r="AJ35" s="5">
        <f>AVERAGE(AJ25:AJ34)</f>
        <v>1.3829999999999998</v>
      </c>
      <c r="AK35" s="5">
        <f>AVERAGE(AK25:AK34)</f>
        <v>0.19259999999999999</v>
      </c>
      <c r="AL35" s="5">
        <f>AVERAGE(AL25:AL34)</f>
        <v>5.2569999999999997</v>
      </c>
      <c r="AM35" s="5">
        <f>AVERAGE(AM25:AM34)</f>
        <v>2.0038</v>
      </c>
      <c r="AN35" s="5">
        <f>AVERAGE(AN25:AN34)</f>
        <v>206.98999999999995</v>
      </c>
      <c r="AO35" s="5">
        <f>AVERAGE(AO25:AO34)</f>
        <v>205.87399999999997</v>
      </c>
      <c r="AP35" s="5">
        <f>AVERAGE(AP25:AP34)</f>
        <v>2.0200000000000003E-2</v>
      </c>
      <c r="AQ35" s="5">
        <f>AVERAGE(AQ25:AQ34)</f>
        <v>0.89800000000000002</v>
      </c>
      <c r="AR35" s="5">
        <f>AVERAGE(AR25:AR34)</f>
        <v>0.47070000000000006</v>
      </c>
    </row>
    <row r="36" spans="1:44" s="1" customFormat="1" x14ac:dyDescent="0.45">
      <c r="A36" s="7" t="s">
        <v>44</v>
      </c>
      <c r="B36" s="5">
        <f>AVEDEV(B25:B34)</f>
        <v>4.5305999999999944</v>
      </c>
      <c r="C36" s="5">
        <f>AVEDEV(C25:C34)</f>
        <v>5423.1551999999992</v>
      </c>
      <c r="D36" s="5">
        <f>AVEDEV(D25:D34)</f>
        <v>6171.9808000000003</v>
      </c>
      <c r="E36" s="5">
        <f>AVEDEV(E25:E34)</f>
        <v>9.5932000000000013</v>
      </c>
      <c r="F36" s="5">
        <f>AVEDEV(F25:F34)</f>
        <v>839.86039999999957</v>
      </c>
      <c r="G36" s="5">
        <f>AVEDEV(G25:G34)</f>
        <v>51.658000000000001</v>
      </c>
      <c r="H36" s="5">
        <f>AVEDEV(H25:H34)</f>
        <v>92.667600000000022</v>
      </c>
      <c r="I36" s="5">
        <f>AVEDEV(I25:I34)</f>
        <v>7.9940000000000015</v>
      </c>
      <c r="J36" s="5">
        <f>AVEDEV(J25:J34)</f>
        <v>5.4089999999999998</v>
      </c>
      <c r="K36" s="5">
        <f>AVEDEV(K25:K34)</f>
        <v>0.3216</v>
      </c>
      <c r="L36" s="5">
        <f>AVEDEV(L25:L34)</f>
        <v>2.4944000000000002</v>
      </c>
      <c r="M36" s="5">
        <f>AVEDEV(M25:M34)</f>
        <v>0</v>
      </c>
      <c r="N36" s="5">
        <f>AVEDEV(N25:N34)</f>
        <v>1.5560000000000003</v>
      </c>
      <c r="O36" s="5">
        <f>AVEDEV(O25:O34)</f>
        <v>36.307599999999972</v>
      </c>
      <c r="P36" s="5">
        <f>AVEDEV(P25:P34)</f>
        <v>1.5265999999999991</v>
      </c>
      <c r="Q36" s="5">
        <f>AVEDEV(Q25:Q34)</f>
        <v>5.9149999999999991</v>
      </c>
      <c r="R36" s="5">
        <f>AVEDEV(R25:R34)</f>
        <v>2.5920000000000005</v>
      </c>
      <c r="S36" s="5">
        <f>AVEDEV(S25:S34)</f>
        <v>0.69040000000000012</v>
      </c>
      <c r="T36" s="5">
        <f>AVEDEV(T25:T34)</f>
        <v>8.1439999999999985E-2</v>
      </c>
      <c r="U36" s="5">
        <f>AVEDEV(U25:U34)</f>
        <v>2.6740000000000003E-2</v>
      </c>
      <c r="V36" s="5">
        <f>AVEDEV(V25:V34)</f>
        <v>0.34164</v>
      </c>
      <c r="W36" s="5">
        <f>AVEDEV(W25:W34)</f>
        <v>23.583999999999968</v>
      </c>
      <c r="X36" s="5">
        <f>AVEDEV(X25:X34)</f>
        <v>2.1740000000000004</v>
      </c>
      <c r="Y36" s="5">
        <f>AVEDEV(Y25:Y34)</f>
        <v>2.1835999999999989</v>
      </c>
      <c r="Z36" s="5">
        <f>AVEDEV(Z25:Z34)</f>
        <v>0.33599999999999997</v>
      </c>
      <c r="AA36" s="5">
        <f>AVEDEV(AA25:AA34)</f>
        <v>1.2507999999999992</v>
      </c>
      <c r="AB36" s="5">
        <f>AVEDEV(AB25:AB34)</f>
        <v>0.27840000000000009</v>
      </c>
      <c r="AC36" s="5">
        <f>AVEDEV(AC25:AC34)</f>
        <v>9.7000000000000045E-2</v>
      </c>
      <c r="AD36" s="5">
        <f>AVEDEV(AD25:AD34)</f>
        <v>0.23399999999999999</v>
      </c>
      <c r="AE36" s="5">
        <f>AVEDEV(AE25:AE34)</f>
        <v>3.4080000000000013E-2</v>
      </c>
      <c r="AF36" s="5">
        <f>AVEDEV(AF25:AF34)</f>
        <v>0.24320000000000003</v>
      </c>
      <c r="AG36" s="5">
        <f>AVEDEV(AG25:AG34)</f>
        <v>4.5320000000000006E-2</v>
      </c>
      <c r="AH36" s="5">
        <f>AVEDEV(AH25:AH34)</f>
        <v>0.16500000000000001</v>
      </c>
      <c r="AI36" s="5">
        <f>AVEDEV(AI25:AI34)</f>
        <v>2.1679999999999998E-2</v>
      </c>
      <c r="AJ36" s="5">
        <f>AVEDEV(AJ25:AJ34)</f>
        <v>0.12759999999999996</v>
      </c>
      <c r="AK36" s="5">
        <f>AVEDEV(AK25:AK34)</f>
        <v>9.6399999999999958E-3</v>
      </c>
      <c r="AL36" s="5">
        <f>AVEDEV(AL25:AL34)</f>
        <v>1.4283999999999997</v>
      </c>
      <c r="AM36" s="5">
        <f>AVEDEV(AM25:AM34)</f>
        <v>0.2189600000000001</v>
      </c>
      <c r="AN36" s="5">
        <f>AVEDEV(AN25:AN34)</f>
        <v>19.847999999999978</v>
      </c>
      <c r="AO36" s="5">
        <f>AVEDEV(AO25:AO34)</f>
        <v>20.187599999999986</v>
      </c>
      <c r="AP36" s="5">
        <f>AVEDEV(AP25:AP34)</f>
        <v>3.2320000000000002E-2</v>
      </c>
      <c r="AQ36" s="5">
        <f>AVEDEV(AQ25:AQ34)</f>
        <v>0.30159999999999992</v>
      </c>
      <c r="AR36" s="5">
        <f>AVEDEV(AR25:AR34)</f>
        <v>0.20303999999999997</v>
      </c>
    </row>
    <row r="37" spans="1:44" s="1" customFormat="1" x14ac:dyDescent="0.45">
      <c r="A37" s="6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</row>
    <row r="38" spans="1:44" s="9" customFormat="1" ht="15.4" x14ac:dyDescent="0.45">
      <c r="A38" s="2" t="s">
        <v>49</v>
      </c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  <c r="AD38" s="10"/>
      <c r="AE38" s="10"/>
      <c r="AF38" s="10"/>
      <c r="AG38" s="10"/>
      <c r="AH38" s="10"/>
      <c r="AI38" s="10"/>
      <c r="AJ38" s="10"/>
      <c r="AK38" s="10"/>
      <c r="AL38" s="10"/>
      <c r="AM38" s="10"/>
      <c r="AN38" s="10"/>
      <c r="AO38" s="10"/>
      <c r="AP38" s="10"/>
      <c r="AQ38" s="10"/>
      <c r="AR38" s="10"/>
    </row>
    <row r="39" spans="1:44" s="1" customFormat="1" x14ac:dyDescent="0.45">
      <c r="A39" s="6">
        <v>201</v>
      </c>
      <c r="B39" s="5">
        <v>27.12</v>
      </c>
      <c r="C39" s="5">
        <v>153273.34</v>
      </c>
      <c r="D39" s="5">
        <v>72478.98</v>
      </c>
      <c r="E39" s="5">
        <v>17.559999999999999</v>
      </c>
      <c r="F39" s="5">
        <v>45873.34</v>
      </c>
      <c r="G39" s="5">
        <v>251.09</v>
      </c>
      <c r="H39" s="5">
        <v>200.96</v>
      </c>
      <c r="I39" s="5">
        <v>27.15</v>
      </c>
      <c r="J39" s="5">
        <v>44.84</v>
      </c>
      <c r="K39" s="5">
        <v>3.14</v>
      </c>
      <c r="L39" s="5">
        <v>21.75</v>
      </c>
      <c r="M39" s="5">
        <v>3.58</v>
      </c>
      <c r="N39" s="5">
        <v>17.649999999999999</v>
      </c>
      <c r="O39" s="5">
        <v>2119.5100000000002</v>
      </c>
      <c r="P39" s="5">
        <v>23.59</v>
      </c>
      <c r="Q39" s="5">
        <v>391.2</v>
      </c>
      <c r="R39" s="5">
        <v>279.45</v>
      </c>
      <c r="S39" s="5">
        <v>27.06</v>
      </c>
      <c r="T39" s="5">
        <f>0*0.51</f>
        <v>0</v>
      </c>
      <c r="U39" s="5">
        <f>0*0.32</f>
        <v>0</v>
      </c>
      <c r="V39" s="5">
        <v>2.2200000000000002</v>
      </c>
      <c r="W39" s="5">
        <v>962.02</v>
      </c>
      <c r="X39" s="5">
        <v>111.37</v>
      </c>
      <c r="Y39" s="5">
        <v>199.7</v>
      </c>
      <c r="Z39" s="5">
        <v>27.5</v>
      </c>
      <c r="AA39" s="5">
        <v>95.29</v>
      </c>
      <c r="AB39" s="5">
        <v>19.73</v>
      </c>
      <c r="AC39" s="5">
        <v>4.3899999999999997</v>
      </c>
      <c r="AD39" s="5">
        <v>12.49</v>
      </c>
      <c r="AE39" s="5">
        <v>1.27</v>
      </c>
      <c r="AF39" s="5">
        <v>4.62</v>
      </c>
      <c r="AG39" s="5">
        <v>0.97</v>
      </c>
      <c r="AH39" s="5">
        <v>1.61</v>
      </c>
      <c r="AI39" s="5">
        <v>0.25</v>
      </c>
      <c r="AJ39" s="5">
        <v>1.71</v>
      </c>
      <c r="AK39" s="5">
        <v>0.158</v>
      </c>
      <c r="AL39" s="5">
        <v>15.29</v>
      </c>
      <c r="AM39" s="5">
        <v>15.36</v>
      </c>
      <c r="AN39" s="5">
        <v>2520.36</v>
      </c>
      <c r="AO39" s="5">
        <v>2477.7800000000002</v>
      </c>
      <c r="AP39" s="5">
        <v>0.17699999999999999</v>
      </c>
      <c r="AQ39" s="5">
        <v>7.25</v>
      </c>
      <c r="AR39" s="5">
        <v>3.17</v>
      </c>
    </row>
    <row r="40" spans="1:44" s="1" customFormat="1" x14ac:dyDescent="0.45">
      <c r="A40" s="6">
        <v>202</v>
      </c>
      <c r="B40" s="5">
        <v>25.42</v>
      </c>
      <c r="C40" s="5">
        <v>153273.34</v>
      </c>
      <c r="D40" s="5">
        <v>75373.7</v>
      </c>
      <c r="E40" s="5">
        <v>16.13</v>
      </c>
      <c r="F40" s="5">
        <v>39922.57</v>
      </c>
      <c r="G40" s="5">
        <v>230.41</v>
      </c>
      <c r="H40" s="5">
        <v>175.9</v>
      </c>
      <c r="I40" s="5">
        <v>22.48</v>
      </c>
      <c r="J40" s="5">
        <f>0*20.09</f>
        <v>0</v>
      </c>
      <c r="K40" s="5">
        <v>1.81</v>
      </c>
      <c r="L40" s="5">
        <v>22.37</v>
      </c>
      <c r="M40" s="5">
        <v>1.42</v>
      </c>
      <c r="N40" s="5">
        <v>15.58</v>
      </c>
      <c r="O40" s="5">
        <v>2284.8200000000002</v>
      </c>
      <c r="P40" s="5">
        <v>25.48</v>
      </c>
      <c r="Q40" s="5">
        <v>373.31</v>
      </c>
      <c r="R40" s="5">
        <v>277.69</v>
      </c>
      <c r="S40" s="5">
        <v>25.71</v>
      </c>
      <c r="T40" s="5">
        <f>0*0.44</f>
        <v>0</v>
      </c>
      <c r="U40" s="5">
        <f>0*0.44</f>
        <v>0</v>
      </c>
      <c r="V40" s="5">
        <v>2.2200000000000002</v>
      </c>
      <c r="W40" s="5">
        <v>982.4</v>
      </c>
      <c r="X40" s="5">
        <v>107.77</v>
      </c>
      <c r="Y40" s="5">
        <v>180.32</v>
      </c>
      <c r="Z40" s="5">
        <v>23.52</v>
      </c>
      <c r="AA40" s="5">
        <v>98.92</v>
      </c>
      <c r="AB40" s="5">
        <v>16.11</v>
      </c>
      <c r="AC40" s="5">
        <v>4.32</v>
      </c>
      <c r="AD40" s="5">
        <v>11.45</v>
      </c>
      <c r="AE40" s="5">
        <v>1.55</v>
      </c>
      <c r="AF40" s="5">
        <v>6.46</v>
      </c>
      <c r="AG40" s="5">
        <v>1</v>
      </c>
      <c r="AH40" s="5">
        <v>2.54</v>
      </c>
      <c r="AI40" s="5">
        <v>0.19</v>
      </c>
      <c r="AJ40" s="5">
        <v>0.46</v>
      </c>
      <c r="AK40" s="5">
        <v>0.107</v>
      </c>
      <c r="AL40" s="5">
        <v>15.91</v>
      </c>
      <c r="AM40" s="5">
        <v>14.56</v>
      </c>
      <c r="AN40" s="5">
        <v>2215.36</v>
      </c>
      <c r="AO40" s="5">
        <v>2378.88</v>
      </c>
      <c r="AP40" s="5">
        <v>0.45</v>
      </c>
      <c r="AQ40" s="5">
        <v>7.68</v>
      </c>
      <c r="AR40" s="5">
        <v>3.45</v>
      </c>
    </row>
    <row r="41" spans="1:44" s="1" customFormat="1" x14ac:dyDescent="0.45">
      <c r="A41" s="6">
        <v>203</v>
      </c>
      <c r="B41" s="5">
        <v>28.84</v>
      </c>
      <c r="C41" s="5">
        <v>153273.34</v>
      </c>
      <c r="D41" s="5">
        <v>82176.42</v>
      </c>
      <c r="E41" s="5">
        <v>16.329999999999998</v>
      </c>
      <c r="F41" s="5">
        <v>44414.64</v>
      </c>
      <c r="G41" s="5">
        <v>247.58</v>
      </c>
      <c r="H41" s="5">
        <v>163.91</v>
      </c>
      <c r="I41" s="5">
        <v>28.62</v>
      </c>
      <c r="J41" s="5">
        <v>91.02</v>
      </c>
      <c r="K41" s="5">
        <f>0*1.65</f>
        <v>0</v>
      </c>
      <c r="L41" s="5">
        <v>23.51</v>
      </c>
      <c r="M41" s="5">
        <v>1.78</v>
      </c>
      <c r="N41" s="5">
        <v>17.39</v>
      </c>
      <c r="O41" s="5">
        <v>2363.61</v>
      </c>
      <c r="P41" s="5">
        <v>26.37</v>
      </c>
      <c r="Q41" s="5">
        <v>383.14</v>
      </c>
      <c r="R41" s="5">
        <v>275.57</v>
      </c>
      <c r="S41" s="5">
        <v>29.74</v>
      </c>
      <c r="T41" s="5">
        <f>0*0.49</f>
        <v>0</v>
      </c>
      <c r="U41" s="5">
        <f>0*0.33</f>
        <v>0</v>
      </c>
      <c r="V41" s="5">
        <v>2.12</v>
      </c>
      <c r="W41" s="5">
        <v>1050.3800000000001</v>
      </c>
      <c r="X41" s="5">
        <v>112.84</v>
      </c>
      <c r="Y41" s="5">
        <v>192.96</v>
      </c>
      <c r="Z41" s="5">
        <v>25.27</v>
      </c>
      <c r="AA41" s="5">
        <v>94.84</v>
      </c>
      <c r="AB41" s="5">
        <v>19.68</v>
      </c>
      <c r="AC41" s="5">
        <v>3.76</v>
      </c>
      <c r="AD41" s="5">
        <v>7.99</v>
      </c>
      <c r="AE41" s="5">
        <v>1.44</v>
      </c>
      <c r="AF41" s="5">
        <v>6.83</v>
      </c>
      <c r="AG41" s="5">
        <v>0.60199999999999998</v>
      </c>
      <c r="AH41" s="5">
        <v>1.67</v>
      </c>
      <c r="AI41" s="5">
        <v>0.20399999999999999</v>
      </c>
      <c r="AJ41" s="5">
        <v>0.34</v>
      </c>
      <c r="AK41" s="5">
        <v>0.13</v>
      </c>
      <c r="AL41" s="5">
        <v>17.98</v>
      </c>
      <c r="AM41" s="5">
        <v>15</v>
      </c>
      <c r="AN41" s="5">
        <v>2531.62</v>
      </c>
      <c r="AO41" s="5">
        <v>2654.33</v>
      </c>
      <c r="AP41" s="5">
        <v>0.159</v>
      </c>
      <c r="AQ41" s="5">
        <v>7.62</v>
      </c>
      <c r="AR41" s="5">
        <v>3.84</v>
      </c>
    </row>
    <row r="42" spans="1:44" s="1" customFormat="1" x14ac:dyDescent="0.45">
      <c r="A42" s="6">
        <v>204</v>
      </c>
      <c r="B42" s="5">
        <v>13.36</v>
      </c>
      <c r="C42" s="5">
        <v>153273.34</v>
      </c>
      <c r="D42" s="5">
        <v>84988.64</v>
      </c>
      <c r="E42" s="5">
        <v>22.2</v>
      </c>
      <c r="F42" s="5">
        <v>44847.5</v>
      </c>
      <c r="G42" s="5">
        <v>271.52</v>
      </c>
      <c r="H42" s="5">
        <v>250.05</v>
      </c>
      <c r="I42" s="5">
        <v>29.17</v>
      </c>
      <c r="J42" s="5">
        <v>51.44</v>
      </c>
      <c r="K42" s="5">
        <f>0*1.48</f>
        <v>0</v>
      </c>
      <c r="L42" s="5">
        <v>23.44</v>
      </c>
      <c r="M42" s="5">
        <v>5.1100000000000003</v>
      </c>
      <c r="N42" s="5">
        <v>16.75</v>
      </c>
      <c r="O42" s="5">
        <v>2633.84</v>
      </c>
      <c r="P42" s="5">
        <v>29.45</v>
      </c>
      <c r="Q42" s="5">
        <v>407.13</v>
      </c>
      <c r="R42" s="5">
        <v>287.73</v>
      </c>
      <c r="S42" s="5">
        <v>16.010000000000002</v>
      </c>
      <c r="T42" s="5">
        <f>0*0.71</f>
        <v>0</v>
      </c>
      <c r="U42" s="5">
        <f>0*0.5</f>
        <v>0</v>
      </c>
      <c r="V42" s="5">
        <v>1.51</v>
      </c>
      <c r="W42" s="5">
        <v>976.55</v>
      </c>
      <c r="X42" s="5">
        <v>127.16</v>
      </c>
      <c r="Y42" s="5">
        <v>230.07</v>
      </c>
      <c r="Z42" s="5">
        <v>29.32</v>
      </c>
      <c r="AA42" s="5">
        <v>108.34</v>
      </c>
      <c r="AB42" s="5">
        <v>16.440000000000001</v>
      </c>
      <c r="AC42" s="5">
        <v>4.6100000000000003</v>
      </c>
      <c r="AD42" s="5">
        <v>14.75</v>
      </c>
      <c r="AE42" s="5">
        <v>1.32</v>
      </c>
      <c r="AF42" s="5">
        <v>6.59</v>
      </c>
      <c r="AG42" s="5">
        <v>0.97</v>
      </c>
      <c r="AH42" s="5">
        <v>2.34</v>
      </c>
      <c r="AI42" s="5">
        <v>0.20499999999999999</v>
      </c>
      <c r="AJ42" s="5">
        <v>0.7</v>
      </c>
      <c r="AK42" s="5">
        <v>0.127</v>
      </c>
      <c r="AL42" s="5">
        <v>20.329999999999998</v>
      </c>
      <c r="AM42" s="5">
        <v>16.010000000000002</v>
      </c>
      <c r="AN42" s="5">
        <v>1955.66</v>
      </c>
      <c r="AO42" s="5">
        <v>2195.4499999999998</v>
      </c>
      <c r="AP42" s="5">
        <v>0.13800000000000001</v>
      </c>
      <c r="AQ42" s="5">
        <v>9.58</v>
      </c>
      <c r="AR42" s="5">
        <v>3.96</v>
      </c>
    </row>
    <row r="43" spans="1:44" s="1" customFormat="1" x14ac:dyDescent="0.45">
      <c r="A43" s="6">
        <v>205</v>
      </c>
      <c r="B43" s="5">
        <v>10.15</v>
      </c>
      <c r="C43" s="5">
        <v>153273.32999999999</v>
      </c>
      <c r="D43" s="5">
        <v>39470.74</v>
      </c>
      <c r="E43" s="5">
        <v>9.5500000000000007</v>
      </c>
      <c r="F43" s="5">
        <v>27627.26</v>
      </c>
      <c r="G43" s="5">
        <v>169.4</v>
      </c>
      <c r="H43" s="5">
        <v>157.76</v>
      </c>
      <c r="I43" s="5">
        <v>52.46</v>
      </c>
      <c r="J43" s="5">
        <v>119.59</v>
      </c>
      <c r="K43" s="5">
        <v>2.38</v>
      </c>
      <c r="L43" s="5">
        <v>12.84</v>
      </c>
      <c r="M43" s="5">
        <f>0*1.54</f>
        <v>0</v>
      </c>
      <c r="N43" s="5">
        <v>10.6</v>
      </c>
      <c r="O43" s="5">
        <v>1117.81</v>
      </c>
      <c r="P43" s="5">
        <v>13.22</v>
      </c>
      <c r="Q43" s="5">
        <v>211.95</v>
      </c>
      <c r="R43" s="5">
        <v>145.4</v>
      </c>
      <c r="S43" s="5">
        <v>13.42</v>
      </c>
      <c r="T43" s="5">
        <f>0*0.21</f>
        <v>0</v>
      </c>
      <c r="U43" s="5">
        <f>0*0.48</f>
        <v>0</v>
      </c>
      <c r="V43" s="5">
        <v>0.91</v>
      </c>
      <c r="W43" s="5">
        <v>495.13</v>
      </c>
      <c r="X43" s="5">
        <v>54.49</v>
      </c>
      <c r="Y43" s="5">
        <v>93.89</v>
      </c>
      <c r="Z43" s="5">
        <v>11.77</v>
      </c>
      <c r="AA43" s="5">
        <v>47.94</v>
      </c>
      <c r="AB43" s="5">
        <v>6.55</v>
      </c>
      <c r="AC43" s="5">
        <v>2.5099999999999998</v>
      </c>
      <c r="AD43" s="5">
        <v>6.24</v>
      </c>
      <c r="AE43" s="5">
        <v>0.68200000000000005</v>
      </c>
      <c r="AF43" s="5">
        <v>3.29</v>
      </c>
      <c r="AG43" s="5">
        <v>0.45300000000000001</v>
      </c>
      <c r="AH43" s="5">
        <v>0.87</v>
      </c>
      <c r="AI43" s="5">
        <v>0.14599999999999999</v>
      </c>
      <c r="AJ43" s="5">
        <v>0.17100000000000001</v>
      </c>
      <c r="AK43" s="5">
        <v>2.06E-2</v>
      </c>
      <c r="AL43" s="5">
        <v>9.84</v>
      </c>
      <c r="AM43" s="5">
        <v>9.32</v>
      </c>
      <c r="AN43" s="5">
        <v>1321.22</v>
      </c>
      <c r="AO43" s="5">
        <v>1388.78</v>
      </c>
      <c r="AP43" s="5">
        <v>5.8999999999999997E-2</v>
      </c>
      <c r="AQ43" s="5">
        <v>3.91</v>
      </c>
      <c r="AR43" s="5">
        <v>1.85</v>
      </c>
    </row>
    <row r="44" spans="1:44" s="1" customFormat="1" x14ac:dyDescent="0.45">
      <c r="A44" s="6">
        <v>206</v>
      </c>
      <c r="B44" s="5">
        <v>15.49</v>
      </c>
      <c r="C44" s="5">
        <v>153273.34</v>
      </c>
      <c r="D44" s="5">
        <v>99344.45</v>
      </c>
      <c r="E44" s="5">
        <v>17.93</v>
      </c>
      <c r="F44" s="5">
        <v>43589.52</v>
      </c>
      <c r="G44" s="5">
        <v>264.08999999999997</v>
      </c>
      <c r="H44" s="5">
        <v>150.44</v>
      </c>
      <c r="I44" s="5">
        <v>24.34</v>
      </c>
      <c r="J44" s="5">
        <f>0*34.24</f>
        <v>0</v>
      </c>
      <c r="K44" s="5">
        <v>2.39</v>
      </c>
      <c r="L44" s="5">
        <v>20.95</v>
      </c>
      <c r="M44" s="5">
        <f>0*2.36</f>
        <v>0</v>
      </c>
      <c r="N44" s="5">
        <v>13.03</v>
      </c>
      <c r="O44" s="5">
        <v>2756.42</v>
      </c>
      <c r="P44" s="5">
        <v>29.85</v>
      </c>
      <c r="Q44" s="5">
        <v>423.89</v>
      </c>
      <c r="R44" s="5">
        <v>315.24</v>
      </c>
      <c r="S44" s="5">
        <v>16.87</v>
      </c>
      <c r="T44" s="5">
        <f>0*0.83</f>
        <v>0</v>
      </c>
      <c r="U44" s="5">
        <f>0*0.7</f>
        <v>0</v>
      </c>
      <c r="V44" s="5">
        <v>1.33</v>
      </c>
      <c r="W44" s="5">
        <v>864.27</v>
      </c>
      <c r="X44" s="5">
        <v>151.91999999999999</v>
      </c>
      <c r="Y44" s="5">
        <v>259.01</v>
      </c>
      <c r="Z44" s="5">
        <v>33.79</v>
      </c>
      <c r="AA44" s="5">
        <v>134.24</v>
      </c>
      <c r="AB44" s="5">
        <v>22.21</v>
      </c>
      <c r="AC44" s="5">
        <v>5.42</v>
      </c>
      <c r="AD44" s="5">
        <v>14.35</v>
      </c>
      <c r="AE44" s="5">
        <v>1.76</v>
      </c>
      <c r="AF44" s="5">
        <v>7.31</v>
      </c>
      <c r="AG44" s="5">
        <v>0.81</v>
      </c>
      <c r="AH44" s="5">
        <v>2.34</v>
      </c>
      <c r="AI44" s="5">
        <v>0.151</v>
      </c>
      <c r="AJ44" s="5">
        <v>0.78</v>
      </c>
      <c r="AK44" s="5">
        <v>0.14699999999999999</v>
      </c>
      <c r="AL44" s="5">
        <v>18.89</v>
      </c>
      <c r="AM44" s="5">
        <v>17.04</v>
      </c>
      <c r="AN44" s="5">
        <v>2093.5700000000002</v>
      </c>
      <c r="AO44" s="5">
        <v>2326.3000000000002</v>
      </c>
      <c r="AP44" s="5">
        <v>0.17100000000000001</v>
      </c>
      <c r="AQ44" s="5">
        <v>10.67</v>
      </c>
      <c r="AR44" s="5">
        <v>4.38</v>
      </c>
    </row>
    <row r="45" spans="1:44" s="1" customFormat="1" x14ac:dyDescent="0.45">
      <c r="A45" s="6">
        <v>207</v>
      </c>
      <c r="B45" s="5">
        <v>28.69</v>
      </c>
      <c r="C45" s="5">
        <v>153273.34</v>
      </c>
      <c r="D45" s="5">
        <v>83047.360000000001</v>
      </c>
      <c r="E45" s="5">
        <v>16.97</v>
      </c>
      <c r="F45" s="5">
        <v>46313.54</v>
      </c>
      <c r="G45" s="5">
        <v>270.45</v>
      </c>
      <c r="H45" s="5">
        <v>143.21</v>
      </c>
      <c r="I45" s="5">
        <v>27.89</v>
      </c>
      <c r="J45" s="5">
        <v>28.62</v>
      </c>
      <c r="K45" s="5">
        <f>0*1.66</f>
        <v>0</v>
      </c>
      <c r="L45" s="5">
        <v>24.13</v>
      </c>
      <c r="M45" s="5">
        <f>0*1.43</f>
        <v>0</v>
      </c>
      <c r="N45" s="5">
        <v>14.48</v>
      </c>
      <c r="O45" s="5">
        <v>2393.77</v>
      </c>
      <c r="P45" s="5">
        <v>24.88</v>
      </c>
      <c r="Q45" s="5">
        <v>404.74</v>
      </c>
      <c r="R45" s="5">
        <v>292.2</v>
      </c>
      <c r="S45" s="5">
        <v>33.479999999999997</v>
      </c>
      <c r="T45" s="5">
        <f>0*0.59</f>
        <v>0</v>
      </c>
      <c r="U45" s="5">
        <f>0*0.41</f>
        <v>0</v>
      </c>
      <c r="V45" s="5">
        <v>1.79</v>
      </c>
      <c r="W45" s="5">
        <v>1020.35</v>
      </c>
      <c r="X45" s="5">
        <v>119.01</v>
      </c>
      <c r="Y45" s="5">
        <v>208.71</v>
      </c>
      <c r="Z45" s="5">
        <v>26.57</v>
      </c>
      <c r="AA45" s="5">
        <v>104.59</v>
      </c>
      <c r="AB45" s="5">
        <v>19.559999999999999</v>
      </c>
      <c r="AC45" s="5">
        <v>5.57</v>
      </c>
      <c r="AD45" s="5">
        <v>14.53</v>
      </c>
      <c r="AE45" s="5">
        <v>1.25</v>
      </c>
      <c r="AF45" s="5">
        <v>6.93</v>
      </c>
      <c r="AG45" s="5">
        <v>0.84099999999999997</v>
      </c>
      <c r="AH45" s="5">
        <v>2.0499999999999998</v>
      </c>
      <c r="AI45" s="5">
        <v>0.10199999999999999</v>
      </c>
      <c r="AJ45" s="5">
        <v>1.24</v>
      </c>
      <c r="AK45" s="5">
        <v>0.14899999999999999</v>
      </c>
      <c r="AL45" s="5">
        <v>16.739999999999998</v>
      </c>
      <c r="AM45" s="5">
        <v>16.54</v>
      </c>
      <c r="AN45" s="5">
        <v>2465.4499999999998</v>
      </c>
      <c r="AO45" s="5">
        <v>2712.21</v>
      </c>
      <c r="AP45" s="5">
        <v>0.128</v>
      </c>
      <c r="AQ45" s="5">
        <v>8.31</v>
      </c>
      <c r="AR45" s="5">
        <v>3.9</v>
      </c>
    </row>
    <row r="46" spans="1:44" s="1" customFormat="1" x14ac:dyDescent="0.45">
      <c r="A46" s="6" t="s">
        <v>43</v>
      </c>
      <c r="B46" s="5">
        <f>AVERAGE(B39:B45)</f>
        <v>21.29571428571429</v>
      </c>
      <c r="C46" s="5">
        <f>AVERAGE(C39:C45)</f>
        <v>153273.33857142855</v>
      </c>
      <c r="D46" s="5">
        <f>AVERAGE(D39:D45)</f>
        <v>76697.184285714291</v>
      </c>
      <c r="E46" s="5">
        <f>AVERAGE(E39:E45)</f>
        <v>16.667142857142856</v>
      </c>
      <c r="F46" s="5">
        <f>AVERAGE(F39:F45)</f>
        <v>41798.338571428569</v>
      </c>
      <c r="G46" s="5">
        <f>AVERAGE(G39:G45)</f>
        <v>243.50571428571428</v>
      </c>
      <c r="H46" s="5">
        <f>AVERAGE(H39:H45)</f>
        <v>177.46142857142857</v>
      </c>
      <c r="I46" s="5">
        <f>AVERAGE(I39:I45)</f>
        <v>30.301428571428573</v>
      </c>
      <c r="J46" s="5">
        <f>AVERAGE(J39:J45)</f>
        <v>47.93</v>
      </c>
      <c r="K46" s="5">
        <f>AVERAGE(K39:K45)</f>
        <v>1.3885714285714286</v>
      </c>
      <c r="L46" s="5">
        <f>AVERAGE(L39:L45)</f>
        <v>21.284285714285716</v>
      </c>
      <c r="M46" s="5">
        <f>AVERAGE(M39:M45)</f>
        <v>1.6985714285714286</v>
      </c>
      <c r="N46" s="5">
        <f>AVERAGE(N39:N45)</f>
        <v>15.068571428571429</v>
      </c>
      <c r="O46" s="5">
        <f>AVERAGE(O39:O45)</f>
        <v>2238.54</v>
      </c>
      <c r="P46" s="5">
        <f>AVERAGE(P39:P45)</f>
        <v>24.69142857142857</v>
      </c>
      <c r="Q46" s="5">
        <f>AVERAGE(Q39:Q45)</f>
        <v>370.76571428571435</v>
      </c>
      <c r="R46" s="5">
        <f>AVERAGE(R39:R45)</f>
        <v>267.61142857142858</v>
      </c>
      <c r="S46" s="5">
        <f>AVERAGE(S39:S45)</f>
        <v>23.184285714285714</v>
      </c>
      <c r="T46" s="5">
        <f>AVERAGE(T39:T45)</f>
        <v>0</v>
      </c>
      <c r="U46" s="5">
        <f>AVERAGE(U39:U45)</f>
        <v>0</v>
      </c>
      <c r="V46" s="5">
        <f>AVERAGE(V39:V45)</f>
        <v>1.7285714285714289</v>
      </c>
      <c r="W46" s="5">
        <f>AVERAGE(W39:W45)</f>
        <v>907.30000000000007</v>
      </c>
      <c r="X46" s="5">
        <f>AVERAGE(X39:X45)</f>
        <v>112.08</v>
      </c>
      <c r="Y46" s="5">
        <f>AVERAGE(Y39:Y45)</f>
        <v>194.95142857142855</v>
      </c>
      <c r="Z46" s="5">
        <f>AVERAGE(Z39:Z45)</f>
        <v>25.39142857142857</v>
      </c>
      <c r="AA46" s="5">
        <f>AVERAGE(AA39:AA45)</f>
        <v>97.737142857142857</v>
      </c>
      <c r="AB46" s="5">
        <f>AVERAGE(AB39:AB45)</f>
        <v>17.182857142857141</v>
      </c>
      <c r="AC46" s="5">
        <f>AVERAGE(AC39:AC45)</f>
        <v>4.3685714285714292</v>
      </c>
      <c r="AD46" s="5">
        <f>AVERAGE(AD39:AD45)</f>
        <v>11.685714285714285</v>
      </c>
      <c r="AE46" s="5">
        <f>AVERAGE(AE39:AE45)</f>
        <v>1.3245714285714285</v>
      </c>
      <c r="AF46" s="5">
        <f>AVERAGE(AF39:AF45)</f>
        <v>6.0042857142857144</v>
      </c>
      <c r="AG46" s="5">
        <f>AVERAGE(AG39:AG45)</f>
        <v>0.80657142857142861</v>
      </c>
      <c r="AH46" s="5">
        <f>AVERAGE(AH39:AH45)</f>
        <v>1.9171428571428568</v>
      </c>
      <c r="AI46" s="5">
        <f>AVERAGE(AI39:AI45)</f>
        <v>0.1782857142857143</v>
      </c>
      <c r="AJ46" s="5">
        <f>AVERAGE(AJ39:AJ45)</f>
        <v>0.77157142857142857</v>
      </c>
      <c r="AK46" s="5">
        <f>AVERAGE(AK39:AK45)</f>
        <v>0.1198</v>
      </c>
      <c r="AL46" s="5">
        <f>AVERAGE(AL39:AL45)</f>
        <v>16.425714285714285</v>
      </c>
      <c r="AM46" s="5">
        <f>AVERAGE(AM39:AM45)</f>
        <v>14.83285714285714</v>
      </c>
      <c r="AN46" s="5">
        <f>AVERAGE(AN39:AN45)</f>
        <v>2157.6057142857139</v>
      </c>
      <c r="AO46" s="5">
        <f>AVERAGE(AO39:AO45)</f>
        <v>2304.8185714285714</v>
      </c>
      <c r="AP46" s="5">
        <f>AVERAGE(AP39:AP45)</f>
        <v>0.18314285714285714</v>
      </c>
      <c r="AQ46" s="5">
        <f>AVERAGE(AQ39:AQ45)</f>
        <v>7.8600000000000012</v>
      </c>
      <c r="AR46" s="5">
        <f>AVERAGE(AR39:AR45)</f>
        <v>3.5071428571428571</v>
      </c>
    </row>
    <row r="47" spans="1:44" s="1" customFormat="1" x14ac:dyDescent="0.45">
      <c r="A47" s="7" t="s">
        <v>44</v>
      </c>
      <c r="B47" s="5">
        <f>AVEDEV(B39:B45)</f>
        <v>7.1106122448979585</v>
      </c>
      <c r="C47" s="5">
        <f>AVEDEV(C39:C45)</f>
        <v>2.4489796030268607E-3</v>
      </c>
      <c r="D47" s="5">
        <f>AVEDEV(D39:D45)</f>
        <v>12219.466530612244</v>
      </c>
      <c r="E47" s="5">
        <f>AVEDEV(E39:E45)</f>
        <v>2.2832653061224488</v>
      </c>
      <c r="F47" s="5">
        <f>AVEDEV(F39:F45)</f>
        <v>4584.8134693877555</v>
      </c>
      <c r="G47" s="5">
        <f>AVEDEV(G39:G45)</f>
        <v>24.91469387755102</v>
      </c>
      <c r="H47" s="5">
        <f>AVEDEV(H39:H45)</f>
        <v>27.453469387755103</v>
      </c>
      <c r="I47" s="5">
        <f>AVEDEV(I39:I45)</f>
        <v>6.3310204081632673</v>
      </c>
      <c r="J47" s="5">
        <f>AVEDEV(J39:J45)</f>
        <v>33.788571428571423</v>
      </c>
      <c r="K47" s="5">
        <f>AVEDEV(K39:K45)</f>
        <v>1.1902040816326529</v>
      </c>
      <c r="L47" s="5">
        <f>AVEDEV(L39:L45)</f>
        <v>2.5081632653061225</v>
      </c>
      <c r="M47" s="5">
        <f>AVEDEV(M39:M45)</f>
        <v>1.5355102040816326</v>
      </c>
      <c r="N47" s="5">
        <f>AVEDEV(N39:N45)</f>
        <v>2.0273469387755099</v>
      </c>
      <c r="O47" s="5">
        <f>AVEDEV(O39:O45)</f>
        <v>354.2171428571429</v>
      </c>
      <c r="P47" s="5">
        <f>AVEDEV(P39:P45)</f>
        <v>3.5922448979591839</v>
      </c>
      <c r="Q47" s="5">
        <f>AVEDEV(Q39:Q45)</f>
        <v>45.375918367346891</v>
      </c>
      <c r="R47" s="5">
        <f>AVEDEV(R39:R45)</f>
        <v>34.917551020408162</v>
      </c>
      <c r="S47" s="5">
        <f>AVEDEV(S39:S45)</f>
        <v>6.6436734693877542</v>
      </c>
      <c r="T47" s="5">
        <f>AVEDEV(T39:T45)</f>
        <v>0</v>
      </c>
      <c r="U47" s="5">
        <f>AVEDEV(U39:U45)</f>
        <v>0</v>
      </c>
      <c r="V47" s="5">
        <f>AVEDEV(V39:V45)</f>
        <v>0.41020408163265315</v>
      </c>
      <c r="W47" s="5">
        <f>AVEDEV(W39:W45)</f>
        <v>130.05714285714285</v>
      </c>
      <c r="X47" s="5">
        <f>AVEDEV(X39:X45)</f>
        <v>17.888571428571428</v>
      </c>
      <c r="Y47" s="5">
        <f>AVEDEV(Y39:Y45)</f>
        <v>33.624081632653059</v>
      </c>
      <c r="Z47" s="5">
        <f>AVEDEV(Z39:Z45)</f>
        <v>4.461224489795919</v>
      </c>
      <c r="AA47" s="5">
        <f>AVEDEV(AA39:AA45)</f>
        <v>15.754693877551022</v>
      </c>
      <c r="AB47" s="5">
        <f>AVEDEV(AB39:AB45)</f>
        <v>3.556734693877551</v>
      </c>
      <c r="AC47" s="5">
        <f>AVEDEV(AC39:AC45)</f>
        <v>0.71877551020408159</v>
      </c>
      <c r="AD47" s="5">
        <f>AVEDEV(AD39:AD45)</f>
        <v>2.6791836734693879</v>
      </c>
      <c r="AE47" s="5">
        <f>AVEDEV(AE39:AE45)</f>
        <v>0.22179591836734688</v>
      </c>
      <c r="AF47" s="5">
        <f>AVEDEV(AF39:AF45)</f>
        <v>1.1710204081632651</v>
      </c>
      <c r="AG47" s="5">
        <f>AVEDEV(AG39:AG45)</f>
        <v>0.15946938775510203</v>
      </c>
      <c r="AH47" s="5">
        <f>AVEDEV(AH39:AH45)</f>
        <v>0.45755102040816326</v>
      </c>
      <c r="AI47" s="5">
        <f>AVEDEV(AI39:AI45)</f>
        <v>3.881632653061224E-2</v>
      </c>
      <c r="AJ47" s="5">
        <f>AVEDEV(AJ39:AJ45)</f>
        <v>0.40436734693877552</v>
      </c>
      <c r="AK47" s="5">
        <f>AVEDEV(AK39:AK45)</f>
        <v>3.2000000000000008E-2</v>
      </c>
      <c r="AL47" s="5">
        <f>AVEDEV(AL39:AL45)</f>
        <v>2.3534693877551018</v>
      </c>
      <c r="AM47" s="5">
        <f>AVEDEV(AM39:AM45)</f>
        <v>1.6530612244897969</v>
      </c>
      <c r="AN47" s="5">
        <f>AVEDEV(AN39:AN45)</f>
        <v>314.96204081632652</v>
      </c>
      <c r="AO47" s="5">
        <f>AVEDEV(AO39:AO45)</f>
        <v>292.97346938775524</v>
      </c>
      <c r="AP47" s="5">
        <f>AVEDEV(AP39:AP45)</f>
        <v>7.6244897959183669E-2</v>
      </c>
      <c r="AQ47" s="5">
        <f>AVEDEV(AQ39:AQ45)</f>
        <v>1.422857142857143</v>
      </c>
      <c r="AR47" s="5">
        <f>AVEDEV(AR39:AR45)</f>
        <v>0.58612244897959176</v>
      </c>
    </row>
    <row r="48" spans="1:44" s="1" customFormat="1" x14ac:dyDescent="0.45">
      <c r="A48" s="6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</row>
    <row r="49" spans="1:44" s="9" customFormat="1" ht="15.4" x14ac:dyDescent="0.45">
      <c r="A49" s="2" t="s">
        <v>51</v>
      </c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  <c r="AA49" s="10"/>
      <c r="AB49" s="10"/>
      <c r="AC49" s="10"/>
      <c r="AD49" s="10"/>
      <c r="AE49" s="10"/>
      <c r="AF49" s="10"/>
      <c r="AG49" s="10"/>
      <c r="AH49" s="10"/>
      <c r="AI49" s="10"/>
      <c r="AJ49" s="10"/>
      <c r="AK49" s="10"/>
      <c r="AL49" s="10"/>
      <c r="AM49" s="10"/>
      <c r="AN49" s="10"/>
      <c r="AO49" s="10"/>
      <c r="AP49" s="10"/>
      <c r="AQ49" s="10"/>
      <c r="AR49" s="10"/>
    </row>
    <row r="50" spans="1:44" s="1" customFormat="1" x14ac:dyDescent="0.45">
      <c r="A50" s="6">
        <v>201</v>
      </c>
      <c r="B50" s="5">
        <v>16.760000000000002</v>
      </c>
      <c r="C50" s="5">
        <v>156545.42000000001</v>
      </c>
      <c r="D50" s="5">
        <v>80659.210000000006</v>
      </c>
      <c r="E50" s="5">
        <v>16.399999999999999</v>
      </c>
      <c r="F50" s="5">
        <v>41162.61</v>
      </c>
      <c r="G50" s="5">
        <v>137.58000000000001</v>
      </c>
      <c r="H50" s="5">
        <v>303.64999999999998</v>
      </c>
      <c r="I50" s="5">
        <v>15.59</v>
      </c>
      <c r="J50" s="5">
        <f>0*39.97</f>
        <v>0</v>
      </c>
      <c r="K50" s="5">
        <v>4.76</v>
      </c>
      <c r="L50" s="5">
        <v>13.53</v>
      </c>
      <c r="M50" s="5">
        <v>3.72</v>
      </c>
      <c r="N50" s="5">
        <v>19.079999999999998</v>
      </c>
      <c r="O50" s="5">
        <v>1925.97</v>
      </c>
      <c r="P50" s="5">
        <v>28.67</v>
      </c>
      <c r="Q50" s="5">
        <v>368.82</v>
      </c>
      <c r="R50" s="5">
        <v>207.28</v>
      </c>
      <c r="S50" s="5">
        <v>10.6</v>
      </c>
      <c r="T50" s="5">
        <f>0*0.58</f>
        <v>0</v>
      </c>
      <c r="U50" s="5">
        <f>0*0.71</f>
        <v>0</v>
      </c>
      <c r="V50" s="5">
        <v>2.2000000000000002</v>
      </c>
      <c r="W50" s="5">
        <v>856.93</v>
      </c>
      <c r="X50" s="5">
        <v>95.35</v>
      </c>
      <c r="Y50" s="5">
        <v>181.64</v>
      </c>
      <c r="Z50" s="5">
        <v>24.03</v>
      </c>
      <c r="AA50" s="5">
        <v>106.22</v>
      </c>
      <c r="AB50" s="5">
        <v>18.86</v>
      </c>
      <c r="AC50" s="5">
        <v>6.5</v>
      </c>
      <c r="AD50" s="5">
        <v>14.11</v>
      </c>
      <c r="AE50" s="5">
        <v>1.48</v>
      </c>
      <c r="AF50" s="5">
        <v>6.72</v>
      </c>
      <c r="AG50" s="5">
        <v>1.1399999999999999</v>
      </c>
      <c r="AH50" s="5">
        <v>2.04</v>
      </c>
      <c r="AI50" s="5">
        <v>0.17699999999999999</v>
      </c>
      <c r="AJ50" s="5">
        <v>1.57</v>
      </c>
      <c r="AK50" s="5">
        <v>0.13700000000000001</v>
      </c>
      <c r="AL50" s="5">
        <v>17.39</v>
      </c>
      <c r="AM50" s="5">
        <v>11.27</v>
      </c>
      <c r="AN50" s="5">
        <v>1524.25</v>
      </c>
      <c r="AO50" s="5">
        <v>1617.89</v>
      </c>
      <c r="AP50" s="5">
        <v>0.89</v>
      </c>
      <c r="AQ50" s="5">
        <v>6.99</v>
      </c>
      <c r="AR50" s="5">
        <v>2.8</v>
      </c>
    </row>
    <row r="51" spans="1:44" s="1" customFormat="1" x14ac:dyDescent="0.45">
      <c r="A51" s="6">
        <v>202</v>
      </c>
      <c r="B51" s="5">
        <v>15.9</v>
      </c>
      <c r="C51" s="5">
        <v>156545.42000000001</v>
      </c>
      <c r="D51" s="5">
        <v>75640.070000000007</v>
      </c>
      <c r="E51" s="5">
        <v>20.02</v>
      </c>
      <c r="F51" s="5">
        <v>39601.129999999997</v>
      </c>
      <c r="G51" s="5">
        <v>136.22999999999999</v>
      </c>
      <c r="H51" s="5">
        <v>283.39</v>
      </c>
      <c r="I51" s="5">
        <v>15.26</v>
      </c>
      <c r="J51" s="5">
        <f>0*25.71</f>
        <v>0</v>
      </c>
      <c r="K51" s="5">
        <v>3.39</v>
      </c>
      <c r="L51" s="5">
        <v>9.9499999999999993</v>
      </c>
      <c r="M51" s="5">
        <v>2.93</v>
      </c>
      <c r="N51" s="5">
        <v>20.079999999999998</v>
      </c>
      <c r="O51" s="5">
        <v>1683.19</v>
      </c>
      <c r="P51" s="5">
        <v>25.39</v>
      </c>
      <c r="Q51" s="5">
        <v>332.9</v>
      </c>
      <c r="R51" s="5">
        <v>183.18</v>
      </c>
      <c r="S51" s="5">
        <v>20.190000000000001</v>
      </c>
      <c r="T51" s="5">
        <v>0.6</v>
      </c>
      <c r="U51" s="5">
        <f>0*0.5</f>
        <v>0</v>
      </c>
      <c r="V51" s="5">
        <v>2.02</v>
      </c>
      <c r="W51" s="5">
        <v>875.05</v>
      </c>
      <c r="X51" s="5">
        <v>77.89</v>
      </c>
      <c r="Y51" s="5">
        <v>145.71</v>
      </c>
      <c r="Z51" s="5">
        <v>19.809999999999999</v>
      </c>
      <c r="AA51" s="5">
        <v>77.13</v>
      </c>
      <c r="AB51" s="5">
        <v>15.76</v>
      </c>
      <c r="AC51" s="5">
        <v>5.18</v>
      </c>
      <c r="AD51" s="5">
        <v>12.42</v>
      </c>
      <c r="AE51" s="5">
        <v>1.24</v>
      </c>
      <c r="AF51" s="5">
        <v>7</v>
      </c>
      <c r="AG51" s="5">
        <v>0.76</v>
      </c>
      <c r="AH51" s="5">
        <v>1.91</v>
      </c>
      <c r="AI51" s="5">
        <v>0.219</v>
      </c>
      <c r="AJ51" s="5">
        <v>1.03</v>
      </c>
      <c r="AK51" s="5">
        <v>0.13300000000000001</v>
      </c>
      <c r="AL51" s="5">
        <v>14.01</v>
      </c>
      <c r="AM51" s="5">
        <v>10.08</v>
      </c>
      <c r="AN51" s="5">
        <v>1437.55</v>
      </c>
      <c r="AO51" s="5">
        <v>1520.45</v>
      </c>
      <c r="AP51" s="5">
        <v>1.32</v>
      </c>
      <c r="AQ51" s="5">
        <v>5.25</v>
      </c>
      <c r="AR51" s="5">
        <v>2.34</v>
      </c>
    </row>
    <row r="52" spans="1:44" s="1" customFormat="1" x14ac:dyDescent="0.45">
      <c r="A52" s="6">
        <v>203</v>
      </c>
      <c r="B52" s="5">
        <v>17.350000000000001</v>
      </c>
      <c r="C52" s="5">
        <v>156545.42000000001</v>
      </c>
      <c r="D52" s="5">
        <v>71871.59</v>
      </c>
      <c r="E52" s="5">
        <v>18.649999999999999</v>
      </c>
      <c r="F52" s="5">
        <v>40996.019999999997</v>
      </c>
      <c r="G52" s="5">
        <v>136.07</v>
      </c>
      <c r="H52" s="5">
        <v>270.87</v>
      </c>
      <c r="I52" s="5">
        <v>15.89</v>
      </c>
      <c r="J52" s="5">
        <f>0*24.22</f>
        <v>0</v>
      </c>
      <c r="K52" s="5">
        <v>3.91</v>
      </c>
      <c r="L52" s="5">
        <v>10.69</v>
      </c>
      <c r="M52" s="5">
        <f>0*1.53</f>
        <v>0</v>
      </c>
      <c r="N52" s="5">
        <v>16.43</v>
      </c>
      <c r="O52" s="5">
        <v>1719.17</v>
      </c>
      <c r="P52" s="5">
        <v>25.24</v>
      </c>
      <c r="Q52" s="5">
        <v>334.35</v>
      </c>
      <c r="R52" s="5">
        <v>180.7</v>
      </c>
      <c r="S52" s="5">
        <v>20.72</v>
      </c>
      <c r="T52" s="5">
        <f>0*0.36</f>
        <v>0</v>
      </c>
      <c r="U52" s="5">
        <f>0*0.37</f>
        <v>0</v>
      </c>
      <c r="V52" s="5">
        <v>1.81</v>
      </c>
      <c r="W52" s="5">
        <v>956.02</v>
      </c>
      <c r="X52" s="5">
        <v>78.28</v>
      </c>
      <c r="Y52" s="5">
        <v>138.38999999999999</v>
      </c>
      <c r="Z52" s="5">
        <v>19.14</v>
      </c>
      <c r="AA52" s="5">
        <v>80.22</v>
      </c>
      <c r="AB52" s="5">
        <v>14.25</v>
      </c>
      <c r="AC52" s="5">
        <v>4.79</v>
      </c>
      <c r="AD52" s="5">
        <v>9.16</v>
      </c>
      <c r="AE52" s="5">
        <v>1.23</v>
      </c>
      <c r="AF52" s="5">
        <v>6.71</v>
      </c>
      <c r="AG52" s="5">
        <v>0.96699999999999997</v>
      </c>
      <c r="AH52" s="5">
        <v>1.49</v>
      </c>
      <c r="AI52" s="5">
        <v>0.17499999999999999</v>
      </c>
      <c r="AJ52" s="5">
        <v>1.03</v>
      </c>
      <c r="AK52" s="5">
        <v>0.14099999999999999</v>
      </c>
      <c r="AL52" s="5">
        <v>16.55</v>
      </c>
      <c r="AM52" s="5">
        <v>9.4499999999999993</v>
      </c>
      <c r="AN52" s="5">
        <v>1478.31</v>
      </c>
      <c r="AO52" s="5">
        <v>1568.21</v>
      </c>
      <c r="AP52" s="5">
        <v>0.63</v>
      </c>
      <c r="AQ52" s="5">
        <v>4.45</v>
      </c>
      <c r="AR52" s="5">
        <v>2.2400000000000002</v>
      </c>
    </row>
    <row r="53" spans="1:44" s="1" customFormat="1" x14ac:dyDescent="0.45">
      <c r="A53" s="6">
        <v>204</v>
      </c>
      <c r="B53" s="5">
        <v>17.88</v>
      </c>
      <c r="C53" s="5">
        <v>156545.41</v>
      </c>
      <c r="D53" s="5">
        <v>65541.16</v>
      </c>
      <c r="E53" s="5">
        <v>15.43</v>
      </c>
      <c r="F53" s="5">
        <v>40337.42</v>
      </c>
      <c r="G53" s="5">
        <v>128.32</v>
      </c>
      <c r="H53" s="5">
        <v>276.8</v>
      </c>
      <c r="I53" s="5">
        <v>15.95</v>
      </c>
      <c r="J53" s="5">
        <f>0*33.33</f>
        <v>0</v>
      </c>
      <c r="K53" s="5">
        <v>3.28</v>
      </c>
      <c r="L53" s="5">
        <v>10.53</v>
      </c>
      <c r="M53" s="5">
        <f>0*2.26</f>
        <v>0</v>
      </c>
      <c r="N53" s="5">
        <v>15.73</v>
      </c>
      <c r="O53" s="5">
        <v>1624.31</v>
      </c>
      <c r="P53" s="5">
        <v>23.34</v>
      </c>
      <c r="Q53" s="5">
        <v>321.58999999999997</v>
      </c>
      <c r="R53" s="5">
        <v>184.61</v>
      </c>
      <c r="S53" s="5">
        <v>18.41</v>
      </c>
      <c r="T53" s="5">
        <v>0.55000000000000004</v>
      </c>
      <c r="U53" s="5">
        <f>0*0.65</f>
        <v>0</v>
      </c>
      <c r="V53" s="5">
        <v>1.28</v>
      </c>
      <c r="W53" s="5">
        <v>888.6</v>
      </c>
      <c r="X53" s="5">
        <v>74.23</v>
      </c>
      <c r="Y53" s="5">
        <v>144.65</v>
      </c>
      <c r="Z53" s="5">
        <v>18.309999999999999</v>
      </c>
      <c r="AA53" s="5">
        <v>78.489999999999995</v>
      </c>
      <c r="AB53" s="5">
        <v>16.66</v>
      </c>
      <c r="AC53" s="5">
        <v>4.72</v>
      </c>
      <c r="AD53" s="5">
        <v>11.65</v>
      </c>
      <c r="AE53" s="5">
        <v>1.21</v>
      </c>
      <c r="AF53" s="5">
        <v>5.76</v>
      </c>
      <c r="AG53" s="5">
        <v>0.73099999999999998</v>
      </c>
      <c r="AH53" s="5">
        <v>1.97</v>
      </c>
      <c r="AI53" s="5">
        <v>0.24</v>
      </c>
      <c r="AJ53" s="5">
        <v>0.73</v>
      </c>
      <c r="AK53" s="5">
        <v>9.8000000000000004E-2</v>
      </c>
      <c r="AL53" s="5">
        <v>15.78</v>
      </c>
      <c r="AM53" s="5">
        <v>9.77</v>
      </c>
      <c r="AN53" s="5">
        <v>1398.65</v>
      </c>
      <c r="AO53" s="5">
        <v>1491.47</v>
      </c>
      <c r="AP53" s="5">
        <v>0.45900000000000002</v>
      </c>
      <c r="AQ53" s="5">
        <v>4.91</v>
      </c>
      <c r="AR53" s="5">
        <v>1.97</v>
      </c>
    </row>
    <row r="54" spans="1:44" s="1" customFormat="1" x14ac:dyDescent="0.45">
      <c r="A54" s="6">
        <v>205</v>
      </c>
      <c r="B54" s="5">
        <v>17.86</v>
      </c>
      <c r="C54" s="5">
        <v>156545.42000000001</v>
      </c>
      <c r="D54" s="5">
        <v>67763.7</v>
      </c>
      <c r="E54" s="5">
        <v>16.2</v>
      </c>
      <c r="F54" s="5">
        <v>38511.550000000003</v>
      </c>
      <c r="G54" s="5">
        <v>133.13</v>
      </c>
      <c r="H54" s="5">
        <v>287.11</v>
      </c>
      <c r="I54" s="5">
        <v>14.66</v>
      </c>
      <c r="J54" s="5">
        <f>0*23.51</f>
        <v>0</v>
      </c>
      <c r="K54" s="5">
        <v>3.05</v>
      </c>
      <c r="L54" s="5">
        <v>11.61</v>
      </c>
      <c r="M54" s="5">
        <v>2.19</v>
      </c>
      <c r="N54" s="5">
        <v>14.14</v>
      </c>
      <c r="O54" s="5">
        <v>1604.43</v>
      </c>
      <c r="P54" s="5">
        <v>22.36</v>
      </c>
      <c r="Q54" s="5">
        <v>325.57</v>
      </c>
      <c r="R54" s="5">
        <v>169.7</v>
      </c>
      <c r="S54" s="5">
        <v>20.100000000000001</v>
      </c>
      <c r="T54" s="5">
        <f>0*0.48</f>
        <v>0</v>
      </c>
      <c r="U54" s="5">
        <f>0*0.35</f>
        <v>0</v>
      </c>
      <c r="V54" s="5">
        <v>1.17</v>
      </c>
      <c r="W54" s="5">
        <v>868.18</v>
      </c>
      <c r="X54" s="5">
        <v>73.709999999999994</v>
      </c>
      <c r="Y54" s="5">
        <v>135.5</v>
      </c>
      <c r="Z54" s="5">
        <v>18.48</v>
      </c>
      <c r="AA54" s="5">
        <v>79.180000000000007</v>
      </c>
      <c r="AB54" s="5">
        <v>16.52</v>
      </c>
      <c r="AC54" s="5">
        <v>5.26</v>
      </c>
      <c r="AD54" s="5">
        <v>11.59</v>
      </c>
      <c r="AE54" s="5">
        <v>1.23</v>
      </c>
      <c r="AF54" s="5">
        <v>5.91</v>
      </c>
      <c r="AG54" s="5">
        <v>0.88300000000000001</v>
      </c>
      <c r="AH54" s="5">
        <v>1.47</v>
      </c>
      <c r="AI54" s="5">
        <v>0.22600000000000001</v>
      </c>
      <c r="AJ54" s="5">
        <v>1.0900000000000001</v>
      </c>
      <c r="AK54" s="5">
        <v>0.11600000000000001</v>
      </c>
      <c r="AL54" s="5">
        <v>15.85</v>
      </c>
      <c r="AM54" s="5">
        <v>8.92</v>
      </c>
      <c r="AN54" s="5">
        <v>1387.69</v>
      </c>
      <c r="AO54" s="5">
        <v>1471.52</v>
      </c>
      <c r="AP54" s="5">
        <v>2.83</v>
      </c>
      <c r="AQ54" s="5">
        <v>4.4800000000000004</v>
      </c>
      <c r="AR54" s="5">
        <v>1.95</v>
      </c>
    </row>
    <row r="55" spans="1:44" s="1" customFormat="1" x14ac:dyDescent="0.45">
      <c r="A55" s="6">
        <v>206</v>
      </c>
      <c r="B55" s="5">
        <v>16.38</v>
      </c>
      <c r="C55" s="5">
        <v>156545.42000000001</v>
      </c>
      <c r="D55" s="5">
        <v>68376.2</v>
      </c>
      <c r="E55" s="5">
        <v>16.71</v>
      </c>
      <c r="F55" s="5">
        <v>39035.93</v>
      </c>
      <c r="G55" s="5">
        <v>129.87</v>
      </c>
      <c r="H55" s="5">
        <v>287.88</v>
      </c>
      <c r="I55" s="5">
        <v>14.16</v>
      </c>
      <c r="J55" s="5">
        <f>0*27.65</f>
        <v>0</v>
      </c>
      <c r="K55" s="5">
        <v>3.31</v>
      </c>
      <c r="L55" s="5">
        <v>10.45</v>
      </c>
      <c r="M55" s="5">
        <v>2.89</v>
      </c>
      <c r="N55" s="5">
        <v>13.91</v>
      </c>
      <c r="O55" s="5">
        <v>1578.74</v>
      </c>
      <c r="P55" s="5">
        <v>23.48</v>
      </c>
      <c r="Q55" s="5">
        <v>313.24</v>
      </c>
      <c r="R55" s="5">
        <v>173.51</v>
      </c>
      <c r="S55" s="5">
        <v>17</v>
      </c>
      <c r="T55" s="5">
        <f>0*0.55</f>
        <v>0</v>
      </c>
      <c r="U55" s="5">
        <f>0*0.51</f>
        <v>0</v>
      </c>
      <c r="V55" s="5">
        <v>1.32</v>
      </c>
      <c r="W55" s="5">
        <v>840.49</v>
      </c>
      <c r="X55" s="5">
        <v>73.75</v>
      </c>
      <c r="Y55" s="5">
        <v>131.29</v>
      </c>
      <c r="Z55" s="5">
        <v>17.87</v>
      </c>
      <c r="AA55" s="5">
        <v>80.52</v>
      </c>
      <c r="AB55" s="5">
        <v>13.12</v>
      </c>
      <c r="AC55" s="5">
        <v>4.3</v>
      </c>
      <c r="AD55" s="5">
        <v>9.1999999999999993</v>
      </c>
      <c r="AE55" s="5">
        <v>1.43</v>
      </c>
      <c r="AF55" s="5">
        <v>5.33</v>
      </c>
      <c r="AG55" s="5">
        <v>0.94</v>
      </c>
      <c r="AH55" s="5">
        <v>1.56</v>
      </c>
      <c r="AI55" s="5">
        <v>0.17699999999999999</v>
      </c>
      <c r="AJ55" s="5">
        <v>0.92</v>
      </c>
      <c r="AK55" s="5">
        <v>0.124</v>
      </c>
      <c r="AL55" s="5">
        <v>15.38</v>
      </c>
      <c r="AM55" s="5">
        <v>10.07</v>
      </c>
      <c r="AN55" s="5">
        <v>1382</v>
      </c>
      <c r="AO55" s="5">
        <v>1433.62</v>
      </c>
      <c r="AP55" s="5">
        <v>1.55</v>
      </c>
      <c r="AQ55" s="5">
        <v>4.33</v>
      </c>
      <c r="AR55" s="5">
        <v>1.91</v>
      </c>
    </row>
    <row r="56" spans="1:44" s="1" customFormat="1" x14ac:dyDescent="0.45">
      <c r="A56" s="6">
        <v>207</v>
      </c>
      <c r="B56" s="5">
        <v>20.77</v>
      </c>
      <c r="C56" s="5">
        <v>156545.42000000001</v>
      </c>
      <c r="D56" s="5">
        <v>71512.5</v>
      </c>
      <c r="E56" s="5">
        <v>18.39</v>
      </c>
      <c r="F56" s="5">
        <v>41953.89</v>
      </c>
      <c r="G56" s="5">
        <v>142.04</v>
      </c>
      <c r="H56" s="5">
        <v>315.64</v>
      </c>
      <c r="I56" s="5">
        <v>15.76</v>
      </c>
      <c r="J56" s="5">
        <f>0*24.87</f>
        <v>0</v>
      </c>
      <c r="K56" s="5">
        <v>3.72</v>
      </c>
      <c r="L56" s="5">
        <v>12.93</v>
      </c>
      <c r="M56" s="5">
        <v>3.27</v>
      </c>
      <c r="N56" s="5">
        <v>12.52</v>
      </c>
      <c r="O56" s="5">
        <v>1699.13</v>
      </c>
      <c r="P56" s="5">
        <v>25.6</v>
      </c>
      <c r="Q56" s="5">
        <v>334.9</v>
      </c>
      <c r="R56" s="5">
        <v>188.18</v>
      </c>
      <c r="S56" s="5">
        <v>18.82</v>
      </c>
      <c r="T56" s="5">
        <f>0*0.57</f>
        <v>0</v>
      </c>
      <c r="U56" s="5">
        <f>0*0.32</f>
        <v>0</v>
      </c>
      <c r="V56" s="5">
        <v>1.1399999999999999</v>
      </c>
      <c r="W56" s="5">
        <v>869.96</v>
      </c>
      <c r="X56" s="5">
        <v>79.55</v>
      </c>
      <c r="Y56" s="5">
        <v>150.07</v>
      </c>
      <c r="Z56" s="5">
        <v>20.11</v>
      </c>
      <c r="AA56" s="5">
        <v>85.46</v>
      </c>
      <c r="AB56" s="5">
        <v>16.45</v>
      </c>
      <c r="AC56" s="5">
        <v>5.23</v>
      </c>
      <c r="AD56" s="5">
        <v>11.22</v>
      </c>
      <c r="AE56" s="5">
        <v>1.24</v>
      </c>
      <c r="AF56" s="5">
        <v>6.52</v>
      </c>
      <c r="AG56" s="5">
        <v>0.745</v>
      </c>
      <c r="AH56" s="5">
        <v>2.3199999999999998</v>
      </c>
      <c r="AI56" s="5">
        <v>0.155</v>
      </c>
      <c r="AJ56" s="5">
        <v>1.08</v>
      </c>
      <c r="AK56" s="5">
        <v>0.122</v>
      </c>
      <c r="AL56" s="5">
        <v>16.489999999999998</v>
      </c>
      <c r="AM56" s="5">
        <v>10.6</v>
      </c>
      <c r="AN56" s="5">
        <v>1522.12</v>
      </c>
      <c r="AO56" s="5">
        <v>1557.28</v>
      </c>
      <c r="AP56" s="5">
        <v>1.06</v>
      </c>
      <c r="AQ56" s="5">
        <v>4.47</v>
      </c>
      <c r="AR56" s="5">
        <v>2.13</v>
      </c>
    </row>
    <row r="57" spans="1:44" s="1" customFormat="1" x14ac:dyDescent="0.45">
      <c r="A57" s="6">
        <v>208</v>
      </c>
      <c r="B57" s="5">
        <v>20.89</v>
      </c>
      <c r="C57" s="5">
        <v>156545.42000000001</v>
      </c>
      <c r="D57" s="5">
        <v>76290.48</v>
      </c>
      <c r="E57" s="5">
        <v>17.98</v>
      </c>
      <c r="F57" s="5">
        <v>42310.92</v>
      </c>
      <c r="G57" s="5">
        <v>138.69999999999999</v>
      </c>
      <c r="H57" s="5">
        <v>284.64999999999998</v>
      </c>
      <c r="I57" s="5">
        <v>13.52</v>
      </c>
      <c r="J57" s="5">
        <f>0*25.25</f>
        <v>0</v>
      </c>
      <c r="K57" s="5">
        <v>2.94</v>
      </c>
      <c r="L57" s="5">
        <v>10.39</v>
      </c>
      <c r="M57" s="5">
        <f>0*1.23</f>
        <v>0</v>
      </c>
      <c r="N57" s="5">
        <v>15.58</v>
      </c>
      <c r="O57" s="5">
        <v>1828.06</v>
      </c>
      <c r="P57" s="5">
        <v>25.64</v>
      </c>
      <c r="Q57" s="5">
        <v>344.25</v>
      </c>
      <c r="R57" s="5">
        <v>186.06</v>
      </c>
      <c r="S57" s="5">
        <v>20.32</v>
      </c>
      <c r="T57" s="5">
        <f>0*0.44</f>
        <v>0</v>
      </c>
      <c r="U57" s="5">
        <f>0*0.46</f>
        <v>0</v>
      </c>
      <c r="V57" s="5">
        <v>1.55</v>
      </c>
      <c r="W57" s="5">
        <v>886.17</v>
      </c>
      <c r="X57" s="5">
        <v>83.03</v>
      </c>
      <c r="Y57" s="5">
        <v>153.86000000000001</v>
      </c>
      <c r="Z57" s="5">
        <v>19.350000000000001</v>
      </c>
      <c r="AA57" s="5">
        <v>88.42</v>
      </c>
      <c r="AB57" s="5">
        <v>14.17</v>
      </c>
      <c r="AC57" s="5">
        <v>5.09</v>
      </c>
      <c r="AD57" s="5">
        <v>11.99</v>
      </c>
      <c r="AE57" s="5">
        <v>1.1399999999999999</v>
      </c>
      <c r="AF57" s="5">
        <v>5.76</v>
      </c>
      <c r="AG57" s="5">
        <v>0.80400000000000005</v>
      </c>
      <c r="AH57" s="5">
        <v>1.86</v>
      </c>
      <c r="AI57" s="5">
        <v>0.18099999999999999</v>
      </c>
      <c r="AJ57" s="5">
        <v>1.1399999999999999</v>
      </c>
      <c r="AK57" s="5">
        <v>0.121</v>
      </c>
      <c r="AL57" s="5">
        <v>16.37</v>
      </c>
      <c r="AM57" s="5">
        <v>10.98</v>
      </c>
      <c r="AN57" s="5">
        <v>1573.47</v>
      </c>
      <c r="AO57" s="5">
        <v>1562.6</v>
      </c>
      <c r="AP57" s="5">
        <v>1.33</v>
      </c>
      <c r="AQ57" s="5">
        <v>4.92</v>
      </c>
      <c r="AR57" s="5">
        <v>2.2599999999999998</v>
      </c>
    </row>
    <row r="58" spans="1:44" s="1" customFormat="1" x14ac:dyDescent="0.45">
      <c r="A58" s="6" t="s">
        <v>43</v>
      </c>
      <c r="B58" s="5">
        <f>AVERAGE(B50:B57)</f>
        <v>17.973749999999999</v>
      </c>
      <c r="C58" s="5">
        <f>AVERAGE(C50:C57)</f>
        <v>156545.41875000001</v>
      </c>
      <c r="D58" s="5">
        <f>AVERAGE(D50:D57)</f>
        <v>72206.863750000004</v>
      </c>
      <c r="E58" s="5">
        <f>AVERAGE(E50:E57)</f>
        <v>17.4725</v>
      </c>
      <c r="F58" s="5">
        <f>AVERAGE(F50:F57)</f>
        <v>40488.683749999997</v>
      </c>
      <c r="G58" s="5">
        <f>AVERAGE(G50:G57)</f>
        <v>135.24250000000001</v>
      </c>
      <c r="H58" s="5">
        <f>AVERAGE(H50:H57)</f>
        <v>288.74875000000003</v>
      </c>
      <c r="I58" s="5">
        <f>AVERAGE(I50:I57)</f>
        <v>15.098749999999999</v>
      </c>
      <c r="J58" s="5">
        <f>AVERAGE(J50:J57)</f>
        <v>0</v>
      </c>
      <c r="K58" s="5">
        <f>AVERAGE(K50:K57)</f>
        <v>3.5449999999999999</v>
      </c>
      <c r="L58" s="5">
        <f>AVERAGE(L50:L57)</f>
        <v>11.26</v>
      </c>
      <c r="M58" s="5">
        <f>AVERAGE(M50:M57)</f>
        <v>1.875</v>
      </c>
      <c r="N58" s="5">
        <f>AVERAGE(N50:N57)</f>
        <v>15.933749999999998</v>
      </c>
      <c r="O58" s="5">
        <f>AVERAGE(O50:O57)</f>
        <v>1707.8749999999998</v>
      </c>
      <c r="P58" s="5">
        <f>AVERAGE(P50:P57)</f>
        <v>24.964999999999996</v>
      </c>
      <c r="Q58" s="5">
        <f>AVERAGE(Q50:Q57)</f>
        <v>334.45249999999999</v>
      </c>
      <c r="R58" s="5">
        <f>AVERAGE(R50:R57)</f>
        <v>184.1525</v>
      </c>
      <c r="S58" s="5">
        <f>AVERAGE(S50:S57)</f>
        <v>18.27</v>
      </c>
      <c r="T58" s="5">
        <f>AVERAGE(T50:T57)</f>
        <v>0.14374999999999999</v>
      </c>
      <c r="U58" s="5">
        <f>AVERAGE(U50:U57)</f>
        <v>0</v>
      </c>
      <c r="V58" s="5">
        <f>AVERAGE(V50:V57)</f>
        <v>1.5612500000000002</v>
      </c>
      <c r="W58" s="5">
        <f>AVERAGE(W50:W57)</f>
        <v>880.17499999999995</v>
      </c>
      <c r="X58" s="5">
        <f>AVERAGE(X50:X57)</f>
        <v>79.473749999999995</v>
      </c>
      <c r="Y58" s="5">
        <f>AVERAGE(Y50:Y57)</f>
        <v>147.63875000000002</v>
      </c>
      <c r="Z58" s="5">
        <f>AVERAGE(Z50:Z57)</f>
        <v>19.637499999999999</v>
      </c>
      <c r="AA58" s="5">
        <f>AVERAGE(AA50:AA57)</f>
        <v>84.454999999999998</v>
      </c>
      <c r="AB58" s="5">
        <f>AVERAGE(AB50:AB57)</f>
        <v>15.723750000000001</v>
      </c>
      <c r="AC58" s="5">
        <f>AVERAGE(AC50:AC57)</f>
        <v>5.1337499999999991</v>
      </c>
      <c r="AD58" s="5">
        <f>AVERAGE(AD50:AD57)</f>
        <v>11.417499999999999</v>
      </c>
      <c r="AE58" s="5">
        <f>AVERAGE(AE50:AE57)</f>
        <v>1.2750000000000001</v>
      </c>
      <c r="AF58" s="5">
        <f>AVERAGE(AF50:AF57)</f>
        <v>6.2137499999999983</v>
      </c>
      <c r="AG58" s="5">
        <f>AVERAGE(AG50:AG57)</f>
        <v>0.87124999999999997</v>
      </c>
      <c r="AH58" s="5">
        <f>AVERAGE(AH50:AH57)</f>
        <v>1.8275000000000001</v>
      </c>
      <c r="AI58" s="5">
        <f>AVERAGE(AI50:AI57)</f>
        <v>0.19375000000000001</v>
      </c>
      <c r="AJ58" s="5">
        <f>AVERAGE(AJ50:AJ57)</f>
        <v>1.07375</v>
      </c>
      <c r="AK58" s="5">
        <f>AVERAGE(AK50:AK57)</f>
        <v>0.124</v>
      </c>
      <c r="AL58" s="5">
        <f>AVERAGE(AL50:AL57)</f>
        <v>15.977499999999999</v>
      </c>
      <c r="AM58" s="5">
        <f>AVERAGE(AM50:AM57)</f>
        <v>10.1425</v>
      </c>
      <c r="AN58" s="5">
        <f>AVERAGE(AN50:AN57)</f>
        <v>1463.0049999999999</v>
      </c>
      <c r="AO58" s="5">
        <f>AVERAGE(AO50:AO57)</f>
        <v>1527.88</v>
      </c>
      <c r="AP58" s="5">
        <f>AVERAGE(AP50:AP57)</f>
        <v>1.2586249999999999</v>
      </c>
      <c r="AQ58" s="5">
        <f>AVERAGE(AQ50:AQ57)</f>
        <v>4.9750000000000005</v>
      </c>
      <c r="AR58" s="5">
        <f>AVERAGE(AR50:AR57)</f>
        <v>2.2000000000000002</v>
      </c>
    </row>
    <row r="59" spans="1:44" s="1" customFormat="1" x14ac:dyDescent="0.45">
      <c r="A59" s="7" t="s">
        <v>44</v>
      </c>
      <c r="B59" s="5">
        <f>AVEDEV(B50:B57)</f>
        <v>1.4281249999999994</v>
      </c>
      <c r="C59" s="5">
        <f>AVEDEV(C50:C57)</f>
        <v>2.1875000020372681E-3</v>
      </c>
      <c r="D59" s="5">
        <f>AVEDEV(D50:D57)</f>
        <v>3992.2921875000029</v>
      </c>
      <c r="E59" s="5">
        <f>AVEDEV(E50:E57)</f>
        <v>1.2875000000000001</v>
      </c>
      <c r="F59" s="5">
        <f>AVEDEV(F50:F57)</f>
        <v>1117.1762499999995</v>
      </c>
      <c r="G59" s="5">
        <f>AVEDEV(G50:G57)</f>
        <v>3.6018749999999962</v>
      </c>
      <c r="H59" s="5">
        <f>AVEDEV(H50:H57)</f>
        <v>10.448125000000012</v>
      </c>
      <c r="I59" s="5">
        <f>AVEDEV(I50:I57)</f>
        <v>0.73906250000000018</v>
      </c>
      <c r="J59" s="5">
        <f>AVEDEV(J50:J57)</f>
        <v>0</v>
      </c>
      <c r="K59" s="5">
        <f>AVEDEV(K50:K57)</f>
        <v>0.43875000000000003</v>
      </c>
      <c r="L59" s="5">
        <f>AVEDEV(L50:L57)</f>
        <v>1.0725</v>
      </c>
      <c r="M59" s="5">
        <f>AVEDEV(M50:M57)</f>
        <v>1.40625</v>
      </c>
      <c r="N59" s="5">
        <f>AVEDEV(N50:N57)</f>
        <v>1.947187499999999</v>
      </c>
      <c r="O59" s="5">
        <f>AVEDEV(O50:O57)</f>
        <v>87.393749999999926</v>
      </c>
      <c r="P59" s="5">
        <f>AVEDEV(P50:P57)</f>
        <v>1.4287500000000013</v>
      </c>
      <c r="Q59" s="5">
        <f>AVEDEV(Q50:Q57)</f>
        <v>11.153124999999996</v>
      </c>
      <c r="R59" s="5">
        <f>AVEDEV(R50:R57)</f>
        <v>7.3800000000000061</v>
      </c>
      <c r="S59" s="5">
        <f>AVEDEV(S50:S57)</f>
        <v>2.2350000000000003</v>
      </c>
      <c r="T59" s="5">
        <f>AVEDEV(T50:T57)</f>
        <v>0.21562500000000001</v>
      </c>
      <c r="U59" s="5">
        <f>AVEDEV(U50:U57)</f>
        <v>0</v>
      </c>
      <c r="V59" s="5">
        <f>AVEDEV(V50:V57)</f>
        <v>0.3365625000000001</v>
      </c>
      <c r="W59" s="5">
        <f>AVEDEV(W50:W57)</f>
        <v>22.566249999999997</v>
      </c>
      <c r="X59" s="5">
        <f>AVEDEV(X50:X57)</f>
        <v>4.877187499999998</v>
      </c>
      <c r="Y59" s="5">
        <f>AVEDEV(Y50:Y57)</f>
        <v>10.663437500000004</v>
      </c>
      <c r="Z59" s="5">
        <f>AVEDEV(Z50:Z57)</f>
        <v>1.2593749999999995</v>
      </c>
      <c r="AA59" s="5">
        <f>AVEDEV(AA50:AA57)</f>
        <v>6.6837499999999999</v>
      </c>
      <c r="AB59" s="5">
        <f>AVEDEV(AB50:AB57)</f>
        <v>1.4078124999999997</v>
      </c>
      <c r="AC59" s="5">
        <f>AVEDEV(AC50:AC57)</f>
        <v>0.40875000000000006</v>
      </c>
      <c r="AD59" s="5">
        <f>AVEDEV(AD50:AD57)</f>
        <v>1.1681250000000003</v>
      </c>
      <c r="AE59" s="5">
        <f>AVEDEV(AE50:AE57)</f>
        <v>9.000000000000008E-2</v>
      </c>
      <c r="AF59" s="5">
        <f>AVEDEV(AF50:AF57)</f>
        <v>0.52374999999999994</v>
      </c>
      <c r="AG59" s="5">
        <f>AVEDEV(AG50:AG57)</f>
        <v>0.11124999999999997</v>
      </c>
      <c r="AH59" s="5">
        <f>AVEDEV(AH50:AH57)</f>
        <v>0.24062499999999995</v>
      </c>
      <c r="AI59" s="5">
        <f>AVEDEV(AI50:AI57)</f>
        <v>2.5937500000000006E-2</v>
      </c>
      <c r="AJ59" s="5">
        <f>AVEDEV(AJ50:AJ57)</f>
        <v>0.14625000000000002</v>
      </c>
      <c r="AK59" s="5">
        <f>AVEDEV(AK50:AK57)</f>
        <v>9.75E-3</v>
      </c>
      <c r="AL59" s="5">
        <f>AVEDEV(AL50:AL57)</f>
        <v>0.72250000000000014</v>
      </c>
      <c r="AM59" s="5">
        <f>AVEDEV(AM50:AM57)</f>
        <v>0.60562500000000008</v>
      </c>
      <c r="AN59" s="5">
        <f>AVEDEV(AN50:AN57)</f>
        <v>61.53249999999997</v>
      </c>
      <c r="AO59" s="5">
        <f>AVEDEV(AO50:AO57)</f>
        <v>48.615000000000009</v>
      </c>
      <c r="AP59" s="5">
        <f>AVEDEV(AP50:AP57)</f>
        <v>0.49887500000000001</v>
      </c>
      <c r="AQ59" s="5">
        <f>AVEDEV(AQ50:AQ57)</f>
        <v>0.57250000000000023</v>
      </c>
      <c r="AR59" s="5">
        <f>AVEDEV(AR50:AR57)</f>
        <v>0.21</v>
      </c>
    </row>
    <row r="60" spans="1:44" s="1" customFormat="1" x14ac:dyDescent="0.45">
      <c r="A60" s="6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</row>
    <row r="61" spans="1:44" s="9" customFormat="1" ht="15.4" x14ac:dyDescent="0.45">
      <c r="A61" s="2" t="s">
        <v>50</v>
      </c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  <c r="AF61" s="10"/>
      <c r="AG61" s="10"/>
      <c r="AH61" s="10"/>
      <c r="AI61" s="10"/>
      <c r="AJ61" s="10"/>
      <c r="AK61" s="10"/>
      <c r="AL61" s="10"/>
      <c r="AM61" s="10"/>
      <c r="AN61" s="10"/>
      <c r="AO61" s="10"/>
      <c r="AP61" s="10"/>
      <c r="AQ61" s="10"/>
      <c r="AR61" s="10"/>
    </row>
    <row r="62" spans="1:44" s="1" customFormat="1" x14ac:dyDescent="0.45">
      <c r="A62" s="6">
        <v>1</v>
      </c>
      <c r="B62" s="5">
        <v>9.26</v>
      </c>
      <c r="C62" s="5">
        <v>179169.52</v>
      </c>
      <c r="D62" s="5">
        <v>60072.45</v>
      </c>
      <c r="E62" s="5">
        <v>17.739999999999998</v>
      </c>
      <c r="F62" s="5">
        <v>29609.69</v>
      </c>
      <c r="G62" s="5">
        <v>236.21</v>
      </c>
      <c r="H62" s="5">
        <v>363.34</v>
      </c>
      <c r="I62" s="5">
        <v>21.65</v>
      </c>
      <c r="J62" s="5">
        <f>0*40.44</f>
        <v>0</v>
      </c>
      <c r="K62" s="5">
        <f>0*1.69</f>
        <v>0</v>
      </c>
      <c r="L62" s="5">
        <v>13.56</v>
      </c>
      <c r="M62" s="5">
        <f>0*11.59</f>
        <v>0</v>
      </c>
      <c r="N62" s="5">
        <v>31.39</v>
      </c>
      <c r="O62" s="5">
        <v>1162.5</v>
      </c>
      <c r="P62" s="5">
        <v>20.61</v>
      </c>
      <c r="Q62" s="5">
        <v>229.18</v>
      </c>
      <c r="R62" s="5">
        <v>124.32</v>
      </c>
      <c r="S62" s="5">
        <v>21.27</v>
      </c>
      <c r="T62" s="5">
        <f>0*0.53</f>
        <v>0</v>
      </c>
      <c r="U62" s="5">
        <f>0*0.195</f>
        <v>0</v>
      </c>
      <c r="V62" s="5">
        <v>1.29</v>
      </c>
      <c r="W62" s="5">
        <v>902.91</v>
      </c>
      <c r="X62" s="5">
        <v>62.22</v>
      </c>
      <c r="Y62" s="5">
        <v>86.81</v>
      </c>
      <c r="Z62" s="5">
        <v>12.3</v>
      </c>
      <c r="AA62" s="5">
        <v>51.3</v>
      </c>
      <c r="AB62" s="5">
        <v>9.84</v>
      </c>
      <c r="AC62" s="5">
        <v>3.22</v>
      </c>
      <c r="AD62" s="5">
        <v>7.16</v>
      </c>
      <c r="AE62" s="5">
        <v>0.90500000000000003</v>
      </c>
      <c r="AF62" s="5">
        <v>4.29</v>
      </c>
      <c r="AG62" s="5">
        <v>0.752</v>
      </c>
      <c r="AH62" s="5">
        <v>1.28</v>
      </c>
      <c r="AI62" s="5">
        <v>0.14399999999999999</v>
      </c>
      <c r="AJ62" s="5">
        <v>1.04</v>
      </c>
      <c r="AK62" s="5">
        <v>0.154</v>
      </c>
      <c r="AL62" s="5">
        <v>10.52</v>
      </c>
      <c r="AM62" s="5">
        <v>6.8</v>
      </c>
      <c r="AN62" s="5">
        <v>912.62</v>
      </c>
      <c r="AO62" s="5">
        <v>923.05</v>
      </c>
      <c r="AP62" s="5">
        <f>0*0.146</f>
        <v>0</v>
      </c>
      <c r="AQ62" s="5">
        <v>2.96</v>
      </c>
      <c r="AR62" s="5">
        <v>1.1419999999999999</v>
      </c>
    </row>
    <row r="63" spans="1:44" s="1" customFormat="1" x14ac:dyDescent="0.45">
      <c r="A63" s="6">
        <v>7</v>
      </c>
      <c r="B63" s="5">
        <v>5.41</v>
      </c>
      <c r="C63" s="5">
        <v>177626.95</v>
      </c>
      <c r="D63" s="5">
        <v>44060.480000000003</v>
      </c>
      <c r="E63" s="5">
        <v>13.37</v>
      </c>
      <c r="F63" s="5">
        <v>21350.03</v>
      </c>
      <c r="G63" s="5">
        <v>177.38</v>
      </c>
      <c r="H63" s="5">
        <v>271.64999999999998</v>
      </c>
      <c r="I63" s="5">
        <v>35.119999999999997</v>
      </c>
      <c r="J63" s="5">
        <v>101.07</v>
      </c>
      <c r="K63" s="5">
        <f>0*1.69</f>
        <v>0</v>
      </c>
      <c r="L63" s="5">
        <v>8.4499999999999993</v>
      </c>
      <c r="M63" s="5">
        <f>0*12.38</f>
        <v>0</v>
      </c>
      <c r="N63" s="5">
        <v>21.86</v>
      </c>
      <c r="O63" s="5">
        <v>838.79</v>
      </c>
      <c r="P63" s="5">
        <v>13.98</v>
      </c>
      <c r="Q63" s="5">
        <v>174.19</v>
      </c>
      <c r="R63" s="5">
        <v>90.33</v>
      </c>
      <c r="S63" s="5">
        <v>14.18</v>
      </c>
      <c r="T63" s="5">
        <f>0*0.69</f>
        <v>0</v>
      </c>
      <c r="U63" s="5">
        <v>0.3</v>
      </c>
      <c r="V63" s="5">
        <v>1.1200000000000001</v>
      </c>
      <c r="W63" s="5">
        <v>621</v>
      </c>
      <c r="X63" s="5">
        <v>44.03</v>
      </c>
      <c r="Y63" s="5">
        <v>63.33</v>
      </c>
      <c r="Z63" s="5">
        <v>9.01</v>
      </c>
      <c r="AA63" s="5">
        <v>38.9</v>
      </c>
      <c r="AB63" s="5">
        <v>7.23</v>
      </c>
      <c r="AC63" s="5">
        <v>2.06</v>
      </c>
      <c r="AD63" s="5">
        <v>5.38</v>
      </c>
      <c r="AE63" s="5">
        <v>0.65800000000000003</v>
      </c>
      <c r="AF63" s="5">
        <v>2.68</v>
      </c>
      <c r="AG63" s="5">
        <v>0.56799999999999995</v>
      </c>
      <c r="AH63" s="5">
        <v>1.1499999999999999</v>
      </c>
      <c r="AI63" s="5">
        <v>7.0999999999999994E-2</v>
      </c>
      <c r="AJ63" s="5">
        <v>0.59</v>
      </c>
      <c r="AK63" s="5">
        <v>0.13700000000000001</v>
      </c>
      <c r="AL63" s="5">
        <v>7.29</v>
      </c>
      <c r="AM63" s="5">
        <v>5.0999999999999996</v>
      </c>
      <c r="AN63" s="5">
        <v>686.12</v>
      </c>
      <c r="AO63" s="5">
        <v>669.64</v>
      </c>
      <c r="AP63" s="5">
        <v>0.41399999999999998</v>
      </c>
      <c r="AQ63" s="5">
        <v>2.2400000000000002</v>
      </c>
      <c r="AR63" s="5">
        <v>0.98799999999999999</v>
      </c>
    </row>
    <row r="64" spans="1:44" s="1" customFormat="1" x14ac:dyDescent="0.45">
      <c r="A64" s="6">
        <v>8</v>
      </c>
      <c r="B64" s="5">
        <v>8.3699999999999992</v>
      </c>
      <c r="C64" s="5">
        <v>178515.09</v>
      </c>
      <c r="D64" s="5">
        <v>63843.68</v>
      </c>
      <c r="E64" s="5">
        <v>17.850000000000001</v>
      </c>
      <c r="F64" s="5">
        <v>32441.34</v>
      </c>
      <c r="G64" s="5">
        <v>256.69</v>
      </c>
      <c r="H64" s="5">
        <v>338.11</v>
      </c>
      <c r="I64" s="5">
        <v>22.04</v>
      </c>
      <c r="J64" s="5">
        <v>23.61</v>
      </c>
      <c r="K64" s="5">
        <v>0.81</v>
      </c>
      <c r="L64" s="5">
        <v>14.3</v>
      </c>
      <c r="M64" s="5">
        <f>0*3.86</f>
        <v>0</v>
      </c>
      <c r="N64" s="5">
        <v>33.58</v>
      </c>
      <c r="O64" s="5">
        <v>1241.8900000000001</v>
      </c>
      <c r="P64" s="5">
        <v>21.69</v>
      </c>
      <c r="Q64" s="5">
        <v>260.95</v>
      </c>
      <c r="R64" s="5">
        <v>134.96</v>
      </c>
      <c r="S64" s="5">
        <v>20.9</v>
      </c>
      <c r="T64" s="5">
        <f>0*0.185</f>
        <v>0</v>
      </c>
      <c r="U64" s="5">
        <f>0*0.069</f>
        <v>0</v>
      </c>
      <c r="V64" s="5">
        <v>1.6910000000000001</v>
      </c>
      <c r="W64" s="5">
        <v>990.74</v>
      </c>
      <c r="X64" s="5">
        <v>68.56</v>
      </c>
      <c r="Y64" s="5">
        <v>98.88</v>
      </c>
      <c r="Z64" s="5">
        <v>13.79</v>
      </c>
      <c r="AA64" s="5">
        <v>56.32</v>
      </c>
      <c r="AB64" s="5">
        <v>11.25</v>
      </c>
      <c r="AC64" s="5">
        <v>3.16</v>
      </c>
      <c r="AD64" s="5">
        <v>8.4</v>
      </c>
      <c r="AE64" s="5">
        <v>1.016</v>
      </c>
      <c r="AF64" s="5">
        <v>4.57</v>
      </c>
      <c r="AG64" s="5">
        <v>0.83099999999999996</v>
      </c>
      <c r="AH64" s="5">
        <v>1.82</v>
      </c>
      <c r="AI64" s="5">
        <v>0.20399999999999999</v>
      </c>
      <c r="AJ64" s="5">
        <v>1.08</v>
      </c>
      <c r="AK64" s="5">
        <v>0.16700000000000001</v>
      </c>
      <c r="AL64" s="5">
        <v>12.82</v>
      </c>
      <c r="AM64" s="5">
        <v>8.25</v>
      </c>
      <c r="AN64" s="5">
        <v>1017.91</v>
      </c>
      <c r="AO64" s="5">
        <v>1015.78</v>
      </c>
      <c r="AP64" s="5">
        <v>0.09</v>
      </c>
      <c r="AQ64" s="5">
        <v>3.44</v>
      </c>
      <c r="AR64" s="5">
        <v>1.4019999999999999</v>
      </c>
    </row>
    <row r="65" spans="1:44" s="1" customFormat="1" x14ac:dyDescent="0.45">
      <c r="A65" s="6">
        <v>9</v>
      </c>
      <c r="B65" s="5">
        <v>8.4600000000000009</v>
      </c>
      <c r="C65" s="5">
        <v>178515.09</v>
      </c>
      <c r="D65" s="5">
        <v>63679.8</v>
      </c>
      <c r="E65" s="5">
        <v>18.47</v>
      </c>
      <c r="F65" s="5">
        <v>32214.62</v>
      </c>
      <c r="G65" s="5">
        <v>252.59</v>
      </c>
      <c r="H65" s="5">
        <v>331.49</v>
      </c>
      <c r="I65" s="5">
        <v>21.68</v>
      </c>
      <c r="J65" s="5">
        <f>0*13.97</f>
        <v>0</v>
      </c>
      <c r="K65" s="5">
        <v>1.46</v>
      </c>
      <c r="L65" s="5">
        <v>14.69</v>
      </c>
      <c r="M65" s="5">
        <f>0*3.91</f>
        <v>0</v>
      </c>
      <c r="N65" s="5">
        <v>32.71</v>
      </c>
      <c r="O65" s="5">
        <v>1226.76</v>
      </c>
      <c r="P65" s="5">
        <v>21.63</v>
      </c>
      <c r="Q65" s="5">
        <v>255.65</v>
      </c>
      <c r="R65" s="5">
        <v>132.19</v>
      </c>
      <c r="S65" s="5">
        <v>19.329999999999998</v>
      </c>
      <c r="T65" s="5">
        <f>0*0.212</f>
        <v>0</v>
      </c>
      <c r="U65" s="5">
        <f>0*0.099</f>
        <v>0</v>
      </c>
      <c r="V65" s="5">
        <v>1.534</v>
      </c>
      <c r="W65" s="5">
        <v>966.8</v>
      </c>
      <c r="X65" s="5">
        <v>67.23</v>
      </c>
      <c r="Y65" s="5">
        <v>98.11</v>
      </c>
      <c r="Z65" s="5">
        <v>13.22</v>
      </c>
      <c r="AA65" s="5">
        <v>55.44</v>
      </c>
      <c r="AB65" s="5">
        <v>10.83</v>
      </c>
      <c r="AC65" s="5">
        <v>3.22</v>
      </c>
      <c r="AD65" s="5">
        <v>8.33</v>
      </c>
      <c r="AE65" s="5">
        <v>0.91300000000000003</v>
      </c>
      <c r="AF65" s="5">
        <v>4.99</v>
      </c>
      <c r="AG65" s="5">
        <v>0.86199999999999999</v>
      </c>
      <c r="AH65" s="5">
        <v>1.82</v>
      </c>
      <c r="AI65" s="5">
        <v>0.16400000000000001</v>
      </c>
      <c r="AJ65" s="5">
        <v>1.1000000000000001</v>
      </c>
      <c r="AK65" s="5">
        <v>0.17399999999999999</v>
      </c>
      <c r="AL65" s="5">
        <v>12.51</v>
      </c>
      <c r="AM65" s="5">
        <v>7.85</v>
      </c>
      <c r="AN65" s="5">
        <v>1015.01</v>
      </c>
      <c r="AO65" s="5">
        <v>1018.87</v>
      </c>
      <c r="AP65" s="5">
        <f>0*0.059</f>
        <v>0</v>
      </c>
      <c r="AQ65" s="5">
        <v>3.27</v>
      </c>
      <c r="AR65" s="5">
        <v>1.43</v>
      </c>
    </row>
    <row r="66" spans="1:44" s="1" customFormat="1" x14ac:dyDescent="0.45">
      <c r="A66" s="6">
        <v>10</v>
      </c>
      <c r="B66" s="5">
        <v>7.62</v>
      </c>
      <c r="C66" s="5">
        <v>178515.09</v>
      </c>
      <c r="D66" s="5">
        <v>63048.83</v>
      </c>
      <c r="E66" s="5">
        <v>18.739999999999998</v>
      </c>
      <c r="F66" s="5">
        <v>31394.26</v>
      </c>
      <c r="G66" s="5">
        <v>252.8</v>
      </c>
      <c r="H66" s="5">
        <v>347.08</v>
      </c>
      <c r="I66" s="5">
        <v>20.52</v>
      </c>
      <c r="J66" s="5">
        <f>0*41.96</f>
        <v>0</v>
      </c>
      <c r="K66" s="5">
        <f>0*2.26</f>
        <v>0</v>
      </c>
      <c r="L66" s="5">
        <v>14.96</v>
      </c>
      <c r="M66" s="5">
        <f>0*12.23</f>
        <v>0</v>
      </c>
      <c r="N66" s="5">
        <v>31.87</v>
      </c>
      <c r="O66" s="5">
        <v>1229.6400000000001</v>
      </c>
      <c r="P66" s="5">
        <v>20.83</v>
      </c>
      <c r="Q66" s="5">
        <v>245.03</v>
      </c>
      <c r="R66" s="5">
        <v>132.38999999999999</v>
      </c>
      <c r="S66" s="5">
        <v>24.15</v>
      </c>
      <c r="T66" s="5">
        <f>0*0.61</f>
        <v>0</v>
      </c>
      <c r="U66" s="5">
        <f>0*0.3</f>
        <v>0</v>
      </c>
      <c r="V66" s="5">
        <v>1.63</v>
      </c>
      <c r="W66" s="5">
        <v>973.36</v>
      </c>
      <c r="X66" s="5">
        <v>66.510000000000005</v>
      </c>
      <c r="Y66" s="5">
        <v>97.55</v>
      </c>
      <c r="Z66" s="5">
        <v>13.23</v>
      </c>
      <c r="AA66" s="5">
        <v>55.52</v>
      </c>
      <c r="AB66" s="5">
        <v>8.3800000000000008</v>
      </c>
      <c r="AC66" s="5">
        <v>3.07</v>
      </c>
      <c r="AD66" s="5">
        <v>7.61</v>
      </c>
      <c r="AE66" s="5">
        <v>1.0589999999999999</v>
      </c>
      <c r="AF66" s="5">
        <v>4.33</v>
      </c>
      <c r="AG66" s="5">
        <v>0.87</v>
      </c>
      <c r="AH66" s="5">
        <v>2.0099999999999998</v>
      </c>
      <c r="AI66" s="5">
        <v>0.191</v>
      </c>
      <c r="AJ66" s="5">
        <v>0.67</v>
      </c>
      <c r="AK66" s="5">
        <v>0.21</v>
      </c>
      <c r="AL66" s="5">
        <v>11.64</v>
      </c>
      <c r="AM66" s="5">
        <v>7.68</v>
      </c>
      <c r="AN66" s="5">
        <v>1040.18</v>
      </c>
      <c r="AO66" s="5">
        <v>996.7</v>
      </c>
      <c r="AP66" s="5">
        <f>0*0.194</f>
        <v>0</v>
      </c>
      <c r="AQ66" s="5">
        <v>3.32</v>
      </c>
      <c r="AR66" s="5">
        <v>1.399</v>
      </c>
    </row>
    <row r="67" spans="1:44" s="1" customFormat="1" x14ac:dyDescent="0.45">
      <c r="A67" s="6">
        <v>11</v>
      </c>
      <c r="B67" s="5">
        <v>5.54</v>
      </c>
      <c r="C67" s="5">
        <v>178515.09</v>
      </c>
      <c r="D67" s="5">
        <v>61849.36</v>
      </c>
      <c r="E67" s="5">
        <v>18.14</v>
      </c>
      <c r="F67" s="5">
        <v>30293.4</v>
      </c>
      <c r="G67" s="5">
        <v>244.79</v>
      </c>
      <c r="H67" s="5">
        <v>377.21</v>
      </c>
      <c r="I67" s="5">
        <v>21.09</v>
      </c>
      <c r="J67" s="5">
        <f>0*43.58</f>
        <v>0</v>
      </c>
      <c r="K67" s="5">
        <f>0*1.78</f>
        <v>0</v>
      </c>
      <c r="L67" s="5">
        <v>15.14</v>
      </c>
      <c r="M67" s="5">
        <f>0*12.22</f>
        <v>0</v>
      </c>
      <c r="N67" s="5">
        <v>35.03</v>
      </c>
      <c r="O67" s="5">
        <v>1166.3</v>
      </c>
      <c r="P67" s="5">
        <v>20.34</v>
      </c>
      <c r="Q67" s="5">
        <v>243.51</v>
      </c>
      <c r="R67" s="5">
        <v>127.36</v>
      </c>
      <c r="S67" s="5">
        <v>22.16</v>
      </c>
      <c r="T67" s="5">
        <f>0*0.67</f>
        <v>0</v>
      </c>
      <c r="U67" s="5">
        <f>0*0.35</f>
        <v>0</v>
      </c>
      <c r="V67" s="5">
        <v>1.65</v>
      </c>
      <c r="W67" s="5">
        <v>929.01</v>
      </c>
      <c r="X67" s="5">
        <v>64.64</v>
      </c>
      <c r="Y67" s="5">
        <v>90.02</v>
      </c>
      <c r="Z67" s="5">
        <v>12.49</v>
      </c>
      <c r="AA67" s="5">
        <v>54.42</v>
      </c>
      <c r="AB67" s="5">
        <v>12.64</v>
      </c>
      <c r="AC67" s="5">
        <v>2.7</v>
      </c>
      <c r="AD67" s="5">
        <v>7.66</v>
      </c>
      <c r="AE67" s="5">
        <v>0.85499999999999998</v>
      </c>
      <c r="AF67" s="5">
        <v>4.49</v>
      </c>
      <c r="AG67" s="5">
        <v>0.754</v>
      </c>
      <c r="AH67" s="5">
        <v>1.37</v>
      </c>
      <c r="AI67" s="5">
        <v>0.14899999999999999</v>
      </c>
      <c r="AJ67" s="5">
        <v>0.64</v>
      </c>
      <c r="AK67" s="5">
        <v>0.155</v>
      </c>
      <c r="AL67" s="5">
        <v>11.71</v>
      </c>
      <c r="AM67" s="5">
        <v>7.41</v>
      </c>
      <c r="AN67" s="5">
        <v>991.96</v>
      </c>
      <c r="AO67" s="5">
        <v>1002.43</v>
      </c>
      <c r="AP67" s="5">
        <f>0*0.184</f>
        <v>0</v>
      </c>
      <c r="AQ67" s="5">
        <v>3</v>
      </c>
      <c r="AR67" s="5">
        <v>1.3360000000000001</v>
      </c>
    </row>
    <row r="68" spans="1:44" s="1" customFormat="1" x14ac:dyDescent="0.45">
      <c r="A68" s="6" t="s">
        <v>43</v>
      </c>
      <c r="B68" s="5">
        <f>AVERAGE(B62:B67)</f>
        <v>7.4433333333333325</v>
      </c>
      <c r="C68" s="5">
        <f>AVERAGE(C62:C67)</f>
        <v>178476.13833333331</v>
      </c>
      <c r="D68" s="5">
        <f>AVERAGE(D62:D67)</f>
        <v>59425.766666666663</v>
      </c>
      <c r="E68" s="5">
        <f>AVERAGE(E62:E67)</f>
        <v>17.385000000000002</v>
      </c>
      <c r="F68" s="5">
        <f>AVERAGE(F62:F67)</f>
        <v>29550.556666666667</v>
      </c>
      <c r="G68" s="5">
        <f>AVERAGE(G62:G67)</f>
        <v>236.74333333333334</v>
      </c>
      <c r="H68" s="5">
        <f>AVERAGE(H62:H67)</f>
        <v>338.1466666666667</v>
      </c>
      <c r="I68" s="5">
        <f>AVERAGE(I62:I67)</f>
        <v>23.683333333333334</v>
      </c>
      <c r="J68" s="5">
        <f>AVERAGE(J62:J67)</f>
        <v>20.779999999999998</v>
      </c>
      <c r="K68" s="5">
        <f>AVERAGE(K62:K67)</f>
        <v>0.37833333333333335</v>
      </c>
      <c r="L68" s="5">
        <f>AVERAGE(L62:L67)</f>
        <v>13.516666666666667</v>
      </c>
      <c r="M68" s="5">
        <f>AVERAGE(M62:M67)</f>
        <v>0</v>
      </c>
      <c r="N68" s="5">
        <f>AVERAGE(N62:N67)</f>
        <v>31.073333333333334</v>
      </c>
      <c r="O68" s="5">
        <f>AVERAGE(O62:O67)</f>
        <v>1144.3133333333335</v>
      </c>
      <c r="P68" s="5">
        <f>AVERAGE(P62:P67)</f>
        <v>19.846666666666668</v>
      </c>
      <c r="Q68" s="5">
        <f>AVERAGE(Q62:Q67)</f>
        <v>234.75166666666667</v>
      </c>
      <c r="R68" s="5">
        <f>AVERAGE(R62:R67)</f>
        <v>123.59166666666668</v>
      </c>
      <c r="S68" s="5">
        <f>AVERAGE(S62:S67)</f>
        <v>20.331666666666667</v>
      </c>
      <c r="T68" s="5">
        <f>AVERAGE(T62:T67)</f>
        <v>0</v>
      </c>
      <c r="U68" s="5">
        <f>AVERAGE(U62:U67)</f>
        <v>4.9999999999999996E-2</v>
      </c>
      <c r="V68" s="5">
        <f>AVERAGE(V62:V67)</f>
        <v>1.4858333333333331</v>
      </c>
      <c r="W68" s="5">
        <f>AVERAGE(W62:W67)</f>
        <v>897.30333333333328</v>
      </c>
      <c r="X68" s="5">
        <f>AVERAGE(X62:X67)</f>
        <v>62.198333333333331</v>
      </c>
      <c r="Y68" s="5">
        <f>AVERAGE(Y62:Y67)</f>
        <v>89.116666666666674</v>
      </c>
      <c r="Z68" s="5">
        <f>AVERAGE(Z62:Z67)</f>
        <v>12.339999999999998</v>
      </c>
      <c r="AA68" s="5">
        <f>AVERAGE(AA62:AA67)</f>
        <v>51.983333333333327</v>
      </c>
      <c r="AB68" s="5">
        <f>AVERAGE(AB62:AB67)</f>
        <v>10.028333333333334</v>
      </c>
      <c r="AC68" s="5">
        <f>AVERAGE(AC62:AC67)</f>
        <v>2.9050000000000007</v>
      </c>
      <c r="AD68" s="5">
        <f>AVERAGE(AD62:AD67)</f>
        <v>7.423333333333332</v>
      </c>
      <c r="AE68" s="5">
        <f>AVERAGE(AE62:AE67)</f>
        <v>0.90100000000000013</v>
      </c>
      <c r="AF68" s="5">
        <f>AVERAGE(AF62:AF67)</f>
        <v>4.2250000000000005</v>
      </c>
      <c r="AG68" s="5">
        <f>AVERAGE(AG62:AG67)</f>
        <v>0.77283333333333337</v>
      </c>
      <c r="AH68" s="5">
        <f>AVERAGE(AH62:AH67)</f>
        <v>1.575</v>
      </c>
      <c r="AI68" s="5">
        <f>AVERAGE(AI62:AI67)</f>
        <v>0.15383333333333335</v>
      </c>
      <c r="AJ68" s="5">
        <f>AVERAGE(AJ62:AJ67)</f>
        <v>0.85333333333333339</v>
      </c>
      <c r="AK68" s="5">
        <f>AVERAGE(AK62:AK67)</f>
        <v>0.16616666666666668</v>
      </c>
      <c r="AL68" s="5">
        <f>AVERAGE(AL62:AL67)</f>
        <v>11.081666666666669</v>
      </c>
      <c r="AM68" s="5">
        <f>AVERAGE(AM62:AM67)</f>
        <v>7.1816666666666675</v>
      </c>
      <c r="AN68" s="5">
        <f>AVERAGE(AN62:AN67)</f>
        <v>943.9666666666667</v>
      </c>
      <c r="AO68" s="5">
        <f>AVERAGE(AO62:AO67)</f>
        <v>937.745</v>
      </c>
      <c r="AP68" s="5">
        <f>AVERAGE(AP62:AP67)</f>
        <v>8.4000000000000005E-2</v>
      </c>
      <c r="AQ68" s="5">
        <f>AVERAGE(AQ62:AQ67)</f>
        <v>3.0383333333333336</v>
      </c>
      <c r="AR68" s="5">
        <f>AVERAGE(AR62:AR67)</f>
        <v>1.2828333333333333</v>
      </c>
    </row>
    <row r="69" spans="1:44" s="1" customFormat="1" x14ac:dyDescent="0.45">
      <c r="A69" s="7" t="s">
        <v>44</v>
      </c>
      <c r="B69" s="5">
        <f>AVEDEV(B62:B67)</f>
        <v>1.3122222222222224</v>
      </c>
      <c r="C69" s="5">
        <f>AVEDEV(C62:C67)</f>
        <v>283.06277777778934</v>
      </c>
      <c r="D69" s="5">
        <f>AVEDEV(D62:D67)</f>
        <v>5121.7622222222244</v>
      </c>
      <c r="E69" s="5">
        <f>AVEDEV(E62:E67)</f>
        <v>1.338333333333332</v>
      </c>
      <c r="F69" s="5">
        <f>AVEDEV(F62:F67)</f>
        <v>2733.5088888888881</v>
      </c>
      <c r="G69" s="5">
        <f>AVEDEV(G62:G67)</f>
        <v>19.965555555555554</v>
      </c>
      <c r="H69" s="5">
        <f>AVEDEV(H62:H67)</f>
        <v>24.396666666666658</v>
      </c>
      <c r="I69" s="5">
        <f>AVEDEV(I62:I67)</f>
        <v>3.8122222222222226</v>
      </c>
      <c r="J69" s="5">
        <f>AVEDEV(J62:J67)</f>
        <v>27.706666666666663</v>
      </c>
      <c r="K69" s="5">
        <f>AVEDEV(K62:K67)</f>
        <v>0.50444444444444447</v>
      </c>
      <c r="L69" s="5">
        <f>AVEDEV(L62:L67)</f>
        <v>1.6888888888888889</v>
      </c>
      <c r="M69" s="5">
        <f>AVEDEV(M62:M67)</f>
        <v>0</v>
      </c>
      <c r="N69" s="5">
        <f>AVEDEV(N62:N67)</f>
        <v>3.0711111111111111</v>
      </c>
      <c r="O69" s="5">
        <f>AVEDEV(O62:O67)</f>
        <v>101.84111111111103</v>
      </c>
      <c r="P69" s="5">
        <f>AVEDEV(P62:P67)</f>
        <v>1.9555555555555546</v>
      </c>
      <c r="Q69" s="5">
        <f>AVEDEV(Q62:Q67)</f>
        <v>22.044444444444441</v>
      </c>
      <c r="R69" s="5">
        <f>AVEDEV(R62:R67)</f>
        <v>11.087222222222209</v>
      </c>
      <c r="S69" s="5">
        <f>AVEDEV(S62:S67)</f>
        <v>2.3844444444444441</v>
      </c>
      <c r="T69" s="5">
        <f>AVEDEV(T62:T67)</f>
        <v>0</v>
      </c>
      <c r="U69" s="5">
        <f>AVEDEV(U62:U67)</f>
        <v>8.3333333333333329E-2</v>
      </c>
      <c r="V69" s="5">
        <f>AVEDEV(V62:V67)</f>
        <v>0.18722222222222226</v>
      </c>
      <c r="W69" s="5">
        <f>AVEDEV(W62:W67)</f>
        <v>92.101111111111138</v>
      </c>
      <c r="X69" s="5">
        <f>AVEDEV(X62:X67)</f>
        <v>6.0561111111111146</v>
      </c>
      <c r="Y69" s="5">
        <f>AVEDEV(Y62:Y67)</f>
        <v>9.3644444444444392</v>
      </c>
      <c r="Z69" s="5">
        <f>AVEDEV(Z62:Z67)</f>
        <v>1.123333333333334</v>
      </c>
      <c r="AA69" s="5">
        <f>AVEDEV(AA62:AA67)</f>
        <v>4.5888888888888921</v>
      </c>
      <c r="AB69" s="5">
        <f>AVEDEV(AB62:AB67)</f>
        <v>1.5449999999999999</v>
      </c>
      <c r="AC69" s="5">
        <f>AVEDEV(AC62:AC67)</f>
        <v>0.34999999999999981</v>
      </c>
      <c r="AD69" s="5">
        <f>AVEDEV(AD62:AD67)</f>
        <v>0.76888888888888951</v>
      </c>
      <c r="AE69" s="5">
        <f>AVEDEV(AE62:AE67)</f>
        <v>9.6333333333333285E-2</v>
      </c>
      <c r="AF69" s="5">
        <f>AVEDEV(AF62:AF67)</f>
        <v>0.51499999999999979</v>
      </c>
      <c r="AG69" s="5">
        <f>AVEDEV(AG62:AG67)</f>
        <v>8.1500000000000003E-2</v>
      </c>
      <c r="AH69" s="5">
        <f>AVEDEV(AH62:AH67)</f>
        <v>0.30833333333333329</v>
      </c>
      <c r="AI69" s="5">
        <f>AVEDEV(AI62:AI67)</f>
        <v>3.2500000000000008E-2</v>
      </c>
      <c r="AJ69" s="5">
        <f>AVEDEV(AJ62:AJ67)</f>
        <v>0.22000000000000006</v>
      </c>
      <c r="AK69" s="5">
        <f>AVEDEV(AK62:AK67)</f>
        <v>1.7499999999999998E-2</v>
      </c>
      <c r="AL69" s="5">
        <f>AVEDEV(AL62:AL67)</f>
        <v>1.4511111111111108</v>
      </c>
      <c r="AM69" s="5">
        <f>AVEDEV(AM62:AM67)</f>
        <v>0.82111111111111079</v>
      </c>
      <c r="AN69" s="5">
        <f>AVEDEV(AN62:AN67)</f>
        <v>96.397777777777776</v>
      </c>
      <c r="AO69" s="5">
        <f>AVEDEV(AO62:AO67)</f>
        <v>94.266666666666666</v>
      </c>
      <c r="AP69" s="5">
        <f>AVEDEV(AP62:AP67)</f>
        <v>0.11199999999999999</v>
      </c>
      <c r="AQ69" s="5">
        <f>AVEDEV(AQ62:AQ67)</f>
        <v>0.30499999999999994</v>
      </c>
      <c r="AR69" s="5">
        <f>AVEDEV(AR62:AR67)</f>
        <v>0.14522222222222225</v>
      </c>
    </row>
    <row r="70" spans="1:44" s="1" customFormat="1" x14ac:dyDescent="0.45">
      <c r="A70" s="6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</row>
    <row r="71" spans="1:44" s="9" customFormat="1" ht="15.4" x14ac:dyDescent="0.45">
      <c r="A71" s="2" t="s">
        <v>52</v>
      </c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  <c r="AF71" s="10"/>
      <c r="AG71" s="10"/>
      <c r="AH71" s="10"/>
      <c r="AI71" s="10"/>
      <c r="AJ71" s="10"/>
      <c r="AK71" s="10"/>
      <c r="AL71" s="10"/>
      <c r="AM71" s="10"/>
      <c r="AN71" s="10"/>
      <c r="AO71" s="10"/>
      <c r="AP71" s="10"/>
      <c r="AQ71" s="10"/>
      <c r="AR71" s="10"/>
    </row>
    <row r="72" spans="1:44" s="1" customFormat="1" x14ac:dyDescent="0.45">
      <c r="A72" s="6">
        <v>1</v>
      </c>
      <c r="B72" s="5">
        <v>8.73</v>
      </c>
      <c r="C72" s="5">
        <v>178000.92</v>
      </c>
      <c r="D72" s="5">
        <v>63768.34</v>
      </c>
      <c r="E72" s="5">
        <v>21.97</v>
      </c>
      <c r="F72" s="5">
        <v>34064.550000000003</v>
      </c>
      <c r="G72" s="5">
        <v>308.64</v>
      </c>
      <c r="H72" s="5">
        <v>279.97000000000003</v>
      </c>
      <c r="I72" s="5">
        <v>24.25</v>
      </c>
      <c r="J72" s="5">
        <v>38.270000000000003</v>
      </c>
      <c r="K72" s="5">
        <v>1.44</v>
      </c>
      <c r="L72" s="5">
        <v>16.05</v>
      </c>
      <c r="M72" s="5">
        <f>0*4.35</f>
        <v>0</v>
      </c>
      <c r="N72" s="5">
        <v>38.53</v>
      </c>
      <c r="O72" s="5">
        <v>1171.51</v>
      </c>
      <c r="P72" s="5">
        <v>22.1</v>
      </c>
      <c r="Q72" s="5">
        <v>252.35</v>
      </c>
      <c r="R72" s="5">
        <v>129.41</v>
      </c>
      <c r="S72" s="5">
        <v>13.11</v>
      </c>
      <c r="T72" s="5">
        <f>0*0.27</f>
        <v>0</v>
      </c>
      <c r="U72" s="5">
        <f>0*0.09</f>
        <v>0</v>
      </c>
      <c r="V72" s="5">
        <v>1.5880000000000001</v>
      </c>
      <c r="W72" s="5">
        <v>1075.44</v>
      </c>
      <c r="X72" s="5">
        <v>61.25</v>
      </c>
      <c r="Y72" s="5">
        <v>93.99</v>
      </c>
      <c r="Z72" s="5">
        <v>12.89</v>
      </c>
      <c r="AA72" s="5">
        <v>55.03</v>
      </c>
      <c r="AB72" s="5">
        <v>10.62</v>
      </c>
      <c r="AC72" s="5">
        <v>3.16</v>
      </c>
      <c r="AD72" s="5">
        <v>8.5</v>
      </c>
      <c r="AE72" s="5">
        <v>1.0049999999999999</v>
      </c>
      <c r="AF72" s="5">
        <v>4.88</v>
      </c>
      <c r="AG72" s="5">
        <v>0.79400000000000004</v>
      </c>
      <c r="AH72" s="5">
        <v>1.94</v>
      </c>
      <c r="AI72" s="5">
        <v>0.214</v>
      </c>
      <c r="AJ72" s="5">
        <v>1.004</v>
      </c>
      <c r="AK72" s="5">
        <v>0.1285</v>
      </c>
      <c r="AL72" s="5">
        <v>11.19</v>
      </c>
      <c r="AM72" s="5">
        <v>7.52</v>
      </c>
      <c r="AN72" s="5">
        <v>878.31</v>
      </c>
      <c r="AO72" s="5">
        <v>880</v>
      </c>
      <c r="AP72" s="5">
        <f>0*0.07</f>
        <v>0</v>
      </c>
      <c r="AQ72" s="5">
        <v>2.99</v>
      </c>
      <c r="AR72" s="5">
        <v>1.1499999999999999</v>
      </c>
    </row>
    <row r="73" spans="1:44" s="1" customFormat="1" x14ac:dyDescent="0.45">
      <c r="A73" s="6">
        <v>2</v>
      </c>
      <c r="B73" s="5">
        <f>0*4.54</f>
        <v>0</v>
      </c>
      <c r="C73" s="5">
        <v>178000.92</v>
      </c>
      <c r="D73" s="5">
        <v>61835.839999999997</v>
      </c>
      <c r="E73" s="5">
        <v>19.440000000000001</v>
      </c>
      <c r="F73" s="5">
        <v>34135.19</v>
      </c>
      <c r="G73" s="5">
        <v>302.57</v>
      </c>
      <c r="H73" s="5">
        <v>270.58</v>
      </c>
      <c r="I73" s="5">
        <v>25.26</v>
      </c>
      <c r="J73" s="5">
        <v>73.959999999999994</v>
      </c>
      <c r="K73" s="5">
        <f>0*2.29</f>
        <v>0</v>
      </c>
      <c r="L73" s="5">
        <v>15.99</v>
      </c>
      <c r="M73" s="5">
        <f>0*13.09</f>
        <v>0</v>
      </c>
      <c r="N73" s="5">
        <v>40.31</v>
      </c>
      <c r="O73" s="5">
        <v>1142.6199999999999</v>
      </c>
      <c r="P73" s="5">
        <v>21.63</v>
      </c>
      <c r="Q73" s="5">
        <v>244.1</v>
      </c>
      <c r="R73" s="5">
        <v>126.39</v>
      </c>
      <c r="S73" s="5">
        <v>13</v>
      </c>
      <c r="T73" s="5">
        <f>0*0.78</f>
        <v>0</v>
      </c>
      <c r="U73" s="5">
        <f>0*0.23</f>
        <v>0</v>
      </c>
      <c r="V73" s="5">
        <v>1.7</v>
      </c>
      <c r="W73" s="5">
        <v>1057.2</v>
      </c>
      <c r="X73" s="5">
        <v>59.17</v>
      </c>
      <c r="Y73" s="5">
        <v>91.41</v>
      </c>
      <c r="Z73" s="5">
        <v>12.4</v>
      </c>
      <c r="AA73" s="5">
        <v>55.07</v>
      </c>
      <c r="AB73" s="5">
        <v>10.42</v>
      </c>
      <c r="AC73" s="5">
        <v>3.43</v>
      </c>
      <c r="AD73" s="5">
        <v>7.76</v>
      </c>
      <c r="AE73" s="5">
        <v>1.099</v>
      </c>
      <c r="AF73" s="5">
        <v>4.53</v>
      </c>
      <c r="AG73" s="5">
        <v>0.60299999999999998</v>
      </c>
      <c r="AH73" s="5">
        <v>1.71</v>
      </c>
      <c r="AI73" s="5">
        <v>0.2</v>
      </c>
      <c r="AJ73" s="5">
        <v>1.01</v>
      </c>
      <c r="AK73" s="5">
        <v>0.153</v>
      </c>
      <c r="AL73" s="5">
        <v>10.44</v>
      </c>
      <c r="AM73" s="5">
        <v>8.01</v>
      </c>
      <c r="AN73" s="5">
        <v>884.9</v>
      </c>
      <c r="AO73" s="5">
        <v>871.86</v>
      </c>
      <c r="AP73" s="5">
        <f>0*0.168</f>
        <v>0</v>
      </c>
      <c r="AQ73" s="5">
        <v>2.95</v>
      </c>
      <c r="AR73" s="5">
        <v>1.1599999999999999</v>
      </c>
    </row>
    <row r="74" spans="1:44" s="1" customFormat="1" x14ac:dyDescent="0.45">
      <c r="A74" s="6">
        <v>3</v>
      </c>
      <c r="B74" s="5">
        <v>7.95</v>
      </c>
      <c r="C74" s="5">
        <v>178000.92</v>
      </c>
      <c r="D74" s="5">
        <v>64117.47</v>
      </c>
      <c r="E74" s="5">
        <v>21.58</v>
      </c>
      <c r="F74" s="5">
        <v>34620.6</v>
      </c>
      <c r="G74" s="5">
        <v>311.82</v>
      </c>
      <c r="H74" s="5">
        <v>272.39</v>
      </c>
      <c r="I74" s="5">
        <v>25.69</v>
      </c>
      <c r="J74" s="5">
        <v>23.58</v>
      </c>
      <c r="K74" s="5">
        <v>1.31</v>
      </c>
      <c r="L74" s="5">
        <v>16.14</v>
      </c>
      <c r="M74" s="5">
        <f>0*4.21</f>
        <v>0</v>
      </c>
      <c r="N74" s="5">
        <v>39.14</v>
      </c>
      <c r="O74" s="5">
        <v>1183.1099999999999</v>
      </c>
      <c r="P74" s="5">
        <v>21.91</v>
      </c>
      <c r="Q74" s="5">
        <v>254.99</v>
      </c>
      <c r="R74" s="5">
        <v>131.54</v>
      </c>
      <c r="S74" s="5">
        <v>13.41</v>
      </c>
      <c r="T74" s="5">
        <v>0.28199999999999997</v>
      </c>
      <c r="U74" s="5">
        <f>0*0.06</f>
        <v>0</v>
      </c>
      <c r="V74" s="5">
        <v>1.548</v>
      </c>
      <c r="W74" s="5">
        <v>1089.6199999999999</v>
      </c>
      <c r="X74" s="5">
        <v>61.76</v>
      </c>
      <c r="Y74" s="5">
        <v>93.83</v>
      </c>
      <c r="Z74" s="5">
        <v>13.28</v>
      </c>
      <c r="AA74" s="5">
        <v>55.65</v>
      </c>
      <c r="AB74" s="5">
        <v>10.89</v>
      </c>
      <c r="AC74" s="5">
        <v>2.96</v>
      </c>
      <c r="AD74" s="5">
        <v>8.41</v>
      </c>
      <c r="AE74" s="5">
        <v>1.0349999999999999</v>
      </c>
      <c r="AF74" s="5">
        <v>5.07</v>
      </c>
      <c r="AG74" s="5">
        <v>0.83699999999999997</v>
      </c>
      <c r="AH74" s="5">
        <v>1.82</v>
      </c>
      <c r="AI74" s="5">
        <v>0.217</v>
      </c>
      <c r="AJ74" s="5">
        <v>1.07</v>
      </c>
      <c r="AK74" s="5">
        <v>0.14119999999999999</v>
      </c>
      <c r="AL74" s="5">
        <v>11.55</v>
      </c>
      <c r="AM74" s="5">
        <v>7.73</v>
      </c>
      <c r="AN74" s="5">
        <v>893.81</v>
      </c>
      <c r="AO74" s="5">
        <v>884.28</v>
      </c>
      <c r="AP74" s="5">
        <f>0*0.069</f>
        <v>0</v>
      </c>
      <c r="AQ74" s="5">
        <v>2.98</v>
      </c>
      <c r="AR74" s="5">
        <v>1.21</v>
      </c>
    </row>
    <row r="75" spans="1:44" s="1" customFormat="1" x14ac:dyDescent="0.45">
      <c r="A75" s="6">
        <v>10</v>
      </c>
      <c r="B75" s="5">
        <v>7.61</v>
      </c>
      <c r="C75" s="5">
        <v>178748.83</v>
      </c>
      <c r="D75" s="5">
        <v>63194</v>
      </c>
      <c r="E75" s="5">
        <v>22.01</v>
      </c>
      <c r="F75" s="5">
        <v>34186.65</v>
      </c>
      <c r="G75" s="5">
        <v>301.75</v>
      </c>
      <c r="H75" s="5">
        <v>293.48</v>
      </c>
      <c r="I75" s="5">
        <v>25.67</v>
      </c>
      <c r="J75" s="5">
        <f>0*50.27</f>
        <v>0</v>
      </c>
      <c r="K75" s="5">
        <f>0*2.07</f>
        <v>0</v>
      </c>
      <c r="L75" s="5">
        <v>16.18</v>
      </c>
      <c r="M75" s="5">
        <f>0*12.66</f>
        <v>0</v>
      </c>
      <c r="N75" s="5">
        <v>39.770000000000003</v>
      </c>
      <c r="O75" s="5">
        <v>1169.3399999999999</v>
      </c>
      <c r="P75" s="5">
        <v>21.32</v>
      </c>
      <c r="Q75" s="5">
        <v>239.04</v>
      </c>
      <c r="R75" s="5">
        <v>125.09</v>
      </c>
      <c r="S75" s="5">
        <v>13.09</v>
      </c>
      <c r="T75" s="5">
        <f>0*0.7</f>
        <v>0</v>
      </c>
      <c r="U75" s="5">
        <f>0*0.47</f>
        <v>0</v>
      </c>
      <c r="V75" s="5">
        <v>1.26</v>
      </c>
      <c r="W75" s="5">
        <v>1056.07</v>
      </c>
      <c r="X75" s="5">
        <v>59.54</v>
      </c>
      <c r="Y75" s="5">
        <v>89.49</v>
      </c>
      <c r="Z75" s="5">
        <v>12.28</v>
      </c>
      <c r="AA75" s="5">
        <v>51.16</v>
      </c>
      <c r="AB75" s="5">
        <v>10.68</v>
      </c>
      <c r="AC75" s="5">
        <v>3.03</v>
      </c>
      <c r="AD75" s="5">
        <v>7.48</v>
      </c>
      <c r="AE75" s="5">
        <v>0.91100000000000003</v>
      </c>
      <c r="AF75" s="5">
        <v>4.08</v>
      </c>
      <c r="AG75" s="5">
        <v>0.73399999999999999</v>
      </c>
      <c r="AH75" s="5">
        <v>1.57</v>
      </c>
      <c r="AI75" s="5">
        <v>0.17299999999999999</v>
      </c>
      <c r="AJ75" s="5">
        <v>0.78</v>
      </c>
      <c r="AK75" s="5">
        <v>0.14699999999999999</v>
      </c>
      <c r="AL75" s="5">
        <v>11.38</v>
      </c>
      <c r="AM75" s="5">
        <v>7.41</v>
      </c>
      <c r="AN75" s="5">
        <v>852.61</v>
      </c>
      <c r="AO75" s="5">
        <v>844.33</v>
      </c>
      <c r="AP75" s="5">
        <f>0*0.188</f>
        <v>0</v>
      </c>
      <c r="AQ75" s="5">
        <v>2.83</v>
      </c>
      <c r="AR75" s="5">
        <v>1.1739999999999999</v>
      </c>
    </row>
    <row r="76" spans="1:44" s="1" customFormat="1" x14ac:dyDescent="0.45">
      <c r="A76" s="6">
        <v>11</v>
      </c>
      <c r="B76" s="5">
        <v>9.32</v>
      </c>
      <c r="C76" s="5">
        <v>178748.83</v>
      </c>
      <c r="D76" s="5">
        <v>62731.23</v>
      </c>
      <c r="E76" s="5">
        <v>19.55</v>
      </c>
      <c r="F76" s="5">
        <v>34181.24</v>
      </c>
      <c r="G76" s="5">
        <v>307.97000000000003</v>
      </c>
      <c r="H76" s="5">
        <v>281.8</v>
      </c>
      <c r="I76" s="5">
        <v>26.34</v>
      </c>
      <c r="J76" s="5">
        <f>0*47.87</f>
        <v>0</v>
      </c>
      <c r="K76" s="5">
        <f>0*1.91</f>
        <v>0</v>
      </c>
      <c r="L76" s="5">
        <v>15.75</v>
      </c>
      <c r="M76" s="5">
        <f>0*13.13</f>
        <v>0</v>
      </c>
      <c r="N76" s="5">
        <v>38.47</v>
      </c>
      <c r="O76" s="5">
        <v>1146.0899999999999</v>
      </c>
      <c r="P76" s="5">
        <v>20.52</v>
      </c>
      <c r="Q76" s="5">
        <v>244.26</v>
      </c>
      <c r="R76" s="5">
        <v>122.9</v>
      </c>
      <c r="S76" s="5">
        <v>13.62</v>
      </c>
      <c r="T76" s="5">
        <f>0*0.7</f>
        <v>0</v>
      </c>
      <c r="U76" s="5">
        <v>0.24</v>
      </c>
      <c r="V76" s="5">
        <v>1.31</v>
      </c>
      <c r="W76" s="5">
        <v>1044.24</v>
      </c>
      <c r="X76" s="5">
        <v>59.17</v>
      </c>
      <c r="Y76" s="5">
        <v>90.18</v>
      </c>
      <c r="Z76" s="5">
        <v>12.44</v>
      </c>
      <c r="AA76" s="5">
        <v>55.26</v>
      </c>
      <c r="AB76" s="5">
        <v>9.68</v>
      </c>
      <c r="AC76" s="5">
        <v>3.05</v>
      </c>
      <c r="AD76" s="5">
        <v>8.16</v>
      </c>
      <c r="AE76" s="5">
        <v>0.99299999999999999</v>
      </c>
      <c r="AF76" s="5">
        <v>4.76</v>
      </c>
      <c r="AG76" s="5">
        <v>0.84099999999999997</v>
      </c>
      <c r="AH76" s="5">
        <v>1.51</v>
      </c>
      <c r="AI76" s="5">
        <v>0.13</v>
      </c>
      <c r="AJ76" s="5">
        <v>1.1599999999999999</v>
      </c>
      <c r="AK76" s="5">
        <v>0.122</v>
      </c>
      <c r="AL76" s="5">
        <v>10.6</v>
      </c>
      <c r="AM76" s="5">
        <v>7.28</v>
      </c>
      <c r="AN76" s="5">
        <v>840.52</v>
      </c>
      <c r="AO76" s="5">
        <v>841.09</v>
      </c>
      <c r="AP76" s="5">
        <f>0*0.169</f>
        <v>0</v>
      </c>
      <c r="AQ76" s="5">
        <v>2.7</v>
      </c>
      <c r="AR76" s="5">
        <v>1.135</v>
      </c>
    </row>
    <row r="77" spans="1:44" s="1" customFormat="1" x14ac:dyDescent="0.45">
      <c r="A77" s="6" t="s">
        <v>43</v>
      </c>
      <c r="B77" s="5">
        <f>AVERAGE(B72:B76)</f>
        <v>6.7219999999999995</v>
      </c>
      <c r="C77" s="5">
        <f>AVERAGE(C72:C76)</f>
        <v>178300.08399999997</v>
      </c>
      <c r="D77" s="5">
        <f>AVERAGE(D72:D76)</f>
        <v>63129.376000000004</v>
      </c>
      <c r="E77" s="5">
        <f>AVERAGE(E72:E76)</f>
        <v>20.91</v>
      </c>
      <c r="F77" s="5">
        <f>AVERAGE(F72:F76)</f>
        <v>34237.645999999993</v>
      </c>
      <c r="G77" s="5">
        <f>AVERAGE(G72:G76)</f>
        <v>306.55</v>
      </c>
      <c r="H77" s="5">
        <f>AVERAGE(H72:H76)</f>
        <v>279.64400000000001</v>
      </c>
      <c r="I77" s="5">
        <f>AVERAGE(I72:I76)</f>
        <v>25.442</v>
      </c>
      <c r="J77" s="5">
        <f>AVERAGE(J72:J76)</f>
        <v>27.161999999999999</v>
      </c>
      <c r="K77" s="5">
        <f>AVERAGE(K72:K76)</f>
        <v>0.55000000000000004</v>
      </c>
      <c r="L77" s="5">
        <f>AVERAGE(L72:L76)</f>
        <v>16.021999999999998</v>
      </c>
      <c r="M77" s="5">
        <f>AVERAGE(M72:M76)</f>
        <v>0</v>
      </c>
      <c r="N77" s="5">
        <f>AVERAGE(N72:N76)</f>
        <v>39.244</v>
      </c>
      <c r="O77" s="5">
        <f>AVERAGE(O72:O76)</f>
        <v>1162.5340000000001</v>
      </c>
      <c r="P77" s="5">
        <f>AVERAGE(P72:P76)</f>
        <v>21.496000000000002</v>
      </c>
      <c r="Q77" s="5">
        <f>AVERAGE(Q72:Q76)</f>
        <v>246.94800000000001</v>
      </c>
      <c r="R77" s="5">
        <f>AVERAGE(R72:R76)</f>
        <v>127.066</v>
      </c>
      <c r="S77" s="5">
        <f>AVERAGE(S72:S76)</f>
        <v>13.246</v>
      </c>
      <c r="T77" s="5">
        <f>AVERAGE(T72:T76)</f>
        <v>5.6399999999999992E-2</v>
      </c>
      <c r="U77" s="5">
        <f>AVERAGE(U72:U76)</f>
        <v>4.8000000000000001E-2</v>
      </c>
      <c r="V77" s="5">
        <f>AVERAGE(V72:V76)</f>
        <v>1.4812000000000001</v>
      </c>
      <c r="W77" s="5">
        <f>AVERAGE(W72:W76)</f>
        <v>1064.5139999999999</v>
      </c>
      <c r="X77" s="5">
        <f>AVERAGE(X72:X76)</f>
        <v>60.177999999999997</v>
      </c>
      <c r="Y77" s="5">
        <f>AVERAGE(Y72:Y76)</f>
        <v>91.78</v>
      </c>
      <c r="Z77" s="5">
        <f>AVERAGE(Z72:Z76)</f>
        <v>12.657999999999999</v>
      </c>
      <c r="AA77" s="5">
        <f>AVERAGE(AA72:AA76)</f>
        <v>54.434000000000005</v>
      </c>
      <c r="AB77" s="5">
        <f>AVERAGE(AB72:AB76)</f>
        <v>10.458</v>
      </c>
      <c r="AC77" s="5">
        <f>AVERAGE(AC72:AC76)</f>
        <v>3.1259999999999999</v>
      </c>
      <c r="AD77" s="5">
        <f>AVERAGE(AD72:AD76)</f>
        <v>8.0620000000000012</v>
      </c>
      <c r="AE77" s="5">
        <f>AVERAGE(AE72:AE76)</f>
        <v>1.0086000000000002</v>
      </c>
      <c r="AF77" s="5">
        <f>AVERAGE(AF72:AF76)</f>
        <v>4.6639999999999997</v>
      </c>
      <c r="AG77" s="5">
        <f>AVERAGE(AG72:AG76)</f>
        <v>0.76180000000000003</v>
      </c>
      <c r="AH77" s="5">
        <f>AVERAGE(AH72:AH76)</f>
        <v>1.7100000000000002</v>
      </c>
      <c r="AI77" s="5">
        <f>AVERAGE(AI72:AI76)</f>
        <v>0.18680000000000002</v>
      </c>
      <c r="AJ77" s="5">
        <f>AVERAGE(AJ72:AJ76)</f>
        <v>1.0048000000000001</v>
      </c>
      <c r="AK77" s="5">
        <f>AVERAGE(AK72:AK76)</f>
        <v>0.13833999999999999</v>
      </c>
      <c r="AL77" s="5">
        <f>AVERAGE(AL72:AL76)</f>
        <v>11.032</v>
      </c>
      <c r="AM77" s="5">
        <f>AVERAGE(AM72:AM76)</f>
        <v>7.589999999999999</v>
      </c>
      <c r="AN77" s="5">
        <f>AVERAGE(AN72:AN76)</f>
        <v>870.03</v>
      </c>
      <c r="AO77" s="5">
        <f>AVERAGE(AO72:AO76)</f>
        <v>864.31200000000013</v>
      </c>
      <c r="AP77" s="5">
        <f>AVERAGE(AP72:AP76)</f>
        <v>0</v>
      </c>
      <c r="AQ77" s="5">
        <f>AVERAGE(AQ72:AQ76)</f>
        <v>2.8899999999999997</v>
      </c>
      <c r="AR77" s="5">
        <f>AVERAGE(AR72:AR76)</f>
        <v>1.1657999999999997</v>
      </c>
    </row>
    <row r="78" spans="1:44" s="1" customFormat="1" x14ac:dyDescent="0.45">
      <c r="A78" s="7" t="s">
        <v>44</v>
      </c>
      <c r="B78" s="5">
        <f>AVEDEV(B72:B76)</f>
        <v>2.688800000000001</v>
      </c>
      <c r="C78" s="5">
        <f>AVEDEV(C72:C76)</f>
        <v>358.99679999998187</v>
      </c>
      <c r="D78" s="5">
        <f>AVEDEV(D72:D76)</f>
        <v>676.6727999999988</v>
      </c>
      <c r="E78" s="5">
        <f>AVEDEV(E72:E76)</f>
        <v>1.1319999999999992</v>
      </c>
      <c r="F78" s="5">
        <f>AVEDEV(F72:F76)</f>
        <v>153.1815999999948</v>
      </c>
      <c r="G78" s="5">
        <f>AVEDEV(G72:G76)</f>
        <v>3.5120000000000005</v>
      </c>
      <c r="H78" s="5">
        <f>AVEDEV(H72:H76)</f>
        <v>6.5272000000000165</v>
      </c>
      <c r="I78" s="5">
        <f>AVEDEV(I72:I76)</f>
        <v>0.5496000000000002</v>
      </c>
      <c r="J78" s="5">
        <f>AVEDEV(J72:J76)</f>
        <v>23.162400000000002</v>
      </c>
      <c r="K78" s="5">
        <f>AVEDEV(K72:K76)</f>
        <v>0.65999999999999992</v>
      </c>
      <c r="L78" s="5">
        <f>AVEDEV(L72:L76)</f>
        <v>0.12160000000000046</v>
      </c>
      <c r="M78" s="5">
        <f>AVEDEV(M72:M76)</f>
        <v>0</v>
      </c>
      <c r="N78" s="5">
        <f>AVEDEV(N72:N76)</f>
        <v>0.63680000000000092</v>
      </c>
      <c r="O78" s="5">
        <f>AVEDEV(O72:O76)</f>
        <v>14.543199999999979</v>
      </c>
      <c r="P78" s="5">
        <f>AVEDEV(P72:P76)</f>
        <v>0.46079999999999971</v>
      </c>
      <c r="Q78" s="5">
        <f>AVEDEV(Q72:Q76)</f>
        <v>5.3776000000000064</v>
      </c>
      <c r="R78" s="5">
        <f>AVEDEV(R72:R76)</f>
        <v>2.7271999999999963</v>
      </c>
      <c r="S78" s="5">
        <f>AVEDEV(S72:S76)</f>
        <v>0.21520000000000011</v>
      </c>
      <c r="T78" s="5">
        <f>AVEDEV(T72:T76)</f>
        <v>9.0239999999999987E-2</v>
      </c>
      <c r="U78" s="5">
        <f>AVEDEV(U72:U76)</f>
        <v>7.6800000000000007E-2</v>
      </c>
      <c r="V78" s="5">
        <f>AVEDEV(V72:V76)</f>
        <v>0.15695999999999999</v>
      </c>
      <c r="W78" s="5">
        <f>AVEDEV(W72:W76)</f>
        <v>14.412799999999971</v>
      </c>
      <c r="X78" s="5">
        <f>AVEDEV(X72:X76)</f>
        <v>1.0615999999999985</v>
      </c>
      <c r="Y78" s="5">
        <f>AVEDEV(Y72:Y76)</f>
        <v>1.7039999999999993</v>
      </c>
      <c r="Z78" s="5">
        <f>AVEDEV(Z72:Z76)</f>
        <v>0.34160000000000001</v>
      </c>
      <c r="AA78" s="5">
        <f>AVEDEV(AA72:AA76)</f>
        <v>1.3095999999999974</v>
      </c>
      <c r="AB78" s="5">
        <f>AVEDEV(AB72:AB76)</f>
        <v>0.32639999999999991</v>
      </c>
      <c r="AC78" s="5">
        <f>AVEDEV(AC72:AC76)</f>
        <v>0.13520000000000013</v>
      </c>
      <c r="AD78" s="5">
        <f>AVEDEV(AD72:AD76)</f>
        <v>0.3535999999999998</v>
      </c>
      <c r="AE78" s="5">
        <f>AVEDEV(AE72:AE76)</f>
        <v>4.6720000000000025E-2</v>
      </c>
      <c r="AF78" s="5">
        <f>AVEDEV(AF72:AF76)</f>
        <v>0.28720000000000001</v>
      </c>
      <c r="AG78" s="5">
        <f>AVEDEV(AG72:AG76)</f>
        <v>7.4639999999999998E-2</v>
      </c>
      <c r="AH78" s="5">
        <f>AVEDEV(AH72:AH76)</f>
        <v>0.13600000000000004</v>
      </c>
      <c r="AI78" s="5">
        <f>AVEDEV(AI72:AI76)</f>
        <v>2.8239999999999998E-2</v>
      </c>
      <c r="AJ78" s="5">
        <f>AVEDEV(AJ72:AJ76)</f>
        <v>9.0239999999999959E-2</v>
      </c>
      <c r="AK78" s="5">
        <f>AVEDEV(AK72:AK76)</f>
        <v>1.0471999999999999E-2</v>
      </c>
      <c r="AL78" s="5">
        <f>AVEDEV(AL72:AL76)</f>
        <v>0.40960000000000035</v>
      </c>
      <c r="AM78" s="5">
        <f>AVEDEV(AM72:AM76)</f>
        <v>0.22399999999999984</v>
      </c>
      <c r="AN78" s="5">
        <f>AVEDEV(AN72:AN76)</f>
        <v>18.771999999999981</v>
      </c>
      <c r="AO78" s="5">
        <f>AVEDEV(AO72:AO76)</f>
        <v>17.281599999999958</v>
      </c>
      <c r="AP78" s="5">
        <f>AVEDEV(AP72:AP76)</f>
        <v>0</v>
      </c>
      <c r="AQ78" s="5">
        <f>AVEDEV(AQ72:AQ76)</f>
        <v>0.10000000000000009</v>
      </c>
      <c r="AR78" s="5">
        <f>AVEDEV(AR72:AR76)</f>
        <v>2.0959999999999958E-2</v>
      </c>
    </row>
    <row r="79" spans="1:44" s="1" customFormat="1" x14ac:dyDescent="0.45">
      <c r="A79" s="6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</row>
    <row r="80" spans="1:44" s="9" customFormat="1" ht="15.4" x14ac:dyDescent="0.45">
      <c r="A80" s="2" t="s">
        <v>53</v>
      </c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  <c r="AA80" s="10"/>
      <c r="AB80" s="10"/>
      <c r="AC80" s="10"/>
      <c r="AD80" s="10"/>
      <c r="AE80" s="10"/>
      <c r="AF80" s="10"/>
      <c r="AG80" s="10"/>
      <c r="AH80" s="10"/>
      <c r="AI80" s="10"/>
      <c r="AJ80" s="10"/>
      <c r="AK80" s="10"/>
      <c r="AL80" s="10"/>
      <c r="AM80" s="10"/>
      <c r="AN80" s="10"/>
      <c r="AO80" s="10"/>
      <c r="AP80" s="10"/>
      <c r="AQ80" s="10"/>
      <c r="AR80" s="10"/>
    </row>
    <row r="81" spans="1:44" s="1" customFormat="1" x14ac:dyDescent="0.45">
      <c r="A81" s="6">
        <v>201</v>
      </c>
      <c r="B81" s="5">
        <f>0*5.97</f>
        <v>0</v>
      </c>
      <c r="C81" s="5">
        <v>140839.45000000001</v>
      </c>
      <c r="D81" s="5">
        <v>54239.67</v>
      </c>
      <c r="E81" s="5">
        <v>13.63</v>
      </c>
      <c r="F81" s="5">
        <v>34365.18</v>
      </c>
      <c r="G81" s="5">
        <v>212.32</v>
      </c>
      <c r="H81" s="5">
        <v>281.55</v>
      </c>
      <c r="I81" s="5">
        <v>33.71</v>
      </c>
      <c r="J81" s="5">
        <v>67.150000000000006</v>
      </c>
      <c r="K81" s="5">
        <v>2.2000000000000002</v>
      </c>
      <c r="L81" s="5">
        <v>13.53</v>
      </c>
      <c r="M81" s="5">
        <f>0*2.25</f>
        <v>0</v>
      </c>
      <c r="N81" s="5">
        <v>22.71</v>
      </c>
      <c r="O81" s="5">
        <v>1108.6600000000001</v>
      </c>
      <c r="P81" s="5">
        <v>12.11</v>
      </c>
      <c r="Q81" s="5">
        <v>215.76</v>
      </c>
      <c r="R81" s="5">
        <v>153.88</v>
      </c>
      <c r="S81" s="5">
        <v>7</v>
      </c>
      <c r="T81" s="5">
        <f>0*1.03</f>
        <v>0</v>
      </c>
      <c r="U81" s="5">
        <f>0*0.68</f>
        <v>0</v>
      </c>
      <c r="V81" s="5">
        <v>1.23</v>
      </c>
      <c r="W81" s="5">
        <v>881.2</v>
      </c>
      <c r="X81" s="5">
        <v>58.68</v>
      </c>
      <c r="Y81" s="5">
        <v>93.77</v>
      </c>
      <c r="Z81" s="5">
        <v>12.11</v>
      </c>
      <c r="AA81" s="5">
        <v>53.41</v>
      </c>
      <c r="AB81" s="5">
        <v>11.07</v>
      </c>
      <c r="AC81" s="5">
        <v>2.66</v>
      </c>
      <c r="AD81" s="5">
        <v>7.22</v>
      </c>
      <c r="AE81" s="5">
        <v>0.80700000000000005</v>
      </c>
      <c r="AF81" s="5">
        <v>3.24</v>
      </c>
      <c r="AG81" s="5">
        <v>0.54800000000000004</v>
      </c>
      <c r="AH81" s="5">
        <v>1.02</v>
      </c>
      <c r="AI81" s="5">
        <v>0.13600000000000001</v>
      </c>
      <c r="AJ81" s="5">
        <v>0.7</v>
      </c>
      <c r="AK81" s="5">
        <v>5.5E-2</v>
      </c>
      <c r="AL81" s="5">
        <v>9.11</v>
      </c>
      <c r="AM81" s="5">
        <v>8.2100000000000009</v>
      </c>
      <c r="AN81" s="5">
        <v>252.65</v>
      </c>
      <c r="AO81" s="5">
        <v>281.33999999999997</v>
      </c>
      <c r="AP81" s="5">
        <v>0.159</v>
      </c>
      <c r="AQ81" s="5">
        <v>2.37</v>
      </c>
      <c r="AR81" s="5">
        <v>0.73499999999999999</v>
      </c>
    </row>
    <row r="82" spans="1:44" s="1" customFormat="1" x14ac:dyDescent="0.45">
      <c r="A82" s="6">
        <v>202</v>
      </c>
      <c r="B82" s="5">
        <v>8.67</v>
      </c>
      <c r="C82" s="5">
        <v>140839.45000000001</v>
      </c>
      <c r="D82" s="5">
        <v>31979.51</v>
      </c>
      <c r="E82" s="5">
        <v>8.9600000000000009</v>
      </c>
      <c r="F82" s="5">
        <v>19819.34</v>
      </c>
      <c r="G82" s="5">
        <v>127.43</v>
      </c>
      <c r="H82" s="5">
        <v>146.54</v>
      </c>
      <c r="I82" s="5">
        <v>49.11</v>
      </c>
      <c r="J82" s="5">
        <v>132.53</v>
      </c>
      <c r="K82" s="5">
        <f>0*2.39</f>
        <v>0</v>
      </c>
      <c r="L82" s="5">
        <v>9.2100000000000009</v>
      </c>
      <c r="M82" s="5">
        <f>0*2.84</f>
        <v>0</v>
      </c>
      <c r="N82" s="5">
        <v>11.39</v>
      </c>
      <c r="O82" s="5">
        <v>815.71</v>
      </c>
      <c r="P82" s="5">
        <v>8.64</v>
      </c>
      <c r="Q82" s="5">
        <v>174.58</v>
      </c>
      <c r="R82" s="5">
        <v>114.17</v>
      </c>
      <c r="S82" s="5">
        <v>12.05</v>
      </c>
      <c r="T82" s="5">
        <f>0*0.72</f>
        <v>0</v>
      </c>
      <c r="U82" s="5">
        <f>0*0.55</f>
        <v>0</v>
      </c>
      <c r="V82" s="5">
        <v>0.74</v>
      </c>
      <c r="W82" s="5">
        <v>517.63</v>
      </c>
      <c r="X82" s="5">
        <v>42.85</v>
      </c>
      <c r="Y82" s="5">
        <v>69.680000000000007</v>
      </c>
      <c r="Z82" s="5">
        <v>8.85</v>
      </c>
      <c r="AA82" s="5">
        <v>35.79</v>
      </c>
      <c r="AB82" s="5">
        <v>6.5</v>
      </c>
      <c r="AC82" s="5">
        <v>1.5</v>
      </c>
      <c r="AD82" s="5">
        <v>4.25</v>
      </c>
      <c r="AE82" s="5">
        <v>0.42699999999999999</v>
      </c>
      <c r="AF82" s="5">
        <v>2.21</v>
      </c>
      <c r="AG82" s="5">
        <v>0.40899999999999997</v>
      </c>
      <c r="AH82" s="5">
        <v>0.67</v>
      </c>
      <c r="AI82" s="5">
        <v>9.5000000000000001E-2</v>
      </c>
      <c r="AJ82" s="5">
        <v>0.44</v>
      </c>
      <c r="AK82" s="5">
        <v>3.5700000000000003E-2</v>
      </c>
      <c r="AL82" s="5">
        <v>7.64</v>
      </c>
      <c r="AM82" s="5">
        <v>6.13</v>
      </c>
      <c r="AN82" s="5">
        <v>394.65</v>
      </c>
      <c r="AO82" s="5">
        <v>409.43</v>
      </c>
      <c r="AP82" s="5">
        <v>0.10299999999999999</v>
      </c>
      <c r="AQ82" s="5">
        <v>2.3199999999999998</v>
      </c>
      <c r="AR82" s="5">
        <v>1.1539999999999999</v>
      </c>
    </row>
    <row r="83" spans="1:44" s="1" customFormat="1" x14ac:dyDescent="0.45">
      <c r="A83" s="6" t="s">
        <v>43</v>
      </c>
      <c r="B83" s="5">
        <f>AVERAGE(B81:B82)</f>
        <v>4.335</v>
      </c>
      <c r="C83" s="5">
        <f>AVERAGE(C81:C82)</f>
        <v>140839.45000000001</v>
      </c>
      <c r="D83" s="5">
        <f>AVERAGE(D81:D82)</f>
        <v>43109.59</v>
      </c>
      <c r="E83" s="5">
        <f>AVERAGE(E81:E82)</f>
        <v>11.295000000000002</v>
      </c>
      <c r="F83" s="5">
        <f>AVERAGE(F81:F82)</f>
        <v>27092.260000000002</v>
      </c>
      <c r="G83" s="5">
        <f>AVERAGE(G81:G82)</f>
        <v>169.875</v>
      </c>
      <c r="H83" s="5">
        <f>AVERAGE(H81:H82)</f>
        <v>214.04500000000002</v>
      </c>
      <c r="I83" s="5">
        <f>AVERAGE(I81:I82)</f>
        <v>41.41</v>
      </c>
      <c r="J83" s="5">
        <f>AVERAGE(J81:J82)</f>
        <v>99.84</v>
      </c>
      <c r="K83" s="5">
        <f>AVERAGE(K81:K82)</f>
        <v>1.1000000000000001</v>
      </c>
      <c r="L83" s="5">
        <f>AVERAGE(L81:L82)</f>
        <v>11.370000000000001</v>
      </c>
      <c r="M83" s="5">
        <f>AVERAGE(M81:M82)</f>
        <v>0</v>
      </c>
      <c r="N83" s="5">
        <f>AVERAGE(N81:N82)</f>
        <v>17.05</v>
      </c>
      <c r="O83" s="5">
        <f>AVERAGE(O81:O82)</f>
        <v>962.18500000000006</v>
      </c>
      <c r="P83" s="5">
        <f>AVERAGE(P81:P82)</f>
        <v>10.375</v>
      </c>
      <c r="Q83" s="5">
        <f>AVERAGE(Q81:Q82)</f>
        <v>195.17000000000002</v>
      </c>
      <c r="R83" s="5">
        <f>AVERAGE(R81:R82)</f>
        <v>134.02500000000001</v>
      </c>
      <c r="S83" s="5">
        <f>AVERAGE(S81:S82)</f>
        <v>9.5250000000000004</v>
      </c>
      <c r="T83" s="5">
        <f>AVERAGE(T81:T82)</f>
        <v>0</v>
      </c>
      <c r="U83" s="5">
        <f>AVERAGE(U81:U82)</f>
        <v>0</v>
      </c>
      <c r="V83" s="5">
        <f>AVERAGE(V81:V82)</f>
        <v>0.98499999999999999</v>
      </c>
      <c r="W83" s="5">
        <f>AVERAGE(W81:W82)</f>
        <v>699.41499999999996</v>
      </c>
      <c r="X83" s="5">
        <f>AVERAGE(X81:X82)</f>
        <v>50.765000000000001</v>
      </c>
      <c r="Y83" s="5">
        <f>AVERAGE(Y81:Y82)</f>
        <v>81.724999999999994</v>
      </c>
      <c r="Z83" s="5">
        <f>AVERAGE(Z81:Z82)</f>
        <v>10.48</v>
      </c>
      <c r="AA83" s="5">
        <f>AVERAGE(AA81:AA82)</f>
        <v>44.599999999999994</v>
      </c>
      <c r="AB83" s="5">
        <f>AVERAGE(AB81:AB82)</f>
        <v>8.7850000000000001</v>
      </c>
      <c r="AC83" s="5">
        <f>AVERAGE(AC81:AC82)</f>
        <v>2.08</v>
      </c>
      <c r="AD83" s="5">
        <f>AVERAGE(AD81:AD82)</f>
        <v>5.7349999999999994</v>
      </c>
      <c r="AE83" s="5">
        <f>AVERAGE(AE81:AE82)</f>
        <v>0.61699999999999999</v>
      </c>
      <c r="AF83" s="5">
        <f>AVERAGE(AF81:AF82)</f>
        <v>2.7250000000000001</v>
      </c>
      <c r="AG83" s="5">
        <f>AVERAGE(AG81:AG82)</f>
        <v>0.47850000000000004</v>
      </c>
      <c r="AH83" s="5">
        <f>AVERAGE(AH81:AH82)</f>
        <v>0.84499999999999997</v>
      </c>
      <c r="AI83" s="5">
        <f>AVERAGE(AI81:AI82)</f>
        <v>0.11550000000000001</v>
      </c>
      <c r="AJ83" s="5">
        <f>AVERAGE(AJ81:AJ82)</f>
        <v>0.56999999999999995</v>
      </c>
      <c r="AK83" s="5">
        <f>AVERAGE(AK81:AK82)</f>
        <v>4.5350000000000001E-2</v>
      </c>
      <c r="AL83" s="5">
        <f>AVERAGE(AL81:AL82)</f>
        <v>8.375</v>
      </c>
      <c r="AM83" s="5">
        <f>AVERAGE(AM81:AM82)</f>
        <v>7.17</v>
      </c>
      <c r="AN83" s="5">
        <f>AVERAGE(AN81:AN82)</f>
        <v>323.64999999999998</v>
      </c>
      <c r="AO83" s="5">
        <f>AVERAGE(AO81:AO82)</f>
        <v>345.38499999999999</v>
      </c>
      <c r="AP83" s="5">
        <f>AVERAGE(AP81:AP82)</f>
        <v>0.13100000000000001</v>
      </c>
      <c r="AQ83" s="5">
        <f>AVERAGE(AQ81:AQ82)</f>
        <v>2.3449999999999998</v>
      </c>
      <c r="AR83" s="5">
        <f>AVERAGE(AR81:AR82)</f>
        <v>0.9444999999999999</v>
      </c>
    </row>
    <row r="84" spans="1:44" s="1" customFormat="1" x14ac:dyDescent="0.45">
      <c r="A84" s="7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</row>
    <row r="85" spans="1:44" s="9" customFormat="1" ht="15.4" x14ac:dyDescent="0.45">
      <c r="A85" s="2" t="s">
        <v>54</v>
      </c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  <c r="AA85" s="10"/>
      <c r="AB85" s="10"/>
      <c r="AC85" s="10"/>
      <c r="AD85" s="10"/>
      <c r="AE85" s="10"/>
      <c r="AF85" s="10"/>
      <c r="AG85" s="10"/>
      <c r="AH85" s="10"/>
      <c r="AI85" s="10"/>
      <c r="AJ85" s="10"/>
      <c r="AK85" s="10"/>
      <c r="AL85" s="10"/>
      <c r="AM85" s="10"/>
      <c r="AN85" s="10"/>
      <c r="AO85" s="10"/>
      <c r="AP85" s="10"/>
      <c r="AQ85" s="10"/>
      <c r="AR85" s="10"/>
    </row>
    <row r="86" spans="1:44" s="1" customFormat="1" x14ac:dyDescent="0.45">
      <c r="A86" s="6">
        <v>201</v>
      </c>
      <c r="B86" s="5">
        <v>7.23</v>
      </c>
      <c r="C86" s="5">
        <v>168745.59</v>
      </c>
      <c r="D86" s="5">
        <v>68223.89</v>
      </c>
      <c r="E86" s="5">
        <v>24.35</v>
      </c>
      <c r="F86" s="5">
        <v>33416.53</v>
      </c>
      <c r="G86" s="5">
        <v>326.39999999999998</v>
      </c>
      <c r="H86" s="5">
        <v>250.77</v>
      </c>
      <c r="I86" s="5">
        <v>28.68</v>
      </c>
      <c r="J86" s="5">
        <f>0*21.15</f>
        <v>0</v>
      </c>
      <c r="K86" s="5">
        <v>1.91</v>
      </c>
      <c r="L86" s="5">
        <v>15.19</v>
      </c>
      <c r="M86" s="5">
        <v>1.38</v>
      </c>
      <c r="N86" s="5">
        <v>33.28</v>
      </c>
      <c r="O86" s="5">
        <v>1024.29</v>
      </c>
      <c r="P86" s="5">
        <v>19.649999999999999</v>
      </c>
      <c r="Q86" s="5">
        <v>223.66</v>
      </c>
      <c r="R86" s="5">
        <v>106.75</v>
      </c>
      <c r="S86" s="5">
        <v>20.100000000000001</v>
      </c>
      <c r="T86" s="5">
        <f>0*0.25</f>
        <v>0</v>
      </c>
      <c r="U86" s="5">
        <f>0*0.38</f>
        <v>0</v>
      </c>
      <c r="V86" s="5">
        <v>1.27</v>
      </c>
      <c r="W86" s="5">
        <v>925.61</v>
      </c>
      <c r="X86" s="5">
        <v>43.37</v>
      </c>
      <c r="Y86" s="5">
        <v>82.87</v>
      </c>
      <c r="Z86" s="5">
        <v>11.04</v>
      </c>
      <c r="AA86" s="5">
        <v>53.69</v>
      </c>
      <c r="AB86" s="5">
        <v>11.37</v>
      </c>
      <c r="AC86" s="5">
        <v>2.82</v>
      </c>
      <c r="AD86" s="5">
        <v>7.8</v>
      </c>
      <c r="AE86" s="5">
        <v>1.028</v>
      </c>
      <c r="AF86" s="5">
        <v>4.68</v>
      </c>
      <c r="AG86" s="5">
        <v>0.75</v>
      </c>
      <c r="AH86" s="5">
        <v>1.5</v>
      </c>
      <c r="AI86" s="5">
        <v>0.17499999999999999</v>
      </c>
      <c r="AJ86" s="5">
        <v>0.87</v>
      </c>
      <c r="AK86" s="5">
        <v>0.13</v>
      </c>
      <c r="AL86" s="5">
        <v>10.5</v>
      </c>
      <c r="AM86" s="5">
        <v>6.33</v>
      </c>
      <c r="AN86" s="5">
        <v>892.71</v>
      </c>
      <c r="AO86" s="5">
        <v>898.76</v>
      </c>
      <c r="AP86" s="5">
        <v>8.6999999999999994E-2</v>
      </c>
      <c r="AQ86" s="5">
        <v>2.4700000000000002</v>
      </c>
      <c r="AR86" s="5">
        <v>0.874</v>
      </c>
    </row>
    <row r="87" spans="1:44" s="1" customFormat="1" x14ac:dyDescent="0.45">
      <c r="A87" s="6">
        <v>202</v>
      </c>
      <c r="B87" s="5">
        <v>7.2</v>
      </c>
      <c r="C87" s="5">
        <v>168745.59</v>
      </c>
      <c r="D87" s="5">
        <v>69210.62</v>
      </c>
      <c r="E87" s="5">
        <v>23.4</v>
      </c>
      <c r="F87" s="5">
        <v>34421.199999999997</v>
      </c>
      <c r="G87" s="5">
        <v>328.11</v>
      </c>
      <c r="H87" s="5">
        <v>239.42</v>
      </c>
      <c r="I87" s="5">
        <v>29.63</v>
      </c>
      <c r="J87" s="5">
        <v>24.72</v>
      </c>
      <c r="K87" s="5">
        <v>1.67</v>
      </c>
      <c r="L87" s="5">
        <v>16.010000000000002</v>
      </c>
      <c r="M87" s="5">
        <v>1.37</v>
      </c>
      <c r="N87" s="5">
        <v>36.340000000000003</v>
      </c>
      <c r="O87" s="5">
        <v>1068.98</v>
      </c>
      <c r="P87" s="5">
        <v>21.16</v>
      </c>
      <c r="Q87" s="5">
        <v>229.03</v>
      </c>
      <c r="R87" s="5">
        <v>105.79</v>
      </c>
      <c r="S87" s="5">
        <v>19.38</v>
      </c>
      <c r="T87" s="5">
        <f>0*0.35</f>
        <v>0</v>
      </c>
      <c r="U87" s="5">
        <f>0*0.47</f>
        <v>0</v>
      </c>
      <c r="V87" s="5">
        <v>0.95399999999999996</v>
      </c>
      <c r="W87" s="5">
        <v>935.53</v>
      </c>
      <c r="X87" s="5">
        <v>44.14</v>
      </c>
      <c r="Y87" s="5">
        <v>83.85</v>
      </c>
      <c r="Z87" s="5">
        <v>11.48</v>
      </c>
      <c r="AA87" s="5">
        <v>51.08</v>
      </c>
      <c r="AB87" s="5">
        <v>10.84</v>
      </c>
      <c r="AC87" s="5">
        <v>3.3</v>
      </c>
      <c r="AD87" s="5">
        <v>7.02</v>
      </c>
      <c r="AE87" s="5">
        <v>0.999</v>
      </c>
      <c r="AF87" s="5">
        <v>5.04</v>
      </c>
      <c r="AG87" s="5">
        <v>0.78100000000000003</v>
      </c>
      <c r="AH87" s="5">
        <v>1.76</v>
      </c>
      <c r="AI87" s="5">
        <v>0.20699999999999999</v>
      </c>
      <c r="AJ87" s="5">
        <v>0.99</v>
      </c>
      <c r="AK87" s="5">
        <v>0.14000000000000001</v>
      </c>
      <c r="AL87" s="5">
        <v>10.57</v>
      </c>
      <c r="AM87" s="5">
        <v>6.99</v>
      </c>
      <c r="AN87" s="5">
        <v>934.62</v>
      </c>
      <c r="AO87" s="5">
        <v>944.04</v>
      </c>
      <c r="AP87" s="5">
        <f>0*0.062</f>
        <v>0</v>
      </c>
      <c r="AQ87" s="5">
        <v>2.54</v>
      </c>
      <c r="AR87" s="5">
        <v>1.022</v>
      </c>
    </row>
    <row r="88" spans="1:44" s="1" customFormat="1" x14ac:dyDescent="0.45">
      <c r="A88" s="6">
        <v>203</v>
      </c>
      <c r="B88" s="5">
        <v>5.1100000000000003</v>
      </c>
      <c r="C88" s="5">
        <v>168745.58</v>
      </c>
      <c r="D88" s="5">
        <v>67643.600000000006</v>
      </c>
      <c r="E88" s="5">
        <v>23.25</v>
      </c>
      <c r="F88" s="5">
        <v>33805.93</v>
      </c>
      <c r="G88" s="5">
        <v>323.38</v>
      </c>
      <c r="H88" s="5">
        <v>248.48</v>
      </c>
      <c r="I88" s="5">
        <v>30.57</v>
      </c>
      <c r="J88" s="5">
        <v>20.85</v>
      </c>
      <c r="K88" s="5">
        <v>1.47</v>
      </c>
      <c r="L88" s="5">
        <v>16.3</v>
      </c>
      <c r="M88" s="5">
        <v>1.77</v>
      </c>
      <c r="N88" s="5">
        <v>35.380000000000003</v>
      </c>
      <c r="O88" s="5">
        <v>1027.45</v>
      </c>
      <c r="P88" s="5">
        <v>20.12</v>
      </c>
      <c r="Q88" s="5">
        <v>232.03</v>
      </c>
      <c r="R88" s="5">
        <v>108.24</v>
      </c>
      <c r="S88" s="5">
        <v>20.170000000000002</v>
      </c>
      <c r="T88" s="5">
        <f>0*0.47</f>
        <v>0</v>
      </c>
      <c r="U88" s="5">
        <f>0*0.29</f>
        <v>0</v>
      </c>
      <c r="V88" s="5">
        <v>1.1599999999999999</v>
      </c>
      <c r="W88" s="5">
        <v>917.03</v>
      </c>
      <c r="X88" s="5">
        <v>43.09</v>
      </c>
      <c r="Y88" s="5">
        <v>82.88</v>
      </c>
      <c r="Z88" s="5">
        <v>11.32</v>
      </c>
      <c r="AA88" s="5">
        <v>49.44</v>
      </c>
      <c r="AB88" s="5">
        <v>10.3</v>
      </c>
      <c r="AC88" s="5">
        <v>3.44</v>
      </c>
      <c r="AD88" s="5">
        <v>9.1199999999999992</v>
      </c>
      <c r="AE88" s="5">
        <v>0.97799999999999998</v>
      </c>
      <c r="AF88" s="5">
        <v>4.66</v>
      </c>
      <c r="AG88" s="5">
        <v>0.872</v>
      </c>
      <c r="AH88" s="5">
        <v>1.72</v>
      </c>
      <c r="AI88" s="5">
        <v>0.221</v>
      </c>
      <c r="AJ88" s="5">
        <v>1.23</v>
      </c>
      <c r="AK88" s="5">
        <v>0.13400000000000001</v>
      </c>
      <c r="AL88" s="5">
        <v>11.2</v>
      </c>
      <c r="AM88" s="5">
        <v>6.02</v>
      </c>
      <c r="AN88" s="5">
        <v>916.57</v>
      </c>
      <c r="AO88" s="5">
        <v>929.68</v>
      </c>
      <c r="AP88" s="5">
        <f>0*0.087</f>
        <v>0</v>
      </c>
      <c r="AQ88" s="5">
        <v>2.4</v>
      </c>
      <c r="AR88" s="5">
        <v>0.97599999999999998</v>
      </c>
    </row>
    <row r="89" spans="1:44" s="1" customFormat="1" x14ac:dyDescent="0.45">
      <c r="A89" s="6">
        <v>204</v>
      </c>
      <c r="B89" s="5">
        <v>6.61</v>
      </c>
      <c r="C89" s="5">
        <v>168745.58</v>
      </c>
      <c r="D89" s="5">
        <v>68481.91</v>
      </c>
      <c r="E89" s="5">
        <v>22.33</v>
      </c>
      <c r="F89" s="5">
        <v>33980.410000000003</v>
      </c>
      <c r="G89" s="5">
        <v>321.58999999999997</v>
      </c>
      <c r="H89" s="5">
        <v>255.79</v>
      </c>
      <c r="I89" s="5">
        <v>29.45</v>
      </c>
      <c r="J89" s="5">
        <f>0*21.74</f>
        <v>0</v>
      </c>
      <c r="K89" s="5">
        <v>1.83</v>
      </c>
      <c r="L89" s="5">
        <v>16.04</v>
      </c>
      <c r="M89" s="5">
        <f>0*1.32</f>
        <v>0</v>
      </c>
      <c r="N89" s="5">
        <v>34.28</v>
      </c>
      <c r="O89" s="5">
        <v>1052.1600000000001</v>
      </c>
      <c r="P89" s="5">
        <v>20.7</v>
      </c>
      <c r="Q89" s="5">
        <v>232.25</v>
      </c>
      <c r="R89" s="5">
        <v>108.66</v>
      </c>
      <c r="S89" s="5">
        <v>21.37</v>
      </c>
      <c r="T89" s="5">
        <f>0*0.46</f>
        <v>0</v>
      </c>
      <c r="U89" s="5">
        <f>0*0.29</f>
        <v>0</v>
      </c>
      <c r="V89" s="5">
        <v>0.91900000000000004</v>
      </c>
      <c r="W89" s="5">
        <v>931.88</v>
      </c>
      <c r="X89" s="5">
        <v>43.86</v>
      </c>
      <c r="Y89" s="5">
        <v>82.53</v>
      </c>
      <c r="Z89" s="5">
        <v>11.6</v>
      </c>
      <c r="AA89" s="5">
        <v>51.7</v>
      </c>
      <c r="AB89" s="5">
        <v>10.54</v>
      </c>
      <c r="AC89" s="5">
        <v>3.04</v>
      </c>
      <c r="AD89" s="5">
        <v>7.81</v>
      </c>
      <c r="AE89" s="5">
        <v>0.98699999999999999</v>
      </c>
      <c r="AF89" s="5">
        <v>4.3499999999999996</v>
      </c>
      <c r="AG89" s="5">
        <v>0.79400000000000004</v>
      </c>
      <c r="AH89" s="5">
        <v>1.88</v>
      </c>
      <c r="AI89" s="5">
        <v>0.16200000000000001</v>
      </c>
      <c r="AJ89" s="5">
        <v>1</v>
      </c>
      <c r="AK89" s="5">
        <v>0.115</v>
      </c>
      <c r="AL89" s="5">
        <v>9.91</v>
      </c>
      <c r="AM89" s="5">
        <v>6.29</v>
      </c>
      <c r="AN89" s="5">
        <v>915.81</v>
      </c>
      <c r="AO89" s="5">
        <v>948.77</v>
      </c>
      <c r="AP89" s="5">
        <v>9.6000000000000002E-2</v>
      </c>
      <c r="AQ89" s="5">
        <v>2.4900000000000002</v>
      </c>
      <c r="AR89" s="5">
        <v>0.94299999999999995</v>
      </c>
    </row>
    <row r="90" spans="1:44" s="1" customFormat="1" x14ac:dyDescent="0.45">
      <c r="A90" s="6">
        <v>205</v>
      </c>
      <c r="B90" s="5">
        <v>6.12</v>
      </c>
      <c r="C90" s="5">
        <v>168745.59</v>
      </c>
      <c r="D90" s="5">
        <v>70220.990000000005</v>
      </c>
      <c r="E90" s="5">
        <v>23.41</v>
      </c>
      <c r="F90" s="5">
        <v>34757.56</v>
      </c>
      <c r="G90" s="5">
        <v>329.79</v>
      </c>
      <c r="H90" s="5">
        <v>246.34</v>
      </c>
      <c r="I90" s="5">
        <v>29.77</v>
      </c>
      <c r="J90" s="5">
        <f>0*20.83</f>
        <v>0</v>
      </c>
      <c r="K90" s="5">
        <v>2.84</v>
      </c>
      <c r="L90" s="5">
        <v>15.37</v>
      </c>
      <c r="M90" s="5">
        <f>0*1.16</f>
        <v>0</v>
      </c>
      <c r="N90" s="5">
        <v>35.340000000000003</v>
      </c>
      <c r="O90" s="5">
        <v>1046.22</v>
      </c>
      <c r="P90" s="5">
        <v>19.38</v>
      </c>
      <c r="Q90" s="5">
        <v>227.79</v>
      </c>
      <c r="R90" s="5">
        <v>108.76</v>
      </c>
      <c r="S90" s="5">
        <v>20.66</v>
      </c>
      <c r="T90" s="5">
        <f>0*0.36</f>
        <v>0</v>
      </c>
      <c r="U90" s="5">
        <f>0*0.33</f>
        <v>0</v>
      </c>
      <c r="V90" s="5">
        <v>1.0860000000000001</v>
      </c>
      <c r="W90" s="5">
        <v>935.43</v>
      </c>
      <c r="X90" s="5">
        <v>44.12</v>
      </c>
      <c r="Y90" s="5">
        <v>85.01</v>
      </c>
      <c r="Z90" s="5">
        <v>11.4</v>
      </c>
      <c r="AA90" s="5">
        <v>52.7</v>
      </c>
      <c r="AB90" s="5">
        <v>10.029999999999999</v>
      </c>
      <c r="AC90" s="5">
        <v>3.29</v>
      </c>
      <c r="AD90" s="5">
        <v>8.59</v>
      </c>
      <c r="AE90" s="5">
        <v>1.0740000000000001</v>
      </c>
      <c r="AF90" s="5">
        <v>5.04</v>
      </c>
      <c r="AG90" s="5">
        <v>0.878</v>
      </c>
      <c r="AH90" s="5">
        <v>1.82</v>
      </c>
      <c r="AI90" s="5">
        <v>0.25800000000000001</v>
      </c>
      <c r="AJ90" s="5">
        <v>1.1399999999999999</v>
      </c>
      <c r="AK90" s="5">
        <v>0.13100000000000001</v>
      </c>
      <c r="AL90" s="5">
        <v>10.55</v>
      </c>
      <c r="AM90" s="5">
        <v>6.79</v>
      </c>
      <c r="AN90" s="5">
        <v>953.7</v>
      </c>
      <c r="AO90" s="5">
        <v>959.79</v>
      </c>
      <c r="AP90" s="5">
        <v>8.5000000000000006E-2</v>
      </c>
      <c r="AQ90" s="5">
        <v>2.39</v>
      </c>
      <c r="AR90" s="5">
        <v>0.95599999999999996</v>
      </c>
    </row>
    <row r="91" spans="1:44" s="1" customFormat="1" x14ac:dyDescent="0.45">
      <c r="A91" s="6">
        <v>206</v>
      </c>
      <c r="B91" s="5">
        <v>8.7200000000000006</v>
      </c>
      <c r="C91" s="5">
        <v>168745.59</v>
      </c>
      <c r="D91" s="5">
        <v>67123.58</v>
      </c>
      <c r="E91" s="5">
        <v>22.46</v>
      </c>
      <c r="F91" s="5">
        <v>32767.95</v>
      </c>
      <c r="G91" s="5">
        <v>316.79000000000002</v>
      </c>
      <c r="H91" s="5">
        <v>229.7</v>
      </c>
      <c r="I91" s="5">
        <v>30.4</v>
      </c>
      <c r="J91" s="5">
        <f>0*24.53</f>
        <v>0</v>
      </c>
      <c r="K91" s="5">
        <v>2.0099999999999998</v>
      </c>
      <c r="L91" s="5">
        <v>15.29</v>
      </c>
      <c r="M91" s="5">
        <v>1.95</v>
      </c>
      <c r="N91" s="5">
        <v>34.880000000000003</v>
      </c>
      <c r="O91" s="5">
        <v>1004.44</v>
      </c>
      <c r="P91" s="5">
        <v>19.48</v>
      </c>
      <c r="Q91" s="5">
        <v>221.66</v>
      </c>
      <c r="R91" s="5">
        <v>103.36</v>
      </c>
      <c r="S91" s="5">
        <v>18.32</v>
      </c>
      <c r="T91" s="5">
        <f>0*0.42</f>
        <v>0</v>
      </c>
      <c r="U91" s="5">
        <f>0*0.36</f>
        <v>0</v>
      </c>
      <c r="V91" s="5">
        <v>1.1659999999999999</v>
      </c>
      <c r="W91" s="5">
        <v>893.81</v>
      </c>
      <c r="X91" s="5">
        <v>41.12</v>
      </c>
      <c r="Y91" s="5">
        <v>81.09</v>
      </c>
      <c r="Z91" s="5">
        <v>11.26</v>
      </c>
      <c r="AA91" s="5">
        <v>49.03</v>
      </c>
      <c r="AB91" s="5">
        <v>9.76</v>
      </c>
      <c r="AC91" s="5">
        <v>3</v>
      </c>
      <c r="AD91" s="5">
        <v>8.0299999999999994</v>
      </c>
      <c r="AE91" s="5">
        <v>0.88700000000000001</v>
      </c>
      <c r="AF91" s="5">
        <v>5.03</v>
      </c>
      <c r="AG91" s="5">
        <v>0.77600000000000002</v>
      </c>
      <c r="AH91" s="5">
        <v>1.85</v>
      </c>
      <c r="AI91" s="5">
        <v>0.218</v>
      </c>
      <c r="AJ91" s="5">
        <v>1.1200000000000001</v>
      </c>
      <c r="AK91" s="5">
        <v>0.109</v>
      </c>
      <c r="AL91" s="5">
        <v>10.38</v>
      </c>
      <c r="AM91" s="5">
        <v>6.07</v>
      </c>
      <c r="AN91" s="5">
        <v>901.97</v>
      </c>
      <c r="AO91" s="5">
        <v>896.21</v>
      </c>
      <c r="AP91" s="5">
        <f>0*0.077</f>
        <v>0</v>
      </c>
      <c r="AQ91" s="5">
        <v>2.2799999999999998</v>
      </c>
      <c r="AR91" s="5">
        <v>0.99299999999999999</v>
      </c>
    </row>
    <row r="92" spans="1:44" s="1" customFormat="1" x14ac:dyDescent="0.45">
      <c r="A92" s="6">
        <v>207</v>
      </c>
      <c r="B92" s="5">
        <v>8.0299999999999994</v>
      </c>
      <c r="C92" s="5">
        <v>168745.58</v>
      </c>
      <c r="D92" s="5">
        <v>72996.66</v>
      </c>
      <c r="E92" s="5">
        <v>24.81</v>
      </c>
      <c r="F92" s="5">
        <v>35154.46</v>
      </c>
      <c r="G92" s="5">
        <v>337.13</v>
      </c>
      <c r="H92" s="5">
        <v>269.24</v>
      </c>
      <c r="I92" s="5">
        <v>30.01</v>
      </c>
      <c r="J92" s="5">
        <v>20.92</v>
      </c>
      <c r="K92" s="5">
        <f>0*1.32</f>
        <v>0</v>
      </c>
      <c r="L92" s="5">
        <v>16.190000000000001</v>
      </c>
      <c r="M92" s="5">
        <v>1.27</v>
      </c>
      <c r="N92" s="5">
        <v>34.65</v>
      </c>
      <c r="O92" s="5">
        <v>1072.71</v>
      </c>
      <c r="P92" s="5">
        <v>20.66</v>
      </c>
      <c r="Q92" s="5">
        <v>235.82</v>
      </c>
      <c r="R92" s="5">
        <v>108.81</v>
      </c>
      <c r="S92" s="5">
        <v>20.82</v>
      </c>
      <c r="T92" s="5">
        <f>0*0.38</f>
        <v>0</v>
      </c>
      <c r="U92" s="5">
        <f>0*0.33</f>
        <v>0</v>
      </c>
      <c r="V92" s="5">
        <v>1.087</v>
      </c>
      <c r="W92" s="5">
        <v>957.84</v>
      </c>
      <c r="X92" s="5">
        <v>46.09</v>
      </c>
      <c r="Y92" s="5">
        <v>85.81</v>
      </c>
      <c r="Z92" s="5">
        <v>12.16</v>
      </c>
      <c r="AA92" s="5">
        <v>53.39</v>
      </c>
      <c r="AB92" s="5">
        <v>11.34</v>
      </c>
      <c r="AC92" s="5">
        <v>3.29</v>
      </c>
      <c r="AD92" s="5">
        <v>8.33</v>
      </c>
      <c r="AE92" s="5">
        <v>1.17</v>
      </c>
      <c r="AF92" s="5">
        <v>4.93</v>
      </c>
      <c r="AG92" s="5">
        <v>0.78900000000000003</v>
      </c>
      <c r="AH92" s="5">
        <v>1.68</v>
      </c>
      <c r="AI92" s="5">
        <v>0.20300000000000001</v>
      </c>
      <c r="AJ92" s="5">
        <v>0.76</v>
      </c>
      <c r="AK92" s="5">
        <v>0.13300000000000001</v>
      </c>
      <c r="AL92" s="5">
        <v>11.12</v>
      </c>
      <c r="AM92" s="5">
        <v>6.75</v>
      </c>
      <c r="AN92" s="5">
        <v>935.02</v>
      </c>
      <c r="AO92" s="5">
        <v>966.78</v>
      </c>
      <c r="AP92" s="5">
        <v>5.0999999999999997E-2</v>
      </c>
      <c r="AQ92" s="5">
        <v>2.37</v>
      </c>
      <c r="AR92" s="5">
        <v>0.875</v>
      </c>
    </row>
    <row r="93" spans="1:44" s="1" customFormat="1" x14ac:dyDescent="0.45">
      <c r="A93" s="6">
        <v>208</v>
      </c>
      <c r="B93" s="5">
        <v>7.9</v>
      </c>
      <c r="C93" s="5">
        <v>168745.59</v>
      </c>
      <c r="D93" s="5">
        <v>79865.91</v>
      </c>
      <c r="E93" s="5">
        <v>26.41</v>
      </c>
      <c r="F93" s="5">
        <v>37609.83</v>
      </c>
      <c r="G93" s="5">
        <v>350.8</v>
      </c>
      <c r="H93" s="5">
        <v>252.29</v>
      </c>
      <c r="I93" s="5">
        <v>28.48</v>
      </c>
      <c r="J93" s="5">
        <v>27.45</v>
      </c>
      <c r="K93" s="5">
        <v>1.65</v>
      </c>
      <c r="L93" s="5">
        <v>15.22</v>
      </c>
      <c r="M93" s="5">
        <v>1.62</v>
      </c>
      <c r="N93" s="5">
        <v>34.17</v>
      </c>
      <c r="O93" s="5">
        <v>1140.26</v>
      </c>
      <c r="P93" s="5">
        <v>22.57</v>
      </c>
      <c r="Q93" s="5">
        <v>257.77</v>
      </c>
      <c r="R93" s="5">
        <v>115.41</v>
      </c>
      <c r="S93" s="5">
        <v>21.44</v>
      </c>
      <c r="T93" s="5">
        <f>0*0.38</f>
        <v>0</v>
      </c>
      <c r="U93" s="5">
        <f>0*0.29</f>
        <v>0</v>
      </c>
      <c r="V93" s="5">
        <v>1.03</v>
      </c>
      <c r="W93" s="5">
        <v>1001</v>
      </c>
      <c r="X93" s="5">
        <v>48.7</v>
      </c>
      <c r="Y93" s="5">
        <v>90.77</v>
      </c>
      <c r="Z93" s="5">
        <v>12.29</v>
      </c>
      <c r="AA93" s="5">
        <v>56.3</v>
      </c>
      <c r="AB93" s="5">
        <v>14.04</v>
      </c>
      <c r="AC93" s="5">
        <v>3.58</v>
      </c>
      <c r="AD93" s="5">
        <v>8.5399999999999991</v>
      </c>
      <c r="AE93" s="5">
        <v>1.04</v>
      </c>
      <c r="AF93" s="5">
        <v>4.3600000000000003</v>
      </c>
      <c r="AG93" s="5">
        <v>1.06</v>
      </c>
      <c r="AH93" s="5">
        <v>1.37</v>
      </c>
      <c r="AI93" s="5">
        <v>0.13600000000000001</v>
      </c>
      <c r="AJ93" s="5">
        <v>0.87</v>
      </c>
      <c r="AK93" s="5">
        <v>0.13500000000000001</v>
      </c>
      <c r="AL93" s="5">
        <v>11.6</v>
      </c>
      <c r="AM93" s="5">
        <v>6.74</v>
      </c>
      <c r="AN93" s="5">
        <v>922.49</v>
      </c>
      <c r="AO93" s="5">
        <v>885.83</v>
      </c>
      <c r="AP93" s="5">
        <v>0.06</v>
      </c>
      <c r="AQ93" s="5">
        <v>2.5099999999999998</v>
      </c>
      <c r="AR93" s="5">
        <v>1.012</v>
      </c>
    </row>
    <row r="94" spans="1:44" s="1" customFormat="1" x14ac:dyDescent="0.45">
      <c r="A94" s="6">
        <v>209</v>
      </c>
      <c r="B94" s="5">
        <v>7.05</v>
      </c>
      <c r="C94" s="5">
        <v>168745.58</v>
      </c>
      <c r="D94" s="5">
        <v>72232.240000000005</v>
      </c>
      <c r="E94" s="5">
        <v>24.25</v>
      </c>
      <c r="F94" s="5">
        <v>35169.199999999997</v>
      </c>
      <c r="G94" s="5">
        <v>339.17</v>
      </c>
      <c r="H94" s="5">
        <v>272.55</v>
      </c>
      <c r="I94" s="5">
        <v>30.16</v>
      </c>
      <c r="J94" s="5">
        <v>24.15</v>
      </c>
      <c r="K94" s="5">
        <v>1.78</v>
      </c>
      <c r="L94" s="5">
        <v>17.32</v>
      </c>
      <c r="M94" s="5">
        <v>1.42</v>
      </c>
      <c r="N94" s="5">
        <v>36.840000000000003</v>
      </c>
      <c r="O94" s="5">
        <v>1055.17</v>
      </c>
      <c r="P94" s="5">
        <v>20.12</v>
      </c>
      <c r="Q94" s="5">
        <v>231.42</v>
      </c>
      <c r="R94" s="5">
        <v>110.4</v>
      </c>
      <c r="S94" s="5">
        <v>19.88</v>
      </c>
      <c r="T94" s="5">
        <f>0*0.38</f>
        <v>0</v>
      </c>
      <c r="U94" s="5">
        <f>0*0.44</f>
        <v>0</v>
      </c>
      <c r="V94" s="5">
        <v>1.1499999999999999</v>
      </c>
      <c r="W94" s="5">
        <v>940.58</v>
      </c>
      <c r="X94" s="5">
        <v>44.84</v>
      </c>
      <c r="Y94" s="5">
        <v>86.74</v>
      </c>
      <c r="Z94" s="5">
        <v>12.01</v>
      </c>
      <c r="AA94" s="5">
        <v>52.07</v>
      </c>
      <c r="AB94" s="5">
        <v>9.25</v>
      </c>
      <c r="AC94" s="5">
        <v>3.4</v>
      </c>
      <c r="AD94" s="5">
        <v>7.83</v>
      </c>
      <c r="AE94" s="5">
        <v>0.96099999999999997</v>
      </c>
      <c r="AF94" s="5">
        <v>5.14</v>
      </c>
      <c r="AG94" s="5">
        <v>0.82099999999999995</v>
      </c>
      <c r="AH94" s="5">
        <v>1.81</v>
      </c>
      <c r="AI94" s="5">
        <v>0.159</v>
      </c>
      <c r="AJ94" s="5">
        <v>0.86</v>
      </c>
      <c r="AK94" s="5">
        <v>0.14499999999999999</v>
      </c>
      <c r="AL94" s="5">
        <v>11.16</v>
      </c>
      <c r="AM94" s="5">
        <v>6.69</v>
      </c>
      <c r="AN94" s="5">
        <v>936.06</v>
      </c>
      <c r="AO94" s="5">
        <v>928.38</v>
      </c>
      <c r="AP94" s="5">
        <v>0.06</v>
      </c>
      <c r="AQ94" s="5">
        <v>2.37</v>
      </c>
      <c r="AR94" s="5">
        <v>0.98299999999999998</v>
      </c>
    </row>
    <row r="95" spans="1:44" s="1" customFormat="1" x14ac:dyDescent="0.45">
      <c r="A95" s="6">
        <v>210</v>
      </c>
      <c r="B95" s="5">
        <v>5.46</v>
      </c>
      <c r="C95" s="5">
        <v>168745.59</v>
      </c>
      <c r="D95" s="5">
        <v>67735.009999999995</v>
      </c>
      <c r="E95" s="5">
        <v>22</v>
      </c>
      <c r="F95" s="5">
        <v>33175.370000000003</v>
      </c>
      <c r="G95" s="5">
        <v>319.3</v>
      </c>
      <c r="H95" s="5">
        <v>238.46</v>
      </c>
      <c r="I95" s="5">
        <v>29.74</v>
      </c>
      <c r="J95" s="5">
        <f>0*21.17</f>
        <v>0</v>
      </c>
      <c r="K95" s="5">
        <v>1.97</v>
      </c>
      <c r="L95" s="5">
        <v>15.84</v>
      </c>
      <c r="M95" s="5">
        <v>2.2999999999999998</v>
      </c>
      <c r="N95" s="5">
        <v>33.270000000000003</v>
      </c>
      <c r="O95" s="5">
        <v>1021.93</v>
      </c>
      <c r="P95" s="5">
        <v>19.72</v>
      </c>
      <c r="Q95" s="5">
        <v>225.95</v>
      </c>
      <c r="R95" s="5">
        <v>104.83</v>
      </c>
      <c r="S95" s="5">
        <v>17.36</v>
      </c>
      <c r="T95" s="5">
        <f>0*0.43</f>
        <v>0</v>
      </c>
      <c r="U95" s="5">
        <f>0*0.29</f>
        <v>0</v>
      </c>
      <c r="V95" s="5">
        <v>0.96</v>
      </c>
      <c r="W95" s="5">
        <v>881.71</v>
      </c>
      <c r="X95" s="5">
        <v>42.96</v>
      </c>
      <c r="Y95" s="5">
        <v>80.3</v>
      </c>
      <c r="Z95" s="5">
        <v>11.27</v>
      </c>
      <c r="AA95" s="5">
        <v>48.77</v>
      </c>
      <c r="AB95" s="5">
        <v>10.43</v>
      </c>
      <c r="AC95" s="5">
        <v>2.92</v>
      </c>
      <c r="AD95" s="5">
        <v>7.91</v>
      </c>
      <c r="AE95" s="5">
        <v>1.0589999999999999</v>
      </c>
      <c r="AF95" s="5">
        <v>4.43</v>
      </c>
      <c r="AG95" s="5">
        <v>0.70899999999999996</v>
      </c>
      <c r="AH95" s="5">
        <v>2.08</v>
      </c>
      <c r="AI95" s="5">
        <v>0.16900000000000001</v>
      </c>
      <c r="AJ95" s="5">
        <v>1.1200000000000001</v>
      </c>
      <c r="AK95" s="5">
        <v>0.113</v>
      </c>
      <c r="AL95" s="5">
        <v>9.93</v>
      </c>
      <c r="AM95" s="5">
        <v>6.75</v>
      </c>
      <c r="AN95" s="5">
        <v>887.79</v>
      </c>
      <c r="AO95" s="5">
        <v>893.58</v>
      </c>
      <c r="AP95" s="5">
        <f>0*0.057</f>
        <v>0</v>
      </c>
      <c r="AQ95" s="5">
        <v>2.17</v>
      </c>
      <c r="AR95" s="5">
        <v>0.82099999999999995</v>
      </c>
    </row>
    <row r="96" spans="1:44" s="1" customFormat="1" x14ac:dyDescent="0.45">
      <c r="A96" s="6">
        <v>211</v>
      </c>
      <c r="B96" s="5">
        <v>7.63</v>
      </c>
      <c r="C96" s="5">
        <v>168745.58</v>
      </c>
      <c r="D96" s="5">
        <v>68899.69</v>
      </c>
      <c r="E96" s="5">
        <v>22.91</v>
      </c>
      <c r="F96" s="5">
        <v>33356.339999999997</v>
      </c>
      <c r="G96" s="5">
        <v>315.58</v>
      </c>
      <c r="H96" s="5">
        <v>250.67</v>
      </c>
      <c r="I96" s="5">
        <v>29.51</v>
      </c>
      <c r="J96" s="5">
        <v>49.16</v>
      </c>
      <c r="K96" s="5">
        <v>2.0699999999999998</v>
      </c>
      <c r="L96" s="5">
        <v>16.04</v>
      </c>
      <c r="M96" s="5">
        <v>1.1299999999999999</v>
      </c>
      <c r="N96" s="5">
        <v>33.729999999999997</v>
      </c>
      <c r="O96" s="5">
        <v>1019.64</v>
      </c>
      <c r="P96" s="5">
        <v>19.79</v>
      </c>
      <c r="Q96" s="5">
        <v>226.88</v>
      </c>
      <c r="R96" s="5">
        <v>102.33</v>
      </c>
      <c r="S96" s="5">
        <v>18.72</v>
      </c>
      <c r="T96" s="5">
        <f>0*0.47</f>
        <v>0</v>
      </c>
      <c r="U96" s="5">
        <f>0*0.259</f>
        <v>0</v>
      </c>
      <c r="V96" s="5">
        <v>1.0900000000000001</v>
      </c>
      <c r="W96" s="5">
        <v>891.49</v>
      </c>
      <c r="X96" s="5">
        <v>42.78</v>
      </c>
      <c r="Y96" s="5">
        <v>80.959999999999994</v>
      </c>
      <c r="Z96" s="5">
        <v>10.97</v>
      </c>
      <c r="AA96" s="5">
        <v>48.74</v>
      </c>
      <c r="AB96" s="5">
        <v>10.07</v>
      </c>
      <c r="AC96" s="5">
        <v>2.92</v>
      </c>
      <c r="AD96" s="5">
        <v>8.1199999999999992</v>
      </c>
      <c r="AE96" s="5">
        <v>1.018</v>
      </c>
      <c r="AF96" s="5">
        <v>5.08</v>
      </c>
      <c r="AG96" s="5">
        <v>0.85299999999999998</v>
      </c>
      <c r="AH96" s="5">
        <v>1.49</v>
      </c>
      <c r="AI96" s="5">
        <v>0.183</v>
      </c>
      <c r="AJ96" s="5">
        <v>0.89</v>
      </c>
      <c r="AK96" s="5">
        <v>0.104</v>
      </c>
      <c r="AL96" s="5">
        <v>10.73</v>
      </c>
      <c r="AM96" s="5">
        <v>6.28</v>
      </c>
      <c r="AN96" s="5">
        <v>923.34</v>
      </c>
      <c r="AO96" s="5">
        <v>942.79</v>
      </c>
      <c r="AP96" s="5">
        <v>8.3000000000000004E-2</v>
      </c>
      <c r="AQ96" s="5">
        <v>2.3199999999999998</v>
      </c>
      <c r="AR96" s="5">
        <v>0.89900000000000002</v>
      </c>
    </row>
    <row r="97" spans="1:44" s="1" customFormat="1" x14ac:dyDescent="0.45">
      <c r="A97" s="6">
        <v>212</v>
      </c>
      <c r="B97" s="5">
        <v>7.53</v>
      </c>
      <c r="C97" s="5">
        <v>168745.59</v>
      </c>
      <c r="D97" s="5">
        <v>69924.95</v>
      </c>
      <c r="E97" s="5">
        <v>25.78</v>
      </c>
      <c r="F97" s="5">
        <v>34957.97</v>
      </c>
      <c r="G97" s="5">
        <v>337.67</v>
      </c>
      <c r="H97" s="5">
        <v>264.5</v>
      </c>
      <c r="I97" s="5">
        <v>29.94</v>
      </c>
      <c r="J97" s="5">
        <v>32.36</v>
      </c>
      <c r="K97" s="5">
        <f>0*1.36</f>
        <v>0</v>
      </c>
      <c r="L97" s="5">
        <v>15.49</v>
      </c>
      <c r="M97" s="5">
        <v>1.79</v>
      </c>
      <c r="N97" s="5">
        <v>33.799999999999997</v>
      </c>
      <c r="O97" s="5">
        <v>1049.23</v>
      </c>
      <c r="P97" s="5">
        <v>20.69</v>
      </c>
      <c r="Q97" s="5">
        <v>232.11</v>
      </c>
      <c r="R97" s="5">
        <v>106.92</v>
      </c>
      <c r="S97" s="5">
        <v>21.33</v>
      </c>
      <c r="T97" s="5">
        <f>0*0.32</f>
        <v>0</v>
      </c>
      <c r="U97" s="5">
        <f>0*0.32</f>
        <v>0</v>
      </c>
      <c r="V97" s="5">
        <v>1.06</v>
      </c>
      <c r="W97" s="5">
        <v>927.48</v>
      </c>
      <c r="X97" s="5">
        <v>44.02</v>
      </c>
      <c r="Y97" s="5">
        <v>82.29</v>
      </c>
      <c r="Z97" s="5">
        <v>11.96</v>
      </c>
      <c r="AA97" s="5">
        <v>49.87</v>
      </c>
      <c r="AB97" s="5">
        <v>10.96</v>
      </c>
      <c r="AC97" s="5">
        <v>3.07</v>
      </c>
      <c r="AD97" s="5">
        <v>9.5299999999999994</v>
      </c>
      <c r="AE97" s="5">
        <v>1.02</v>
      </c>
      <c r="AF97" s="5">
        <v>5.39</v>
      </c>
      <c r="AG97" s="5">
        <v>0.78500000000000003</v>
      </c>
      <c r="AH97" s="5">
        <v>1.78</v>
      </c>
      <c r="AI97" s="5">
        <v>0.21099999999999999</v>
      </c>
      <c r="AJ97" s="5">
        <v>0.78</v>
      </c>
      <c r="AK97" s="5">
        <v>0.122</v>
      </c>
      <c r="AL97" s="5">
        <v>10.57</v>
      </c>
      <c r="AM97" s="5">
        <v>6.54</v>
      </c>
      <c r="AN97" s="5">
        <v>931.89</v>
      </c>
      <c r="AO97" s="5">
        <v>933.37</v>
      </c>
      <c r="AP97" s="5">
        <v>8.2000000000000003E-2</v>
      </c>
      <c r="AQ97" s="5">
        <v>2.4</v>
      </c>
      <c r="AR97" s="5">
        <v>0.99399999999999999</v>
      </c>
    </row>
    <row r="98" spans="1:44" s="1" customFormat="1" x14ac:dyDescent="0.45">
      <c r="A98" s="6" t="s">
        <v>43</v>
      </c>
      <c r="B98" s="5">
        <f>AVERAGE(B86:B97)</f>
        <v>7.0491666666666655</v>
      </c>
      <c r="C98" s="5">
        <f>AVERAGE(C86:C97)</f>
        <v>168745.58583333335</v>
      </c>
      <c r="D98" s="5">
        <f>AVERAGE(D86:D97)</f>
        <v>70213.254166666666</v>
      </c>
      <c r="E98" s="5">
        <f>AVERAGE(E86:E97)</f>
        <v>23.78</v>
      </c>
      <c r="F98" s="5">
        <f>AVERAGE(F86:F97)</f>
        <v>34381.0625</v>
      </c>
      <c r="G98" s="5">
        <f>AVERAGE(G86:G97)</f>
        <v>328.80916666666673</v>
      </c>
      <c r="H98" s="5">
        <f>AVERAGE(H86:H97)</f>
        <v>251.51750000000001</v>
      </c>
      <c r="I98" s="5">
        <f>AVERAGE(I86:I97)</f>
        <v>29.694999999999997</v>
      </c>
      <c r="J98" s="5">
        <f>AVERAGE(J86:J97)</f>
        <v>16.634166666666669</v>
      </c>
      <c r="K98" s="5">
        <f>AVERAGE(K86:K97)</f>
        <v>1.5999999999999999</v>
      </c>
      <c r="L98" s="5">
        <f>AVERAGE(L86:L97)</f>
        <v>15.858333333333333</v>
      </c>
      <c r="M98" s="5">
        <f>AVERAGE(M86:M97)</f>
        <v>1.333333333333333</v>
      </c>
      <c r="N98" s="5">
        <f>AVERAGE(N86:N97)</f>
        <v>34.663333333333334</v>
      </c>
      <c r="O98" s="5">
        <f>AVERAGE(O86:O97)</f>
        <v>1048.54</v>
      </c>
      <c r="P98" s="5">
        <f>AVERAGE(P86:P97)</f>
        <v>20.336666666666666</v>
      </c>
      <c r="Q98" s="5">
        <f>AVERAGE(Q86:Q97)</f>
        <v>231.36416666666665</v>
      </c>
      <c r="R98" s="5">
        <f>AVERAGE(R86:R97)</f>
        <v>107.52166666666666</v>
      </c>
      <c r="S98" s="5">
        <f>AVERAGE(S86:S97)</f>
        <v>19.962500000000002</v>
      </c>
      <c r="T98" s="5">
        <f>AVERAGE(T86:T97)</f>
        <v>0</v>
      </c>
      <c r="U98" s="5">
        <f>AVERAGE(U86:U97)</f>
        <v>0</v>
      </c>
      <c r="V98" s="5">
        <f>AVERAGE(V86:V97)</f>
        <v>1.0776666666666668</v>
      </c>
      <c r="W98" s="5">
        <f>AVERAGE(W86:W97)</f>
        <v>928.28250000000014</v>
      </c>
      <c r="X98" s="5">
        <f>AVERAGE(X86:X97)</f>
        <v>44.090833333333329</v>
      </c>
      <c r="Y98" s="5">
        <f>AVERAGE(Y86:Y97)</f>
        <v>83.758333333333326</v>
      </c>
      <c r="Z98" s="5">
        <f>AVERAGE(Z86:Z97)</f>
        <v>11.563333333333334</v>
      </c>
      <c r="AA98" s="5">
        <f>AVERAGE(AA86:AA97)</f>
        <v>51.398333333333333</v>
      </c>
      <c r="AB98" s="5">
        <f>AVERAGE(AB86:AB97)</f>
        <v>10.744166666666667</v>
      </c>
      <c r="AC98" s="5">
        <f>AVERAGE(AC86:AC97)</f>
        <v>3.1724999999999999</v>
      </c>
      <c r="AD98" s="5">
        <f>AVERAGE(AD86:AD97)</f>
        <v>8.2191666666666663</v>
      </c>
      <c r="AE98" s="5">
        <f>AVERAGE(AE86:AE97)</f>
        <v>1.0184166666666667</v>
      </c>
      <c r="AF98" s="5">
        <f>AVERAGE(AF86:AF97)</f>
        <v>4.8441666666666663</v>
      </c>
      <c r="AG98" s="5">
        <f>AVERAGE(AG86:AG97)</f>
        <v>0.82233333333333325</v>
      </c>
      <c r="AH98" s="5">
        <f>AVERAGE(AH86:AH97)</f>
        <v>1.7283333333333333</v>
      </c>
      <c r="AI98" s="5">
        <f>AVERAGE(AI86:AI97)</f>
        <v>0.19183333333333333</v>
      </c>
      <c r="AJ98" s="5">
        <f>AVERAGE(AJ86:AJ97)</f>
        <v>0.96916666666666673</v>
      </c>
      <c r="AK98" s="5">
        <f>AVERAGE(AK86:AK97)</f>
        <v>0.12591666666666668</v>
      </c>
      <c r="AL98" s="5">
        <f>AVERAGE(AL86:AL97)</f>
        <v>10.685</v>
      </c>
      <c r="AM98" s="5">
        <f>AVERAGE(AM86:AM97)</f>
        <v>6.5200000000000005</v>
      </c>
      <c r="AN98" s="5">
        <f>AVERAGE(AN86:AN97)</f>
        <v>920.99749999999983</v>
      </c>
      <c r="AO98" s="5">
        <f>AVERAGE(AO86:AO97)</f>
        <v>927.33166666666682</v>
      </c>
      <c r="AP98" s="5">
        <f>AVERAGE(AP86:AP97)</f>
        <v>5.0333333333333334E-2</v>
      </c>
      <c r="AQ98" s="5">
        <f>AVERAGE(AQ86:AQ97)</f>
        <v>2.3925000000000001</v>
      </c>
      <c r="AR98" s="5">
        <f>AVERAGE(AR86:AR97)</f>
        <v>0.94566666666666654</v>
      </c>
    </row>
    <row r="99" spans="1:44" s="1" customFormat="1" x14ac:dyDescent="0.45">
      <c r="A99" s="7" t="s">
        <v>44</v>
      </c>
      <c r="B99" s="5">
        <f>AVEDEV(B86:B97)</f>
        <v>0.81611111111111156</v>
      </c>
      <c r="C99" s="5">
        <f>AVEDEV(C86:C97)</f>
        <v>4.8611111124046147E-3</v>
      </c>
      <c r="D99" s="5">
        <f>AVEDEV(D86:D97)</f>
        <v>2410.4638888888899</v>
      </c>
      <c r="E99" s="5">
        <f>AVEDEV(E86:E97)</f>
        <v>1.1166666666666671</v>
      </c>
      <c r="F99" s="5">
        <f>AVEDEV(F86:F97)</f>
        <v>963.97416666666595</v>
      </c>
      <c r="G99" s="5">
        <f>AVEDEV(G86:G97)</f>
        <v>8.419027777777794</v>
      </c>
      <c r="H99" s="5">
        <f>AVEDEV(H86:H97)</f>
        <v>9.4637500000000045</v>
      </c>
      <c r="I99" s="5">
        <f>AVEDEV(I86:I97)</f>
        <v>0.45416666666666722</v>
      </c>
      <c r="J99" s="5">
        <f>AVEDEV(J86:J97)</f>
        <v>13.861805555555556</v>
      </c>
      <c r="K99" s="5">
        <f>AVEDEV(K86:K97)</f>
        <v>0.55500000000000005</v>
      </c>
      <c r="L99" s="5">
        <f>AVEDEV(L86:L97)</f>
        <v>0.45833333333333365</v>
      </c>
      <c r="M99" s="5">
        <f>AVEDEV(M86:M97)</f>
        <v>0.48888888888888898</v>
      </c>
      <c r="N99" s="5">
        <f>AVEDEV(N86:N97)</f>
        <v>0.91055555555555701</v>
      </c>
      <c r="O99" s="5">
        <f>AVEDEV(O86:O97)</f>
        <v>24.545000000000016</v>
      </c>
      <c r="P99" s="5">
        <f>AVEDEV(P86:P97)</f>
        <v>0.68277777777777793</v>
      </c>
      <c r="Q99" s="5">
        <f>AVEDEV(Q86:Q97)</f>
        <v>5.5358333333333336</v>
      </c>
      <c r="R99" s="5">
        <f>AVEDEV(R86:R97)</f>
        <v>2.5249999999999999</v>
      </c>
      <c r="S99" s="5">
        <f>AVEDEV(S86:S97)</f>
        <v>1.0254166666666669</v>
      </c>
      <c r="T99" s="5">
        <f>AVEDEV(T86:T97)</f>
        <v>0</v>
      </c>
      <c r="U99" s="5">
        <f>AVEDEV(U86:U97)</f>
        <v>0</v>
      </c>
      <c r="V99" s="5">
        <f>AVEDEV(V86:V97)</f>
        <v>7.755555555555553E-2</v>
      </c>
      <c r="W99" s="5">
        <f>AVEDEV(W86:W97)</f>
        <v>22.094166666666666</v>
      </c>
      <c r="X99" s="5">
        <f>AVEDEV(X86:X97)</f>
        <v>1.2393055555555552</v>
      </c>
      <c r="Y99" s="5">
        <f>AVEDEV(Y86:Y97)</f>
        <v>2.2313888888888869</v>
      </c>
      <c r="Z99" s="5">
        <f>AVEDEV(Z86:Z97)</f>
        <v>0.36722222222222234</v>
      </c>
      <c r="AA99" s="5">
        <f>AVEDEV(AA86:AA97)</f>
        <v>1.9100000000000001</v>
      </c>
      <c r="AB99" s="5">
        <f>AVEDEV(AB86:AB97)</f>
        <v>0.80486111111111114</v>
      </c>
      <c r="AC99" s="5">
        <f>AVEDEV(AC86:AC97)</f>
        <v>0.21083333333333334</v>
      </c>
      <c r="AD99" s="5">
        <f>AVEDEV(AD86:AD97)</f>
        <v>0.50236111111111104</v>
      </c>
      <c r="AE99" s="5">
        <f>AVEDEV(AE86:AE97)</f>
        <v>4.6750000000000007E-2</v>
      </c>
      <c r="AF99" s="5">
        <f>AVEDEV(AF86:AF97)</f>
        <v>0.29013888888888895</v>
      </c>
      <c r="AG99" s="5">
        <f>AVEDEV(AG86:AG97)</f>
        <v>6.2277777777777744E-2</v>
      </c>
      <c r="AH99" s="5">
        <f>AVEDEV(AH86:AH97)</f>
        <v>0.14694444444444446</v>
      </c>
      <c r="AI99" s="5">
        <f>AVEDEV(AI86:AI97)</f>
        <v>2.7833333333333331E-2</v>
      </c>
      <c r="AJ99" s="5">
        <f>AVEDEV(AJ86:AJ97)</f>
        <v>0.13083333333333333</v>
      </c>
      <c r="AK99" s="5">
        <f>AVEDEV(AK86:AK97)</f>
        <v>1.1097222222222224E-2</v>
      </c>
      <c r="AL99" s="5">
        <f>AVEDEV(AL86:AL97)</f>
        <v>0.3974999999999998</v>
      </c>
      <c r="AM99" s="5">
        <f>AVEDEV(AM86:AM97)</f>
        <v>0.26833333333333331</v>
      </c>
      <c r="AN99" s="5">
        <f>AVEDEV(AN86:AN97)</f>
        <v>15.022916666666694</v>
      </c>
      <c r="AO99" s="5">
        <f>AVEDEV(AO86:AO97)</f>
        <v>22.491111111111035</v>
      </c>
      <c r="AP99" s="5">
        <f>AVEDEV(AP86:AP97)</f>
        <v>3.3555555555555554E-2</v>
      </c>
      <c r="AQ99" s="5">
        <f>AVEDEV(AQ86:AQ97)</f>
        <v>7.583333333333335E-2</v>
      </c>
      <c r="AR99" s="5">
        <f>AVEDEV(AR86:AR97)</f>
        <v>5.2722222222222247E-2</v>
      </c>
    </row>
    <row r="100" spans="1:44" s="1" customFormat="1" x14ac:dyDescent="0.45">
      <c r="A100" s="7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</row>
    <row r="101" spans="1:44" s="9" customFormat="1" ht="15.4" x14ac:dyDescent="0.45">
      <c r="A101" s="2" t="s">
        <v>55</v>
      </c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  <c r="AF101" s="10"/>
      <c r="AG101" s="10"/>
      <c r="AH101" s="10"/>
      <c r="AI101" s="10"/>
      <c r="AJ101" s="10"/>
      <c r="AK101" s="10"/>
      <c r="AL101" s="10"/>
      <c r="AM101" s="10"/>
      <c r="AN101" s="10"/>
      <c r="AO101" s="10"/>
      <c r="AP101" s="10"/>
      <c r="AQ101" s="10"/>
      <c r="AR101" s="10"/>
    </row>
    <row r="102" spans="1:44" s="1" customFormat="1" x14ac:dyDescent="0.45">
      <c r="A102" s="6">
        <v>201</v>
      </c>
      <c r="B102" s="5">
        <v>7.85</v>
      </c>
      <c r="C102" s="5">
        <v>168184.66</v>
      </c>
      <c r="D102" s="5">
        <v>66912.2</v>
      </c>
      <c r="E102" s="5">
        <v>21.12</v>
      </c>
      <c r="F102" s="5">
        <v>38954.43</v>
      </c>
      <c r="G102" s="5">
        <v>284.27999999999997</v>
      </c>
      <c r="H102" s="5">
        <v>317.5</v>
      </c>
      <c r="I102" s="5">
        <v>26.8</v>
      </c>
      <c r="J102" s="5">
        <v>27.46</v>
      </c>
      <c r="K102" s="5">
        <f>0*1.34</f>
        <v>0</v>
      </c>
      <c r="L102" s="5">
        <v>15.17</v>
      </c>
      <c r="M102" s="5">
        <v>2.02</v>
      </c>
      <c r="N102" s="5">
        <v>42.54</v>
      </c>
      <c r="O102" s="5">
        <v>1177.5</v>
      </c>
      <c r="P102" s="5">
        <v>20.59</v>
      </c>
      <c r="Q102" s="5">
        <v>263.97000000000003</v>
      </c>
      <c r="R102" s="5">
        <v>135.94</v>
      </c>
      <c r="S102" s="5">
        <v>16.14</v>
      </c>
      <c r="T102" s="5">
        <v>0.39</v>
      </c>
      <c r="U102" s="5">
        <v>0.27200000000000002</v>
      </c>
      <c r="V102" s="5">
        <v>1.51</v>
      </c>
      <c r="W102" s="5">
        <v>1149.6300000000001</v>
      </c>
      <c r="X102" s="5">
        <v>56.31</v>
      </c>
      <c r="Y102" s="5">
        <v>98.27</v>
      </c>
      <c r="Z102" s="5">
        <v>13.51</v>
      </c>
      <c r="AA102" s="5">
        <v>57.42</v>
      </c>
      <c r="AB102" s="5">
        <v>12.11</v>
      </c>
      <c r="AC102" s="5">
        <v>3.49</v>
      </c>
      <c r="AD102" s="5">
        <v>8.3000000000000007</v>
      </c>
      <c r="AE102" s="5">
        <v>0.99299999999999999</v>
      </c>
      <c r="AF102" s="5">
        <v>4.8499999999999996</v>
      </c>
      <c r="AG102" s="5">
        <v>0.90700000000000003</v>
      </c>
      <c r="AH102" s="5">
        <v>1.86</v>
      </c>
      <c r="AI102" s="5">
        <v>0.19400000000000001</v>
      </c>
      <c r="AJ102" s="5">
        <v>1.02</v>
      </c>
      <c r="AK102" s="5">
        <v>0.114</v>
      </c>
      <c r="AL102" s="5">
        <v>11.94</v>
      </c>
      <c r="AM102" s="5">
        <v>8.35</v>
      </c>
      <c r="AN102" s="5">
        <v>984.37</v>
      </c>
      <c r="AO102" s="5">
        <v>1012.22</v>
      </c>
      <c r="AP102" s="5">
        <v>4.7E-2</v>
      </c>
      <c r="AQ102" s="5">
        <v>2.87</v>
      </c>
      <c r="AR102" s="5">
        <v>1.179</v>
      </c>
    </row>
    <row r="103" spans="1:44" s="1" customFormat="1" x14ac:dyDescent="0.45">
      <c r="A103" s="6">
        <v>202</v>
      </c>
      <c r="B103" s="5">
        <v>6.92</v>
      </c>
      <c r="C103" s="5">
        <v>168184.66</v>
      </c>
      <c r="D103" s="5">
        <v>67844.210000000006</v>
      </c>
      <c r="E103" s="5">
        <v>22.71</v>
      </c>
      <c r="F103" s="5">
        <v>39378.839999999997</v>
      </c>
      <c r="G103" s="5">
        <v>286.45999999999998</v>
      </c>
      <c r="H103" s="5">
        <v>319.99</v>
      </c>
      <c r="I103" s="5">
        <v>27.61</v>
      </c>
      <c r="J103" s="5">
        <f>0*19.41</f>
        <v>0</v>
      </c>
      <c r="K103" s="5">
        <f>0*1.37</f>
        <v>0</v>
      </c>
      <c r="L103" s="5">
        <v>16.899999999999999</v>
      </c>
      <c r="M103" s="5">
        <v>1.1299999999999999</v>
      </c>
      <c r="N103" s="5">
        <v>43.24</v>
      </c>
      <c r="O103" s="5">
        <v>1184.5899999999999</v>
      </c>
      <c r="P103" s="5">
        <v>20.97</v>
      </c>
      <c r="Q103" s="5">
        <v>273.2</v>
      </c>
      <c r="R103" s="5">
        <v>133.80000000000001</v>
      </c>
      <c r="S103" s="5">
        <v>16.18</v>
      </c>
      <c r="T103" s="5">
        <f>0*0.51</f>
        <v>0</v>
      </c>
      <c r="U103" s="5">
        <f>0*0.31</f>
        <v>0</v>
      </c>
      <c r="V103" s="5">
        <v>1.57</v>
      </c>
      <c r="W103" s="5">
        <v>1158.17</v>
      </c>
      <c r="X103" s="5">
        <v>57.41</v>
      </c>
      <c r="Y103" s="5">
        <v>98.6</v>
      </c>
      <c r="Z103" s="5">
        <v>13.79</v>
      </c>
      <c r="AA103" s="5">
        <v>57.47</v>
      </c>
      <c r="AB103" s="5">
        <v>9.93</v>
      </c>
      <c r="AC103" s="5">
        <v>3.15</v>
      </c>
      <c r="AD103" s="5">
        <v>8.2899999999999991</v>
      </c>
      <c r="AE103" s="5">
        <v>1.121</v>
      </c>
      <c r="AF103" s="5">
        <v>5.0999999999999996</v>
      </c>
      <c r="AG103" s="5">
        <v>0.75900000000000001</v>
      </c>
      <c r="AH103" s="5">
        <v>1.67</v>
      </c>
      <c r="AI103" s="5">
        <v>0.17499999999999999</v>
      </c>
      <c r="AJ103" s="5">
        <v>1.1499999999999999</v>
      </c>
      <c r="AK103" s="5">
        <v>0.124</v>
      </c>
      <c r="AL103" s="5">
        <v>12.11</v>
      </c>
      <c r="AM103" s="5">
        <v>8.0399999999999991</v>
      </c>
      <c r="AN103" s="5">
        <v>983.5</v>
      </c>
      <c r="AO103" s="5">
        <v>1044.53</v>
      </c>
      <c r="AP103" s="5">
        <f>0*0.075</f>
        <v>0</v>
      </c>
      <c r="AQ103" s="5">
        <v>2.89</v>
      </c>
      <c r="AR103" s="5">
        <v>1.0640000000000001</v>
      </c>
    </row>
    <row r="104" spans="1:44" s="1" customFormat="1" x14ac:dyDescent="0.45">
      <c r="A104" s="6">
        <v>203</v>
      </c>
      <c r="B104" s="5">
        <v>6.44</v>
      </c>
      <c r="C104" s="5">
        <v>168184.64</v>
      </c>
      <c r="D104" s="5">
        <v>65269.38</v>
      </c>
      <c r="E104" s="5">
        <v>20.51</v>
      </c>
      <c r="F104" s="5">
        <v>37902.21</v>
      </c>
      <c r="G104" s="5">
        <v>272.29000000000002</v>
      </c>
      <c r="H104" s="5">
        <v>304.74</v>
      </c>
      <c r="I104" s="5">
        <v>27.22</v>
      </c>
      <c r="J104" s="5">
        <v>21.84</v>
      </c>
      <c r="K104" s="5">
        <f>0*1.16</f>
        <v>0</v>
      </c>
      <c r="L104" s="5">
        <v>13.73</v>
      </c>
      <c r="M104" s="5">
        <v>2.2999999999999998</v>
      </c>
      <c r="N104" s="5">
        <v>41.21</v>
      </c>
      <c r="O104" s="5">
        <v>1130.77</v>
      </c>
      <c r="P104" s="5">
        <v>19.48</v>
      </c>
      <c r="Q104" s="5">
        <v>249.54</v>
      </c>
      <c r="R104" s="5">
        <v>132.99</v>
      </c>
      <c r="S104" s="5">
        <v>17.010000000000002</v>
      </c>
      <c r="T104" s="5">
        <f>0*0.4</f>
        <v>0</v>
      </c>
      <c r="U104" s="5">
        <f>0*0.269</f>
        <v>0</v>
      </c>
      <c r="V104" s="5">
        <v>1.33</v>
      </c>
      <c r="W104" s="5">
        <v>1120.92</v>
      </c>
      <c r="X104" s="5">
        <v>53.91</v>
      </c>
      <c r="Y104" s="5">
        <v>94.38</v>
      </c>
      <c r="Z104" s="5">
        <v>13.14</v>
      </c>
      <c r="AA104" s="5">
        <v>52.62</v>
      </c>
      <c r="AB104" s="5">
        <v>11.7</v>
      </c>
      <c r="AC104" s="5">
        <v>3.1</v>
      </c>
      <c r="AD104" s="5">
        <v>9.23</v>
      </c>
      <c r="AE104" s="5">
        <v>1.0229999999999999</v>
      </c>
      <c r="AF104" s="5">
        <v>4.9800000000000004</v>
      </c>
      <c r="AG104" s="5">
        <v>0.74399999999999999</v>
      </c>
      <c r="AH104" s="5">
        <v>1.65</v>
      </c>
      <c r="AI104" s="5">
        <v>0.17100000000000001</v>
      </c>
      <c r="AJ104" s="5">
        <v>0.86</v>
      </c>
      <c r="AK104" s="5">
        <v>0.13</v>
      </c>
      <c r="AL104" s="5">
        <v>11.12</v>
      </c>
      <c r="AM104" s="5">
        <v>7.67</v>
      </c>
      <c r="AN104" s="5">
        <v>957.76</v>
      </c>
      <c r="AO104" s="5">
        <v>1000.39</v>
      </c>
      <c r="AP104" s="5">
        <v>5.3999999999999999E-2</v>
      </c>
      <c r="AQ104" s="5">
        <v>2.75</v>
      </c>
      <c r="AR104" s="5">
        <v>1.1639999999999999</v>
      </c>
    </row>
    <row r="105" spans="1:44" s="1" customFormat="1" x14ac:dyDescent="0.45">
      <c r="A105" s="6">
        <v>204</v>
      </c>
      <c r="B105" s="5">
        <v>7.58</v>
      </c>
      <c r="C105" s="5">
        <v>168184.66</v>
      </c>
      <c r="D105" s="5">
        <v>67023.759999999995</v>
      </c>
      <c r="E105" s="5">
        <v>20.149999999999999</v>
      </c>
      <c r="F105" s="5">
        <v>38390.949999999997</v>
      </c>
      <c r="G105" s="5">
        <v>287.08999999999997</v>
      </c>
      <c r="H105" s="5">
        <v>322.22000000000003</v>
      </c>
      <c r="I105" s="5">
        <v>27.71</v>
      </c>
      <c r="J105" s="5">
        <v>21.47</v>
      </c>
      <c r="K105" s="5">
        <v>1.26</v>
      </c>
      <c r="L105" s="5">
        <v>15.15</v>
      </c>
      <c r="M105" s="5">
        <f>0*1.34</f>
        <v>0</v>
      </c>
      <c r="N105" s="5">
        <v>40.79</v>
      </c>
      <c r="O105" s="5">
        <v>1178.4100000000001</v>
      </c>
      <c r="P105" s="5">
        <v>18.940000000000001</v>
      </c>
      <c r="Q105" s="5">
        <v>254.3</v>
      </c>
      <c r="R105" s="5">
        <v>133.38</v>
      </c>
      <c r="S105" s="5">
        <v>16.3</v>
      </c>
      <c r="T105" s="5">
        <f>0*0.37</f>
        <v>0</v>
      </c>
      <c r="U105" s="5">
        <f>0*0.27</f>
        <v>0</v>
      </c>
      <c r="V105" s="5">
        <v>1.401</v>
      </c>
      <c r="W105" s="5">
        <v>1172.23</v>
      </c>
      <c r="X105" s="5">
        <v>56.23</v>
      </c>
      <c r="Y105" s="5">
        <v>97.45</v>
      </c>
      <c r="Z105" s="5">
        <v>13.36</v>
      </c>
      <c r="AA105" s="5">
        <v>58.72</v>
      </c>
      <c r="AB105" s="5">
        <v>10.8</v>
      </c>
      <c r="AC105" s="5">
        <v>3.52</v>
      </c>
      <c r="AD105" s="5">
        <v>8.76</v>
      </c>
      <c r="AE105" s="5">
        <v>1.0569999999999999</v>
      </c>
      <c r="AF105" s="5">
        <v>4.49</v>
      </c>
      <c r="AG105" s="5">
        <v>0.69499999999999995</v>
      </c>
      <c r="AH105" s="5">
        <v>1.97</v>
      </c>
      <c r="AI105" s="5">
        <v>0.14000000000000001</v>
      </c>
      <c r="AJ105" s="5">
        <v>1.06</v>
      </c>
      <c r="AK105" s="5">
        <v>0.129</v>
      </c>
      <c r="AL105" s="5">
        <v>10.73</v>
      </c>
      <c r="AM105" s="5">
        <v>7.86</v>
      </c>
      <c r="AN105" s="5">
        <v>949.97</v>
      </c>
      <c r="AO105" s="5">
        <v>984.22</v>
      </c>
      <c r="AP105" s="5">
        <v>8.3000000000000004E-2</v>
      </c>
      <c r="AQ105" s="5">
        <v>2.91</v>
      </c>
      <c r="AR105" s="5">
        <v>1.135</v>
      </c>
    </row>
    <row r="106" spans="1:44" s="1" customFormat="1" x14ac:dyDescent="0.45">
      <c r="A106" s="6">
        <v>205</v>
      </c>
      <c r="B106" s="5">
        <v>7.2</v>
      </c>
      <c r="C106" s="5">
        <v>168184.64</v>
      </c>
      <c r="D106" s="5">
        <v>65952.63</v>
      </c>
      <c r="E106" s="5">
        <v>21.2</v>
      </c>
      <c r="F106" s="5">
        <v>38069.440000000002</v>
      </c>
      <c r="G106" s="5">
        <v>275.83</v>
      </c>
      <c r="H106" s="5">
        <v>327.32</v>
      </c>
      <c r="I106" s="5">
        <v>27.2</v>
      </c>
      <c r="J106" s="5">
        <f>0*20.74</f>
        <v>0</v>
      </c>
      <c r="K106" s="5">
        <v>1.53</v>
      </c>
      <c r="L106" s="5">
        <v>14.54</v>
      </c>
      <c r="M106" s="5">
        <v>1.84</v>
      </c>
      <c r="N106" s="5">
        <v>40.39</v>
      </c>
      <c r="O106" s="5">
        <v>1138.01</v>
      </c>
      <c r="P106" s="5">
        <v>20.72</v>
      </c>
      <c r="Q106" s="5">
        <v>254.59</v>
      </c>
      <c r="R106" s="5">
        <v>131.24</v>
      </c>
      <c r="S106" s="5">
        <v>14.53</v>
      </c>
      <c r="T106" s="5">
        <f>0*0.37</f>
        <v>0</v>
      </c>
      <c r="U106" s="5">
        <f>0*0.37</f>
        <v>0</v>
      </c>
      <c r="V106" s="5">
        <v>1.57</v>
      </c>
      <c r="W106" s="5">
        <v>1126.27</v>
      </c>
      <c r="X106" s="5">
        <v>55.53</v>
      </c>
      <c r="Y106" s="5">
        <v>97.51</v>
      </c>
      <c r="Z106" s="5">
        <v>13.16</v>
      </c>
      <c r="AA106" s="5">
        <v>56.4</v>
      </c>
      <c r="AB106" s="5">
        <v>10.66</v>
      </c>
      <c r="AC106" s="5">
        <v>3.84</v>
      </c>
      <c r="AD106" s="5">
        <v>8.94</v>
      </c>
      <c r="AE106" s="5">
        <v>0.92800000000000005</v>
      </c>
      <c r="AF106" s="5">
        <v>5.29</v>
      </c>
      <c r="AG106" s="5">
        <v>0.74299999999999999</v>
      </c>
      <c r="AH106" s="5">
        <v>1.84</v>
      </c>
      <c r="AI106" s="5">
        <v>0.14199999999999999</v>
      </c>
      <c r="AJ106" s="5">
        <v>1.24</v>
      </c>
      <c r="AK106" s="5">
        <v>0.11600000000000001</v>
      </c>
      <c r="AL106" s="5">
        <v>11.47</v>
      </c>
      <c r="AM106" s="5">
        <v>7.59</v>
      </c>
      <c r="AN106" s="5">
        <v>933.46</v>
      </c>
      <c r="AO106" s="5">
        <v>985.39</v>
      </c>
      <c r="AP106" s="5">
        <f>0*0.041</f>
        <v>0</v>
      </c>
      <c r="AQ106" s="5">
        <v>2.92</v>
      </c>
      <c r="AR106" s="5">
        <v>1.2</v>
      </c>
    </row>
    <row r="107" spans="1:44" s="1" customFormat="1" x14ac:dyDescent="0.45">
      <c r="A107" s="6">
        <v>206</v>
      </c>
      <c r="B107" s="5">
        <v>8.65</v>
      </c>
      <c r="C107" s="5">
        <v>168184.66</v>
      </c>
      <c r="D107" s="5">
        <v>69133.14</v>
      </c>
      <c r="E107" s="5">
        <v>20.91</v>
      </c>
      <c r="F107" s="5">
        <v>39155.58</v>
      </c>
      <c r="G107" s="5">
        <v>287.02999999999997</v>
      </c>
      <c r="H107" s="5">
        <v>335.88</v>
      </c>
      <c r="I107" s="5">
        <v>25.14</v>
      </c>
      <c r="J107" s="5">
        <v>39.25</v>
      </c>
      <c r="K107" s="5">
        <v>2.11</v>
      </c>
      <c r="L107" s="5">
        <v>15.17</v>
      </c>
      <c r="M107" s="5">
        <v>1.68</v>
      </c>
      <c r="N107" s="5">
        <v>42.15</v>
      </c>
      <c r="O107" s="5">
        <v>1177.31</v>
      </c>
      <c r="P107" s="5">
        <v>19.29</v>
      </c>
      <c r="Q107" s="5">
        <v>252.77</v>
      </c>
      <c r="R107" s="5">
        <v>129.56</v>
      </c>
      <c r="S107" s="5">
        <v>15.42</v>
      </c>
      <c r="T107" s="5">
        <f>0*0.41</f>
        <v>0</v>
      </c>
      <c r="U107" s="5">
        <f>0*0.188</f>
        <v>0</v>
      </c>
      <c r="V107" s="5">
        <v>1.35</v>
      </c>
      <c r="W107" s="5">
        <v>1148.52</v>
      </c>
      <c r="X107" s="5">
        <v>55.73</v>
      </c>
      <c r="Y107" s="5">
        <v>99.92</v>
      </c>
      <c r="Z107" s="5">
        <v>13.13</v>
      </c>
      <c r="AA107" s="5">
        <v>57.07</v>
      </c>
      <c r="AB107" s="5">
        <v>10.65</v>
      </c>
      <c r="AC107" s="5">
        <v>3.43</v>
      </c>
      <c r="AD107" s="5">
        <v>9.39</v>
      </c>
      <c r="AE107" s="5">
        <v>1.042</v>
      </c>
      <c r="AF107" s="5">
        <v>4.87</v>
      </c>
      <c r="AG107" s="5">
        <v>0.77100000000000002</v>
      </c>
      <c r="AH107" s="5">
        <v>1.58</v>
      </c>
      <c r="AI107" s="5">
        <v>0.14499999999999999</v>
      </c>
      <c r="AJ107" s="5">
        <v>1.24</v>
      </c>
      <c r="AK107" s="5">
        <v>0.10199999999999999</v>
      </c>
      <c r="AL107" s="5">
        <v>11.19</v>
      </c>
      <c r="AM107" s="5">
        <v>7.89</v>
      </c>
      <c r="AN107" s="5">
        <v>960.52</v>
      </c>
      <c r="AO107" s="5">
        <v>999.69</v>
      </c>
      <c r="AP107" s="5">
        <f>0*0.07</f>
        <v>0</v>
      </c>
      <c r="AQ107" s="5">
        <v>3.02</v>
      </c>
      <c r="AR107" s="5">
        <v>1.2649999999999999</v>
      </c>
    </row>
    <row r="108" spans="1:44" s="1" customFormat="1" x14ac:dyDescent="0.45">
      <c r="A108" s="6">
        <v>207</v>
      </c>
      <c r="B108" s="5">
        <v>7.41</v>
      </c>
      <c r="C108" s="5">
        <v>168184.66</v>
      </c>
      <c r="D108" s="5">
        <v>64991.28</v>
      </c>
      <c r="E108" s="5">
        <v>21.25</v>
      </c>
      <c r="F108" s="5">
        <v>37116.68</v>
      </c>
      <c r="G108" s="5">
        <v>273.82</v>
      </c>
      <c r="H108" s="5">
        <v>322.68</v>
      </c>
      <c r="I108" s="5">
        <v>26.06</v>
      </c>
      <c r="J108" s="5">
        <v>22.48</v>
      </c>
      <c r="K108" s="5">
        <v>2.38</v>
      </c>
      <c r="L108" s="5">
        <v>14.7</v>
      </c>
      <c r="M108" s="5">
        <v>1.74</v>
      </c>
      <c r="N108" s="5">
        <v>39.89</v>
      </c>
      <c r="O108" s="5">
        <v>1135.58</v>
      </c>
      <c r="P108" s="5">
        <v>19.53</v>
      </c>
      <c r="Q108" s="5">
        <v>256.22000000000003</v>
      </c>
      <c r="R108" s="5">
        <v>132.37</v>
      </c>
      <c r="S108" s="5">
        <v>15.65</v>
      </c>
      <c r="T108" s="5">
        <f>0*0.49</f>
        <v>0</v>
      </c>
      <c r="U108" s="5">
        <f>0*0.3</f>
        <v>0</v>
      </c>
      <c r="V108" s="5">
        <v>1.1519999999999999</v>
      </c>
      <c r="W108" s="5">
        <v>1116.32</v>
      </c>
      <c r="X108" s="5">
        <v>54.81</v>
      </c>
      <c r="Y108" s="5">
        <v>95.62</v>
      </c>
      <c r="Z108" s="5">
        <v>12.65</v>
      </c>
      <c r="AA108" s="5">
        <v>57.96</v>
      </c>
      <c r="AB108" s="5">
        <v>11.17</v>
      </c>
      <c r="AC108" s="5">
        <v>3.13</v>
      </c>
      <c r="AD108" s="5">
        <v>8.5299999999999994</v>
      </c>
      <c r="AE108" s="5">
        <v>0.873</v>
      </c>
      <c r="AF108" s="5">
        <v>4.8600000000000003</v>
      </c>
      <c r="AG108" s="5">
        <v>0.89600000000000002</v>
      </c>
      <c r="AH108" s="5">
        <v>1.96</v>
      </c>
      <c r="AI108" s="5">
        <v>0.18099999999999999</v>
      </c>
      <c r="AJ108" s="5">
        <v>0.8</v>
      </c>
      <c r="AK108" s="5">
        <v>0.12</v>
      </c>
      <c r="AL108" s="5">
        <v>11.46</v>
      </c>
      <c r="AM108" s="5">
        <v>7.97</v>
      </c>
      <c r="AN108" s="5">
        <v>952.63</v>
      </c>
      <c r="AO108" s="5">
        <v>990.48</v>
      </c>
      <c r="AP108" s="5">
        <v>6.4000000000000001E-2</v>
      </c>
      <c r="AQ108" s="5">
        <v>2.81</v>
      </c>
      <c r="AR108" s="5">
        <v>1.0389999999999999</v>
      </c>
    </row>
    <row r="109" spans="1:44" s="1" customFormat="1" x14ac:dyDescent="0.45">
      <c r="A109" s="6">
        <v>208</v>
      </c>
      <c r="B109" s="5">
        <v>7.88</v>
      </c>
      <c r="C109" s="5">
        <v>168184.66</v>
      </c>
      <c r="D109" s="5">
        <v>68062.17</v>
      </c>
      <c r="E109" s="5">
        <v>22.21</v>
      </c>
      <c r="F109" s="5">
        <v>38915.519999999997</v>
      </c>
      <c r="G109" s="5">
        <v>292.86</v>
      </c>
      <c r="H109" s="5">
        <v>322.36</v>
      </c>
      <c r="I109" s="5">
        <v>28.6</v>
      </c>
      <c r="J109" s="5">
        <f>0*21.07</f>
        <v>0</v>
      </c>
      <c r="K109" s="5">
        <v>2.1800000000000002</v>
      </c>
      <c r="L109" s="5">
        <v>14.51</v>
      </c>
      <c r="M109" s="5">
        <v>1.49</v>
      </c>
      <c r="N109" s="5">
        <v>42.54</v>
      </c>
      <c r="O109" s="5">
        <v>1173.4000000000001</v>
      </c>
      <c r="P109" s="5">
        <v>19.87</v>
      </c>
      <c r="Q109" s="5">
        <v>263.01</v>
      </c>
      <c r="R109" s="5">
        <v>132.57</v>
      </c>
      <c r="S109" s="5">
        <v>17.739999999999998</v>
      </c>
      <c r="T109" s="5">
        <v>0.28000000000000003</v>
      </c>
      <c r="U109" s="5">
        <f>0*0.255</f>
        <v>0</v>
      </c>
      <c r="V109" s="5">
        <v>1.3779999999999999</v>
      </c>
      <c r="W109" s="5">
        <v>1150.29</v>
      </c>
      <c r="X109" s="5">
        <v>57.2</v>
      </c>
      <c r="Y109" s="5">
        <v>96.79</v>
      </c>
      <c r="Z109" s="5">
        <v>12.97</v>
      </c>
      <c r="AA109" s="5">
        <v>59.96</v>
      </c>
      <c r="AB109" s="5">
        <v>12.23</v>
      </c>
      <c r="AC109" s="5">
        <v>3.29</v>
      </c>
      <c r="AD109" s="5">
        <v>8.75</v>
      </c>
      <c r="AE109" s="5">
        <v>1.024</v>
      </c>
      <c r="AF109" s="5">
        <v>5.18</v>
      </c>
      <c r="AG109" s="5">
        <v>0.75700000000000001</v>
      </c>
      <c r="AH109" s="5">
        <v>1.78</v>
      </c>
      <c r="AI109" s="5">
        <v>0.183</v>
      </c>
      <c r="AJ109" s="5">
        <v>0.81</v>
      </c>
      <c r="AK109" s="5">
        <v>0.129</v>
      </c>
      <c r="AL109" s="5">
        <v>11.8</v>
      </c>
      <c r="AM109" s="5">
        <v>7.69</v>
      </c>
      <c r="AN109" s="5">
        <v>986.73</v>
      </c>
      <c r="AO109" s="5">
        <v>1015.9</v>
      </c>
      <c r="AP109" s="5">
        <f>0*0.084</f>
        <v>0</v>
      </c>
      <c r="AQ109" s="5">
        <v>2.87</v>
      </c>
      <c r="AR109" s="5">
        <v>1.1459999999999999</v>
      </c>
    </row>
    <row r="110" spans="1:44" s="1" customFormat="1" x14ac:dyDescent="0.45">
      <c r="A110" s="6">
        <v>209</v>
      </c>
      <c r="B110" s="5">
        <v>6.6</v>
      </c>
      <c r="C110" s="5">
        <v>168184.64</v>
      </c>
      <c r="D110" s="5">
        <v>65705.16</v>
      </c>
      <c r="E110" s="5">
        <v>21.11</v>
      </c>
      <c r="F110" s="5">
        <v>37998.910000000003</v>
      </c>
      <c r="G110" s="5">
        <v>276.05</v>
      </c>
      <c r="H110" s="5">
        <v>318.85000000000002</v>
      </c>
      <c r="I110" s="5">
        <v>27.49</v>
      </c>
      <c r="J110" s="5">
        <f>0*21.74</f>
        <v>0</v>
      </c>
      <c r="K110" s="5">
        <f>0*1.22</f>
        <v>0</v>
      </c>
      <c r="L110" s="5">
        <v>16.03</v>
      </c>
      <c r="M110" s="5">
        <v>2.0099999999999998</v>
      </c>
      <c r="N110" s="5">
        <v>42.62</v>
      </c>
      <c r="O110" s="5">
        <v>1148.3399999999999</v>
      </c>
      <c r="P110" s="5">
        <v>19.829999999999998</v>
      </c>
      <c r="Q110" s="5">
        <v>258.25</v>
      </c>
      <c r="R110" s="5">
        <v>133.41999999999999</v>
      </c>
      <c r="S110" s="5">
        <v>15.49</v>
      </c>
      <c r="T110" s="5">
        <f>0*0.36</f>
        <v>0</v>
      </c>
      <c r="U110" s="5">
        <f>0*0.23</f>
        <v>0</v>
      </c>
      <c r="V110" s="5">
        <v>1.214</v>
      </c>
      <c r="W110" s="5">
        <v>1118.56</v>
      </c>
      <c r="X110" s="5">
        <v>55.22</v>
      </c>
      <c r="Y110" s="5">
        <v>96.05</v>
      </c>
      <c r="Z110" s="5">
        <v>13.56</v>
      </c>
      <c r="AA110" s="5">
        <v>57.73</v>
      </c>
      <c r="AB110" s="5">
        <v>11.93</v>
      </c>
      <c r="AC110" s="5">
        <v>3.66</v>
      </c>
      <c r="AD110" s="5">
        <v>8.99</v>
      </c>
      <c r="AE110" s="5">
        <v>0.97199999999999998</v>
      </c>
      <c r="AF110" s="5">
        <v>5.0599999999999996</v>
      </c>
      <c r="AG110" s="5">
        <v>0.89800000000000002</v>
      </c>
      <c r="AH110" s="5">
        <v>1.88</v>
      </c>
      <c r="AI110" s="5">
        <v>0.20699999999999999</v>
      </c>
      <c r="AJ110" s="5">
        <v>0.83</v>
      </c>
      <c r="AK110" s="5">
        <v>0.106</v>
      </c>
      <c r="AL110" s="5">
        <v>11.05</v>
      </c>
      <c r="AM110" s="5">
        <v>7.81</v>
      </c>
      <c r="AN110" s="5">
        <v>1004.69</v>
      </c>
      <c r="AO110" s="5">
        <v>1034.31</v>
      </c>
      <c r="AP110" s="5">
        <v>5.0999999999999997E-2</v>
      </c>
      <c r="AQ110" s="5">
        <v>2.84</v>
      </c>
      <c r="AR110" s="5">
        <v>1.1379999999999999</v>
      </c>
    </row>
    <row r="111" spans="1:44" s="1" customFormat="1" x14ac:dyDescent="0.45">
      <c r="A111" s="6">
        <v>210</v>
      </c>
      <c r="B111" s="5">
        <v>7.07</v>
      </c>
      <c r="C111" s="5">
        <v>168184.64</v>
      </c>
      <c r="D111" s="5">
        <v>67643.350000000006</v>
      </c>
      <c r="E111" s="5">
        <v>23.3</v>
      </c>
      <c r="F111" s="5">
        <v>37884.35</v>
      </c>
      <c r="G111" s="5">
        <v>282.39999999999998</v>
      </c>
      <c r="H111" s="5">
        <v>325.36</v>
      </c>
      <c r="I111" s="5">
        <v>27.46</v>
      </c>
      <c r="J111" s="5">
        <f>0*21.87</f>
        <v>0</v>
      </c>
      <c r="K111" s="5">
        <v>2.67</v>
      </c>
      <c r="L111" s="5">
        <v>15.36</v>
      </c>
      <c r="M111" s="5">
        <v>1.65</v>
      </c>
      <c r="N111" s="5">
        <v>41.58</v>
      </c>
      <c r="O111" s="5">
        <v>1179.42</v>
      </c>
      <c r="P111" s="5">
        <v>19.63</v>
      </c>
      <c r="Q111" s="5">
        <v>258.17</v>
      </c>
      <c r="R111" s="5">
        <v>131.11000000000001</v>
      </c>
      <c r="S111" s="5">
        <v>14.6</v>
      </c>
      <c r="T111" s="5">
        <v>0.69</v>
      </c>
      <c r="U111" s="5">
        <v>0.21099999999999999</v>
      </c>
      <c r="V111" s="5">
        <v>1.2070000000000001</v>
      </c>
      <c r="W111" s="5">
        <v>1154.04</v>
      </c>
      <c r="X111" s="5">
        <v>55.51</v>
      </c>
      <c r="Y111" s="5">
        <v>95.65</v>
      </c>
      <c r="Z111" s="5">
        <v>13.2</v>
      </c>
      <c r="AA111" s="5">
        <v>60.32</v>
      </c>
      <c r="AB111" s="5">
        <v>12.42</v>
      </c>
      <c r="AC111" s="5">
        <v>3.34</v>
      </c>
      <c r="AD111" s="5">
        <v>9.1199999999999992</v>
      </c>
      <c r="AE111" s="5">
        <v>1.1200000000000001</v>
      </c>
      <c r="AF111" s="5">
        <v>4.7699999999999996</v>
      </c>
      <c r="AG111" s="5">
        <v>0.71</v>
      </c>
      <c r="AH111" s="5">
        <v>1.39</v>
      </c>
      <c r="AI111" s="5">
        <v>0.13200000000000001</v>
      </c>
      <c r="AJ111" s="5">
        <v>0.7</v>
      </c>
      <c r="AK111" s="5">
        <v>9.5000000000000001E-2</v>
      </c>
      <c r="AL111" s="5">
        <v>11.18</v>
      </c>
      <c r="AM111" s="5">
        <v>7.74</v>
      </c>
      <c r="AN111" s="5">
        <v>994.48</v>
      </c>
      <c r="AO111" s="5">
        <v>992.43</v>
      </c>
      <c r="AP111" s="5">
        <f>0*0.059</f>
        <v>0</v>
      </c>
      <c r="AQ111" s="5">
        <v>2.99</v>
      </c>
      <c r="AR111" s="5">
        <v>1.1419999999999999</v>
      </c>
    </row>
    <row r="112" spans="1:44" s="1" customFormat="1" x14ac:dyDescent="0.45">
      <c r="A112" s="6">
        <v>211</v>
      </c>
      <c r="B112" s="5">
        <v>4.99</v>
      </c>
      <c r="C112" s="5">
        <v>168184.64</v>
      </c>
      <c r="D112" s="5">
        <v>68199.55</v>
      </c>
      <c r="E112" s="5">
        <v>21.3</v>
      </c>
      <c r="F112" s="5">
        <v>38513.49</v>
      </c>
      <c r="G112" s="5">
        <v>280.13</v>
      </c>
      <c r="H112" s="5">
        <v>308.82</v>
      </c>
      <c r="I112" s="5">
        <v>28.37</v>
      </c>
      <c r="J112" s="5">
        <f>0*19.78</f>
        <v>0</v>
      </c>
      <c r="K112" s="5">
        <f>0*1.18</f>
        <v>0</v>
      </c>
      <c r="L112" s="5">
        <v>15.08</v>
      </c>
      <c r="M112" s="5">
        <f>0*0.9</f>
        <v>0</v>
      </c>
      <c r="N112" s="5">
        <v>40.590000000000003</v>
      </c>
      <c r="O112" s="5">
        <v>1168.6500000000001</v>
      </c>
      <c r="P112" s="5">
        <v>19.93</v>
      </c>
      <c r="Q112" s="5">
        <v>256.92</v>
      </c>
      <c r="R112" s="5">
        <v>131.03</v>
      </c>
      <c r="S112" s="5">
        <v>16.12</v>
      </c>
      <c r="T112" s="5">
        <f>0*0.44</f>
        <v>0</v>
      </c>
      <c r="U112" s="5">
        <f>0*0.242</f>
        <v>0</v>
      </c>
      <c r="V112" s="5">
        <v>1.41</v>
      </c>
      <c r="W112" s="5">
        <v>1123.3800000000001</v>
      </c>
      <c r="X112" s="5">
        <v>57.05</v>
      </c>
      <c r="Y112" s="5">
        <v>98.21</v>
      </c>
      <c r="Z112" s="5">
        <v>12.77</v>
      </c>
      <c r="AA112" s="5">
        <v>56.12</v>
      </c>
      <c r="AB112" s="5">
        <v>12.57</v>
      </c>
      <c r="AC112" s="5">
        <v>3.45</v>
      </c>
      <c r="AD112" s="5">
        <v>8.02</v>
      </c>
      <c r="AE112" s="5">
        <v>0.97299999999999998</v>
      </c>
      <c r="AF112" s="5">
        <v>4.6900000000000004</v>
      </c>
      <c r="AG112" s="5">
        <v>0.753</v>
      </c>
      <c r="AH112" s="5">
        <v>1.6</v>
      </c>
      <c r="AI112" s="5">
        <v>0.191</v>
      </c>
      <c r="AJ112" s="5">
        <v>0.85</v>
      </c>
      <c r="AK112" s="5">
        <v>0.104</v>
      </c>
      <c r="AL112" s="5">
        <v>12.13</v>
      </c>
      <c r="AM112" s="5">
        <v>7.87</v>
      </c>
      <c r="AN112" s="5">
        <v>972</v>
      </c>
      <c r="AO112" s="5">
        <v>972.44</v>
      </c>
      <c r="AP112" s="5">
        <v>4.8000000000000001E-2</v>
      </c>
      <c r="AQ112" s="5">
        <v>2.84</v>
      </c>
      <c r="AR112" s="5">
        <v>1.1259999999999999</v>
      </c>
    </row>
    <row r="113" spans="1:44" s="1" customFormat="1" x14ac:dyDescent="0.45">
      <c r="A113" s="6" t="s">
        <v>43</v>
      </c>
      <c r="B113" s="5">
        <f>AVERAGE(B102:B112)</f>
        <v>7.1445454545454536</v>
      </c>
      <c r="C113" s="5">
        <f>AVERAGE(C102:C112)</f>
        <v>168184.65090909091</v>
      </c>
      <c r="D113" s="5">
        <f>AVERAGE(D102:D112)</f>
        <v>66976.075454545455</v>
      </c>
      <c r="E113" s="5">
        <f>AVERAGE(E102:E112)</f>
        <v>21.433636363636367</v>
      </c>
      <c r="F113" s="5">
        <f>AVERAGE(F102:F112)</f>
        <v>38389.127272727274</v>
      </c>
      <c r="G113" s="5">
        <f>AVERAGE(G102:G112)</f>
        <v>281.65818181818184</v>
      </c>
      <c r="H113" s="5">
        <f>AVERAGE(H102:H112)</f>
        <v>320.52000000000004</v>
      </c>
      <c r="I113" s="5">
        <f>AVERAGE(I102:I112)</f>
        <v>27.241818181818186</v>
      </c>
      <c r="J113" s="5">
        <f>AVERAGE(J102:J112)</f>
        <v>12.045454545454545</v>
      </c>
      <c r="K113" s="5">
        <f>AVERAGE(K102:K112)</f>
        <v>1.1027272727272728</v>
      </c>
      <c r="L113" s="5">
        <f>AVERAGE(L102:L112)</f>
        <v>15.121818181818183</v>
      </c>
      <c r="M113" s="5">
        <f>AVERAGE(M102:M112)</f>
        <v>1.4418181818181817</v>
      </c>
      <c r="N113" s="5">
        <f>AVERAGE(N102:N112)</f>
        <v>41.594545454545461</v>
      </c>
      <c r="O113" s="5">
        <f>AVERAGE(O102:O112)</f>
        <v>1162.9072727272726</v>
      </c>
      <c r="P113" s="5">
        <f>AVERAGE(P102:P112)</f>
        <v>19.88909090909091</v>
      </c>
      <c r="Q113" s="5">
        <f>AVERAGE(Q102:Q112)</f>
        <v>258.26727272727271</v>
      </c>
      <c r="R113" s="5">
        <f>AVERAGE(R102:R112)</f>
        <v>132.49181818181819</v>
      </c>
      <c r="S113" s="5">
        <f>AVERAGE(S102:S112)</f>
        <v>15.925454545454546</v>
      </c>
      <c r="T113" s="5">
        <f>AVERAGE(T102:T112)</f>
        <v>0.12363636363636363</v>
      </c>
      <c r="U113" s="5">
        <f>AVERAGE(U102:U112)</f>
        <v>4.3909090909090905E-2</v>
      </c>
      <c r="V113" s="5">
        <f>AVERAGE(V102:V112)</f>
        <v>1.3720000000000001</v>
      </c>
      <c r="W113" s="5">
        <f>AVERAGE(W102:W112)</f>
        <v>1139.848181818182</v>
      </c>
      <c r="X113" s="5">
        <f>AVERAGE(X102:X112)</f>
        <v>55.900909090909089</v>
      </c>
      <c r="Y113" s="5">
        <f>AVERAGE(Y102:Y112)</f>
        <v>97.131818181818161</v>
      </c>
      <c r="Z113" s="5">
        <f>AVERAGE(Z102:Z112)</f>
        <v>13.203636363636365</v>
      </c>
      <c r="AA113" s="5">
        <f>AVERAGE(AA102:AA112)</f>
        <v>57.43545454545454</v>
      </c>
      <c r="AB113" s="5">
        <f>AVERAGE(AB102:AB112)</f>
        <v>11.47</v>
      </c>
      <c r="AC113" s="5">
        <f>AVERAGE(AC102:AC112)</f>
        <v>3.4000000000000004</v>
      </c>
      <c r="AD113" s="5">
        <f>AVERAGE(AD102:AD112)</f>
        <v>8.7563636363636359</v>
      </c>
      <c r="AE113" s="5">
        <f>AVERAGE(AE102:AE112)</f>
        <v>1.0114545454545454</v>
      </c>
      <c r="AF113" s="5">
        <f>AVERAGE(AF102:AF112)</f>
        <v>4.9218181818181819</v>
      </c>
      <c r="AG113" s="5">
        <f>AVERAGE(AG102:AG112)</f>
        <v>0.78481818181818175</v>
      </c>
      <c r="AH113" s="5">
        <f>AVERAGE(AH102:AH112)</f>
        <v>1.7436363636363639</v>
      </c>
      <c r="AI113" s="5">
        <f>AVERAGE(AI102:AI112)</f>
        <v>0.16918181818181821</v>
      </c>
      <c r="AJ113" s="5">
        <f>AVERAGE(AJ102:AJ112)</f>
        <v>0.95999999999999985</v>
      </c>
      <c r="AK113" s="5">
        <f>AVERAGE(AK102:AK112)</f>
        <v>0.11536363636363638</v>
      </c>
      <c r="AL113" s="5">
        <f>AVERAGE(AL102:AL112)</f>
        <v>11.470909090909089</v>
      </c>
      <c r="AM113" s="5">
        <f>AVERAGE(AM102:AM112)</f>
        <v>7.8618181818181823</v>
      </c>
      <c r="AN113" s="5">
        <f>AVERAGE(AN102:AN112)</f>
        <v>970.91909090909098</v>
      </c>
      <c r="AO113" s="5">
        <f>AVERAGE(AO102:AO112)</f>
        <v>1002.9090909090909</v>
      </c>
      <c r="AP113" s="5">
        <f>AVERAGE(AP102:AP112)</f>
        <v>3.1545454545454543E-2</v>
      </c>
      <c r="AQ113" s="5">
        <f>AVERAGE(AQ102:AQ112)</f>
        <v>2.8827272727272724</v>
      </c>
      <c r="AR113" s="5">
        <f>AVERAGE(AR102:AR112)</f>
        <v>1.1452727272727272</v>
      </c>
    </row>
    <row r="114" spans="1:44" s="1" customFormat="1" x14ac:dyDescent="0.45">
      <c r="A114" s="7" t="s">
        <v>44</v>
      </c>
      <c r="B114" s="5">
        <f>AVEDEV(B102:B112)</f>
        <v>0.67322314049586784</v>
      </c>
      <c r="C114" s="5">
        <f>AVEDEV(C102:C112)</f>
        <v>9.9173553674270151E-3</v>
      </c>
      <c r="D114" s="5">
        <f>AVEDEV(D102:D112)</f>
        <v>1099.9504132231411</v>
      </c>
      <c r="E114" s="5">
        <f>AVEDEV(E102:E112)</f>
        <v>0.71256198347107613</v>
      </c>
      <c r="F114" s="5">
        <f>AVEDEV(F102:F112)</f>
        <v>540.73570247933753</v>
      </c>
      <c r="G114" s="5">
        <f>AVEDEV(G102:G112)</f>
        <v>5.4856198347107314</v>
      </c>
      <c r="H114" s="5">
        <f>AVEDEV(H102:H112)</f>
        <v>5.9454545454545435</v>
      </c>
      <c r="I114" s="5">
        <f>AVEDEV(I102:I112)</f>
        <v>0.68892561983471079</v>
      </c>
      <c r="J114" s="5">
        <f>AVEDEV(J102:J112)</f>
        <v>13.140495867768594</v>
      </c>
      <c r="K114" s="5">
        <f>AVEDEV(K102:K112)</f>
        <v>1.0024793388429751</v>
      </c>
      <c r="L114" s="5">
        <f>AVEDEV(L102:L112)</f>
        <v>0.55438016528925615</v>
      </c>
      <c r="M114" s="5">
        <f>AVEDEV(M102:M112)</f>
        <v>0.58099173553719019</v>
      </c>
      <c r="N114" s="5">
        <f>AVEDEV(N102:N112)</f>
        <v>0.9304132231404959</v>
      </c>
      <c r="O114" s="5">
        <f>AVEDEV(O102:O112)</f>
        <v>17.987107438016604</v>
      </c>
      <c r="P114" s="5">
        <f>AVEDEV(P102:P112)</f>
        <v>0.48247933884297534</v>
      </c>
      <c r="Q114" s="5">
        <f>AVEDEV(Q102:Q112)</f>
        <v>4.6142148760330448</v>
      </c>
      <c r="R114" s="5">
        <f>AVEDEV(R102:R112)</f>
        <v>1.2998347107437977</v>
      </c>
      <c r="S114" s="5">
        <f>AVEDEV(S102:S112)</f>
        <v>0.71586776859504153</v>
      </c>
      <c r="T114" s="5">
        <f>AVEDEV(T102:T112)</f>
        <v>0.17983471074380164</v>
      </c>
      <c r="U114" s="5">
        <f>AVEDEV(U102:U112)</f>
        <v>7.1851239669421474E-2</v>
      </c>
      <c r="V114" s="5">
        <f>AVEDEV(V102:V112)</f>
        <v>0.11036363636363634</v>
      </c>
      <c r="W114" s="5">
        <f>AVEDEV(W102:W112)</f>
        <v>17.052892561983466</v>
      </c>
      <c r="X114" s="5">
        <f>AVEDEV(X102:X112)</f>
        <v>0.85371900826446279</v>
      </c>
      <c r="Y114" s="5">
        <f>AVEDEV(Y102:Y112)</f>
        <v>1.3034710743801659</v>
      </c>
      <c r="Z114" s="5">
        <f>AVEDEV(Z102:Z112)</f>
        <v>0.25553719008264475</v>
      </c>
      <c r="AA114" s="5">
        <f>AVEDEV(AA102:AA112)</f>
        <v>1.3722314049586783</v>
      </c>
      <c r="AB114" s="5">
        <f>AVEDEV(AB102:AB112)</f>
        <v>0.75272727272727247</v>
      </c>
      <c r="AC114" s="5">
        <f>AVEDEV(AC102:AC112)</f>
        <v>0.18000000000000005</v>
      </c>
      <c r="AD114" s="5">
        <f>AVEDEV(AD102:AD112)</f>
        <v>0.34396694214876045</v>
      </c>
      <c r="AE114" s="5">
        <f>AVEDEV(AE102:AE112)</f>
        <v>5.7867768595041329E-2</v>
      </c>
      <c r="AF114" s="5">
        <f>AVEDEV(AF102:AF112)</f>
        <v>0.18198347107438009</v>
      </c>
      <c r="AG114" s="5">
        <f>AVEDEV(AG102:AG112)</f>
        <v>6.3008264462809896E-2</v>
      </c>
      <c r="AH114" s="5">
        <f>AVEDEV(AH102:AH112)</f>
        <v>0.1505785123966942</v>
      </c>
      <c r="AI114" s="5">
        <f>AVEDEV(AI102:AI112)</f>
        <v>2.140495867768594E-2</v>
      </c>
      <c r="AJ114" s="5">
        <f>AVEDEV(AJ102:AJ112)</f>
        <v>0.16545454545454544</v>
      </c>
      <c r="AK114" s="5">
        <f>AVEDEV(AK102:AK112)</f>
        <v>1.0148760330578514E-2</v>
      </c>
      <c r="AL114" s="5">
        <f>AVEDEV(AL102:AL112)</f>
        <v>0.38115702479338781</v>
      </c>
      <c r="AM114" s="5">
        <f>AVEDEV(AM102:AM112)</f>
        <v>0.14743801652892549</v>
      </c>
      <c r="AN114" s="5">
        <f>AVEDEV(AN102:AN112)</f>
        <v>18.228264462809918</v>
      </c>
      <c r="AO114" s="5">
        <f>AVEDEV(AO102:AO112)</f>
        <v>17.331570247933861</v>
      </c>
      <c r="AP114" s="5">
        <f>AVEDEV(AP102:AP112)</f>
        <v>2.8677685950413222E-2</v>
      </c>
      <c r="AQ114" s="5">
        <f>AVEDEV(AQ102:AQ112)</f>
        <v>5.7520661157024804E-2</v>
      </c>
      <c r="AR114" s="5">
        <f>AVEDEV(AR102:AR112)</f>
        <v>4.1388429752066115E-2</v>
      </c>
    </row>
    <row r="115" spans="1:44" s="1" customFormat="1" x14ac:dyDescent="0.45">
      <c r="A115" s="6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</row>
    <row r="116" spans="1:44" s="9" customFormat="1" ht="15.4" x14ac:dyDescent="0.45">
      <c r="A116" s="4" t="s">
        <v>56</v>
      </c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  <c r="AF116" s="10"/>
      <c r="AG116" s="10"/>
      <c r="AH116" s="10"/>
      <c r="AI116" s="10"/>
      <c r="AJ116" s="10"/>
      <c r="AK116" s="10"/>
      <c r="AL116" s="10"/>
      <c r="AM116" s="10"/>
      <c r="AN116" s="10"/>
      <c r="AO116" s="10"/>
      <c r="AP116" s="10"/>
      <c r="AQ116" s="10"/>
      <c r="AR116" s="10"/>
    </row>
    <row r="117" spans="1:44" s="1" customFormat="1" x14ac:dyDescent="0.45">
      <c r="A117" s="6">
        <v>1</v>
      </c>
      <c r="B117" s="5">
        <v>3.25</v>
      </c>
      <c r="C117" s="5">
        <v>195716.88</v>
      </c>
      <c r="D117" s="5">
        <v>92398.41</v>
      </c>
      <c r="E117" s="5">
        <v>50.57</v>
      </c>
      <c r="F117" s="5">
        <v>17973.28</v>
      </c>
      <c r="G117" s="5">
        <v>287.95</v>
      </c>
      <c r="H117" s="5">
        <v>400.41</v>
      </c>
      <c r="I117" s="5">
        <v>96.5</v>
      </c>
      <c r="J117" s="5">
        <v>352.5</v>
      </c>
      <c r="K117" s="5">
        <v>38.97</v>
      </c>
      <c r="L117" s="5">
        <v>12</v>
      </c>
      <c r="M117" s="5">
        <f>0*1.87</f>
        <v>0</v>
      </c>
      <c r="N117" s="5">
        <v>9.89</v>
      </c>
      <c r="O117" s="5">
        <v>421.94</v>
      </c>
      <c r="P117" s="5">
        <v>20.329999999999998</v>
      </c>
      <c r="Q117" s="5">
        <v>98.39</v>
      </c>
      <c r="R117" s="5">
        <v>38.31</v>
      </c>
      <c r="S117" s="5">
        <v>0.70799999999999996</v>
      </c>
      <c r="T117" s="5">
        <v>0.88100000000000001</v>
      </c>
      <c r="U117" s="5">
        <f>0*0.03</f>
        <v>0</v>
      </c>
      <c r="V117" s="5">
        <v>6.3E-2</v>
      </c>
      <c r="W117" s="5">
        <v>314.39</v>
      </c>
      <c r="X117" s="5">
        <v>12.3</v>
      </c>
      <c r="Y117" s="5">
        <v>31.92</v>
      </c>
      <c r="Z117" s="5">
        <v>4.6399999999999997</v>
      </c>
      <c r="AA117" s="5">
        <v>22.08</v>
      </c>
      <c r="AB117" s="5">
        <v>5.55</v>
      </c>
      <c r="AC117" s="5">
        <v>1.798</v>
      </c>
      <c r="AD117" s="5">
        <v>5.58</v>
      </c>
      <c r="AE117" s="5">
        <v>0.76100000000000001</v>
      </c>
      <c r="AF117" s="5">
        <v>4.53</v>
      </c>
      <c r="AG117" s="5">
        <v>0.81499999999999995</v>
      </c>
      <c r="AH117" s="5">
        <v>2.0699999999999998</v>
      </c>
      <c r="AI117" s="5">
        <v>0.22800000000000001</v>
      </c>
      <c r="AJ117" s="5">
        <v>1.619</v>
      </c>
      <c r="AK117" s="5">
        <v>0.21199999999999999</v>
      </c>
      <c r="AL117" s="5">
        <v>3.21</v>
      </c>
      <c r="AM117" s="5">
        <v>2.347</v>
      </c>
      <c r="AN117" s="5">
        <v>232.46</v>
      </c>
      <c r="AO117" s="5">
        <v>231</v>
      </c>
      <c r="AP117" s="5">
        <v>0.23400000000000001</v>
      </c>
      <c r="AQ117" s="5">
        <v>0.67400000000000004</v>
      </c>
      <c r="AR117" s="5">
        <v>0.17299999999999999</v>
      </c>
    </row>
    <row r="118" spans="1:44" s="1" customFormat="1" x14ac:dyDescent="0.45">
      <c r="A118" s="6">
        <v>2</v>
      </c>
      <c r="B118" s="5">
        <v>3.27</v>
      </c>
      <c r="C118" s="5">
        <v>195716.86</v>
      </c>
      <c r="D118" s="5">
        <v>94727.58</v>
      </c>
      <c r="E118" s="5">
        <v>50.93</v>
      </c>
      <c r="F118" s="5">
        <v>18284.62</v>
      </c>
      <c r="G118" s="5">
        <v>297.63</v>
      </c>
      <c r="H118" s="5">
        <v>406.82</v>
      </c>
      <c r="I118" s="5">
        <v>98.07</v>
      </c>
      <c r="J118" s="5">
        <v>354.78</v>
      </c>
      <c r="K118" s="5">
        <v>40</v>
      </c>
      <c r="L118" s="5">
        <v>12.28</v>
      </c>
      <c r="M118" s="5">
        <f>0*1.83</f>
        <v>0</v>
      </c>
      <c r="N118" s="5">
        <v>9.68</v>
      </c>
      <c r="O118" s="5">
        <v>435.64</v>
      </c>
      <c r="P118" s="5">
        <v>20.73</v>
      </c>
      <c r="Q118" s="5">
        <v>100.14</v>
      </c>
      <c r="R118" s="5">
        <v>39.49</v>
      </c>
      <c r="S118" s="5">
        <v>0.54900000000000004</v>
      </c>
      <c r="T118" s="5">
        <v>0.746</v>
      </c>
      <c r="U118" s="5">
        <f>0*0.042</f>
        <v>0</v>
      </c>
      <c r="V118" s="5">
        <v>8.8999999999999996E-2</v>
      </c>
      <c r="W118" s="5">
        <v>327.05</v>
      </c>
      <c r="X118" s="5">
        <v>12.57</v>
      </c>
      <c r="Y118" s="5">
        <v>32.67</v>
      </c>
      <c r="Z118" s="5">
        <v>4.8899999999999997</v>
      </c>
      <c r="AA118" s="5">
        <v>23</v>
      </c>
      <c r="AB118" s="5">
        <v>5.7</v>
      </c>
      <c r="AC118" s="5">
        <v>1.9379999999999999</v>
      </c>
      <c r="AD118" s="5">
        <v>5.12</v>
      </c>
      <c r="AE118" s="5">
        <v>0.77500000000000002</v>
      </c>
      <c r="AF118" s="5">
        <v>4.63</v>
      </c>
      <c r="AG118" s="5">
        <v>0.82399999999999995</v>
      </c>
      <c r="AH118" s="5">
        <v>2.13</v>
      </c>
      <c r="AI118" s="5">
        <v>0.26800000000000002</v>
      </c>
      <c r="AJ118" s="5">
        <v>1.611</v>
      </c>
      <c r="AK118" s="5">
        <v>0.23</v>
      </c>
      <c r="AL118" s="5">
        <v>3.16</v>
      </c>
      <c r="AM118" s="5">
        <v>2.367</v>
      </c>
      <c r="AN118" s="5">
        <v>239.47</v>
      </c>
      <c r="AO118" s="5">
        <v>237.44</v>
      </c>
      <c r="AP118" s="5">
        <v>0.17799999999999999</v>
      </c>
      <c r="AQ118" s="5">
        <v>0.67200000000000004</v>
      </c>
      <c r="AR118" s="5">
        <v>0.1661</v>
      </c>
    </row>
    <row r="119" spans="1:44" s="1" customFormat="1" x14ac:dyDescent="0.45">
      <c r="A119" s="6">
        <v>3</v>
      </c>
      <c r="B119" s="5">
        <v>3.09</v>
      </c>
      <c r="C119" s="5">
        <v>195716.86</v>
      </c>
      <c r="D119" s="5">
        <v>93801.8</v>
      </c>
      <c r="E119" s="5">
        <v>50.71</v>
      </c>
      <c r="F119" s="5">
        <v>18149.12</v>
      </c>
      <c r="G119" s="5">
        <v>293.89</v>
      </c>
      <c r="H119" s="5">
        <v>401.01</v>
      </c>
      <c r="I119" s="5">
        <v>98.42</v>
      </c>
      <c r="J119" s="5">
        <v>346.86</v>
      </c>
      <c r="K119" s="5">
        <v>40.17</v>
      </c>
      <c r="L119" s="5">
        <v>12.2</v>
      </c>
      <c r="M119" s="5">
        <f>0*1.85</f>
        <v>0</v>
      </c>
      <c r="N119" s="5">
        <v>9.8699999999999992</v>
      </c>
      <c r="O119" s="5">
        <v>431.14</v>
      </c>
      <c r="P119" s="5">
        <v>20.38</v>
      </c>
      <c r="Q119" s="5">
        <v>100.27</v>
      </c>
      <c r="R119" s="5">
        <v>38.229999999999997</v>
      </c>
      <c r="S119" s="5">
        <v>0.53100000000000003</v>
      </c>
      <c r="T119" s="5">
        <v>0.77400000000000002</v>
      </c>
      <c r="U119" s="5">
        <f>0*0.03</f>
        <v>0</v>
      </c>
      <c r="V119" s="5">
        <v>7.3999999999999996E-2</v>
      </c>
      <c r="W119" s="5">
        <v>322.29000000000002</v>
      </c>
      <c r="X119" s="5">
        <v>12.58</v>
      </c>
      <c r="Y119" s="5">
        <v>32.6</v>
      </c>
      <c r="Z119" s="5">
        <v>4.78</v>
      </c>
      <c r="AA119" s="5">
        <v>22.49</v>
      </c>
      <c r="AB119" s="5">
        <v>5.56</v>
      </c>
      <c r="AC119" s="5">
        <v>1.798</v>
      </c>
      <c r="AD119" s="5">
        <v>5.44</v>
      </c>
      <c r="AE119" s="5">
        <v>0.77200000000000002</v>
      </c>
      <c r="AF119" s="5">
        <v>4.24</v>
      </c>
      <c r="AG119" s="5">
        <v>0.84199999999999997</v>
      </c>
      <c r="AH119" s="5">
        <v>2.0499999999999998</v>
      </c>
      <c r="AI119" s="5">
        <v>0.23499999999999999</v>
      </c>
      <c r="AJ119" s="5">
        <v>1.5149999999999999</v>
      </c>
      <c r="AK119" s="5">
        <v>0.218</v>
      </c>
      <c r="AL119" s="5">
        <v>3.5</v>
      </c>
      <c r="AM119" s="5">
        <v>2.3839999999999999</v>
      </c>
      <c r="AN119" s="5">
        <v>234.73</v>
      </c>
      <c r="AO119" s="5">
        <v>233.38</v>
      </c>
      <c r="AP119" s="5">
        <v>0.19</v>
      </c>
      <c r="AQ119" s="5">
        <v>0.67800000000000005</v>
      </c>
      <c r="AR119" s="5">
        <v>0.17100000000000001</v>
      </c>
    </row>
    <row r="120" spans="1:44" s="1" customFormat="1" x14ac:dyDescent="0.45">
      <c r="A120" s="6">
        <v>4</v>
      </c>
      <c r="B120" s="5">
        <v>3.02</v>
      </c>
      <c r="C120" s="5">
        <v>195716.86</v>
      </c>
      <c r="D120" s="5">
        <v>94088.14</v>
      </c>
      <c r="E120" s="5">
        <v>51.02</v>
      </c>
      <c r="F120" s="5">
        <v>17972.05</v>
      </c>
      <c r="G120" s="5">
        <v>292.64999999999998</v>
      </c>
      <c r="H120" s="5">
        <v>408.01</v>
      </c>
      <c r="I120" s="5">
        <v>98.22</v>
      </c>
      <c r="J120" s="5">
        <v>348.33</v>
      </c>
      <c r="K120" s="5">
        <v>38.24</v>
      </c>
      <c r="L120" s="5">
        <v>12.2</v>
      </c>
      <c r="M120" s="5">
        <f>0*1.8</f>
        <v>0</v>
      </c>
      <c r="N120" s="5">
        <v>9.66</v>
      </c>
      <c r="O120" s="5">
        <v>427.8</v>
      </c>
      <c r="P120" s="5">
        <v>20.32</v>
      </c>
      <c r="Q120" s="5">
        <v>100.38</v>
      </c>
      <c r="R120" s="5">
        <v>38.299999999999997</v>
      </c>
      <c r="S120" s="5">
        <v>0.63800000000000001</v>
      </c>
      <c r="T120" s="5">
        <v>0.92200000000000004</v>
      </c>
      <c r="U120" s="5">
        <v>2.7E-2</v>
      </c>
      <c r="V120" s="5">
        <v>5.2999999999999999E-2</v>
      </c>
      <c r="W120" s="5">
        <v>320.19</v>
      </c>
      <c r="X120" s="5">
        <v>12.65</v>
      </c>
      <c r="Y120" s="5">
        <v>32.590000000000003</v>
      </c>
      <c r="Z120" s="5">
        <v>4.72</v>
      </c>
      <c r="AA120" s="5">
        <v>23.29</v>
      </c>
      <c r="AB120" s="5">
        <v>5.71</v>
      </c>
      <c r="AC120" s="5">
        <v>1.821</v>
      </c>
      <c r="AD120" s="5">
        <v>5.65</v>
      </c>
      <c r="AE120" s="5">
        <v>0.76900000000000002</v>
      </c>
      <c r="AF120" s="5">
        <v>4.3899999999999997</v>
      </c>
      <c r="AG120" s="5">
        <v>0.82899999999999996</v>
      </c>
      <c r="AH120" s="5">
        <v>2.04</v>
      </c>
      <c r="AI120" s="5">
        <v>0.27</v>
      </c>
      <c r="AJ120" s="5">
        <v>1.661</v>
      </c>
      <c r="AK120" s="5">
        <v>0.22700000000000001</v>
      </c>
      <c r="AL120" s="5">
        <v>3.25</v>
      </c>
      <c r="AM120" s="5">
        <v>2.46</v>
      </c>
      <c r="AN120" s="5">
        <v>235</v>
      </c>
      <c r="AO120" s="5">
        <v>234.2</v>
      </c>
      <c r="AP120" s="5">
        <v>0.23599999999999999</v>
      </c>
      <c r="AQ120" s="5">
        <v>0.66800000000000004</v>
      </c>
      <c r="AR120" s="5">
        <v>0.16450000000000001</v>
      </c>
    </row>
    <row r="121" spans="1:44" s="1" customFormat="1" x14ac:dyDescent="0.45">
      <c r="A121" s="6">
        <v>5</v>
      </c>
      <c r="B121" s="5">
        <v>3.35</v>
      </c>
      <c r="C121" s="5">
        <v>195716.86</v>
      </c>
      <c r="D121" s="5">
        <v>94935.57</v>
      </c>
      <c r="E121" s="5">
        <v>50.3</v>
      </c>
      <c r="F121" s="5">
        <v>18184.009999999998</v>
      </c>
      <c r="G121" s="5">
        <v>297.85000000000002</v>
      </c>
      <c r="H121" s="5">
        <v>406.26</v>
      </c>
      <c r="I121" s="5">
        <v>98.65</v>
      </c>
      <c r="J121" s="5">
        <v>344.72</v>
      </c>
      <c r="K121" s="5">
        <v>39.07</v>
      </c>
      <c r="L121" s="5">
        <v>12.06</v>
      </c>
      <c r="M121" s="5">
        <f>0*1.89</f>
        <v>0</v>
      </c>
      <c r="N121" s="5">
        <v>9.7200000000000006</v>
      </c>
      <c r="O121" s="5">
        <v>438.85</v>
      </c>
      <c r="P121" s="5">
        <v>20.77</v>
      </c>
      <c r="Q121" s="5">
        <v>100.74</v>
      </c>
      <c r="R121" s="5">
        <v>39.11</v>
      </c>
      <c r="S121" s="5">
        <v>0.54100000000000004</v>
      </c>
      <c r="T121" s="5">
        <v>0.82299999999999995</v>
      </c>
      <c r="U121" s="5">
        <v>3.5000000000000003E-2</v>
      </c>
      <c r="V121" s="5">
        <v>8.4000000000000005E-2</v>
      </c>
      <c r="W121" s="5">
        <v>324.02999999999997</v>
      </c>
      <c r="X121" s="5">
        <v>12.57</v>
      </c>
      <c r="Y121" s="5">
        <v>32.979999999999997</v>
      </c>
      <c r="Z121" s="5">
        <v>4.8499999999999996</v>
      </c>
      <c r="AA121" s="5">
        <v>22.43</v>
      </c>
      <c r="AB121" s="5">
        <v>5.87</v>
      </c>
      <c r="AC121" s="5">
        <v>1.8420000000000001</v>
      </c>
      <c r="AD121" s="5">
        <v>5.76</v>
      </c>
      <c r="AE121" s="5">
        <v>0.76400000000000001</v>
      </c>
      <c r="AF121" s="5">
        <v>4.4400000000000004</v>
      </c>
      <c r="AG121" s="5">
        <v>0.81399999999999995</v>
      </c>
      <c r="AH121" s="5">
        <v>2.13</v>
      </c>
      <c r="AI121" s="5">
        <v>0.27800000000000002</v>
      </c>
      <c r="AJ121" s="5">
        <v>1.6619999999999999</v>
      </c>
      <c r="AK121" s="5">
        <v>0.23499999999999999</v>
      </c>
      <c r="AL121" s="5">
        <v>3.26</v>
      </c>
      <c r="AM121" s="5">
        <v>2.4300000000000002</v>
      </c>
      <c r="AN121" s="5">
        <v>237.01</v>
      </c>
      <c r="AO121" s="5">
        <v>234.9</v>
      </c>
      <c r="AP121" s="5">
        <v>0.19700000000000001</v>
      </c>
      <c r="AQ121" s="5">
        <v>0.66800000000000004</v>
      </c>
      <c r="AR121" s="5">
        <v>0.16700000000000001</v>
      </c>
    </row>
    <row r="122" spans="1:44" s="1" customFormat="1" x14ac:dyDescent="0.45">
      <c r="A122" s="6">
        <v>6</v>
      </c>
      <c r="B122" s="5">
        <v>3.14</v>
      </c>
      <c r="C122" s="5">
        <v>195716.86</v>
      </c>
      <c r="D122" s="5">
        <v>93559.52</v>
      </c>
      <c r="E122" s="5">
        <v>50.76</v>
      </c>
      <c r="F122" s="5">
        <v>18324.41</v>
      </c>
      <c r="G122" s="5">
        <v>294.22000000000003</v>
      </c>
      <c r="H122" s="5">
        <v>400.98</v>
      </c>
      <c r="I122" s="5">
        <v>98.94</v>
      </c>
      <c r="J122" s="5">
        <v>359.74</v>
      </c>
      <c r="K122" s="5">
        <v>37.6</v>
      </c>
      <c r="L122" s="5">
        <v>11.97</v>
      </c>
      <c r="M122" s="5">
        <f>0*1.89</f>
        <v>0</v>
      </c>
      <c r="N122" s="5">
        <v>9.6999999999999993</v>
      </c>
      <c r="O122" s="5">
        <v>434.74</v>
      </c>
      <c r="P122" s="5">
        <v>20.61</v>
      </c>
      <c r="Q122" s="5">
        <v>101.31</v>
      </c>
      <c r="R122" s="5">
        <v>39.53</v>
      </c>
      <c r="S122" s="5">
        <v>0.45900000000000002</v>
      </c>
      <c r="T122" s="5">
        <v>0.86799999999999999</v>
      </c>
      <c r="U122" s="5">
        <f>0*0.04</f>
        <v>0</v>
      </c>
      <c r="V122" s="5">
        <v>8.3000000000000004E-2</v>
      </c>
      <c r="W122" s="5">
        <v>325.44</v>
      </c>
      <c r="X122" s="5">
        <v>12.66</v>
      </c>
      <c r="Y122" s="5">
        <v>32.65</v>
      </c>
      <c r="Z122" s="5">
        <v>4.83</v>
      </c>
      <c r="AA122" s="5">
        <v>22.77</v>
      </c>
      <c r="AB122" s="5">
        <v>5.78</v>
      </c>
      <c r="AC122" s="5">
        <v>1.839</v>
      </c>
      <c r="AD122" s="5">
        <v>5.67</v>
      </c>
      <c r="AE122" s="5">
        <v>0.79900000000000004</v>
      </c>
      <c r="AF122" s="5">
        <v>4.43</v>
      </c>
      <c r="AG122" s="5">
        <v>0.83199999999999996</v>
      </c>
      <c r="AH122" s="5">
        <v>2.1</v>
      </c>
      <c r="AI122" s="5">
        <v>0.25900000000000001</v>
      </c>
      <c r="AJ122" s="5">
        <v>1.607</v>
      </c>
      <c r="AK122" s="5">
        <v>0.215</v>
      </c>
      <c r="AL122" s="5">
        <v>3.37</v>
      </c>
      <c r="AM122" s="5">
        <v>2.4900000000000002</v>
      </c>
      <c r="AN122" s="5">
        <v>239.49</v>
      </c>
      <c r="AO122" s="5">
        <v>237.93</v>
      </c>
      <c r="AP122" s="5">
        <v>0.26</v>
      </c>
      <c r="AQ122" s="5">
        <v>0.65700000000000003</v>
      </c>
      <c r="AR122" s="5">
        <v>0.17199999999999999</v>
      </c>
    </row>
    <row r="123" spans="1:44" s="1" customFormat="1" x14ac:dyDescent="0.45">
      <c r="A123" s="6">
        <v>7</v>
      </c>
      <c r="B123" s="5">
        <v>3.15</v>
      </c>
      <c r="C123" s="5">
        <v>195716.86</v>
      </c>
      <c r="D123" s="5">
        <v>93421.49</v>
      </c>
      <c r="E123" s="5">
        <v>50.78</v>
      </c>
      <c r="F123" s="5">
        <v>18319.5</v>
      </c>
      <c r="G123" s="5">
        <v>295.22000000000003</v>
      </c>
      <c r="H123" s="5">
        <v>401.16</v>
      </c>
      <c r="I123" s="5">
        <v>98.33</v>
      </c>
      <c r="J123" s="5">
        <v>341.64</v>
      </c>
      <c r="K123" s="5">
        <v>38.630000000000003</v>
      </c>
      <c r="L123" s="5">
        <v>12.1</v>
      </c>
      <c r="M123" s="5">
        <f>0*1.81</f>
        <v>0</v>
      </c>
      <c r="N123" s="5">
        <v>9.8800000000000008</v>
      </c>
      <c r="O123" s="5">
        <v>428.69</v>
      </c>
      <c r="P123" s="5">
        <v>20.34</v>
      </c>
      <c r="Q123" s="5">
        <v>100.56</v>
      </c>
      <c r="R123" s="5">
        <v>39.21</v>
      </c>
      <c r="S123" s="5">
        <v>0.497</v>
      </c>
      <c r="T123" s="5">
        <v>0.86</v>
      </c>
      <c r="U123" s="5">
        <f>0*0.03</f>
        <v>0</v>
      </c>
      <c r="V123" s="5">
        <v>8.3000000000000004E-2</v>
      </c>
      <c r="W123" s="5">
        <v>322.98</v>
      </c>
      <c r="X123" s="5">
        <v>12.32</v>
      </c>
      <c r="Y123" s="5">
        <v>32.380000000000003</v>
      </c>
      <c r="Z123" s="5">
        <v>4.7300000000000004</v>
      </c>
      <c r="AA123" s="5">
        <v>22.74</v>
      </c>
      <c r="AB123" s="5">
        <v>5.76</v>
      </c>
      <c r="AC123" s="5">
        <v>1.9139999999999999</v>
      </c>
      <c r="AD123" s="5">
        <v>5.47</v>
      </c>
      <c r="AE123" s="5">
        <v>0.80500000000000005</v>
      </c>
      <c r="AF123" s="5">
        <v>4.41</v>
      </c>
      <c r="AG123" s="5">
        <v>0.84299999999999997</v>
      </c>
      <c r="AH123" s="5">
        <v>2.04</v>
      </c>
      <c r="AI123" s="5">
        <v>0.26500000000000001</v>
      </c>
      <c r="AJ123" s="5">
        <v>1.629</v>
      </c>
      <c r="AK123" s="5">
        <v>0.22800000000000001</v>
      </c>
      <c r="AL123" s="5">
        <v>3.19</v>
      </c>
      <c r="AM123" s="5">
        <v>2.4300000000000002</v>
      </c>
      <c r="AN123" s="5">
        <v>237.33</v>
      </c>
      <c r="AO123" s="5">
        <v>235.34</v>
      </c>
      <c r="AP123" s="5">
        <v>0.23400000000000001</v>
      </c>
      <c r="AQ123" s="5">
        <v>0.60799999999999998</v>
      </c>
      <c r="AR123" s="5">
        <v>0.17499999999999999</v>
      </c>
    </row>
    <row r="124" spans="1:44" s="1" customFormat="1" x14ac:dyDescent="0.45">
      <c r="A124" s="6">
        <v>8</v>
      </c>
      <c r="B124" s="5">
        <v>2.85</v>
      </c>
      <c r="C124" s="5">
        <v>195716.86</v>
      </c>
      <c r="D124" s="5">
        <v>93455.88</v>
      </c>
      <c r="E124" s="5">
        <v>50.41</v>
      </c>
      <c r="F124" s="5">
        <v>18347.75</v>
      </c>
      <c r="G124" s="5">
        <v>291.89999999999998</v>
      </c>
      <c r="H124" s="5">
        <v>405.17</v>
      </c>
      <c r="I124" s="5">
        <v>97.99</v>
      </c>
      <c r="J124" s="5">
        <v>353.4</v>
      </c>
      <c r="K124" s="5">
        <v>38.99</v>
      </c>
      <c r="L124" s="5">
        <v>11.65</v>
      </c>
      <c r="M124" s="5">
        <f>0*1.75</f>
        <v>0</v>
      </c>
      <c r="N124" s="5">
        <v>9.83</v>
      </c>
      <c r="O124" s="5">
        <v>432.6</v>
      </c>
      <c r="P124" s="5">
        <v>20.63</v>
      </c>
      <c r="Q124" s="5">
        <v>101.18</v>
      </c>
      <c r="R124" s="5">
        <v>39.6</v>
      </c>
      <c r="S124" s="5">
        <v>0.46400000000000002</v>
      </c>
      <c r="T124" s="5">
        <v>0.90700000000000003</v>
      </c>
      <c r="U124" s="5">
        <f>0*0.03</f>
        <v>0</v>
      </c>
      <c r="V124" s="5">
        <v>6.9000000000000006E-2</v>
      </c>
      <c r="W124" s="5">
        <v>323.35000000000002</v>
      </c>
      <c r="X124" s="5">
        <v>12.54</v>
      </c>
      <c r="Y124" s="5">
        <v>32.33</v>
      </c>
      <c r="Z124" s="5">
        <v>4.71</v>
      </c>
      <c r="AA124" s="5">
        <v>22.24</v>
      </c>
      <c r="AB124" s="5">
        <v>5.82</v>
      </c>
      <c r="AC124" s="5">
        <v>1.8680000000000001</v>
      </c>
      <c r="AD124" s="5">
        <v>5.6</v>
      </c>
      <c r="AE124" s="5">
        <v>0.77</v>
      </c>
      <c r="AF124" s="5">
        <v>4.47</v>
      </c>
      <c r="AG124" s="5">
        <v>0.80100000000000005</v>
      </c>
      <c r="AH124" s="5">
        <v>1.99</v>
      </c>
      <c r="AI124" s="5">
        <v>0.27600000000000002</v>
      </c>
      <c r="AJ124" s="5">
        <v>1.605</v>
      </c>
      <c r="AK124" s="5">
        <v>0.23</v>
      </c>
      <c r="AL124" s="5">
        <v>3.34</v>
      </c>
      <c r="AM124" s="5">
        <v>2.44</v>
      </c>
      <c r="AN124" s="5">
        <v>235.43</v>
      </c>
      <c r="AO124" s="5">
        <v>233.21</v>
      </c>
      <c r="AP124" s="5">
        <v>0.24099999999999999</v>
      </c>
      <c r="AQ124" s="5">
        <v>0.628</v>
      </c>
      <c r="AR124" s="5">
        <v>0.17899999999999999</v>
      </c>
    </row>
    <row r="125" spans="1:44" s="1" customFormat="1" x14ac:dyDescent="0.45">
      <c r="A125" s="6">
        <v>9</v>
      </c>
      <c r="B125" s="5">
        <v>3.17</v>
      </c>
      <c r="C125" s="5">
        <v>195716.86</v>
      </c>
      <c r="D125" s="5">
        <v>93284.95</v>
      </c>
      <c r="E125" s="5">
        <v>51.5</v>
      </c>
      <c r="F125" s="5">
        <v>18340.810000000001</v>
      </c>
      <c r="G125" s="5">
        <v>294.51</v>
      </c>
      <c r="H125" s="5">
        <v>401.31</v>
      </c>
      <c r="I125" s="5">
        <v>98.02</v>
      </c>
      <c r="J125" s="5">
        <v>355.76</v>
      </c>
      <c r="K125" s="5">
        <v>38.119999999999997</v>
      </c>
      <c r="L125" s="5">
        <v>12.16</v>
      </c>
      <c r="M125" s="5">
        <f>0*1.77</f>
        <v>0</v>
      </c>
      <c r="N125" s="5">
        <v>9.67</v>
      </c>
      <c r="O125" s="5">
        <v>427.5</v>
      </c>
      <c r="P125" s="5">
        <v>20.440000000000001</v>
      </c>
      <c r="Q125" s="5">
        <v>100.36</v>
      </c>
      <c r="R125" s="5">
        <v>39.01</v>
      </c>
      <c r="S125" s="5">
        <v>0.48099999999999998</v>
      </c>
      <c r="T125" s="5">
        <v>0.84599999999999997</v>
      </c>
      <c r="U125" s="5">
        <f>0*0.0148</f>
        <v>0</v>
      </c>
      <c r="V125" s="5">
        <v>7.0000000000000007E-2</v>
      </c>
      <c r="W125" s="5">
        <v>322.05</v>
      </c>
      <c r="X125" s="5">
        <v>12.49</v>
      </c>
      <c r="Y125" s="5">
        <v>32.299999999999997</v>
      </c>
      <c r="Z125" s="5">
        <v>4.6900000000000004</v>
      </c>
      <c r="AA125" s="5">
        <v>23.17</v>
      </c>
      <c r="AB125" s="5">
        <v>5.82</v>
      </c>
      <c r="AC125" s="5">
        <v>1.871</v>
      </c>
      <c r="AD125" s="5">
        <v>5.49</v>
      </c>
      <c r="AE125" s="5">
        <v>0.77400000000000002</v>
      </c>
      <c r="AF125" s="5">
        <v>4.46</v>
      </c>
      <c r="AG125" s="5">
        <v>0.81699999999999995</v>
      </c>
      <c r="AH125" s="5">
        <v>2.0299999999999998</v>
      </c>
      <c r="AI125" s="5">
        <v>0.27</v>
      </c>
      <c r="AJ125" s="5">
        <v>1.69</v>
      </c>
      <c r="AK125" s="5">
        <v>0.22</v>
      </c>
      <c r="AL125" s="5">
        <v>3.32</v>
      </c>
      <c r="AM125" s="5">
        <v>2.42</v>
      </c>
      <c r="AN125" s="5">
        <v>233.58</v>
      </c>
      <c r="AO125" s="5">
        <v>233.16</v>
      </c>
      <c r="AP125" s="5">
        <v>0.26200000000000001</v>
      </c>
      <c r="AQ125" s="5">
        <v>0.63700000000000001</v>
      </c>
      <c r="AR125" s="5">
        <v>0.17299999999999999</v>
      </c>
    </row>
    <row r="126" spans="1:44" s="1" customFormat="1" x14ac:dyDescent="0.45">
      <c r="A126" s="6">
        <v>10</v>
      </c>
      <c r="B126" s="5">
        <v>3.36</v>
      </c>
      <c r="C126" s="5">
        <v>195716.86</v>
      </c>
      <c r="D126" s="5">
        <v>93634.86</v>
      </c>
      <c r="E126" s="5">
        <v>52.13</v>
      </c>
      <c r="F126" s="5">
        <v>18286.84</v>
      </c>
      <c r="G126" s="5">
        <v>294.57</v>
      </c>
      <c r="H126" s="5">
        <v>405.29</v>
      </c>
      <c r="I126" s="5">
        <v>97.89</v>
      </c>
      <c r="J126" s="5">
        <v>353.28</v>
      </c>
      <c r="K126" s="5">
        <v>38.729999999999997</v>
      </c>
      <c r="L126" s="5">
        <v>11.98</v>
      </c>
      <c r="M126" s="5">
        <f>0*1.81</f>
        <v>0</v>
      </c>
      <c r="N126" s="5">
        <v>9.64</v>
      </c>
      <c r="O126" s="5">
        <v>425.98</v>
      </c>
      <c r="P126" s="5">
        <v>20.46</v>
      </c>
      <c r="Q126" s="5">
        <v>99.76</v>
      </c>
      <c r="R126" s="5">
        <v>38.19</v>
      </c>
      <c r="S126" s="5">
        <v>0.65900000000000003</v>
      </c>
      <c r="T126" s="5">
        <v>1.177</v>
      </c>
      <c r="U126" s="5">
        <f>0*0.026</f>
        <v>0</v>
      </c>
      <c r="V126" s="5">
        <v>8.2000000000000003E-2</v>
      </c>
      <c r="W126" s="5">
        <v>315.60000000000002</v>
      </c>
      <c r="X126" s="5">
        <v>12.38</v>
      </c>
      <c r="Y126" s="5">
        <v>31.65</v>
      </c>
      <c r="Z126" s="5">
        <v>4.68</v>
      </c>
      <c r="AA126" s="5">
        <v>22.77</v>
      </c>
      <c r="AB126" s="5">
        <v>5.8</v>
      </c>
      <c r="AC126" s="5">
        <v>1.7290000000000001</v>
      </c>
      <c r="AD126" s="5">
        <v>5.44</v>
      </c>
      <c r="AE126" s="5">
        <v>0.76900000000000002</v>
      </c>
      <c r="AF126" s="5">
        <v>4.47</v>
      </c>
      <c r="AG126" s="5">
        <v>0.78600000000000003</v>
      </c>
      <c r="AH126" s="5">
        <v>2.14</v>
      </c>
      <c r="AI126" s="5">
        <v>0.27200000000000002</v>
      </c>
      <c r="AJ126" s="5">
        <v>1.571</v>
      </c>
      <c r="AK126" s="5">
        <v>0.23100000000000001</v>
      </c>
      <c r="AL126" s="5">
        <v>3.32</v>
      </c>
      <c r="AM126" s="5">
        <v>2.34</v>
      </c>
      <c r="AN126" s="5">
        <v>233.64</v>
      </c>
      <c r="AO126" s="5">
        <v>233.23</v>
      </c>
      <c r="AP126" s="5">
        <v>0.377</v>
      </c>
      <c r="AQ126" s="5">
        <v>0.64600000000000002</v>
      </c>
      <c r="AR126" s="5">
        <v>0.16400000000000001</v>
      </c>
    </row>
    <row r="127" spans="1:44" s="1" customFormat="1" x14ac:dyDescent="0.45">
      <c r="A127" s="6" t="s">
        <v>43</v>
      </c>
      <c r="B127" s="5">
        <f>AVERAGE(B117:B126)</f>
        <v>3.165</v>
      </c>
      <c r="C127" s="5">
        <f>AVERAGE(C117:C126)</f>
        <v>195716.86199999996</v>
      </c>
      <c r="D127" s="5">
        <f>AVERAGE(D117:D126)</f>
        <v>93730.819999999992</v>
      </c>
      <c r="E127" s="5">
        <f>AVERAGE(E117:E126)</f>
        <v>50.911000000000001</v>
      </c>
      <c r="F127" s="5">
        <f>AVERAGE(F117:F126)</f>
        <v>18218.238999999998</v>
      </c>
      <c r="G127" s="5">
        <f>AVERAGE(G117:G126)</f>
        <v>294.03899999999999</v>
      </c>
      <c r="H127" s="5">
        <f>AVERAGE(H117:H126)</f>
        <v>403.64199999999994</v>
      </c>
      <c r="I127" s="5">
        <f>AVERAGE(I117:I126)</f>
        <v>98.102999999999994</v>
      </c>
      <c r="J127" s="5">
        <f>AVERAGE(J117:J126)</f>
        <v>351.10099999999994</v>
      </c>
      <c r="K127" s="5">
        <f>AVERAGE(K117:K126)</f>
        <v>38.852000000000004</v>
      </c>
      <c r="L127" s="5">
        <f>AVERAGE(L117:L126)</f>
        <v>12.06</v>
      </c>
      <c r="M127" s="5">
        <f>AVERAGE(M117:M126)</f>
        <v>0</v>
      </c>
      <c r="N127" s="5">
        <f>AVERAGE(N117:N126)</f>
        <v>9.7539999999999996</v>
      </c>
      <c r="O127" s="5">
        <f>AVERAGE(O117:O126)</f>
        <v>430.48799999999994</v>
      </c>
      <c r="P127" s="5">
        <f>AVERAGE(P117:P126)</f>
        <v>20.500999999999998</v>
      </c>
      <c r="Q127" s="5">
        <f>AVERAGE(Q117:Q126)</f>
        <v>100.309</v>
      </c>
      <c r="R127" s="5">
        <f>AVERAGE(R117:R126)</f>
        <v>38.898000000000003</v>
      </c>
      <c r="S127" s="5">
        <f>AVERAGE(S117:S126)</f>
        <v>0.55269999999999997</v>
      </c>
      <c r="T127" s="5">
        <f>AVERAGE(T117:T126)</f>
        <v>0.88040000000000007</v>
      </c>
      <c r="U127" s="5">
        <f>AVERAGE(U117:U126)</f>
        <v>6.1999999999999998E-3</v>
      </c>
      <c r="V127" s="5">
        <f>AVERAGE(V117:V126)</f>
        <v>7.5000000000000011E-2</v>
      </c>
      <c r="W127" s="5">
        <f>AVERAGE(W117:W126)</f>
        <v>321.73699999999997</v>
      </c>
      <c r="X127" s="5">
        <f>AVERAGE(X117:X126)</f>
        <v>12.505999999999998</v>
      </c>
      <c r="Y127" s="5">
        <f>AVERAGE(Y117:Y126)</f>
        <v>32.406999999999996</v>
      </c>
      <c r="Z127" s="5">
        <f>AVERAGE(Z117:Z126)</f>
        <v>4.7519999999999998</v>
      </c>
      <c r="AA127" s="5">
        <f>AVERAGE(AA117:AA126)</f>
        <v>22.698000000000004</v>
      </c>
      <c r="AB127" s="5">
        <f>AVERAGE(AB117:AB126)</f>
        <v>5.7370000000000001</v>
      </c>
      <c r="AC127" s="5">
        <f>AVERAGE(AC117:AC126)</f>
        <v>1.8417999999999999</v>
      </c>
      <c r="AD127" s="5">
        <f>AVERAGE(AD117:AD126)</f>
        <v>5.5220000000000002</v>
      </c>
      <c r="AE127" s="5">
        <f>AVERAGE(AE117:AE126)</f>
        <v>0.77580000000000005</v>
      </c>
      <c r="AF127" s="5">
        <f>AVERAGE(AF117:AF126)</f>
        <v>4.4470000000000001</v>
      </c>
      <c r="AG127" s="5">
        <f>AVERAGE(AG117:AG126)</f>
        <v>0.82029999999999992</v>
      </c>
      <c r="AH127" s="5">
        <f>AVERAGE(AH117:AH126)</f>
        <v>2.0720000000000001</v>
      </c>
      <c r="AI127" s="5">
        <f>AVERAGE(AI117:AI126)</f>
        <v>0.26209999999999994</v>
      </c>
      <c r="AJ127" s="5">
        <f>AVERAGE(AJ117:AJ126)</f>
        <v>1.6170000000000002</v>
      </c>
      <c r="AK127" s="5">
        <f>AVERAGE(AK117:AK126)</f>
        <v>0.22459999999999999</v>
      </c>
      <c r="AL127" s="5">
        <f>AVERAGE(AL117:AL126)</f>
        <v>3.2920000000000003</v>
      </c>
      <c r="AM127" s="5">
        <f>AVERAGE(AM117:AM126)</f>
        <v>2.4108000000000001</v>
      </c>
      <c r="AN127" s="5">
        <f>AVERAGE(AN117:AN126)</f>
        <v>235.81399999999999</v>
      </c>
      <c r="AO127" s="5">
        <f>AVERAGE(AO117:AO126)</f>
        <v>234.37899999999999</v>
      </c>
      <c r="AP127" s="5">
        <f>AVERAGE(AP117:AP126)</f>
        <v>0.24089999999999998</v>
      </c>
      <c r="AQ127" s="5">
        <f>AVERAGE(AQ117:AQ126)</f>
        <v>0.65360000000000007</v>
      </c>
      <c r="AR127" s="5">
        <f>AVERAGE(AR117:AR126)</f>
        <v>0.17046</v>
      </c>
    </row>
    <row r="128" spans="1:44" s="1" customFormat="1" x14ac:dyDescent="0.45">
      <c r="A128" s="7" t="s">
        <v>44</v>
      </c>
      <c r="B128" s="5">
        <f>AVEDEV(B117:B126)</f>
        <v>0.11499999999999999</v>
      </c>
      <c r="C128" s="5">
        <f>AVEDEV(C117:C126)</f>
        <v>3.5999999847263096E-3</v>
      </c>
      <c r="D128" s="5">
        <f>AVEDEV(D117:D126)</f>
        <v>525.96199999999806</v>
      </c>
      <c r="E128" s="5">
        <f>AVEDEV(E117:E126)</f>
        <v>0.38720000000000143</v>
      </c>
      <c r="F128" s="5">
        <f>AVEDEV(F117:F126)</f>
        <v>118.89920000000093</v>
      </c>
      <c r="G128" s="5">
        <f>AVEDEV(G117:G126)</f>
        <v>1.9532000000000154</v>
      </c>
      <c r="H128" s="5">
        <f>AVEDEV(H117:H126)</f>
        <v>2.6679999999999948</v>
      </c>
      <c r="I128" s="5">
        <f>AVEDEV(I117:I126)</f>
        <v>0.40900000000000175</v>
      </c>
      <c r="J128" s="5">
        <f>AVEDEV(J117:J126)</f>
        <v>4.5708000000000029</v>
      </c>
      <c r="K128" s="5">
        <f>AVEDEV(K117:K126)</f>
        <v>0.5880000000000003</v>
      </c>
      <c r="L128" s="5">
        <f>AVEDEV(L117:L126)</f>
        <v>0.12799999999999959</v>
      </c>
      <c r="M128" s="5">
        <f>AVEDEV(M117:M126)</f>
        <v>0</v>
      </c>
      <c r="N128" s="5">
        <f>AVEDEV(N117:N126)</f>
        <v>9.079999999999995E-2</v>
      </c>
      <c r="O128" s="5">
        <f>AVEDEV(O117:O126)</f>
        <v>4.1059999999999999</v>
      </c>
      <c r="P128" s="5">
        <f>AVEDEV(P117:P126)</f>
        <v>0.14719999999999941</v>
      </c>
      <c r="Q128" s="5">
        <f>AVEDEV(Q117:Q126)</f>
        <v>0.53520000000000034</v>
      </c>
      <c r="R128" s="5">
        <f>AVEDEV(R117:R126)</f>
        <v>0.51240000000000019</v>
      </c>
      <c r="S128" s="5">
        <f>AVEDEV(S117:S126)</f>
        <v>6.9379999999999969E-2</v>
      </c>
      <c r="T128" s="5">
        <f>AVEDEV(T117:T126)</f>
        <v>7.3080000000000034E-2</v>
      </c>
      <c r="U128" s="5">
        <f>AVEDEV(U117:U126)</f>
        <v>9.9199999999999983E-3</v>
      </c>
      <c r="V128" s="5">
        <f>AVEDEV(V117:V126)</f>
        <v>9.1999999999999998E-3</v>
      </c>
      <c r="W128" s="5">
        <f>AVEDEV(W117:W126)</f>
        <v>3.0062000000000184</v>
      </c>
      <c r="X128" s="5">
        <f>AVEDEV(X117:X126)</f>
        <v>0.10680000000000014</v>
      </c>
      <c r="Y128" s="5">
        <f>AVEDEV(Y117:Y126)</f>
        <v>0.29100000000000037</v>
      </c>
      <c r="Z128" s="5">
        <f>AVEDEV(Z117:Z126)</f>
        <v>6.8399999999999933E-2</v>
      </c>
      <c r="AA128" s="5">
        <f>AVEDEV(AA117:AA126)</f>
        <v>0.31039999999999957</v>
      </c>
      <c r="AB128" s="5">
        <f>AVEDEV(AB117:AB126)</f>
        <v>8.5600000000000079E-2</v>
      </c>
      <c r="AC128" s="5">
        <f>AVEDEV(AC117:AC126)</f>
        <v>4.4799999999999993E-2</v>
      </c>
      <c r="AD128" s="5">
        <f>AVEDEV(AD117:AD126)</f>
        <v>0.12999999999999989</v>
      </c>
      <c r="AE128" s="5">
        <f>AVEDEV(AE117:AE126)</f>
        <v>1.0480000000000022E-2</v>
      </c>
      <c r="AF128" s="5">
        <f>AVEDEV(AF117:AF126)</f>
        <v>6.4999999999999947E-2</v>
      </c>
      <c r="AG128" s="5">
        <f>AVEDEV(AG117:AG126)</f>
        <v>1.369999999999999E-2</v>
      </c>
      <c r="AH128" s="5">
        <f>AVEDEV(AH117:AH126)</f>
        <v>4.2400000000000063E-2</v>
      </c>
      <c r="AI128" s="5">
        <f>AVEDEV(AI117:AI126)</f>
        <v>1.2860000000000035E-2</v>
      </c>
      <c r="AJ128" s="5">
        <f>AVEDEV(AJ117:AJ126)</f>
        <v>3.5200000000000009E-2</v>
      </c>
      <c r="AK128" s="5">
        <f>AVEDEV(AK117:AK126)</f>
        <v>6.6800000000000054E-3</v>
      </c>
      <c r="AL128" s="5">
        <f>AVEDEV(AL117:AL126)</f>
        <v>7.7999999999999986E-2</v>
      </c>
      <c r="AM128" s="5">
        <f>AVEDEV(AM117:AM126)</f>
        <v>4.1040000000000056E-2</v>
      </c>
      <c r="AN128" s="5">
        <f>AVEDEV(AN117:AN126)</f>
        <v>2.0087999999999995</v>
      </c>
      <c r="AO128" s="5">
        <f>AVEDEV(AO117:AO126)</f>
        <v>1.6188000000000016</v>
      </c>
      <c r="AP128" s="5">
        <f>AVEDEV(AP117:AP126)</f>
        <v>3.5279999999999992E-2</v>
      </c>
      <c r="AQ128" s="5">
        <f>AVEDEV(AQ117:AQ126)</f>
        <v>1.9080000000000007E-2</v>
      </c>
      <c r="AR128" s="5">
        <f>AVEDEV(AR117:AR126)</f>
        <v>4.0479999999999934E-3</v>
      </c>
    </row>
    <row r="129" spans="1:1" s="1" customFormat="1" x14ac:dyDescent="0.45">
      <c r="A129" s="6"/>
    </row>
    <row r="130" spans="1:1" s="1" customFormat="1" x14ac:dyDescent="0.45">
      <c r="A130" s="6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glass trace elements</vt:lpstr>
    </vt:vector>
  </TitlesOfParts>
  <Company>IVV Naturwissenschaften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Tobias Grützner</dc:creator>
  <cp:lastModifiedBy>Tobias Grützner</cp:lastModifiedBy>
  <dcterms:created xsi:type="dcterms:W3CDTF">2019-03-18T14:12:51Z</dcterms:created>
  <dcterms:modified xsi:type="dcterms:W3CDTF">2022-12-09T14:04:32Z</dcterms:modified>
</cp:coreProperties>
</file>